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/>
  </bookViews>
  <sheets>
    <sheet name="HLMSR" sheetId="6" r:id="rId1"/>
    <sheet name="2x2 (Pr)" sheetId="5" r:id="rId2"/>
    <sheet name="Some Accounting" sheetId="7" r:id="rId3"/>
  </sheets>
  <calcPr calcId="145621"/>
</workbook>
</file>

<file path=xl/calcChain.xml><?xml version="1.0" encoding="utf-8"?>
<calcChain xmlns="http://schemas.openxmlformats.org/spreadsheetml/2006/main">
  <c r="C44" i="7" l="1"/>
  <c r="C45" i="7" s="1"/>
  <c r="M43" i="7"/>
  <c r="N43" i="7" s="1"/>
  <c r="K43" i="7"/>
  <c r="J43" i="7"/>
  <c r="I43" i="7"/>
  <c r="H43" i="7"/>
  <c r="M42" i="7"/>
  <c r="N42" i="7" s="1"/>
  <c r="K42" i="7"/>
  <c r="J42" i="7"/>
  <c r="I42" i="7"/>
  <c r="H42" i="7"/>
  <c r="M41" i="7"/>
  <c r="N41" i="7" s="1"/>
  <c r="K41" i="7"/>
  <c r="J41" i="7"/>
  <c r="I41" i="7"/>
  <c r="H41" i="7"/>
  <c r="M40" i="7"/>
  <c r="K40" i="7"/>
  <c r="J40" i="7"/>
  <c r="I40" i="7"/>
  <c r="H40" i="7"/>
  <c r="M39" i="7"/>
  <c r="N40" i="7" s="1"/>
  <c r="K39" i="7"/>
  <c r="J39" i="7"/>
  <c r="I39" i="7"/>
  <c r="H39" i="7"/>
  <c r="M38" i="7"/>
  <c r="N38" i="7" s="1"/>
  <c r="K38" i="7"/>
  <c r="J38" i="7"/>
  <c r="I38" i="7"/>
  <c r="H38" i="7"/>
  <c r="M37" i="7"/>
  <c r="N37" i="7" s="1"/>
  <c r="K37" i="7"/>
  <c r="J37" i="7"/>
  <c r="I37" i="7"/>
  <c r="H37" i="7"/>
  <c r="M36" i="7"/>
  <c r="N36" i="7" s="1"/>
  <c r="K36" i="7"/>
  <c r="J36" i="7"/>
  <c r="I36" i="7"/>
  <c r="H36" i="7"/>
  <c r="M35" i="7"/>
  <c r="K35" i="7"/>
  <c r="J35" i="7"/>
  <c r="I35" i="7"/>
  <c r="H35" i="7"/>
  <c r="M34" i="7"/>
  <c r="N35" i="7" s="1"/>
  <c r="K34" i="7"/>
  <c r="J34" i="7"/>
  <c r="I34" i="7"/>
  <c r="H34" i="7"/>
  <c r="M33" i="7"/>
  <c r="N33" i="7" s="1"/>
  <c r="K33" i="7"/>
  <c r="J33" i="7"/>
  <c r="I33" i="7"/>
  <c r="H33" i="7"/>
  <c r="M25" i="7"/>
  <c r="N25" i="7" s="1"/>
  <c r="K25" i="7"/>
  <c r="J25" i="7"/>
  <c r="I25" i="7"/>
  <c r="H25" i="7"/>
  <c r="M24" i="7"/>
  <c r="K24" i="7"/>
  <c r="J24" i="7"/>
  <c r="I24" i="7"/>
  <c r="H24" i="7"/>
  <c r="M23" i="7"/>
  <c r="N24" i="7" s="1"/>
  <c r="K23" i="7"/>
  <c r="J23" i="7"/>
  <c r="I23" i="7"/>
  <c r="H23" i="7"/>
  <c r="M22" i="7"/>
  <c r="K22" i="7"/>
  <c r="J22" i="7"/>
  <c r="I22" i="7"/>
  <c r="H22" i="7"/>
  <c r="M21" i="7"/>
  <c r="N21" i="7" s="1"/>
  <c r="K21" i="7"/>
  <c r="J21" i="7"/>
  <c r="I21" i="7"/>
  <c r="H21" i="7"/>
  <c r="M20" i="7"/>
  <c r="K20" i="7"/>
  <c r="J20" i="7"/>
  <c r="I20" i="7"/>
  <c r="H20" i="7"/>
  <c r="M19" i="7"/>
  <c r="N19" i="7" s="1"/>
  <c r="K19" i="7"/>
  <c r="J19" i="7"/>
  <c r="I19" i="7"/>
  <c r="H19" i="7"/>
  <c r="M18" i="7"/>
  <c r="K18" i="7"/>
  <c r="J18" i="7"/>
  <c r="I18" i="7"/>
  <c r="H18" i="7"/>
  <c r="M17" i="7"/>
  <c r="N17" i="7" s="1"/>
  <c r="K17" i="7"/>
  <c r="J17" i="7"/>
  <c r="I17" i="7"/>
  <c r="H17" i="7"/>
  <c r="M13" i="7"/>
  <c r="N13" i="7" s="1"/>
  <c r="K13" i="7"/>
  <c r="J13" i="7"/>
  <c r="I13" i="7"/>
  <c r="H13" i="7"/>
  <c r="M12" i="7"/>
  <c r="K12" i="7"/>
  <c r="J12" i="7"/>
  <c r="I12" i="7"/>
  <c r="H12" i="7"/>
  <c r="M11" i="7"/>
  <c r="N12" i="7" s="1"/>
  <c r="K11" i="7"/>
  <c r="J11" i="7"/>
  <c r="I11" i="7"/>
  <c r="H11" i="7"/>
  <c r="M10" i="7"/>
  <c r="K10" i="7"/>
  <c r="J10" i="7"/>
  <c r="I10" i="7"/>
  <c r="H10" i="7"/>
  <c r="M9" i="7"/>
  <c r="N9" i="7" s="1"/>
  <c r="K9" i="7"/>
  <c r="J9" i="7"/>
  <c r="I9" i="7"/>
  <c r="H9" i="7"/>
  <c r="M8" i="7"/>
  <c r="K8" i="7"/>
  <c r="J8" i="7"/>
  <c r="I8" i="7"/>
  <c r="H8" i="7"/>
  <c r="M7" i="7"/>
  <c r="N7" i="7" s="1"/>
  <c r="K7" i="7"/>
  <c r="J7" i="7"/>
  <c r="I7" i="7"/>
  <c r="H7" i="7"/>
  <c r="M6" i="7"/>
  <c r="K6" i="7"/>
  <c r="J6" i="7"/>
  <c r="I6" i="7"/>
  <c r="H6" i="7"/>
  <c r="M5" i="7"/>
  <c r="N5" i="7" s="1"/>
  <c r="K5" i="7"/>
  <c r="J5" i="7"/>
  <c r="I5" i="7"/>
  <c r="H5" i="7"/>
  <c r="Q33" i="7" l="1"/>
  <c r="K45" i="7"/>
  <c r="J45" i="7"/>
  <c r="I45" i="7"/>
  <c r="C46" i="7"/>
  <c r="M45" i="7"/>
  <c r="H45" i="7"/>
  <c r="N11" i="7"/>
  <c r="N23" i="7"/>
  <c r="I44" i="7"/>
  <c r="N6" i="7"/>
  <c r="N8" i="7"/>
  <c r="N18" i="7"/>
  <c r="N20" i="7"/>
  <c r="J44" i="7"/>
  <c r="N10" i="7"/>
  <c r="O13" i="7" s="1"/>
  <c r="N22" i="7"/>
  <c r="O25" i="7" s="1"/>
  <c r="N34" i="7"/>
  <c r="O37" i="7" s="1"/>
  <c r="N39" i="7"/>
  <c r="O41" i="7" s="1"/>
  <c r="K44" i="7"/>
  <c r="H44" i="7"/>
  <c r="M44" i="7"/>
  <c r="N44" i="7" s="1"/>
  <c r="O9" i="7" l="1"/>
  <c r="Q38" i="7"/>
  <c r="Q44" i="7"/>
  <c r="Q35" i="7"/>
  <c r="Q39" i="7"/>
  <c r="N45" i="7"/>
  <c r="Q43" i="7"/>
  <c r="R43" i="7" s="1"/>
  <c r="R44" i="7" s="1"/>
  <c r="R45" i="7" s="1"/>
  <c r="R46" i="7" s="1"/>
  <c r="R47" i="7" s="1"/>
  <c r="Q36" i="7"/>
  <c r="Q40" i="7"/>
  <c r="O21" i="7"/>
  <c r="J46" i="7"/>
  <c r="I46" i="7"/>
  <c r="C47" i="7"/>
  <c r="M46" i="7"/>
  <c r="N46" i="7" s="1"/>
  <c r="H46" i="7"/>
  <c r="K46" i="7"/>
  <c r="Q37" i="7"/>
  <c r="Q41" i="7"/>
  <c r="Q42" i="7"/>
  <c r="Q45" i="7"/>
  <c r="Q34" i="7"/>
  <c r="Q46" i="7" l="1"/>
  <c r="Q47" i="7"/>
  <c r="I47" i="7"/>
  <c r="C48" i="7"/>
  <c r="M47" i="7"/>
  <c r="N47" i="7" s="1"/>
  <c r="H47" i="7"/>
  <c r="K47" i="7"/>
  <c r="J47" i="7"/>
  <c r="R48" i="7"/>
  <c r="C49" i="7" l="1"/>
  <c r="M48" i="7"/>
  <c r="N48" i="7" s="1"/>
  <c r="H48" i="7"/>
  <c r="K48" i="7"/>
  <c r="J48" i="7"/>
  <c r="I48" i="7"/>
  <c r="K49" i="7" l="1"/>
  <c r="J49" i="7"/>
  <c r="I49" i="7"/>
  <c r="C50" i="7"/>
  <c r="M49" i="7"/>
  <c r="N49" i="7" s="1"/>
  <c r="H49" i="7"/>
  <c r="Q49" i="7"/>
  <c r="R49" i="7"/>
  <c r="R50" i="7" s="1"/>
  <c r="Q48" i="7"/>
  <c r="R51" i="7" l="1"/>
  <c r="J50" i="7"/>
  <c r="I50" i="7"/>
  <c r="C51" i="7"/>
  <c r="M50" i="7"/>
  <c r="N50" i="7" s="1"/>
  <c r="H50" i="7"/>
  <c r="K50" i="7"/>
  <c r="I51" i="7" l="1"/>
  <c r="C52" i="7"/>
  <c r="R52" i="7" s="1"/>
  <c r="M51" i="7"/>
  <c r="N51" i="7" s="1"/>
  <c r="Q51" i="7" s="1"/>
  <c r="H51" i="7"/>
  <c r="K51" i="7"/>
  <c r="J51" i="7"/>
  <c r="Q50" i="7"/>
  <c r="C53" i="7" l="1"/>
  <c r="M52" i="7"/>
  <c r="N52" i="7" s="1"/>
  <c r="Q52" i="7" s="1"/>
  <c r="H52" i="7"/>
  <c r="K52" i="7"/>
  <c r="J52" i="7"/>
  <c r="I52" i="7"/>
  <c r="K53" i="7" l="1"/>
  <c r="J53" i="7"/>
  <c r="I53" i="7"/>
  <c r="C54" i="7"/>
  <c r="M53" i="7"/>
  <c r="N53" i="7" s="1"/>
  <c r="Q53" i="7" s="1"/>
  <c r="H53" i="7"/>
  <c r="R53" i="7"/>
  <c r="R54" i="7" s="1"/>
  <c r="R55" i="7" l="1"/>
  <c r="J54" i="7"/>
  <c r="I54" i="7"/>
  <c r="C55" i="7"/>
  <c r="M54" i="7"/>
  <c r="N54" i="7" s="1"/>
  <c r="Q54" i="7" s="1"/>
  <c r="H54" i="7"/>
  <c r="K54" i="7"/>
  <c r="I55" i="7" l="1"/>
  <c r="C56" i="7"/>
  <c r="R56" i="7" s="1"/>
  <c r="M55" i="7"/>
  <c r="N55" i="7" s="1"/>
  <c r="Q55" i="7" s="1"/>
  <c r="H55" i="7"/>
  <c r="K55" i="7"/>
  <c r="J55" i="7"/>
  <c r="C57" i="7" l="1"/>
  <c r="M56" i="7"/>
  <c r="N56" i="7" s="1"/>
  <c r="Q56" i="7" s="1"/>
  <c r="H56" i="7"/>
  <c r="K56" i="7"/>
  <c r="J56" i="7"/>
  <c r="I56" i="7"/>
  <c r="K57" i="7" l="1"/>
  <c r="J57" i="7"/>
  <c r="I57" i="7"/>
  <c r="C58" i="7"/>
  <c r="M57" i="7"/>
  <c r="N57" i="7" s="1"/>
  <c r="Q57" i="7" s="1"/>
  <c r="H57" i="7"/>
  <c r="R57" i="7"/>
  <c r="R58" i="7" s="1"/>
  <c r="J58" i="7" l="1"/>
  <c r="I58" i="7"/>
  <c r="C59" i="7"/>
  <c r="M58" i="7"/>
  <c r="N58" i="7" s="1"/>
  <c r="Q58" i="7" s="1"/>
  <c r="H58" i="7"/>
  <c r="K58" i="7"/>
  <c r="R59" i="7"/>
  <c r="I59" i="7" l="1"/>
  <c r="C60" i="7"/>
  <c r="R60" i="7" s="1"/>
  <c r="M59" i="7"/>
  <c r="N59" i="7" s="1"/>
  <c r="Q59" i="7" s="1"/>
  <c r="H59" i="7"/>
  <c r="K59" i="7"/>
  <c r="J59" i="7"/>
  <c r="C61" i="7" l="1"/>
  <c r="M60" i="7"/>
  <c r="N60" i="7" s="1"/>
  <c r="Q60" i="7" s="1"/>
  <c r="H60" i="7"/>
  <c r="K60" i="7"/>
  <c r="J60" i="7"/>
  <c r="I60" i="7"/>
  <c r="K61" i="7" l="1"/>
  <c r="J61" i="7"/>
  <c r="I61" i="7"/>
  <c r="C62" i="7"/>
  <c r="M61" i="7"/>
  <c r="N61" i="7" s="1"/>
  <c r="Q61" i="7" s="1"/>
  <c r="H61" i="7"/>
  <c r="R61" i="7"/>
  <c r="J62" i="7" l="1"/>
  <c r="I62" i="7"/>
  <c r="C63" i="7"/>
  <c r="M62" i="7"/>
  <c r="N62" i="7" s="1"/>
  <c r="Q62" i="7" s="1"/>
  <c r="H62" i="7"/>
  <c r="K62" i="7"/>
  <c r="R62" i="7"/>
  <c r="R63" i="7" s="1"/>
  <c r="I63" i="7" l="1"/>
  <c r="C64" i="7"/>
  <c r="R64" i="7" s="1"/>
  <c r="M63" i="7"/>
  <c r="N63" i="7" s="1"/>
  <c r="Q63" i="7" s="1"/>
  <c r="H63" i="7"/>
  <c r="K63" i="7"/>
  <c r="J63" i="7"/>
  <c r="C65" i="7" l="1"/>
  <c r="M64" i="7"/>
  <c r="N64" i="7" s="1"/>
  <c r="Q64" i="7" s="1"/>
  <c r="H64" i="7"/>
  <c r="K64" i="7"/>
  <c r="J64" i="7"/>
  <c r="I64" i="7"/>
  <c r="K65" i="7" l="1"/>
  <c r="J65" i="7"/>
  <c r="I65" i="7"/>
  <c r="C66" i="7"/>
  <c r="M65" i="7"/>
  <c r="N65" i="7" s="1"/>
  <c r="Q65" i="7" s="1"/>
  <c r="H65" i="7"/>
  <c r="R65" i="7"/>
  <c r="R66" i="7" s="1"/>
  <c r="R67" i="7" l="1"/>
  <c r="J66" i="7"/>
  <c r="I66" i="7"/>
  <c r="C67" i="7"/>
  <c r="M66" i="7"/>
  <c r="N66" i="7" s="1"/>
  <c r="Q66" i="7" s="1"/>
  <c r="H66" i="7"/>
  <c r="K66" i="7"/>
  <c r="I67" i="7" l="1"/>
  <c r="C68" i="7"/>
  <c r="R68" i="7" s="1"/>
  <c r="M67" i="7"/>
  <c r="N67" i="7" s="1"/>
  <c r="Q67" i="7" s="1"/>
  <c r="H67" i="7"/>
  <c r="K67" i="7"/>
  <c r="J67" i="7"/>
  <c r="C69" i="7" l="1"/>
  <c r="M68" i="7"/>
  <c r="N68" i="7" s="1"/>
  <c r="Q68" i="7" s="1"/>
  <c r="H68" i="7"/>
  <c r="K68" i="7"/>
  <c r="J68" i="7"/>
  <c r="I68" i="7"/>
  <c r="K69" i="7" l="1"/>
  <c r="J69" i="7"/>
  <c r="I69" i="7"/>
  <c r="C70" i="7"/>
  <c r="M69" i="7"/>
  <c r="N69" i="7" s="1"/>
  <c r="Q69" i="7" s="1"/>
  <c r="H69" i="7"/>
  <c r="R69" i="7"/>
  <c r="R70" i="7" s="1"/>
  <c r="J70" i="7" l="1"/>
  <c r="I70" i="7"/>
  <c r="C71" i="7"/>
  <c r="M70" i="7"/>
  <c r="N70" i="7" s="1"/>
  <c r="Q70" i="7" s="1"/>
  <c r="H70" i="7"/>
  <c r="K70" i="7"/>
  <c r="R71" i="7"/>
  <c r="I71" i="7" l="1"/>
  <c r="C72" i="7"/>
  <c r="R72" i="7" s="1"/>
  <c r="M71" i="7"/>
  <c r="N71" i="7" s="1"/>
  <c r="Q71" i="7" s="1"/>
  <c r="H71" i="7"/>
  <c r="K71" i="7"/>
  <c r="J71" i="7"/>
  <c r="C73" i="7" l="1"/>
  <c r="M72" i="7"/>
  <c r="N72" i="7" s="1"/>
  <c r="Q72" i="7" s="1"/>
  <c r="H72" i="7"/>
  <c r="K72" i="7"/>
  <c r="J72" i="7"/>
  <c r="I72" i="7"/>
  <c r="K73" i="7" l="1"/>
  <c r="J73" i="7"/>
  <c r="I73" i="7"/>
  <c r="M73" i="7"/>
  <c r="N73" i="7" s="1"/>
  <c r="Q73" i="7" s="1"/>
  <c r="H73" i="7"/>
  <c r="R73" i="7"/>
  <c r="J16" i="6" l="1"/>
  <c r="J15" i="6"/>
  <c r="H15" i="6"/>
  <c r="G15" i="6"/>
  <c r="J33" i="6"/>
  <c r="L33" i="6"/>
  <c r="K33" i="6"/>
  <c r="I33" i="6"/>
  <c r="P28" i="6" l="1"/>
  <c r="M26" i="6" l="1"/>
  <c r="K21" i="6" s="1"/>
  <c r="M27" i="6"/>
  <c r="E28" i="6"/>
  <c r="L10" i="6"/>
  <c r="E10" i="6" s="1"/>
  <c r="I8" i="6"/>
  <c r="K3" i="6" s="1"/>
  <c r="G8" i="6"/>
  <c r="I14" i="6"/>
  <c r="I13" i="6"/>
  <c r="J14" i="6" l="1"/>
  <c r="I12" i="6"/>
  <c r="H14" i="6"/>
  <c r="G14" i="6"/>
  <c r="H13" i="6"/>
  <c r="G13" i="6"/>
  <c r="H12" i="6"/>
  <c r="G12" i="6"/>
  <c r="I11" i="6"/>
  <c r="H11" i="6"/>
  <c r="G11" i="6"/>
  <c r="I10" i="6"/>
  <c r="H10" i="6"/>
  <c r="G10" i="6"/>
  <c r="N10" i="6" s="1"/>
  <c r="I9" i="6"/>
  <c r="J9" i="6" s="1"/>
  <c r="H9" i="6"/>
  <c r="G9" i="6"/>
  <c r="I3" i="6"/>
  <c r="J8" i="6"/>
  <c r="H8" i="6"/>
  <c r="I26" i="6"/>
  <c r="F15" i="6"/>
  <c r="E15" i="6"/>
  <c r="E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J46" i="6" s="1"/>
  <c r="K29" i="6"/>
  <c r="I46" i="6" s="1"/>
  <c r="J29" i="6"/>
  <c r="J45" i="6" s="1"/>
  <c r="I29" i="6"/>
  <c r="I45" i="6" s="1"/>
  <c r="M28" i="6"/>
  <c r="L28" i="6"/>
  <c r="J40" i="6" s="1"/>
  <c r="K28" i="6"/>
  <c r="I40" i="6" s="1"/>
  <c r="K40" i="6" s="1"/>
  <c r="J28" i="6"/>
  <c r="J39" i="6" s="1"/>
  <c r="J41" i="6" s="1"/>
  <c r="I28" i="6"/>
  <c r="L27" i="6"/>
  <c r="K27" i="6"/>
  <c r="J27" i="6"/>
  <c r="I27" i="6"/>
  <c r="N26" i="6"/>
  <c r="L26" i="6"/>
  <c r="K26" i="6"/>
  <c r="J26" i="6"/>
  <c r="I21" i="6"/>
  <c r="V9" i="5"/>
  <c r="V8" i="5"/>
  <c r="V6" i="5"/>
  <c r="O25" i="5"/>
  <c r="O26" i="5"/>
  <c r="R19" i="5"/>
  <c r="J47" i="6" l="1"/>
  <c r="K47" i="6"/>
  <c r="K46" i="6"/>
  <c r="K45" i="6"/>
  <c r="I47" i="6"/>
  <c r="R28" i="6"/>
  <c r="I39" i="6"/>
  <c r="N31" i="6"/>
  <c r="I15" i="6"/>
  <c r="M33" i="6"/>
  <c r="J11" i="6"/>
  <c r="J12" i="6"/>
  <c r="J10" i="6"/>
  <c r="J13" i="6"/>
  <c r="N27" i="6"/>
  <c r="N29" i="6"/>
  <c r="N32" i="6"/>
  <c r="N28" i="6"/>
  <c r="N30" i="6"/>
  <c r="K39" i="6" l="1"/>
  <c r="K41" i="6"/>
  <c r="I41" i="6"/>
  <c r="N33" i="6"/>
  <c r="N34" i="6" s="1"/>
  <c r="F20" i="5"/>
  <c r="G17" i="5"/>
  <c r="S15" i="5"/>
  <c r="J15" i="5"/>
  <c r="H15" i="5"/>
  <c r="F15" i="5"/>
  <c r="S14" i="5"/>
  <c r="J14" i="5"/>
  <c r="H14" i="5"/>
  <c r="F14" i="5"/>
  <c r="S13" i="5"/>
  <c r="J13" i="5"/>
  <c r="H13" i="5"/>
  <c r="F13" i="5"/>
  <c r="S12" i="5"/>
  <c r="J12" i="5"/>
  <c r="H12" i="5"/>
  <c r="F12" i="5"/>
  <c r="C12" i="5"/>
  <c r="S11" i="5"/>
  <c r="J11" i="5"/>
  <c r="H11" i="5"/>
  <c r="F11" i="5"/>
  <c r="C11" i="5"/>
  <c r="S10" i="5"/>
  <c r="J10" i="5"/>
  <c r="H10" i="5"/>
  <c r="F10" i="5"/>
  <c r="C10" i="5"/>
  <c r="S9" i="5"/>
  <c r="J9" i="5"/>
  <c r="H9" i="5"/>
  <c r="F9" i="5"/>
  <c r="C9" i="5"/>
  <c r="S8" i="5"/>
  <c r="J8" i="5"/>
  <c r="H8" i="5"/>
  <c r="F8" i="5"/>
  <c r="S7" i="5"/>
  <c r="J7" i="5"/>
  <c r="H7" i="5"/>
  <c r="F7" i="5"/>
  <c r="S6" i="5"/>
  <c r="J6" i="5"/>
  <c r="H6" i="5"/>
  <c r="I6" i="5" s="1"/>
  <c r="F6" i="5"/>
  <c r="AF31" i="5"/>
  <c r="AJ31" i="5"/>
  <c r="I31" i="5"/>
  <c r="H31" i="5"/>
  <c r="AG31" i="5"/>
  <c r="AF30" i="5"/>
  <c r="J30" i="5"/>
  <c r="N30" i="5" s="1"/>
  <c r="AI30" i="5"/>
  <c r="AH30" i="5"/>
  <c r="G30" i="5"/>
  <c r="AF29" i="5"/>
  <c r="J29" i="5"/>
  <c r="I29" i="5"/>
  <c r="H29" i="5"/>
  <c r="AG29" i="5"/>
  <c r="AF28" i="5"/>
  <c r="AJ28" i="5"/>
  <c r="AI28" i="5"/>
  <c r="H28" i="5"/>
  <c r="G28" i="5"/>
  <c r="AF27" i="5"/>
  <c r="J27" i="5"/>
  <c r="I27" i="5"/>
  <c r="AH27" i="5"/>
  <c r="AG27" i="5"/>
  <c r="AF26" i="5"/>
  <c r="AI26" i="5"/>
  <c r="H26" i="5"/>
  <c r="G26" i="5"/>
  <c r="AF25" i="5"/>
  <c r="J25" i="5"/>
  <c r="N25" i="5" s="1"/>
  <c r="I25" i="5"/>
  <c r="M25" i="5" s="1"/>
  <c r="AH25" i="5"/>
  <c r="AG25" i="5"/>
  <c r="AJ24" i="5"/>
  <c r="AI24" i="5"/>
  <c r="AH24" i="5"/>
  <c r="AG24" i="5"/>
  <c r="AG23" i="5"/>
  <c r="AG30" i="5" l="1"/>
  <c r="I12" i="5"/>
  <c r="K12" i="5" s="1"/>
  <c r="AJ25" i="5"/>
  <c r="AJ27" i="5"/>
  <c r="AI29" i="5"/>
  <c r="AI31" i="5"/>
  <c r="AH26" i="5"/>
  <c r="AH28" i="5"/>
  <c r="C17" i="5"/>
  <c r="F17" i="5"/>
  <c r="K6" i="5"/>
  <c r="L6" i="5" s="1"/>
  <c r="C15" i="5"/>
  <c r="I8" i="5"/>
  <c r="K8" i="5" s="1"/>
  <c r="L8" i="5" s="1"/>
  <c r="O8" i="5" s="1"/>
  <c r="I9" i="5"/>
  <c r="K9" i="5" s="1"/>
  <c r="I10" i="5"/>
  <c r="K10" i="5" s="1"/>
  <c r="I11" i="5"/>
  <c r="K11" i="5" s="1"/>
  <c r="C13" i="5"/>
  <c r="D13" i="5" s="1"/>
  <c r="C14" i="5"/>
  <c r="D14" i="5" s="1"/>
  <c r="I7" i="5"/>
  <c r="K7" i="5" s="1"/>
  <c r="L7" i="5" s="1"/>
  <c r="O7" i="5" s="1"/>
  <c r="H25" i="5"/>
  <c r="L25" i="5" s="1"/>
  <c r="AJ26" i="5"/>
  <c r="J26" i="5"/>
  <c r="N26" i="5" s="1"/>
  <c r="L29" i="5"/>
  <c r="H27" i="5"/>
  <c r="L27" i="5" s="1"/>
  <c r="J28" i="5"/>
  <c r="N28" i="5" s="1"/>
  <c r="G25" i="5"/>
  <c r="K25" i="5" s="1"/>
  <c r="AI25" i="5"/>
  <c r="I26" i="5"/>
  <c r="M26" i="5" s="1"/>
  <c r="AG26" i="5"/>
  <c r="G27" i="5"/>
  <c r="K27" i="5" s="1"/>
  <c r="AI27" i="5"/>
  <c r="I28" i="5"/>
  <c r="M28" i="5" s="1"/>
  <c r="AG28" i="5"/>
  <c r="G29" i="5"/>
  <c r="K29" i="5" s="1"/>
  <c r="AH29" i="5"/>
  <c r="H30" i="5"/>
  <c r="L30" i="5" s="1"/>
  <c r="AJ30" i="5"/>
  <c r="J31" i="5"/>
  <c r="N31" i="5" s="1"/>
  <c r="AH31" i="5"/>
  <c r="AJ29" i="5"/>
  <c r="I30" i="5"/>
  <c r="M30" i="5" s="1"/>
  <c r="G31" i="5"/>
  <c r="K31" i="5" s="1"/>
  <c r="N29" i="5" l="1"/>
  <c r="S25" i="5"/>
  <c r="L26" i="5"/>
  <c r="M31" i="5"/>
  <c r="K28" i="5"/>
  <c r="L12" i="5"/>
  <c r="O12" i="5" s="1"/>
  <c r="L11" i="5"/>
  <c r="O11" i="5" s="1"/>
  <c r="O6" i="5"/>
  <c r="L10" i="5"/>
  <c r="L9" i="5"/>
  <c r="I14" i="5"/>
  <c r="K14" i="5" s="1"/>
  <c r="I15" i="5"/>
  <c r="K15" i="5" s="1"/>
  <c r="I13" i="5"/>
  <c r="K13" i="5" s="1"/>
  <c r="D15" i="5"/>
  <c r="L28" i="5"/>
  <c r="K30" i="5"/>
  <c r="O30" i="5" s="1"/>
  <c r="K26" i="5"/>
  <c r="P26" i="5" s="1"/>
  <c r="M27" i="5"/>
  <c r="N27" i="5"/>
  <c r="M29" i="5"/>
  <c r="L31" i="5"/>
  <c r="O29" i="5" l="1"/>
  <c r="R29" i="5" s="1"/>
  <c r="AD29" i="5" s="1"/>
  <c r="R25" i="5"/>
  <c r="P25" i="5"/>
  <c r="Q25" i="5"/>
  <c r="O31" i="5"/>
  <c r="P31" i="5" s="1"/>
  <c r="AB31" i="5" s="1"/>
  <c r="Q26" i="5"/>
  <c r="AC26" i="5" s="1"/>
  <c r="O28" i="5"/>
  <c r="Q28" i="5" s="1"/>
  <c r="AC28" i="5" s="1"/>
  <c r="O27" i="5"/>
  <c r="S27" i="5" s="1"/>
  <c r="AE27" i="5" s="1"/>
  <c r="M14" i="5"/>
  <c r="P14" i="5" s="1"/>
  <c r="O10" i="5"/>
  <c r="L15" i="5"/>
  <c r="O15" i="5" s="1"/>
  <c r="M13" i="5"/>
  <c r="D12" i="5"/>
  <c r="E12" i="5" s="1"/>
  <c r="N12" i="5" s="1"/>
  <c r="Q12" i="5" s="1"/>
  <c r="D11" i="5"/>
  <c r="D10" i="5"/>
  <c r="E10" i="5" s="1"/>
  <c r="D9" i="5"/>
  <c r="E9" i="5" s="1"/>
  <c r="M15" i="5"/>
  <c r="P15" i="5" s="1"/>
  <c r="O9" i="5"/>
  <c r="L14" i="5"/>
  <c r="O14" i="5" s="1"/>
  <c r="L13" i="5"/>
  <c r="O13" i="5" s="1"/>
  <c r="L17" i="5"/>
  <c r="S30" i="5"/>
  <c r="AE30" i="5" s="1"/>
  <c r="Q30" i="5"/>
  <c r="AC30" i="5" s="1"/>
  <c r="R30" i="5"/>
  <c r="AD30" i="5" s="1"/>
  <c r="P30" i="5"/>
  <c r="AB30" i="5" s="1"/>
  <c r="Q29" i="5" l="1"/>
  <c r="AC29" i="5" s="1"/>
  <c r="S29" i="5"/>
  <c r="AE29" i="5" s="1"/>
  <c r="P29" i="5"/>
  <c r="AB29" i="5" s="1"/>
  <c r="R28" i="5"/>
  <c r="AD28" i="5" s="1"/>
  <c r="S28" i="5"/>
  <c r="AE28" i="5" s="1"/>
  <c r="P28" i="5"/>
  <c r="AB28" i="5" s="1"/>
  <c r="R31" i="5"/>
  <c r="AD31" i="5" s="1"/>
  <c r="Q31" i="5"/>
  <c r="AC31" i="5" s="1"/>
  <c r="S26" i="5"/>
  <c r="AE26" i="5" s="1"/>
  <c r="S31" i="5"/>
  <c r="AE31" i="5" s="1"/>
  <c r="O32" i="5"/>
  <c r="P27" i="5"/>
  <c r="AB27" i="5" s="1"/>
  <c r="R26" i="5"/>
  <c r="AD26" i="5" s="1"/>
  <c r="R27" i="5"/>
  <c r="AD27" i="5" s="1"/>
  <c r="AB26" i="5"/>
  <c r="Q27" i="5"/>
  <c r="AC27" i="5" s="1"/>
  <c r="P13" i="5"/>
  <c r="M12" i="5"/>
  <c r="P12" i="5" s="1"/>
  <c r="R12" i="5" s="1"/>
  <c r="U19" i="5" s="1"/>
  <c r="M11" i="5"/>
  <c r="M10" i="5"/>
  <c r="P10" i="5" s="1"/>
  <c r="M9" i="5"/>
  <c r="E11" i="5"/>
  <c r="D8" i="5"/>
  <c r="E15" i="5"/>
  <c r="N10" i="5"/>
  <c r="O17" i="5"/>
  <c r="D6" i="5"/>
  <c r="D7" i="5"/>
  <c r="D17" i="5"/>
  <c r="S32" i="5" l="1"/>
  <c r="W32" i="5" s="1"/>
  <c r="P32" i="5"/>
  <c r="T32" i="5" s="1"/>
  <c r="R32" i="5"/>
  <c r="V32" i="5" s="1"/>
  <c r="Q32" i="5"/>
  <c r="U32" i="5" s="1"/>
  <c r="M6" i="5"/>
  <c r="P6" i="5" s="1"/>
  <c r="M17" i="5"/>
  <c r="M7" i="5"/>
  <c r="P7" i="5" s="1"/>
  <c r="P9" i="5"/>
  <c r="P11" i="5"/>
  <c r="M8" i="5"/>
  <c r="P8" i="5" s="1"/>
  <c r="E7" i="5"/>
  <c r="E17" i="5"/>
  <c r="E14" i="5"/>
  <c r="E13" i="5"/>
  <c r="N9" i="5"/>
  <c r="E6" i="5"/>
  <c r="N15" i="5"/>
  <c r="Q15" i="5" s="1"/>
  <c r="R15" i="5" s="1"/>
  <c r="Q10" i="5"/>
  <c r="R10" i="5" s="1"/>
  <c r="S19" i="5" s="1"/>
  <c r="N11" i="5"/>
  <c r="E8" i="5"/>
  <c r="R6" i="5" l="1"/>
  <c r="W29" i="5"/>
  <c r="X25" i="5" s="1"/>
  <c r="N8" i="5"/>
  <c r="Q8" i="5" s="1"/>
  <c r="R8" i="5" s="1"/>
  <c r="Q11" i="5"/>
  <c r="R11" i="5" s="1"/>
  <c r="T19" i="5" s="1"/>
  <c r="N17" i="5"/>
  <c r="N7" i="5"/>
  <c r="Q7" i="5" s="1"/>
  <c r="R7" i="5" s="1"/>
  <c r="N6" i="5"/>
  <c r="Q6" i="5" s="1"/>
  <c r="N14" i="5"/>
  <c r="Q14" i="5" s="1"/>
  <c r="R14" i="5" s="1"/>
  <c r="N13" i="5"/>
  <c r="Q13" i="5" s="1"/>
  <c r="R13" i="5" s="1"/>
  <c r="Q9" i="5"/>
  <c r="P17" i="5"/>
  <c r="AA25" i="5" l="1"/>
  <c r="AA26" i="5" s="1"/>
  <c r="AA27" i="5" s="1"/>
  <c r="AA28" i="5" s="1"/>
  <c r="AA29" i="5" s="1"/>
  <c r="AA30" i="5" s="1"/>
  <c r="AA31" i="5" s="1"/>
  <c r="AA32" i="5" s="1"/>
  <c r="Z25" i="5"/>
  <c r="Z26" i="5" s="1"/>
  <c r="Z27" i="5" s="1"/>
  <c r="Z28" i="5" s="1"/>
  <c r="Z29" i="5" s="1"/>
  <c r="Z30" i="5" s="1"/>
  <c r="Z31" i="5" s="1"/>
  <c r="Z32" i="5" s="1"/>
  <c r="Y25" i="5"/>
  <c r="Y26" i="5" s="1"/>
  <c r="Y27" i="5" s="1"/>
  <c r="Y28" i="5" s="1"/>
  <c r="Y29" i="5" s="1"/>
  <c r="Y30" i="5" s="1"/>
  <c r="Y31" i="5" s="1"/>
  <c r="Y32" i="5" s="1"/>
  <c r="H21" i="5"/>
  <c r="I21" i="5"/>
  <c r="Q17" i="5"/>
  <c r="R9" i="5"/>
  <c r="X26" i="5"/>
  <c r="X27" i="5" s="1"/>
  <c r="X28" i="5" s="1"/>
  <c r="X29" i="5" s="1"/>
  <c r="X30" i="5" s="1"/>
  <c r="X31" i="5" s="1"/>
  <c r="X32" i="5" s="1"/>
</calcChain>
</file>

<file path=xl/sharedStrings.xml><?xml version="1.0" encoding="utf-8"?>
<sst xmlns="http://schemas.openxmlformats.org/spreadsheetml/2006/main" count="176" uniqueCount="84">
  <si>
    <t>Final</t>
  </si>
  <si>
    <t>Calculator</t>
  </si>
  <si>
    <t>Accounting</t>
  </si>
  <si>
    <t>Prior</t>
  </si>
  <si>
    <t>S</t>
  </si>
  <si>
    <t>Update Cost</t>
  </si>
  <si>
    <t>Max Shortfall</t>
  </si>
  <si>
    <t>Author (cumulative)</t>
  </si>
  <si>
    <t>Trader (one per line)</t>
  </si>
  <si>
    <t>Univariate</t>
  </si>
  <si>
    <t>Multivariate</t>
  </si>
  <si>
    <t>Yes</t>
  </si>
  <si>
    <t>No</t>
  </si>
  <si>
    <t>a</t>
  </si>
  <si>
    <t>b</t>
  </si>
  <si>
    <t>i=0,0</t>
  </si>
  <si>
    <t>i=0,1</t>
  </si>
  <si>
    <t>i=1,0</t>
  </si>
  <si>
    <t>i=1,1</t>
  </si>
  <si>
    <t>a=Yes</t>
  </si>
  <si>
    <t>a=No</t>
  </si>
  <si>
    <t>Shares</t>
  </si>
  <si>
    <t>Probability</t>
  </si>
  <si>
    <t>Required
Escrow</t>
  </si>
  <si>
    <t>Max(Ui)</t>
  </si>
  <si>
    <t>Ex Post
Payout</t>
  </si>
  <si>
    <t>Potential
Shortfall</t>
  </si>
  <si>
    <t>Trader 1</t>
  </si>
  <si>
    <t>Trader 2</t>
  </si>
  <si>
    <t>Trader 3</t>
  </si>
  <si>
    <t>Trader 4</t>
  </si>
  <si>
    <t>Trader 5</t>
  </si>
  <si>
    <t>Trader 6</t>
  </si>
  <si>
    <t>Final Account Balance (Payout net of funds escrowed)</t>
  </si>
  <si>
    <t>Capital</t>
  </si>
  <si>
    <t>per contract</t>
  </si>
  <si>
    <t>b|a</t>
  </si>
  <si>
    <t>a|b</t>
  </si>
  <si>
    <t>b|~a</t>
  </si>
  <si>
    <t>a|~b</t>
  </si>
  <si>
    <t>4 cases</t>
  </si>
  <si>
    <t>Side 1</t>
  </si>
  <si>
    <t>Side 2</t>
  </si>
  <si>
    <t>a &amp; b</t>
  </si>
  <si>
    <t>a &amp; ~b</t>
  </si>
  <si>
    <t>~a &amp; b</t>
  </si>
  <si>
    <t>~a &amp; ~b</t>
  </si>
  <si>
    <t>Side 3</t>
  </si>
  <si>
    <t>Old</t>
  </si>
  <si>
    <t>New</t>
  </si>
  <si>
    <t>Edit</t>
  </si>
  <si>
    <t>Net Total Adjustment</t>
  </si>
  <si>
    <t>Adj Edit</t>
  </si>
  <si>
    <t>Cat Change</t>
  </si>
  <si>
    <t>Changed</t>
  </si>
  <si>
    <t>Cat Prob</t>
  </si>
  <si>
    <t>Desc</t>
  </si>
  <si>
    <t xml:space="preserve">Update Cost
</t>
  </si>
  <si>
    <t>LMSR</t>
  </si>
  <si>
    <t>trading begins</t>
  </si>
  <si>
    <t>losers sell</t>
  </si>
  <si>
    <t>Prior (uniform)</t>
  </si>
  <si>
    <t>trading continues</t>
  </si>
  <si>
    <t>sale to recover funds today</t>
  </si>
  <si>
    <t>state 0,0 seems likely</t>
  </si>
  <si>
    <t>outcome (0,0) known</t>
  </si>
  <si>
    <t>Left over (theoretically zero)</t>
  </si>
  <si>
    <t># States</t>
  </si>
  <si>
    <t>Escrow Account Balance: enough to pay off the shareholders at p=$1</t>
  </si>
  <si>
    <t>&lt;- Liquidity Parameter</t>
  </si>
  <si>
    <t>Initial Capital Required to 'Make Market'</t>
  </si>
  <si>
    <t>Targeting Calculator</t>
  </si>
  <si>
    <t>From t=3 to t=4, the probability of column=0 has remaned the same, but the marginal probabilities have changed.</t>
  </si>
  <si>
    <t>Note b defined as 1 for this line.</t>
  </si>
  <si>
    <t>Time</t>
  </si>
  <si>
    <t>S1</t>
  </si>
  <si>
    <t>S2</t>
  </si>
  <si>
    <t>S3</t>
  </si>
  <si>
    <t>S4</t>
  </si>
  <si>
    <t>p1</t>
  </si>
  <si>
    <t>p2</t>
  </si>
  <si>
    <t>p3</t>
  </si>
  <si>
    <t>p4</t>
  </si>
  <si>
    <t>https://en.bitcoin.it/wiki/Contracts#Example_7:_Rapidly-adjusted_.28micro.29payments_to_a_pre-determined_party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</si>
</sst>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%"/>
    <numFmt numFmtId="167" formatCode="0.0"/>
    <numFmt numFmtId="168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5" xfId="0" applyNumberFormat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0" xfId="0" applyFill="1" applyBorder="1"/>
    <xf numFmtId="0" fontId="0" fillId="0" borderId="7" xfId="0" applyFill="1" applyBorder="1"/>
    <xf numFmtId="0" fontId="0" fillId="0" borderId="0" xfId="0" applyBorder="1" applyAlignment="1"/>
    <xf numFmtId="0" fontId="0" fillId="0" borderId="22" xfId="0" applyBorder="1"/>
    <xf numFmtId="0" fontId="0" fillId="0" borderId="2" xfId="0" applyBorder="1" applyAlignment="1">
      <alignment horizontal="right"/>
    </xf>
    <xf numFmtId="0" fontId="0" fillId="0" borderId="5" xfId="0" applyFill="1" applyBorder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166" fontId="0" fillId="0" borderId="23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24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166" fontId="0" fillId="0" borderId="25" xfId="1" applyNumberFormat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16" xfId="0" applyBorder="1"/>
    <xf numFmtId="0" fontId="0" fillId="0" borderId="15" xfId="0" applyBorder="1" applyAlignment="1">
      <alignment horizontal="center"/>
    </xf>
    <xf numFmtId="165" fontId="0" fillId="0" borderId="16" xfId="0" applyNumberFormat="1" applyBorder="1"/>
    <xf numFmtId="165" fontId="0" fillId="0" borderId="17" xfId="0" applyNumberFormat="1" applyBorder="1"/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26" xfId="0" applyNumberFormat="1" applyBorder="1"/>
    <xf numFmtId="165" fontId="0" fillId="0" borderId="15" xfId="0" applyNumberFormat="1" applyBorder="1"/>
    <xf numFmtId="0" fontId="0" fillId="0" borderId="0" xfId="0" applyAlignment="1">
      <alignment horizontal="left"/>
    </xf>
    <xf numFmtId="165" fontId="0" fillId="0" borderId="23" xfId="0" applyNumberFormat="1" applyBorder="1"/>
    <xf numFmtId="165" fontId="0" fillId="0" borderId="18" xfId="0" applyNumberFormat="1" applyBorder="1"/>
    <xf numFmtId="165" fontId="0" fillId="0" borderId="27" xfId="0" applyNumberFormat="1" applyBorder="1"/>
    <xf numFmtId="165" fontId="0" fillId="0" borderId="28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4" xfId="0" applyNumberFormat="1" applyBorder="1"/>
    <xf numFmtId="2" fontId="0" fillId="0" borderId="0" xfId="0" applyNumberFormat="1" applyFill="1" applyBorder="1"/>
    <xf numFmtId="2" fontId="0" fillId="0" borderId="6" xfId="0" applyNumberFormat="1" applyFill="1" applyBorder="1"/>
    <xf numFmtId="2" fontId="0" fillId="0" borderId="21" xfId="0" applyNumberFormat="1" applyBorder="1"/>
    <xf numFmtId="2" fontId="0" fillId="0" borderId="8" xfId="0" applyNumberFormat="1" applyFill="1" applyBorder="1"/>
    <xf numFmtId="2" fontId="0" fillId="0" borderId="14" xfId="0" applyNumberFormat="1" applyFill="1" applyBorder="1"/>
    <xf numFmtId="2" fontId="0" fillId="0" borderId="13" xfId="0" applyNumberFormat="1" applyFill="1" applyBorder="1"/>
    <xf numFmtId="167" fontId="0" fillId="0" borderId="0" xfId="0" applyNumberFormat="1" applyFill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2" xfId="0" applyBorder="1" applyAlignment="1">
      <alignment horizontal="left" vertical="center" wrapText="1"/>
    </xf>
    <xf numFmtId="0" fontId="0" fillId="0" borderId="0" xfId="0" applyAlignment="1"/>
    <xf numFmtId="0" fontId="0" fillId="0" borderId="14" xfId="0" applyFont="1" applyBorder="1" applyAlignment="1">
      <alignment horizontal="right"/>
    </xf>
    <xf numFmtId="0" fontId="0" fillId="7" borderId="14" xfId="0" applyFill="1" applyBorder="1"/>
    <xf numFmtId="0" fontId="0" fillId="8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5" borderId="13" xfId="0" applyFill="1" applyBorder="1" applyAlignment="1"/>
    <xf numFmtId="0" fontId="0" fillId="3" borderId="8" xfId="0" applyFill="1" applyBorder="1" applyAlignment="1"/>
    <xf numFmtId="0" fontId="0" fillId="3" borderId="0" xfId="0" applyFill="1" applyBorder="1" applyAlignment="1"/>
    <xf numFmtId="0" fontId="0" fillId="2" borderId="5" xfId="0" applyFill="1" applyBorder="1" applyAlignment="1"/>
    <xf numFmtId="0" fontId="0" fillId="7" borderId="14" xfId="0" applyFill="1" applyBorder="1" applyAlignment="1"/>
    <xf numFmtId="0" fontId="0" fillId="5" borderId="3" xfId="0" applyFill="1" applyBorder="1" applyAlignment="1"/>
    <xf numFmtId="0" fontId="0" fillId="3" borderId="7" xfId="0" applyFill="1" applyBorder="1" applyAlignment="1"/>
    <xf numFmtId="164" fontId="0" fillId="7" borderId="4" xfId="0" applyNumberFormat="1" applyFill="1" applyBorder="1" applyAlignment="1"/>
    <xf numFmtId="0" fontId="0" fillId="5" borderId="5" xfId="0" applyFill="1" applyBorder="1" applyAlignment="1"/>
    <xf numFmtId="166" fontId="0" fillId="5" borderId="23" xfId="1" applyNumberFormat="1" applyFont="1" applyFill="1" applyBorder="1" applyAlignment="1"/>
    <xf numFmtId="164" fontId="0" fillId="7" borderId="6" xfId="0" applyNumberFormat="1" applyFill="1" applyBorder="1" applyAlignment="1"/>
    <xf numFmtId="166" fontId="0" fillId="5" borderId="29" xfId="1" applyNumberFormat="1" applyFont="1" applyFill="1" applyBorder="1" applyAlignment="1"/>
    <xf numFmtId="164" fontId="0" fillId="7" borderId="31" xfId="0" applyNumberFormat="1" applyFill="1" applyBorder="1" applyAlignment="1"/>
    <xf numFmtId="0" fontId="0" fillId="5" borderId="18" xfId="0" applyFill="1" applyBorder="1" applyAlignment="1"/>
    <xf numFmtId="0" fontId="0" fillId="3" borderId="25" xfId="0" applyFill="1" applyBorder="1" applyAlignment="1"/>
    <xf numFmtId="166" fontId="0" fillId="5" borderId="18" xfId="1" applyNumberFormat="1" applyFont="1" applyFill="1" applyBorder="1" applyAlignment="1"/>
    <xf numFmtId="164" fontId="0" fillId="7" borderId="14" xfId="0" applyNumberFormat="1" applyFill="1" applyBorder="1" applyAlignment="1"/>
    <xf numFmtId="164" fontId="0" fillId="7" borderId="17" xfId="0" applyNumberFormat="1" applyFill="1" applyBorder="1" applyAlignment="1"/>
    <xf numFmtId="9" fontId="1" fillId="0" borderId="0" xfId="1" applyNumberFormat="1" applyFont="1" applyBorder="1" applyAlignment="1"/>
    <xf numFmtId="9" fontId="0" fillId="0" borderId="0" xfId="1" applyNumberFormat="1" applyFont="1" applyBorder="1" applyAlignment="1"/>
    <xf numFmtId="0" fontId="0" fillId="4" borderId="8" xfId="0" applyFill="1" applyBorder="1" applyAlignment="1"/>
    <xf numFmtId="0" fontId="0" fillId="6" borderId="14" xfId="0" applyFill="1" applyBorder="1" applyAlignment="1"/>
    <xf numFmtId="0" fontId="0" fillId="4" borderId="7" xfId="0" applyFill="1" applyBorder="1" applyAlignment="1"/>
    <xf numFmtId="0" fontId="0" fillId="6" borderId="4" xfId="0" applyFill="1" applyBorder="1" applyAlignment="1"/>
    <xf numFmtId="0" fontId="0" fillId="4" borderId="0" xfId="0" applyFill="1" applyBorder="1" applyAlignment="1"/>
    <xf numFmtId="0" fontId="0" fillId="6" borderId="6" xfId="0" applyFill="1" applyBorder="1" applyAlignment="1"/>
    <xf numFmtId="0" fontId="0" fillId="4" borderId="25" xfId="0" applyFill="1" applyBorder="1" applyAlignment="1"/>
    <xf numFmtId="0" fontId="0" fillId="6" borderId="19" xfId="0" applyFill="1" applyBorder="1" applyAlignment="1"/>
    <xf numFmtId="0" fontId="3" fillId="8" borderId="1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9" fontId="0" fillId="5" borderId="13" xfId="1" applyNumberFormat="1" applyFont="1" applyFill="1" applyBorder="1" applyAlignment="1"/>
    <xf numFmtId="9" fontId="0" fillId="4" borderId="8" xfId="1" applyNumberFormat="1" applyFont="1" applyFill="1" applyBorder="1" applyAlignment="1"/>
    <xf numFmtId="9" fontId="0" fillId="3" borderId="8" xfId="1" applyNumberFormat="1" applyFont="1" applyFill="1" applyBorder="1" applyAlignment="1"/>
    <xf numFmtId="9" fontId="0" fillId="6" borderId="14" xfId="1" applyNumberFormat="1" applyFont="1" applyFill="1" applyBorder="1" applyAlignment="1"/>
    <xf numFmtId="9" fontId="0" fillId="5" borderId="3" xfId="1" applyNumberFormat="1" applyFont="1" applyFill="1" applyBorder="1" applyAlignment="1"/>
    <xf numFmtId="9" fontId="0" fillId="4" borderId="7" xfId="1" applyNumberFormat="1" applyFont="1" applyFill="1" applyBorder="1" applyAlignment="1"/>
    <xf numFmtId="9" fontId="0" fillId="3" borderId="7" xfId="1" applyNumberFormat="1" applyFont="1" applyFill="1" applyBorder="1" applyAlignment="1"/>
    <xf numFmtId="9" fontId="0" fillId="6" borderId="4" xfId="1" applyNumberFormat="1" applyFont="1" applyFill="1" applyBorder="1" applyAlignment="1"/>
    <xf numFmtId="9" fontId="0" fillId="5" borderId="5" xfId="1" applyNumberFormat="1" applyFont="1" applyFill="1" applyBorder="1" applyAlignment="1"/>
    <xf numFmtId="9" fontId="0" fillId="4" borderId="0" xfId="1" applyNumberFormat="1" applyFont="1" applyFill="1" applyBorder="1" applyAlignment="1"/>
    <xf numFmtId="9" fontId="0" fillId="3" borderId="0" xfId="1" applyNumberFormat="1" applyFont="1" applyFill="1" applyBorder="1" applyAlignment="1"/>
    <xf numFmtId="9" fontId="0" fillId="6" borderId="6" xfId="1" applyNumberFormat="1" applyFont="1" applyFill="1" applyBorder="1" applyAlignment="1"/>
    <xf numFmtId="9" fontId="0" fillId="5" borderId="18" xfId="1" applyNumberFormat="1" applyFont="1" applyFill="1" applyBorder="1" applyAlignment="1"/>
    <xf numFmtId="9" fontId="0" fillId="4" borderId="25" xfId="1" applyNumberFormat="1" applyFont="1" applyFill="1" applyBorder="1" applyAlignment="1"/>
    <xf numFmtId="9" fontId="0" fillId="3" borderId="25" xfId="1" applyNumberFormat="1" applyFont="1" applyFill="1" applyBorder="1" applyAlignment="1"/>
    <xf numFmtId="9" fontId="0" fillId="6" borderId="19" xfId="1" applyNumberFormat="1" applyFont="1" applyFill="1" applyBorder="1" applyAlignment="1"/>
    <xf numFmtId="0" fontId="0" fillId="7" borderId="4" xfId="0" applyFill="1" applyBorder="1"/>
    <xf numFmtId="0" fontId="0" fillId="7" borderId="6" xfId="0" applyFill="1" applyBorder="1"/>
    <xf numFmtId="0" fontId="0" fillId="7" borderId="30" xfId="0" applyFill="1" applyBorder="1"/>
    <xf numFmtId="0" fontId="0" fillId="7" borderId="17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5" xfId="0" applyFill="1" applyBorder="1"/>
    <xf numFmtId="0" fontId="0" fillId="0" borderId="17" xfId="0" applyBorder="1" applyAlignment="1">
      <alignment horizontal="center"/>
    </xf>
    <xf numFmtId="0" fontId="0" fillId="5" borderId="8" xfId="0" applyFill="1" applyBorder="1" applyAlignment="1"/>
    <xf numFmtId="0" fontId="0" fillId="3" borderId="14" xfId="0" applyFill="1" applyBorder="1" applyAlignment="1"/>
    <xf numFmtId="166" fontId="0" fillId="3" borderId="7" xfId="1" applyNumberFormat="1" applyFont="1" applyFill="1" applyBorder="1" applyAlignment="1"/>
    <xf numFmtId="166" fontId="0" fillId="3" borderId="0" xfId="1" applyNumberFormat="1" applyFont="1" applyFill="1" applyBorder="1" applyAlignment="1"/>
    <xf numFmtId="166" fontId="0" fillId="3" borderId="25" xfId="1" applyNumberFormat="1" applyFont="1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33" xfId="0" applyFill="1" applyBorder="1" applyAlignment="1"/>
    <xf numFmtId="0" fontId="0" fillId="2" borderId="17" xfId="0" applyFill="1" applyBorder="1" applyAlignment="1"/>
    <xf numFmtId="166" fontId="0" fillId="5" borderId="32" xfId="1" applyNumberFormat="1" applyFont="1" applyFill="1" applyBorder="1" applyAlignment="1"/>
    <xf numFmtId="9" fontId="0" fillId="0" borderId="32" xfId="0" applyNumberFormat="1" applyBorder="1"/>
    <xf numFmtId="168" fontId="0" fillId="0" borderId="32" xfId="0" applyNumberFormat="1" applyBorder="1"/>
    <xf numFmtId="168" fontId="0" fillId="5" borderId="32" xfId="0" applyNumberFormat="1" applyFill="1" applyBorder="1" applyAlignment="1"/>
    <xf numFmtId="0" fontId="0" fillId="0" borderId="0" xfId="0" applyAlignment="1">
      <alignment horizontal="center"/>
    </xf>
    <xf numFmtId="10" fontId="0" fillId="5" borderId="10" xfId="1" applyNumberFormat="1" applyFont="1" applyFill="1" applyBorder="1" applyAlignment="1"/>
    <xf numFmtId="10" fontId="0" fillId="4" borderId="12" xfId="1" applyNumberFormat="1" applyFont="1" applyFill="1" applyBorder="1" applyAlignment="1"/>
    <xf numFmtId="10" fontId="0" fillId="0" borderId="29" xfId="0" applyNumberFormat="1" applyBorder="1"/>
    <xf numFmtId="10" fontId="0" fillId="3" borderId="18" xfId="1" applyNumberFormat="1" applyFont="1" applyFill="1" applyBorder="1" applyAlignment="1"/>
    <xf numFmtId="10" fontId="0" fillId="6" borderId="19" xfId="1" applyNumberFormat="1" applyFont="1" applyFill="1" applyBorder="1" applyAlignment="1"/>
    <xf numFmtId="10" fontId="0" fillId="0" borderId="0" xfId="0" applyNumberFormat="1"/>
    <xf numFmtId="10" fontId="0" fillId="0" borderId="34" xfId="0" applyNumberFormat="1" applyBorder="1" applyAlignment="1"/>
    <xf numFmtId="10" fontId="0" fillId="0" borderId="0" xfId="0" applyNumberFormat="1" applyAlignment="1"/>
    <xf numFmtId="10" fontId="0" fillId="0" borderId="32" xfId="0" applyNumberFormat="1" applyBorder="1"/>
    <xf numFmtId="1" fontId="0" fillId="0" borderId="0" xfId="0" applyNumberFormat="1" applyAlignment="1">
      <alignment horizontal="center"/>
    </xf>
    <xf numFmtId="0" fontId="0" fillId="0" borderId="35" xfId="0" applyBorder="1"/>
    <xf numFmtId="0" fontId="0" fillId="0" borderId="7" xfId="0" applyBorder="1" applyAlignment="1"/>
    <xf numFmtId="0" fontId="0" fillId="0" borderId="4" xfId="0" applyBorder="1" applyAlignment="1">
      <alignment horizontal="center" vertical="center"/>
    </xf>
    <xf numFmtId="0" fontId="0" fillId="0" borderId="37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10" borderId="0" xfId="0" applyFill="1"/>
    <xf numFmtId="0" fontId="0" fillId="11" borderId="0" xfId="0" applyFill="1"/>
    <xf numFmtId="0" fontId="0" fillId="9" borderId="10" xfId="0" applyFill="1" applyBorder="1"/>
    <xf numFmtId="0" fontId="0" fillId="9" borderId="23" xfId="0" applyFill="1" applyBorder="1"/>
    <xf numFmtId="0" fontId="0" fillId="0" borderId="24" xfId="0" applyBorder="1"/>
    <xf numFmtId="0" fontId="0" fillId="9" borderId="18" xfId="0" applyFill="1" applyBorder="1"/>
    <xf numFmtId="0" fontId="0" fillId="0" borderId="19" xfId="0" applyBorder="1"/>
    <xf numFmtId="0" fontId="0" fillId="11" borderId="10" xfId="0" applyFill="1" applyBorder="1"/>
    <xf numFmtId="0" fontId="0" fillId="11" borderId="23" xfId="0" applyFill="1" applyBorder="1"/>
    <xf numFmtId="0" fontId="0" fillId="11" borderId="18" xfId="0" applyFill="1" applyBorder="1"/>
    <xf numFmtId="0" fontId="4" fillId="0" borderId="0" xfId="2"/>
    <xf numFmtId="0" fontId="0" fillId="0" borderId="32" xfId="0" applyBorder="1"/>
    <xf numFmtId="0" fontId="0" fillId="0" borderId="40" xfId="0" applyBorder="1"/>
    <xf numFmtId="0" fontId="0" fillId="0" borderId="41" xfId="0" applyBorder="1"/>
    <xf numFmtId="0" fontId="0" fillId="0" borderId="41" xfId="0" applyFill="1" applyBorder="1"/>
    <xf numFmtId="0" fontId="0" fillId="0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HLMSR!$AM$25</c:f>
              <c:strCache>
                <c:ptCount val="1"/>
              </c:strCache>
            </c:strRef>
          </c:tx>
          <c:val>
            <c:numRef>
              <c:f>HLMSR!$AM$26:$AM$32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HLMSR!$AN$25</c:f>
              <c:strCache>
                <c:ptCount val="1"/>
              </c:strCache>
            </c:strRef>
          </c:tx>
          <c:val>
            <c:numRef>
              <c:f>HLMSR!$AN$26:$AN$32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HLMSR!$AO$25</c:f>
              <c:strCache>
                <c:ptCount val="1"/>
              </c:strCache>
            </c:strRef>
          </c:tx>
          <c:val>
            <c:numRef>
              <c:f>HLMSR!$AO$26:$AO$32</c:f>
              <c:numCache>
                <c:formatCode>0.0%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HLMSR!$AP$25</c:f>
              <c:strCache>
                <c:ptCount val="1"/>
              </c:strCache>
            </c:strRef>
          </c:tx>
          <c:val>
            <c:numRef>
              <c:f>HLMSR!$AP$26:$AP$32</c:f>
              <c:numCache>
                <c:formatCode>0.0%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7632"/>
        <c:axId val="107831872"/>
      </c:lineChart>
      <c:catAx>
        <c:axId val="1080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31872"/>
        <c:crosses val="autoZero"/>
        <c:auto val="1"/>
        <c:lblAlgn val="ctr"/>
        <c:lblOffset val="100"/>
        <c:noMultiLvlLbl val="0"/>
      </c:catAx>
      <c:valAx>
        <c:axId val="1078318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80376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'2x2 (Pr)'!$AG$24</c:f>
              <c:strCache>
                <c:ptCount val="1"/>
                <c:pt idx="0">
                  <c:v>i=0,0</c:v>
                </c:pt>
              </c:strCache>
            </c:strRef>
          </c:tx>
          <c:val>
            <c:numRef>
              <c:f>'2x2 (Pr)'!$AG$25:$AG$31</c:f>
              <c:numCache>
                <c:formatCode>0.0%</c:formatCode>
                <c:ptCount val="7"/>
                <c:pt idx="0">
                  <c:v>0.21</c:v>
                </c:pt>
                <c:pt idx="1">
                  <c:v>9.0000000000000024E-2</c:v>
                </c:pt>
                <c:pt idx="2">
                  <c:v>0.21000000000000002</c:v>
                </c:pt>
                <c:pt idx="3">
                  <c:v>0.17012658227848101</c:v>
                </c:pt>
                <c:pt idx="4">
                  <c:v>0.12</c:v>
                </c:pt>
                <c:pt idx="5">
                  <c:v>0.1</c:v>
                </c:pt>
                <c:pt idx="6">
                  <c:v>0.06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'2x2 (Pr)'!$AH$24</c:f>
              <c:strCache>
                <c:ptCount val="1"/>
                <c:pt idx="0">
                  <c:v>i=0,1</c:v>
                </c:pt>
              </c:strCache>
            </c:strRef>
          </c:tx>
          <c:val>
            <c:numRef>
              <c:f>'2x2 (Pr)'!$AH$25:$AH$31</c:f>
              <c:numCache>
                <c:formatCode>0.0%</c:formatCode>
                <c:ptCount val="7"/>
                <c:pt idx="0">
                  <c:v>9.0000000000000011E-2</c:v>
                </c:pt>
                <c:pt idx="1">
                  <c:v>1.0000000000000009E-2</c:v>
                </c:pt>
                <c:pt idx="2">
                  <c:v>9.0000000000000024E-2</c:v>
                </c:pt>
                <c:pt idx="3">
                  <c:v>7.2911392405063294E-2</c:v>
                </c:pt>
                <c:pt idx="4">
                  <c:v>0.08</c:v>
                </c:pt>
                <c:pt idx="5">
                  <c:v>0.1</c:v>
                </c:pt>
                <c:pt idx="6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'2x2 (Pr)'!$AI$24</c:f>
              <c:strCache>
                <c:ptCount val="1"/>
                <c:pt idx="0">
                  <c:v>i=1,0</c:v>
                </c:pt>
              </c:strCache>
            </c:strRef>
          </c:tx>
          <c:val>
            <c:numRef>
              <c:f>'2x2 (Pr)'!$AI$25:$AI$31</c:f>
              <c:numCache>
                <c:formatCode>0.0%</c:formatCode>
                <c:ptCount val="7"/>
                <c:pt idx="0">
                  <c:v>0.21</c:v>
                </c:pt>
                <c:pt idx="1">
                  <c:v>9.0000000000000024E-2</c:v>
                </c:pt>
                <c:pt idx="2">
                  <c:v>0.21000000000000002</c:v>
                </c:pt>
                <c:pt idx="3">
                  <c:v>0.36</c:v>
                </c:pt>
                <c:pt idx="4">
                  <c:v>0.62</c:v>
                </c:pt>
                <c:pt idx="5">
                  <c:v>0.71</c:v>
                </c:pt>
                <c:pt idx="6">
                  <c:v>0.81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'2x2 (Pr)'!$AJ$24</c:f>
              <c:strCache>
                <c:ptCount val="1"/>
                <c:pt idx="0">
                  <c:v>i=1,1</c:v>
                </c:pt>
              </c:strCache>
            </c:strRef>
          </c:tx>
          <c:val>
            <c:numRef>
              <c:f>'2x2 (Pr)'!$AJ$25:$AJ$31</c:f>
              <c:numCache>
                <c:formatCode>0.0%</c:formatCode>
                <c:ptCount val="7"/>
                <c:pt idx="0">
                  <c:v>0.48999999999999994</c:v>
                </c:pt>
                <c:pt idx="1">
                  <c:v>0.80999999999999983</c:v>
                </c:pt>
                <c:pt idx="2">
                  <c:v>0.49</c:v>
                </c:pt>
                <c:pt idx="3">
                  <c:v>0.39696202531645564</c:v>
                </c:pt>
                <c:pt idx="4">
                  <c:v>0.12</c:v>
                </c:pt>
                <c:pt idx="5">
                  <c:v>0.09</c:v>
                </c:pt>
                <c:pt idx="6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9168"/>
        <c:axId val="107834752"/>
      </c:lineChart>
      <c:catAx>
        <c:axId val="1080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34752"/>
        <c:crosses val="autoZero"/>
        <c:auto val="1"/>
        <c:lblAlgn val="ctr"/>
        <c:lblOffset val="100"/>
        <c:noMultiLvlLbl val="0"/>
      </c:catAx>
      <c:valAx>
        <c:axId val="1078347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8039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285750</xdr:colOff>
      <xdr:row>22</xdr:row>
      <xdr:rowOff>190500</xdr:rowOff>
    </xdr:from>
    <xdr:to>
      <xdr:col>49</xdr:col>
      <xdr:colOff>590550</xdr:colOff>
      <xdr:row>36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33</xdr:row>
      <xdr:rowOff>104775</xdr:rowOff>
    </xdr:from>
    <xdr:to>
      <xdr:col>11</xdr:col>
      <xdr:colOff>352425</xdr:colOff>
      <xdr:row>47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bitcoin.it/wiki/Contra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50"/>
  <sheetViews>
    <sheetView tabSelected="1" zoomScale="70" zoomScaleNormal="70" workbookViewId="0">
      <selection activeCell="G4" sqref="G4"/>
    </sheetView>
  </sheetViews>
  <sheetFormatPr defaultRowHeight="15" x14ac:dyDescent="0.25"/>
  <cols>
    <col min="5" max="10" width="11.42578125" style="76" customWidth="1"/>
    <col min="13" max="13" width="9.42578125" customWidth="1"/>
    <col min="15" max="15" width="10.28515625" customWidth="1"/>
    <col min="16" max="16" width="10.7109375" customWidth="1"/>
    <col min="18" max="18" width="9.42578125" customWidth="1"/>
    <col min="20" max="20" width="12.140625" customWidth="1"/>
    <col min="21" max="21" width="10.5703125" customWidth="1"/>
    <col min="24" max="24" width="11.140625" customWidth="1"/>
  </cols>
  <sheetData>
    <row r="2" spans="3:20" ht="15.75" thickBot="1" x14ac:dyDescent="0.3">
      <c r="D2" t="s">
        <v>9</v>
      </c>
      <c r="K2" t="s">
        <v>70</v>
      </c>
    </row>
    <row r="3" spans="3:20" x14ac:dyDescent="0.25">
      <c r="D3" t="s">
        <v>13</v>
      </c>
      <c r="E3" s="76" t="s">
        <v>19</v>
      </c>
      <c r="F3" s="76" t="s">
        <v>20</v>
      </c>
      <c r="H3" s="76" t="s">
        <v>67</v>
      </c>
      <c r="I3" s="76">
        <f>COUNTA(E7:F7)</f>
        <v>2</v>
      </c>
      <c r="K3">
        <f>I8</f>
        <v>0.69314718055994529</v>
      </c>
      <c r="N3" s="46" t="s">
        <v>14</v>
      </c>
    </row>
    <row r="4" spans="3:20" s="8" customFormat="1" ht="15.75" thickBot="1" x14ac:dyDescent="0.3">
      <c r="C4"/>
      <c r="E4" s="30"/>
      <c r="F4" s="30"/>
      <c r="G4" s="76"/>
      <c r="H4" s="76"/>
      <c r="I4" s="76"/>
      <c r="J4" s="76"/>
      <c r="K4"/>
      <c r="L4"/>
      <c r="M4"/>
      <c r="N4" s="137">
        <v>1</v>
      </c>
      <c r="O4" t="s">
        <v>69</v>
      </c>
      <c r="Q4"/>
      <c r="R4"/>
      <c r="S4"/>
      <c r="T4" s="9"/>
    </row>
    <row r="5" spans="3:20" s="8" customFormat="1" x14ac:dyDescent="0.25">
      <c r="C5"/>
      <c r="D5"/>
      <c r="E5" s="76"/>
      <c r="F5" s="76"/>
      <c r="G5" s="76"/>
      <c r="H5" s="76"/>
      <c r="I5" s="76"/>
      <c r="J5" s="76"/>
      <c r="K5"/>
      <c r="L5"/>
      <c r="M5"/>
      <c r="N5"/>
      <c r="O5"/>
      <c r="P5"/>
      <c r="Q5"/>
      <c r="R5"/>
      <c r="S5"/>
      <c r="T5" s="9"/>
    </row>
    <row r="6" spans="3:20" s="8" customFormat="1" x14ac:dyDescent="0.25">
      <c r="D6"/>
      <c r="E6" s="110" t="s">
        <v>21</v>
      </c>
      <c r="F6" s="111"/>
      <c r="G6" s="111" t="s">
        <v>22</v>
      </c>
      <c r="H6" s="112"/>
      <c r="I6" s="110" t="s">
        <v>58</v>
      </c>
      <c r="J6" s="112" t="s">
        <v>57</v>
      </c>
      <c r="K6" s="43"/>
      <c r="Q6" s="43"/>
      <c r="R6"/>
      <c r="S6" s="43"/>
    </row>
    <row r="7" spans="3:20" s="8" customFormat="1" ht="15.75" thickBot="1" x14ac:dyDescent="0.3">
      <c r="C7" s="74"/>
      <c r="D7" s="77" t="s">
        <v>56</v>
      </c>
      <c r="E7" s="82" t="s">
        <v>15</v>
      </c>
      <c r="F7" s="83" t="s">
        <v>16</v>
      </c>
      <c r="G7" s="138" t="s">
        <v>15</v>
      </c>
      <c r="H7" s="139" t="s">
        <v>16</v>
      </c>
      <c r="I7" s="85"/>
      <c r="J7" s="86"/>
      <c r="R7"/>
    </row>
    <row r="8" spans="3:20" s="8" customFormat="1" ht="18" customHeight="1" thickTop="1" x14ac:dyDescent="0.25">
      <c r="D8" s="53" t="s">
        <v>61</v>
      </c>
      <c r="E8" s="87">
        <v>0</v>
      </c>
      <c r="F8" s="88">
        <v>0</v>
      </c>
      <c r="G8" s="93">
        <f>EXP(E8/$N$4)/(EXP($F8/$N$4)+EXP($E8/$N$4))</f>
        <v>0.5</v>
      </c>
      <c r="H8" s="140">
        <f t="shared" ref="G8:H14" si="0">EXP(F8/$N$4)/(EXP($F8/$N$4)+EXP($E8/$N$4))</f>
        <v>0.5</v>
      </c>
      <c r="I8" s="143">
        <f>$N$4*LN(EXP($F8/$N$4)+EXP($E8/$N$4))</f>
        <v>0.69314718055994529</v>
      </c>
      <c r="J8" s="89">
        <f>(I8-0)</f>
        <v>0.69314718055994529</v>
      </c>
      <c r="R8"/>
    </row>
    <row r="9" spans="3:20" s="8" customFormat="1" ht="15.75" thickBot="1" x14ac:dyDescent="0.3">
      <c r="D9" s="53" t="s">
        <v>59</v>
      </c>
      <c r="E9" s="90">
        <v>1</v>
      </c>
      <c r="F9" s="84">
        <v>0</v>
      </c>
      <c r="G9" s="91">
        <f t="shared" si="0"/>
        <v>0.7310585786300049</v>
      </c>
      <c r="H9" s="141">
        <f t="shared" si="0"/>
        <v>0.2689414213699951</v>
      </c>
      <c r="I9" s="144">
        <f t="shared" ref="I9:I12" si="1">$N$4*LN(EXP($F9/$N$4)+EXP($E9/$N$4))</f>
        <v>1.3132616875182228</v>
      </c>
      <c r="J9" s="92">
        <f>(I9-I8)</f>
        <v>0.62011450695827752</v>
      </c>
      <c r="L9" s="8" t="s">
        <v>71</v>
      </c>
      <c r="R9"/>
    </row>
    <row r="10" spans="3:20" s="8" customFormat="1" ht="15.75" thickBot="1" x14ac:dyDescent="0.3">
      <c r="D10" s="53" t="s">
        <v>62</v>
      </c>
      <c r="E10" s="150">
        <f>L10</f>
        <v>1.0986122886681098</v>
      </c>
      <c r="F10" s="84">
        <v>0</v>
      </c>
      <c r="G10" s="147">
        <f t="shared" si="0"/>
        <v>0.75000000000000011</v>
      </c>
      <c r="H10" s="141">
        <f t="shared" si="0"/>
        <v>0.25</v>
      </c>
      <c r="I10" s="144">
        <f t="shared" si="1"/>
        <v>1.3862943611198906</v>
      </c>
      <c r="J10" s="92">
        <f t="shared" ref="J10:J13" si="2">(I10-I9)</f>
        <v>7.3032673601667764E-2</v>
      </c>
      <c r="L10" s="149">
        <f>N4*LN(M10/(1-M10))+F10</f>
        <v>1.0986122886681098</v>
      </c>
      <c r="M10" s="148">
        <v>0.75</v>
      </c>
      <c r="N10" s="8" t="b">
        <f>M10=G10</f>
        <v>1</v>
      </c>
      <c r="R10"/>
    </row>
    <row r="11" spans="3:20" s="8" customFormat="1" x14ac:dyDescent="0.25">
      <c r="D11" s="53" t="s">
        <v>63</v>
      </c>
      <c r="E11" s="90">
        <v>2.2000000000000002</v>
      </c>
      <c r="F11" s="84">
        <v>1</v>
      </c>
      <c r="G11" s="91">
        <f t="shared" si="0"/>
        <v>0.76852478349901765</v>
      </c>
      <c r="H11" s="141">
        <f t="shared" si="0"/>
        <v>0.23147521650098232</v>
      </c>
      <c r="I11" s="144">
        <f t="shared" si="1"/>
        <v>2.4632824673380314</v>
      </c>
      <c r="J11" s="92">
        <f t="shared" si="2"/>
        <v>1.0769881062181408</v>
      </c>
      <c r="R11"/>
    </row>
    <row r="12" spans="3:20" s="8" customFormat="1" x14ac:dyDescent="0.25">
      <c r="D12" s="53" t="s">
        <v>64</v>
      </c>
      <c r="E12" s="90">
        <v>5.0999999999999996</v>
      </c>
      <c r="F12" s="84">
        <v>4</v>
      </c>
      <c r="G12" s="91">
        <f t="shared" si="0"/>
        <v>0.75026010559511758</v>
      </c>
      <c r="H12" s="141">
        <f t="shared" si="0"/>
        <v>0.24973989440488245</v>
      </c>
      <c r="I12" s="144">
        <f t="shared" si="1"/>
        <v>5.3873353251154308</v>
      </c>
      <c r="J12" s="92">
        <f t="shared" si="2"/>
        <v>2.9240528577773994</v>
      </c>
      <c r="R12"/>
    </row>
    <row r="13" spans="3:20" s="8" customFormat="1" x14ac:dyDescent="0.25">
      <c r="C13"/>
      <c r="D13" s="44" t="s">
        <v>65</v>
      </c>
      <c r="E13" s="90">
        <v>11</v>
      </c>
      <c r="F13" s="84">
        <v>1</v>
      </c>
      <c r="G13" s="91">
        <f t="shared" si="0"/>
        <v>0.99995460213129761</v>
      </c>
      <c r="H13" s="141">
        <f t="shared" si="0"/>
        <v>4.5397868702434395E-5</v>
      </c>
      <c r="I13" s="144">
        <f>$N$4*LN(EXP($F13/$N$4)+EXP($E13/$N$4))</f>
        <v>11.000045398899216</v>
      </c>
      <c r="J13" s="92">
        <f t="shared" si="2"/>
        <v>5.6127100737837852</v>
      </c>
      <c r="R13"/>
    </row>
    <row r="14" spans="3:20" s="8" customFormat="1" ht="15.75" thickBot="1" x14ac:dyDescent="0.3">
      <c r="D14" s="53" t="s">
        <v>60</v>
      </c>
      <c r="E14" s="82">
        <v>10</v>
      </c>
      <c r="F14" s="83">
        <v>0</v>
      </c>
      <c r="G14" s="93">
        <f t="shared" si="0"/>
        <v>0.99995460213129761</v>
      </c>
      <c r="H14" s="140">
        <f t="shared" si="0"/>
        <v>4.5397868702434395E-5</v>
      </c>
      <c r="I14" s="145">
        <f>$N$4*LN(EXP($F14/$N$4)+EXP($E14/$N$4))</f>
        <v>10.000045398899218</v>
      </c>
      <c r="J14" s="94">
        <f>(I14-I13)</f>
        <v>-0.99999999999999822</v>
      </c>
      <c r="R14"/>
    </row>
    <row r="15" spans="3:20" s="8" customFormat="1" ht="16.5" thickTop="1" thickBot="1" x14ac:dyDescent="0.3">
      <c r="D15" s="53" t="s">
        <v>0</v>
      </c>
      <c r="E15" s="95">
        <f>E14</f>
        <v>10</v>
      </c>
      <c r="F15" s="96">
        <f t="shared" ref="F15" si="3">F14</f>
        <v>0</v>
      </c>
      <c r="G15" s="97">
        <f>EXP(E15)/(EXP($F15)+EXP($E15))</f>
        <v>0.99995460213129761</v>
      </c>
      <c r="H15" s="142">
        <f>EXP(F15)/(EXP($F15)+EXP($E15))</f>
        <v>4.5397868702434395E-5</v>
      </c>
      <c r="I15" s="146">
        <f>$N$4*LN(EXP($F15/$N$4)+EXP($E15/$N$4))</f>
        <v>10.000045398899218</v>
      </c>
      <c r="J15" s="98">
        <f>SUM(J8:J14)</f>
        <v>10.000045398899218</v>
      </c>
      <c r="K15" s="9" t="s">
        <v>68</v>
      </c>
      <c r="Q15" s="9"/>
      <c r="R15" s="9" t="s">
        <v>73</v>
      </c>
      <c r="S15" s="9"/>
    </row>
    <row r="16" spans="3:20" s="8" customFormat="1" ht="15.75" thickBot="1" x14ac:dyDescent="0.3">
      <c r="C16"/>
      <c r="D16"/>
      <c r="E16" s="76"/>
      <c r="F16" s="76"/>
      <c r="G16" s="76"/>
      <c r="H16" s="76"/>
      <c r="I16" s="76"/>
      <c r="J16" s="99">
        <f>J15-(SUMPRODUCT(G15:H15,E15:F15))</f>
        <v>4.9937758624096773E-4</v>
      </c>
      <c r="K16" t="s">
        <v>66</v>
      </c>
      <c r="Q16"/>
      <c r="R16"/>
      <c r="S16"/>
    </row>
    <row r="17" spans="2:42" s="8" customFormat="1" x14ac:dyDescent="0.25">
      <c r="E17" s="30"/>
      <c r="F17" s="30"/>
      <c r="G17" s="30"/>
      <c r="H17" s="30"/>
      <c r="I17" s="100"/>
      <c r="J17" s="101"/>
    </row>
    <row r="18" spans="2:42" s="8" customFormat="1" x14ac:dyDescent="0.25">
      <c r="E18" s="30"/>
      <c r="F18" s="30"/>
      <c r="G18" s="30"/>
      <c r="H18" s="30"/>
      <c r="I18" s="100"/>
      <c r="J18" s="101"/>
      <c r="O18" s="9"/>
      <c r="P18" s="9"/>
      <c r="Q18" s="9"/>
      <c r="R18" s="65"/>
      <c r="S18" s="65"/>
    </row>
    <row r="19" spans="2:42" s="8" customFormat="1" x14ac:dyDescent="0.25">
      <c r="E19" s="30"/>
      <c r="F19" s="30"/>
      <c r="G19" s="30"/>
      <c r="H19" s="30"/>
      <c r="I19" s="30"/>
      <c r="J19" s="30"/>
    </row>
    <row r="20" spans="2:42" ht="15.75" thickBot="1" x14ac:dyDescent="0.3">
      <c r="D20" t="s">
        <v>10</v>
      </c>
      <c r="K20" t="s">
        <v>70</v>
      </c>
    </row>
    <row r="21" spans="2:42" x14ac:dyDescent="0.25">
      <c r="D21" t="s">
        <v>13</v>
      </c>
      <c r="E21" s="76" t="s">
        <v>19</v>
      </c>
      <c r="F21" s="76" t="s">
        <v>20</v>
      </c>
      <c r="H21" s="76" t="s">
        <v>67</v>
      </c>
      <c r="I21" s="76">
        <f>COUNTA(E25:H25)</f>
        <v>4</v>
      </c>
      <c r="K21">
        <f>M26</f>
        <v>4.8520302639196169</v>
      </c>
      <c r="N21" s="46" t="s">
        <v>14</v>
      </c>
    </row>
    <row r="22" spans="2:42" ht="15.75" thickBot="1" x14ac:dyDescent="0.3">
      <c r="D22" t="s">
        <v>14</v>
      </c>
      <c r="E22" s="76" t="s">
        <v>11</v>
      </c>
      <c r="F22" s="76" t="s">
        <v>12</v>
      </c>
      <c r="N22" s="137">
        <v>3.5</v>
      </c>
      <c r="O22" t="s">
        <v>69</v>
      </c>
    </row>
    <row r="24" spans="2:42" ht="45" x14ac:dyDescent="0.25">
      <c r="C24" s="8"/>
      <c r="E24" s="79" t="s">
        <v>21</v>
      </c>
      <c r="F24" s="80"/>
      <c r="G24" s="80"/>
      <c r="H24" s="81"/>
      <c r="I24" s="26" t="s">
        <v>22</v>
      </c>
      <c r="J24" s="26"/>
      <c r="K24" s="26"/>
      <c r="L24" s="26"/>
      <c r="M24" s="23" t="s">
        <v>58</v>
      </c>
      <c r="N24" s="75" t="s">
        <v>57</v>
      </c>
      <c r="O24" s="43"/>
      <c r="P24" s="43"/>
      <c r="R24" s="43"/>
      <c r="S24" s="43"/>
      <c r="T24" s="43"/>
      <c r="U24" s="72"/>
      <c r="V24" s="73"/>
      <c r="W24" s="8"/>
      <c r="X24" s="8"/>
      <c r="Y24" s="8"/>
      <c r="Z24" s="73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2:42" ht="15.75" thickBot="1" x14ac:dyDescent="0.3">
      <c r="C25" s="74"/>
      <c r="D25" s="77" t="s">
        <v>56</v>
      </c>
      <c r="E25" s="82" t="s">
        <v>15</v>
      </c>
      <c r="F25" s="102" t="s">
        <v>16</v>
      </c>
      <c r="G25" s="83" t="s">
        <v>17</v>
      </c>
      <c r="H25" s="103" t="s">
        <v>18</v>
      </c>
      <c r="I25" s="113" t="s">
        <v>15</v>
      </c>
      <c r="J25" s="114" t="s">
        <v>16</v>
      </c>
      <c r="K25" s="115" t="s">
        <v>17</v>
      </c>
      <c r="L25" s="116" t="s">
        <v>18</v>
      </c>
      <c r="M25" s="136"/>
      <c r="N25" s="7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35"/>
      <c r="AN25" s="35"/>
      <c r="AO25" s="35"/>
      <c r="AP25" s="35"/>
    </row>
    <row r="26" spans="2:42" ht="15.75" thickTop="1" x14ac:dyDescent="0.25">
      <c r="C26" s="8"/>
      <c r="D26">
        <v>1</v>
      </c>
      <c r="E26" s="87">
        <v>0</v>
      </c>
      <c r="F26" s="104">
        <v>0</v>
      </c>
      <c r="G26" s="88">
        <v>0</v>
      </c>
      <c r="H26" s="105">
        <v>0</v>
      </c>
      <c r="I26" s="117">
        <f>EXP(E26/$N$22)/(EXP($E26/$N$22)+EXP($F26/$N$22)+EXP($G26/$N$22)+EXP($H26/$N$22))</f>
        <v>0.25</v>
      </c>
      <c r="J26" s="118">
        <f t="shared" ref="J26:L32" si="4">EXP(F26/$N$22)/(EXP($E26/$N$22)+EXP($F26/$N$22)+EXP($G26/$N$22)+EXP($H26/$N$22))</f>
        <v>0.25</v>
      </c>
      <c r="K26" s="119">
        <f t="shared" si="4"/>
        <v>0.25</v>
      </c>
      <c r="L26" s="120">
        <f t="shared" si="4"/>
        <v>0.25</v>
      </c>
      <c r="M26" s="133">
        <f>$N$22*LN(EXP($E26/$N$22)+EXP($F26/$N$22)+EXP($G26/$N$22)+EXP($H26/$N$22))</f>
        <v>4.8520302639196169</v>
      </c>
      <c r="N26" s="129">
        <f>(M26-0)</f>
        <v>4.8520302639196169</v>
      </c>
      <c r="O26" s="8"/>
      <c r="P26" s="8"/>
      <c r="R26" s="8"/>
      <c r="S26" s="8"/>
      <c r="T26" s="8"/>
      <c r="U26" s="8"/>
      <c r="V26" s="9"/>
      <c r="W26" s="9"/>
      <c r="X26" s="9"/>
      <c r="Y26" s="9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38"/>
      <c r="AN26" s="38"/>
      <c r="AO26" s="38"/>
      <c r="AP26" s="38"/>
    </row>
    <row r="27" spans="2:42" ht="15.75" thickBot="1" x14ac:dyDescent="0.3">
      <c r="C27" s="8"/>
      <c r="D27">
        <v>2</v>
      </c>
      <c r="E27" s="90">
        <v>1</v>
      </c>
      <c r="F27" s="106">
        <v>0</v>
      </c>
      <c r="G27" s="84">
        <v>0</v>
      </c>
      <c r="H27" s="107">
        <v>0</v>
      </c>
      <c r="I27" s="121">
        <f t="shared" ref="I27:I31" si="5">EXP(E27/$N$22)/(EXP($E27/$N$22)+EXP($F27/$N$22)+EXP($G27/$N$22)+EXP($H27/$N$22))</f>
        <v>0.30727329288510813</v>
      </c>
      <c r="J27" s="122">
        <f t="shared" si="4"/>
        <v>0.23090890237163061</v>
      </c>
      <c r="K27" s="123">
        <f t="shared" si="4"/>
        <v>0.23090890237163061</v>
      </c>
      <c r="L27" s="124">
        <f t="shared" si="4"/>
        <v>0.23090890237163061</v>
      </c>
      <c r="M27" s="134">
        <f>$N$22*LN(EXP($E27/$N$22)+EXP($F27/$N$22)+EXP($G27/$N$22)+EXP($H27/$N$22))</f>
        <v>5.1300620289417482</v>
      </c>
      <c r="N27" s="130">
        <f t="shared" ref="N27:N32" si="6">(M27-M26)</f>
        <v>0.27803176502213134</v>
      </c>
      <c r="O27" s="8"/>
      <c r="P27" s="8" t="s">
        <v>71</v>
      </c>
      <c r="Q27" s="8"/>
      <c r="R27" s="8"/>
      <c r="S27" s="8"/>
      <c r="T27" s="8"/>
      <c r="U27" s="8"/>
      <c r="V27" s="71"/>
      <c r="W27" s="71"/>
      <c r="X27" s="71"/>
      <c r="Y27" s="71"/>
      <c r="Z27" s="8"/>
      <c r="AA27" s="8"/>
      <c r="AB27" s="8"/>
      <c r="AC27" s="8"/>
      <c r="AD27" s="8"/>
      <c r="AE27" s="8"/>
      <c r="AF27" s="8"/>
      <c r="AG27" s="8"/>
      <c r="AH27" s="9"/>
      <c r="AI27" s="9"/>
      <c r="AJ27" s="9"/>
      <c r="AK27" s="9"/>
      <c r="AL27" s="8"/>
      <c r="AM27" s="38"/>
      <c r="AN27" s="38"/>
      <c r="AO27" s="38"/>
      <c r="AP27" s="38"/>
    </row>
    <row r="28" spans="2:42" ht="15.75" thickBot="1" x14ac:dyDescent="0.3">
      <c r="B28" s="22"/>
      <c r="C28" s="22"/>
      <c r="D28" s="162">
        <v>3</v>
      </c>
      <c r="E28" s="150">
        <f>P28</f>
        <v>1.678505780916602</v>
      </c>
      <c r="F28" s="106">
        <v>0</v>
      </c>
      <c r="G28" s="84">
        <v>0</v>
      </c>
      <c r="H28" s="107">
        <v>0</v>
      </c>
      <c r="I28" s="121">
        <f t="shared" si="5"/>
        <v>0.35000000000000003</v>
      </c>
      <c r="J28" s="122">
        <f t="shared" si="4"/>
        <v>0.21666666666666667</v>
      </c>
      <c r="K28" s="123">
        <f t="shared" si="4"/>
        <v>0.21666666666666667</v>
      </c>
      <c r="L28" s="124">
        <f t="shared" si="4"/>
        <v>0.21666666666666667</v>
      </c>
      <c r="M28" s="134">
        <f>$N$22*LN(EXP($E28/$N$22)+EXP($F28/$N$22)+EXP($G28/$N$22)+EXP($H28/$N$22))</f>
        <v>5.352883216661974</v>
      </c>
      <c r="N28" s="130">
        <f t="shared" si="6"/>
        <v>0.22282118772022574</v>
      </c>
      <c r="O28" s="8"/>
      <c r="P28" s="149">
        <f>N22*LN(Q28/(1-Q28))+N22*LN((SUM((EXP(F28/N22)+EXP(G28/N22)+EXP(H28/N22)))))</f>
        <v>1.678505780916602</v>
      </c>
      <c r="Q28" s="148">
        <v>0.35</v>
      </c>
      <c r="R28" s="8" t="b">
        <f>Q28=I28</f>
        <v>1</v>
      </c>
      <c r="S28" s="8"/>
      <c r="T28" s="8"/>
      <c r="U28" s="8"/>
      <c r="V28" s="71"/>
      <c r="W28" s="71"/>
      <c r="X28" s="71"/>
      <c r="Y28" s="71"/>
      <c r="Z28" s="8"/>
      <c r="AA28" s="8"/>
      <c r="AB28" s="8"/>
      <c r="AC28" s="8"/>
      <c r="AD28" s="8"/>
      <c r="AE28" s="8"/>
      <c r="AF28" s="8"/>
      <c r="AG28" s="8"/>
      <c r="AH28" s="9"/>
      <c r="AI28" s="9"/>
      <c r="AJ28" s="9"/>
      <c r="AK28" s="9"/>
      <c r="AL28" s="8"/>
      <c r="AM28" s="38"/>
      <c r="AN28" s="38"/>
      <c r="AO28" s="38"/>
      <c r="AP28" s="38"/>
    </row>
    <row r="29" spans="2:42" x14ac:dyDescent="0.25">
      <c r="B29" s="6"/>
      <c r="C29" s="165"/>
      <c r="D29" s="166">
        <v>4</v>
      </c>
      <c r="E29" s="90">
        <v>1.9019999999999999</v>
      </c>
      <c r="F29" s="106">
        <v>1.0900000000000001</v>
      </c>
      <c r="G29" s="84">
        <v>2.0649999999999999</v>
      </c>
      <c r="H29" s="107">
        <v>1</v>
      </c>
      <c r="I29" s="121">
        <f t="shared" si="5"/>
        <v>0.27674497792592351</v>
      </c>
      <c r="J29" s="122">
        <f t="shared" si="4"/>
        <v>0.21944385739095482</v>
      </c>
      <c r="K29" s="123">
        <f t="shared" si="4"/>
        <v>0.28993821640004058</v>
      </c>
      <c r="L29" s="124">
        <f t="shared" si="4"/>
        <v>0.21387294828308109</v>
      </c>
      <c r="M29" s="134">
        <f t="shared" ref="M29:M32" si="7">$N$22*LN(EXP($E29/$N$22)+EXP($F29/$N$22)+EXP($G29/$N$22)+EXP($H29/$N$22))</f>
        <v>6.3983059895851007</v>
      </c>
      <c r="N29" s="130">
        <f t="shared" si="6"/>
        <v>1.0454227729231267</v>
      </c>
      <c r="O29" s="8"/>
      <c r="P29" s="8"/>
      <c r="R29" s="8"/>
      <c r="S29" s="8"/>
      <c r="T29" s="8"/>
      <c r="U29" s="8"/>
      <c r="V29" s="71"/>
      <c r="W29" s="71"/>
      <c r="X29" s="71"/>
      <c r="Y29" s="71"/>
      <c r="Z29" s="8"/>
      <c r="AA29" s="8"/>
      <c r="AB29" s="8"/>
      <c r="AC29" s="44"/>
      <c r="AD29" s="8"/>
      <c r="AE29" s="8"/>
      <c r="AF29" s="8"/>
      <c r="AG29" s="8"/>
      <c r="AH29" s="9"/>
      <c r="AI29" s="9"/>
      <c r="AJ29" s="9"/>
      <c r="AK29" s="9"/>
      <c r="AL29" s="8"/>
      <c r="AM29" s="38"/>
      <c r="AN29" s="38"/>
      <c r="AO29" s="38"/>
      <c r="AP29" s="38"/>
    </row>
    <row r="30" spans="2:42" x14ac:dyDescent="0.25">
      <c r="B30" s="6"/>
      <c r="C30" s="1"/>
      <c r="D30">
        <v>5</v>
      </c>
      <c r="E30" s="90">
        <v>5.0999999999999996</v>
      </c>
      <c r="F30" s="106">
        <v>4</v>
      </c>
      <c r="G30" s="84">
        <v>2.2000000000000002</v>
      </c>
      <c r="H30" s="107">
        <v>3.1</v>
      </c>
      <c r="I30" s="121">
        <f t="shared" si="5"/>
        <v>0.36607225912727431</v>
      </c>
      <c r="J30" s="122">
        <f t="shared" si="4"/>
        <v>0.2673463553876782</v>
      </c>
      <c r="K30" s="123">
        <f t="shared" si="4"/>
        <v>0.15985374679155517</v>
      </c>
      <c r="L30" s="124">
        <f t="shared" si="4"/>
        <v>0.20672763869349214</v>
      </c>
      <c r="M30" s="134">
        <f t="shared" si="7"/>
        <v>8.6172358751525788</v>
      </c>
      <c r="N30" s="130">
        <f t="shared" si="6"/>
        <v>2.2189298855674782</v>
      </c>
      <c r="O30" s="8"/>
      <c r="P30" s="8"/>
      <c r="R30" s="8"/>
      <c r="S30" s="8"/>
      <c r="T30" s="8"/>
      <c r="U30" s="8"/>
      <c r="V30" s="71"/>
      <c r="W30" s="71"/>
      <c r="X30" s="71"/>
      <c r="Y30" s="71"/>
      <c r="Z30" s="8"/>
      <c r="AA30" s="8"/>
      <c r="AB30" s="8"/>
      <c r="AC30" s="8"/>
      <c r="AD30" s="8"/>
      <c r="AE30" s="8"/>
      <c r="AF30" s="8"/>
      <c r="AG30" s="8"/>
      <c r="AH30" s="9"/>
      <c r="AI30" s="9"/>
      <c r="AJ30" s="9"/>
      <c r="AK30" s="9"/>
      <c r="AL30" s="8"/>
      <c r="AM30" s="38"/>
      <c r="AN30" s="38"/>
      <c r="AO30" s="38"/>
      <c r="AP30" s="38"/>
    </row>
    <row r="31" spans="2:42" x14ac:dyDescent="0.25">
      <c r="B31" s="6"/>
      <c r="C31" s="6"/>
      <c r="D31">
        <v>6</v>
      </c>
      <c r="E31" s="90">
        <v>11</v>
      </c>
      <c r="F31" s="106">
        <v>1</v>
      </c>
      <c r="G31" s="84">
        <v>3</v>
      </c>
      <c r="H31" s="107">
        <v>1.2</v>
      </c>
      <c r="I31" s="121">
        <f t="shared" si="5"/>
        <v>0.8197097073143913</v>
      </c>
      <c r="J31" s="122">
        <f t="shared" si="4"/>
        <v>4.7078075530157491E-2</v>
      </c>
      <c r="K31" s="123">
        <f t="shared" si="4"/>
        <v>8.3365618519163867E-2</v>
      </c>
      <c r="L31" s="124">
        <f t="shared" si="4"/>
        <v>4.9846598636287223E-2</v>
      </c>
      <c r="M31" s="134">
        <f t="shared" si="7"/>
        <v>11.695817559053268</v>
      </c>
      <c r="N31" s="130">
        <f t="shared" si="6"/>
        <v>3.0785816839006888</v>
      </c>
      <c r="O31" s="8"/>
      <c r="P31" s="8"/>
      <c r="R31" s="8"/>
      <c r="S31" s="8"/>
      <c r="T31" s="8"/>
      <c r="U31" s="8"/>
      <c r="V31" s="71"/>
      <c r="W31" s="71"/>
      <c r="X31" s="71"/>
      <c r="Y31" s="71"/>
      <c r="Z31" s="8"/>
      <c r="AA31" s="8"/>
      <c r="AB31" s="8"/>
      <c r="AC31" s="8"/>
      <c r="AD31" s="8"/>
      <c r="AE31" s="8"/>
      <c r="AF31" s="8"/>
      <c r="AG31" s="8"/>
      <c r="AH31" s="9"/>
      <c r="AI31" s="9"/>
      <c r="AJ31" s="9"/>
      <c r="AK31" s="9"/>
      <c r="AL31" s="8"/>
      <c r="AM31" s="38"/>
      <c r="AN31" s="38"/>
      <c r="AO31" s="38"/>
      <c r="AP31" s="38"/>
    </row>
    <row r="32" spans="2:42" ht="15.75" thickBot="1" x14ac:dyDescent="0.3">
      <c r="B32" s="6"/>
      <c r="C32" s="6"/>
      <c r="D32">
        <v>7</v>
      </c>
      <c r="E32" s="82">
        <v>10</v>
      </c>
      <c r="F32" s="102">
        <v>0</v>
      </c>
      <c r="G32" s="83">
        <v>0</v>
      </c>
      <c r="H32" s="103">
        <v>0</v>
      </c>
      <c r="I32" s="113">
        <f t="shared" ref="I32:K32" si="8">EXP(E32/$N$22)/(EXP($E32/$N$22)+EXP($F32/$N$22)+EXP($G32/$N$22)+EXP($H32/$N$22))</f>
        <v>0.85302552874593096</v>
      </c>
      <c r="J32" s="114">
        <f t="shared" si="8"/>
        <v>4.8991490418023025E-2</v>
      </c>
      <c r="K32" s="115">
        <f t="shared" si="8"/>
        <v>4.8991490418023025E-2</v>
      </c>
      <c r="L32" s="116">
        <f t="shared" si="4"/>
        <v>4.8991490418023025E-2</v>
      </c>
      <c r="M32" s="134">
        <f t="shared" si="7"/>
        <v>10.556380313119611</v>
      </c>
      <c r="N32" s="78">
        <f t="shared" si="6"/>
        <v>-1.1394372459336566</v>
      </c>
      <c r="O32" s="8"/>
      <c r="P32" s="8"/>
      <c r="R32" s="8"/>
      <c r="S32" s="8"/>
      <c r="T32" s="8"/>
      <c r="U32" s="8"/>
      <c r="V32" s="71"/>
      <c r="W32" s="71"/>
      <c r="X32" s="71"/>
      <c r="Y32" s="71"/>
      <c r="Z32" s="8"/>
      <c r="AA32" s="8"/>
      <c r="AB32" s="8"/>
      <c r="AC32" s="8"/>
      <c r="AD32" s="8"/>
      <c r="AE32" s="8"/>
      <c r="AF32" s="8"/>
      <c r="AG32" s="8"/>
      <c r="AH32" s="71"/>
      <c r="AI32" s="9"/>
      <c r="AJ32" s="9"/>
      <c r="AK32" s="9"/>
      <c r="AL32" s="8"/>
      <c r="AM32" s="38"/>
      <c r="AN32" s="38"/>
      <c r="AO32" s="38"/>
      <c r="AP32" s="38"/>
    </row>
    <row r="33" spans="2:42" ht="16.5" thickTop="1" thickBot="1" x14ac:dyDescent="0.3">
      <c r="B33" s="6"/>
      <c r="C33" s="6"/>
      <c r="D33">
        <v>8</v>
      </c>
      <c r="E33" s="95">
        <f>E32</f>
        <v>10</v>
      </c>
      <c r="F33" s="108">
        <v>0</v>
      </c>
      <c r="G33" s="96">
        <v>0</v>
      </c>
      <c r="H33" s="109">
        <v>0</v>
      </c>
      <c r="I33" s="125">
        <f>EXP(E33)/(EXP($E33)+EXP($F33)+EXP($G33)+EXP($H33))</f>
        <v>0.99986381875856889</v>
      </c>
      <c r="J33" s="126">
        <f>EXP(F33)/(EXP($E33)+EXP($F33)+EXP($G33)+EXP($H33))</f>
        <v>4.5393747143688908E-5</v>
      </c>
      <c r="K33" s="127">
        <f t="shared" ref="K33:L33" si="9">EXP(G33)/(EXP($E33)+EXP($F33)+EXP($G33)+EXP($H33))</f>
        <v>4.5393747143688908E-5</v>
      </c>
      <c r="L33" s="128">
        <f t="shared" si="9"/>
        <v>4.5393747143688908E-5</v>
      </c>
      <c r="M33" s="135">
        <f>$N$22*LN(EXP($E33/$N$22)+EXP($F33/$N$22)+EXP($G33/$N$22)+EXP($H33/$N$22))</f>
        <v>10.556380313119611</v>
      </c>
      <c r="N33" s="131">
        <f>SUM(N26:N32)</f>
        <v>10.556380313119611</v>
      </c>
      <c r="O33" s="9" t="s">
        <v>68</v>
      </c>
      <c r="P33" s="9"/>
      <c r="R33" s="9"/>
      <c r="S33" s="9"/>
      <c r="T33" s="9"/>
      <c r="U33" s="9"/>
      <c r="V33" s="9" t="s">
        <v>73</v>
      </c>
      <c r="W33" s="9"/>
      <c r="X33" s="9"/>
      <c r="Y33" s="9"/>
      <c r="Z33" s="9"/>
      <c r="AA33" s="9"/>
      <c r="AB33" s="9"/>
      <c r="AC33" s="9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2:42" ht="15.75" thickBot="1" x14ac:dyDescent="0.3">
      <c r="B34" s="6"/>
      <c r="C34" s="6"/>
      <c r="N34" s="132">
        <f>N33-(SUMPRODUCT(I33:L33,E33:H33))</f>
        <v>0.55774212553392211</v>
      </c>
      <c r="O34" t="s">
        <v>66</v>
      </c>
    </row>
    <row r="35" spans="2:42" x14ac:dyDescent="0.25">
      <c r="B35" s="6"/>
      <c r="C35" s="6"/>
    </row>
    <row r="36" spans="2:42" x14ac:dyDescent="0.25">
      <c r="B36" s="6"/>
      <c r="C36" s="6"/>
    </row>
    <row r="37" spans="2:42" x14ac:dyDescent="0.25">
      <c r="B37" s="6"/>
      <c r="C37" s="6"/>
    </row>
    <row r="38" spans="2:42" ht="15.75" thickBot="1" x14ac:dyDescent="0.3">
      <c r="B38" s="6"/>
      <c r="C38" s="2"/>
      <c r="D38" s="22"/>
      <c r="E38" s="163"/>
      <c r="F38" s="163"/>
      <c r="G38" s="164">
        <v>3</v>
      </c>
      <c r="I38" s="151">
        <v>0</v>
      </c>
      <c r="J38" s="151">
        <v>1</v>
      </c>
    </row>
    <row r="39" spans="2:42" x14ac:dyDescent="0.25">
      <c r="B39" s="6"/>
      <c r="C39" s="8"/>
      <c r="H39" s="151">
        <v>0</v>
      </c>
      <c r="I39" s="152">
        <f>I28</f>
        <v>0.35000000000000003</v>
      </c>
      <c r="J39" s="153">
        <f>J28</f>
        <v>0.21666666666666667</v>
      </c>
      <c r="K39" s="154">
        <f>SUM(I39:J39)</f>
        <v>0.56666666666666665</v>
      </c>
    </row>
    <row r="40" spans="2:42" ht="15.75" thickBot="1" x14ac:dyDescent="0.3">
      <c r="B40" s="6"/>
      <c r="C40" s="8"/>
      <c r="H40" s="151">
        <v>1</v>
      </c>
      <c r="I40" s="155">
        <f>K28</f>
        <v>0.21666666666666667</v>
      </c>
      <c r="J40" s="156">
        <f>L28</f>
        <v>0.21666666666666667</v>
      </c>
      <c r="K40" s="157">
        <f>SUM(I40:J40)</f>
        <v>0.43333333333333335</v>
      </c>
    </row>
    <row r="41" spans="2:42" ht="15.75" thickBot="1" x14ac:dyDescent="0.3">
      <c r="B41" s="6"/>
      <c r="C41" s="8"/>
      <c r="I41" s="158">
        <f>SUM(I39:I40)</f>
        <v>0.56666666666666665</v>
      </c>
      <c r="J41" s="159">
        <f>SUM(J39:J40)</f>
        <v>0.43333333333333335</v>
      </c>
      <c r="K41" s="160">
        <f>SUM(I39:J40)</f>
        <v>1</v>
      </c>
    </row>
    <row r="42" spans="2:42" x14ac:dyDescent="0.25">
      <c r="B42" s="6"/>
      <c r="C42" s="8"/>
      <c r="I42" s="159"/>
      <c r="J42" s="159"/>
      <c r="K42" s="157"/>
    </row>
    <row r="43" spans="2:42" x14ac:dyDescent="0.25">
      <c r="B43" s="6"/>
      <c r="C43" s="8"/>
      <c r="I43" s="159"/>
      <c r="J43" s="159"/>
      <c r="K43" s="157"/>
    </row>
    <row r="44" spans="2:42" ht="15.75" thickBot="1" x14ac:dyDescent="0.3">
      <c r="B44" s="2"/>
      <c r="C44" s="22"/>
      <c r="D44" s="22"/>
      <c r="E44" s="163"/>
      <c r="F44" s="163"/>
      <c r="G44" s="164">
        <v>4</v>
      </c>
      <c r="I44" s="161">
        <v>0</v>
      </c>
      <c r="J44" s="161">
        <v>1</v>
      </c>
      <c r="K44" s="157"/>
    </row>
    <row r="45" spans="2:42" x14ac:dyDescent="0.25">
      <c r="H45" s="151">
        <v>0</v>
      </c>
      <c r="I45" s="152">
        <f>I29</f>
        <v>0.27674497792592351</v>
      </c>
      <c r="J45" s="153">
        <f>J29</f>
        <v>0.21944385739095482</v>
      </c>
      <c r="K45" s="154">
        <f>SUM(I45:J45)</f>
        <v>0.4961888353168783</v>
      </c>
    </row>
    <row r="46" spans="2:42" ht="15.75" thickBot="1" x14ac:dyDescent="0.3">
      <c r="H46" s="151">
        <v>1</v>
      </c>
      <c r="I46" s="155">
        <f>K29</f>
        <v>0.28993821640004058</v>
      </c>
      <c r="J46" s="156">
        <f>L29</f>
        <v>0.21387294828308109</v>
      </c>
      <c r="K46" s="157">
        <f>SUM(I46:J46)</f>
        <v>0.5038111646831217</v>
      </c>
    </row>
    <row r="47" spans="2:42" ht="15.75" thickBot="1" x14ac:dyDescent="0.3">
      <c r="I47" s="158">
        <f>SUM(I45:I46)</f>
        <v>0.56668319432596403</v>
      </c>
      <c r="J47" s="159">
        <f>SUM(J45:J46)</f>
        <v>0.43331680567403591</v>
      </c>
      <c r="K47" s="160">
        <f>SUM(I45:J46)</f>
        <v>1</v>
      </c>
    </row>
    <row r="50" spans="7:7" x14ac:dyDescent="0.25">
      <c r="G50" s="76" t="s">
        <v>72</v>
      </c>
    </row>
  </sheetData>
  <conditionalFormatting sqref="AM26:A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{E3C78D6C-521B-4AFC-91DA-2EC28C87A421}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C78D6C-521B-4AFC-91DA-2EC28C87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AM26:AP32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workbookViewId="0">
      <selection activeCell="P16" sqref="P16"/>
    </sheetView>
  </sheetViews>
  <sheetFormatPr defaultRowHeight="15" x14ac:dyDescent="0.25"/>
  <cols>
    <col min="9" max="9" width="10.28515625" customWidth="1"/>
    <col min="14" max="14" width="13.85546875" customWidth="1"/>
    <col min="15" max="15" width="10.5703125" customWidth="1"/>
  </cols>
  <sheetData>
    <row r="1" spans="2:22" s="8" customFormat="1" x14ac:dyDescent="0.25"/>
    <row r="2" spans="2:22" s="8" customFormat="1" x14ac:dyDescent="0.25">
      <c r="B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2" s="8" customFormat="1" x14ac:dyDescent="0.25">
      <c r="B3" t="s">
        <v>40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2" s="8" customFormat="1" x14ac:dyDescent="0.25">
      <c r="B4"/>
      <c r="C4" t="s">
        <v>48</v>
      </c>
      <c r="D4"/>
      <c r="E4"/>
      <c r="F4"/>
      <c r="G4" t="s">
        <v>50</v>
      </c>
      <c r="H4" t="s">
        <v>54</v>
      </c>
      <c r="I4" t="s">
        <v>55</v>
      </c>
      <c r="J4" t="s">
        <v>53</v>
      </c>
      <c r="K4" t="s">
        <v>52</v>
      </c>
      <c r="L4"/>
      <c r="M4"/>
      <c r="N4"/>
      <c r="O4"/>
      <c r="P4"/>
      <c r="Q4"/>
      <c r="R4" t="s">
        <v>49</v>
      </c>
      <c r="S4"/>
      <c r="T4"/>
      <c r="U4"/>
    </row>
    <row r="5" spans="2:22" s="8" customFormat="1" ht="15.75" thickBot="1" x14ac:dyDescent="0.3">
      <c r="B5"/>
      <c r="C5" t="s">
        <v>41</v>
      </c>
      <c r="D5" t="s">
        <v>42</v>
      </c>
      <c r="E5" t="s">
        <v>47</v>
      </c>
      <c r="F5"/>
      <c r="G5"/>
      <c r="H5"/>
      <c r="I5"/>
      <c r="J5"/>
      <c r="K5"/>
      <c r="L5" t="s">
        <v>41</v>
      </c>
      <c r="M5" t="s">
        <v>42</v>
      </c>
      <c r="N5" t="s">
        <v>47</v>
      </c>
      <c r="O5" t="s">
        <v>51</v>
      </c>
      <c r="P5"/>
      <c r="Q5"/>
      <c r="R5"/>
      <c r="S5"/>
      <c r="T5"/>
      <c r="U5"/>
    </row>
    <row r="6" spans="2:22" s="8" customFormat="1" x14ac:dyDescent="0.25">
      <c r="B6" s="44" t="s">
        <v>13</v>
      </c>
      <c r="C6" s="50">
        <v>0.3</v>
      </c>
      <c r="D6">
        <f>SUM(D9:D10)</f>
        <v>0.30000000000000004</v>
      </c>
      <c r="E6">
        <f>SUM(E9:E10)</f>
        <v>0.30000000000000004</v>
      </c>
      <c r="F6" s="53" t="str">
        <f t="shared" ref="F6:F15" si="0">B6</f>
        <v>a</v>
      </c>
      <c r="G6" s="16">
        <v>0</v>
      </c>
      <c r="H6" s="8">
        <f t="shared" ref="H6:H15" si="1">IF(G6=0,0,1)</f>
        <v>0</v>
      </c>
      <c r="I6" s="8">
        <f>1-SUMPRODUCT($H$6:$H$8,$C$6:$C$8)</f>
        <v>0.30000000000000004</v>
      </c>
      <c r="J6">
        <f>IF(SUM($G$6:$G$8)=0,0,SUM($G$6:$G$8))</f>
        <v>0.2</v>
      </c>
      <c r="K6" s="5">
        <f t="shared" ref="K6:K15" si="2">IF(G6&lt;&gt;0,G6,(G6-J6)*(C6/I6))</f>
        <v>-0.19999999999999996</v>
      </c>
      <c r="L6" s="55">
        <f>C6+K6</f>
        <v>0.10000000000000003</v>
      </c>
      <c r="M6" s="8">
        <f>SUM(M9:M10)</f>
        <v>0.30000000000000004</v>
      </c>
      <c r="N6" s="8">
        <f>SUM(N9:N10)</f>
        <v>0.30000000000000004</v>
      </c>
      <c r="O6" s="56">
        <f>L6-$C6</f>
        <v>-0.19999999999999996</v>
      </c>
      <c r="P6" s="56">
        <f>M6-$C6</f>
        <v>0</v>
      </c>
      <c r="Q6" s="56">
        <f>N6-$C6</f>
        <v>0</v>
      </c>
      <c r="R6" s="5">
        <f t="shared" ref="R6:R15" si="3">C6+SUM(O6:Q6)</f>
        <v>0.10000000000000003</v>
      </c>
      <c r="S6" s="57" t="str">
        <f t="shared" ref="S6:S15" si="4">B6</f>
        <v>a</v>
      </c>
      <c r="T6"/>
      <c r="U6"/>
      <c r="V6" s="8">
        <f>13/23</f>
        <v>0.56521739130434778</v>
      </c>
    </row>
    <row r="7" spans="2:22" s="8" customFormat="1" x14ac:dyDescent="0.25">
      <c r="B7" s="44" t="s">
        <v>36</v>
      </c>
      <c r="C7" s="51">
        <v>0.7</v>
      </c>
      <c r="D7">
        <f>D9/(D9+D10)</f>
        <v>0.69999999999999984</v>
      </c>
      <c r="E7">
        <f>E9/(E9+E10)</f>
        <v>0.69999999999999984</v>
      </c>
      <c r="F7" s="53" t="str">
        <f t="shared" si="0"/>
        <v>b|a</v>
      </c>
      <c r="G7" s="45">
        <v>0.2</v>
      </c>
      <c r="H7" s="8">
        <f t="shared" si="1"/>
        <v>1</v>
      </c>
      <c r="I7" s="8">
        <f>1-SUMPRODUCT($H$6:$H$8,$C$6:$C$8)</f>
        <v>0.30000000000000004</v>
      </c>
      <c r="J7">
        <f>IF(SUM($G$6:$G$8)=0,0,SUM($G$6:$G$8))</f>
        <v>0.2</v>
      </c>
      <c r="K7" s="5">
        <f t="shared" si="2"/>
        <v>0.2</v>
      </c>
      <c r="L7" s="51">
        <f>C7+K7</f>
        <v>0.89999999999999991</v>
      </c>
      <c r="M7" s="8">
        <f>M9/(M9+M10)</f>
        <v>0.69999999999999984</v>
      </c>
      <c r="N7" s="8">
        <f>N9/(N9+N10)</f>
        <v>0.69999999999999984</v>
      </c>
      <c r="O7" s="47">
        <f t="shared" ref="O7:O15" si="5">L7-C7</f>
        <v>0.19999999999999996</v>
      </c>
      <c r="P7" s="47">
        <f t="shared" ref="P7:P15" si="6">M7-D7</f>
        <v>0</v>
      </c>
      <c r="Q7" s="47">
        <f t="shared" ref="Q7:Q15" si="7">N7-E7</f>
        <v>0</v>
      </c>
      <c r="R7" s="5">
        <f t="shared" si="3"/>
        <v>0.89999999999999991</v>
      </c>
      <c r="S7" s="57" t="str">
        <f t="shared" si="4"/>
        <v>b|a</v>
      </c>
      <c r="T7"/>
      <c r="U7"/>
    </row>
    <row r="8" spans="2:22" s="8" customFormat="1" x14ac:dyDescent="0.25">
      <c r="B8" s="44" t="s">
        <v>38</v>
      </c>
      <c r="C8" s="52">
        <v>0.3</v>
      </c>
      <c r="D8">
        <f>D11/(D11+D12)</f>
        <v>0.29999999999999993</v>
      </c>
      <c r="E8">
        <f>E11/(E11+E12)</f>
        <v>0.29999999999999993</v>
      </c>
      <c r="F8" s="53" t="str">
        <f t="shared" si="0"/>
        <v>b|~a</v>
      </c>
      <c r="G8" s="45">
        <v>0</v>
      </c>
      <c r="H8" s="8">
        <f t="shared" si="1"/>
        <v>0</v>
      </c>
      <c r="I8" s="8">
        <f>1-SUMPRODUCT($H$6:$H$8,$C$6:$C$8)</f>
        <v>0.30000000000000004</v>
      </c>
      <c r="J8">
        <f>IF(SUM($G$6:$G$8)=0,0,SUM($G$6:$G$8))</f>
        <v>0.2</v>
      </c>
      <c r="K8" s="5">
        <f t="shared" si="2"/>
        <v>-0.19999999999999996</v>
      </c>
      <c r="L8" s="52">
        <f>C8+K8</f>
        <v>0.10000000000000003</v>
      </c>
      <c r="M8" s="8">
        <f>M11/(M11+M12)</f>
        <v>0.29999999999999993</v>
      </c>
      <c r="N8" s="8">
        <f>N11/(N11+N12)</f>
        <v>0.29999999999999993</v>
      </c>
      <c r="O8" s="47">
        <f t="shared" si="5"/>
        <v>-0.19999999999999996</v>
      </c>
      <c r="P8" s="47">
        <f t="shared" si="6"/>
        <v>0</v>
      </c>
      <c r="Q8" s="47">
        <f t="shared" si="7"/>
        <v>0</v>
      </c>
      <c r="R8" s="5">
        <f t="shared" si="3"/>
        <v>0.10000000000000003</v>
      </c>
      <c r="S8" s="57" t="str">
        <f t="shared" si="4"/>
        <v>b|~a</v>
      </c>
      <c r="T8"/>
      <c r="U8"/>
      <c r="V8" s="8">
        <f>21/(21+17)</f>
        <v>0.55263157894736847</v>
      </c>
    </row>
    <row r="9" spans="2:22" s="8" customFormat="1" x14ac:dyDescent="0.25">
      <c r="B9" s="44" t="s">
        <v>43</v>
      </c>
      <c r="C9" s="8">
        <f>C6*C7</f>
        <v>0.21</v>
      </c>
      <c r="D9">
        <f>D13*D14</f>
        <v>0.21</v>
      </c>
      <c r="E9" s="50">
        <f>D9</f>
        <v>0.21</v>
      </c>
      <c r="F9" s="53" t="str">
        <f t="shared" si="0"/>
        <v>a &amp; b</v>
      </c>
      <c r="G9" s="45">
        <v>0</v>
      </c>
      <c r="H9" s="8">
        <f t="shared" si="1"/>
        <v>0</v>
      </c>
      <c r="I9" s="8">
        <f>1-SUMPRODUCT($H$9:$H$12,$C$9:$C$12)</f>
        <v>1</v>
      </c>
      <c r="J9">
        <f>IF(SUM($G$9:$G$12)=0,0,SUM($G$9:$G$12))</f>
        <v>0</v>
      </c>
      <c r="K9">
        <f t="shared" si="2"/>
        <v>0</v>
      </c>
      <c r="L9" s="8">
        <f>L6*L7</f>
        <v>9.0000000000000024E-2</v>
      </c>
      <c r="M9" s="8">
        <f>M13*M14</f>
        <v>0.21</v>
      </c>
      <c r="N9" s="1">
        <f>E9+K9</f>
        <v>0.21</v>
      </c>
      <c r="O9" s="47">
        <f t="shared" si="5"/>
        <v>-0.11999999999999997</v>
      </c>
      <c r="P9" s="47">
        <f t="shared" si="6"/>
        <v>0</v>
      </c>
      <c r="Q9" s="58">
        <f t="shared" si="7"/>
        <v>0</v>
      </c>
      <c r="R9" s="55">
        <f t="shared" si="3"/>
        <v>9.0000000000000024E-2</v>
      </c>
      <c r="S9" s="57" t="str">
        <f t="shared" si="4"/>
        <v>a &amp; b</v>
      </c>
      <c r="T9"/>
      <c r="U9"/>
      <c r="V9" s="8">
        <f>1003/2003</f>
        <v>0.50074887668497259</v>
      </c>
    </row>
    <row r="10" spans="2:22" s="8" customFormat="1" x14ac:dyDescent="0.25">
      <c r="B10" s="44" t="s">
        <v>44</v>
      </c>
      <c r="C10" s="8">
        <f>C6*(1-C7)</f>
        <v>9.0000000000000011E-2</v>
      </c>
      <c r="D10">
        <f>(1-D13)*D15</f>
        <v>9.0000000000000024E-2</v>
      </c>
      <c r="E10" s="51">
        <f>D10</f>
        <v>9.0000000000000024E-2</v>
      </c>
      <c r="F10" s="53" t="str">
        <f t="shared" si="0"/>
        <v>a &amp; ~b</v>
      </c>
      <c r="G10" s="45">
        <v>0</v>
      </c>
      <c r="H10" s="8">
        <f t="shared" si="1"/>
        <v>0</v>
      </c>
      <c r="I10" s="8">
        <f>1-SUMPRODUCT($H$9:$H$12,$C$9:$C$12)</f>
        <v>1</v>
      </c>
      <c r="J10">
        <f>IF(SUM($G$9:$G$12)=0,0,SUM($G$9:$G$12))</f>
        <v>0</v>
      </c>
      <c r="K10">
        <f t="shared" si="2"/>
        <v>0</v>
      </c>
      <c r="L10" s="8">
        <f>L6*(1-L7)</f>
        <v>1.0000000000000012E-2</v>
      </c>
      <c r="M10" s="8">
        <f>(1-M13)*M15</f>
        <v>9.0000000000000024E-2</v>
      </c>
      <c r="N10" s="6">
        <f>E10+K10</f>
        <v>9.0000000000000024E-2</v>
      </c>
      <c r="O10" s="47">
        <f t="shared" si="5"/>
        <v>-0.08</v>
      </c>
      <c r="P10" s="47">
        <f t="shared" si="6"/>
        <v>0</v>
      </c>
      <c r="Q10" s="58">
        <f t="shared" si="7"/>
        <v>0</v>
      </c>
      <c r="R10" s="60">
        <f t="shared" si="3"/>
        <v>1.0000000000000009E-2</v>
      </c>
      <c r="S10" s="57" t="str">
        <f t="shared" si="4"/>
        <v>a &amp; ~b</v>
      </c>
      <c r="T10"/>
      <c r="U10"/>
    </row>
    <row r="11" spans="2:22" s="8" customFormat="1" x14ac:dyDescent="0.25">
      <c r="B11" s="44" t="s">
        <v>45</v>
      </c>
      <c r="C11" s="8">
        <f>(1-C6)*C8</f>
        <v>0.21</v>
      </c>
      <c r="D11">
        <f>D13*(1-D14)</f>
        <v>0.21</v>
      </c>
      <c r="E11" s="51">
        <f>D11</f>
        <v>0.21</v>
      </c>
      <c r="F11" s="53" t="str">
        <f t="shared" si="0"/>
        <v>~a &amp; b</v>
      </c>
      <c r="G11" s="45">
        <v>0</v>
      </c>
      <c r="H11" s="8">
        <f t="shared" si="1"/>
        <v>0</v>
      </c>
      <c r="I11" s="8">
        <f>1-SUMPRODUCT($H$9:$H$12,$C$9:$C$12)</f>
        <v>1</v>
      </c>
      <c r="J11">
        <f>IF(SUM($G$9:$G$12)=0,0,SUM($G$9:$G$12))</f>
        <v>0</v>
      </c>
      <c r="K11">
        <f t="shared" si="2"/>
        <v>0</v>
      </c>
      <c r="L11" s="8">
        <f>(1-L6)*L8</f>
        <v>9.0000000000000024E-2</v>
      </c>
      <c r="M11" s="8">
        <f>M13*(1-M14)</f>
        <v>0.21</v>
      </c>
      <c r="N11" s="6">
        <f>E11+K11</f>
        <v>0.21</v>
      </c>
      <c r="O11" s="47">
        <f t="shared" si="5"/>
        <v>-0.11999999999999997</v>
      </c>
      <c r="P11" s="47">
        <f t="shared" si="6"/>
        <v>0</v>
      </c>
      <c r="Q11" s="58">
        <f t="shared" si="7"/>
        <v>0</v>
      </c>
      <c r="R11" s="60">
        <f t="shared" si="3"/>
        <v>9.0000000000000024E-2</v>
      </c>
      <c r="S11" s="57" t="str">
        <f t="shared" si="4"/>
        <v>~a &amp; b</v>
      </c>
      <c r="T11"/>
      <c r="U11"/>
    </row>
    <row r="12" spans="2:22" s="8" customFormat="1" x14ac:dyDescent="0.25">
      <c r="B12" s="44" t="s">
        <v>46</v>
      </c>
      <c r="C12" s="8">
        <f>(1-C6)*(1-C8)</f>
        <v>0.48999999999999994</v>
      </c>
      <c r="D12">
        <f>(1-D13)*(1-D15)</f>
        <v>0.49000000000000005</v>
      </c>
      <c r="E12" s="52">
        <f>D12</f>
        <v>0.49000000000000005</v>
      </c>
      <c r="F12" s="53" t="str">
        <f t="shared" si="0"/>
        <v>~a &amp; ~b</v>
      </c>
      <c r="G12" s="45">
        <v>0</v>
      </c>
      <c r="H12" s="8">
        <f t="shared" si="1"/>
        <v>0</v>
      </c>
      <c r="I12" s="8">
        <f>1-SUMPRODUCT($H$9:$H$12,$C$9:$C$12)</f>
        <v>1</v>
      </c>
      <c r="J12">
        <f>IF(SUM($G$9:$G$12)=0,0,SUM($G$9:$G$12))</f>
        <v>0</v>
      </c>
      <c r="K12">
        <f t="shared" si="2"/>
        <v>0</v>
      </c>
      <c r="L12" s="8">
        <f>(1-L6)*(1-L8)</f>
        <v>0.80999999999999983</v>
      </c>
      <c r="M12" s="8">
        <f>(1-M13)*(1-M15)</f>
        <v>0.49000000000000005</v>
      </c>
      <c r="N12" s="2">
        <f>E12+K12</f>
        <v>0.49000000000000005</v>
      </c>
      <c r="O12" s="47">
        <f t="shared" si="5"/>
        <v>0.3199999999999999</v>
      </c>
      <c r="P12" s="47">
        <f t="shared" si="6"/>
        <v>0</v>
      </c>
      <c r="Q12" s="58">
        <f t="shared" si="7"/>
        <v>0</v>
      </c>
      <c r="R12" s="61">
        <f t="shared" si="3"/>
        <v>0.80999999999999983</v>
      </c>
      <c r="S12" s="57" t="str">
        <f t="shared" si="4"/>
        <v>~a &amp; ~b</v>
      </c>
      <c r="T12"/>
      <c r="U12"/>
    </row>
    <row r="13" spans="2:22" s="8" customFormat="1" ht="18" customHeight="1" x14ac:dyDescent="0.25">
      <c r="B13" s="53" t="s">
        <v>14</v>
      </c>
      <c r="C13">
        <f>C9+C11</f>
        <v>0.42</v>
      </c>
      <c r="D13" s="50">
        <f>C13</f>
        <v>0.42</v>
      </c>
      <c r="E13">
        <f>E9+E11</f>
        <v>0.42</v>
      </c>
      <c r="F13" s="53" t="str">
        <f t="shared" si="0"/>
        <v>b</v>
      </c>
      <c r="G13" s="45">
        <v>0</v>
      </c>
      <c r="H13" s="8">
        <f t="shared" si="1"/>
        <v>0</v>
      </c>
      <c r="I13" s="8">
        <f>1-SUMPRODUCT($H$13:$H$15,$C$13:$C$15)</f>
        <v>1</v>
      </c>
      <c r="J13">
        <f>IF(SUM($G$13:$G$15)=0,0,SUM($G$13:$G$15))</f>
        <v>0</v>
      </c>
      <c r="K13">
        <f t="shared" si="2"/>
        <v>0</v>
      </c>
      <c r="L13" s="8">
        <f>L9+L11</f>
        <v>0.18000000000000005</v>
      </c>
      <c r="M13" s="50">
        <f>D13+K13</f>
        <v>0.42</v>
      </c>
      <c r="N13" s="8">
        <f>N9+N11</f>
        <v>0.42</v>
      </c>
      <c r="O13" s="47">
        <f t="shared" si="5"/>
        <v>-0.23999999999999994</v>
      </c>
      <c r="P13" s="47">
        <f t="shared" si="6"/>
        <v>0</v>
      </c>
      <c r="Q13" s="58">
        <f t="shared" si="7"/>
        <v>0</v>
      </c>
      <c r="R13" s="15">
        <f t="shared" si="3"/>
        <v>0.18000000000000005</v>
      </c>
      <c r="S13" s="57" t="str">
        <f t="shared" si="4"/>
        <v>b</v>
      </c>
      <c r="T13"/>
      <c r="U13"/>
    </row>
    <row r="14" spans="2:22" s="8" customFormat="1" x14ac:dyDescent="0.25">
      <c r="B14" s="53" t="s">
        <v>37</v>
      </c>
      <c r="C14">
        <f>C9/(C9+C11)</f>
        <v>0.5</v>
      </c>
      <c r="D14" s="51">
        <f>C14</f>
        <v>0.5</v>
      </c>
      <c r="E14">
        <f>E9/(E9+E11)</f>
        <v>0.5</v>
      </c>
      <c r="F14" s="53" t="str">
        <f t="shared" si="0"/>
        <v>a|b</v>
      </c>
      <c r="G14" s="45">
        <v>0</v>
      </c>
      <c r="H14" s="8">
        <f t="shared" si="1"/>
        <v>0</v>
      </c>
      <c r="I14" s="8">
        <f>1-SUMPRODUCT($H$13:$H$15,$C$13:$C$15)</f>
        <v>1</v>
      </c>
      <c r="J14">
        <f>IF(SUM($G$13:$G$15)=0,0,SUM($G$13:$G$15))</f>
        <v>0</v>
      </c>
      <c r="K14">
        <f t="shared" si="2"/>
        <v>0</v>
      </c>
      <c r="L14" s="8">
        <f>L9/(L9+L11)</f>
        <v>0.5</v>
      </c>
      <c r="M14" s="51">
        <f>D14+K14</f>
        <v>0.5</v>
      </c>
      <c r="N14" s="8">
        <f>N9/(N9+N11)</f>
        <v>0.5</v>
      </c>
      <c r="O14" s="47">
        <f t="shared" si="5"/>
        <v>0</v>
      </c>
      <c r="P14" s="47">
        <f t="shared" si="6"/>
        <v>0</v>
      </c>
      <c r="Q14" s="58">
        <f t="shared" si="7"/>
        <v>0</v>
      </c>
      <c r="R14" s="15">
        <f t="shared" si="3"/>
        <v>0.5</v>
      </c>
      <c r="S14" s="57" t="str">
        <f t="shared" si="4"/>
        <v>a|b</v>
      </c>
      <c r="T14"/>
      <c r="U14"/>
    </row>
    <row r="15" spans="2:22" s="8" customFormat="1" ht="15.75" thickBot="1" x14ac:dyDescent="0.3">
      <c r="B15" s="53" t="s">
        <v>39</v>
      </c>
      <c r="C15">
        <f>C10/(C10+C12)</f>
        <v>0.15517241379310348</v>
      </c>
      <c r="D15" s="52">
        <f>C15</f>
        <v>0.15517241379310348</v>
      </c>
      <c r="E15">
        <f>E10/(E10+E12)</f>
        <v>0.15517241379310348</v>
      </c>
      <c r="F15" s="53" t="str">
        <f t="shared" si="0"/>
        <v>a|~b</v>
      </c>
      <c r="G15" s="49">
        <v>0</v>
      </c>
      <c r="H15" s="8">
        <f t="shared" si="1"/>
        <v>0</v>
      </c>
      <c r="I15" s="8">
        <f>1-SUMPRODUCT($H$13:$H$15,$C$13:$C$15)</f>
        <v>1</v>
      </c>
      <c r="J15">
        <f>IF(SUM($G$13:$G$15)=0,0,SUM($G$13:$G$15))</f>
        <v>0</v>
      </c>
      <c r="K15">
        <f t="shared" si="2"/>
        <v>0</v>
      </c>
      <c r="L15" s="8">
        <f>L10/(L10+L12)</f>
        <v>1.219512195121953E-2</v>
      </c>
      <c r="M15" s="52">
        <f>D15+K15</f>
        <v>0.15517241379310348</v>
      </c>
      <c r="N15" s="8">
        <f>N10/(N10+N12)</f>
        <v>0.15517241379310348</v>
      </c>
      <c r="O15" s="48">
        <f t="shared" si="5"/>
        <v>-0.14297729184188396</v>
      </c>
      <c r="P15" s="48">
        <f t="shared" si="6"/>
        <v>0</v>
      </c>
      <c r="Q15" s="59">
        <f t="shared" si="7"/>
        <v>0</v>
      </c>
      <c r="R15" s="15">
        <f t="shared" si="3"/>
        <v>1.2195121951219523E-2</v>
      </c>
      <c r="S15" s="57" t="str">
        <f t="shared" si="4"/>
        <v>a|~b</v>
      </c>
      <c r="T15"/>
      <c r="U15"/>
    </row>
    <row r="16" spans="2:22" s="8" customFormat="1" x14ac:dyDescent="0.25">
      <c r="B16"/>
      <c r="C16"/>
      <c r="D16"/>
      <c r="E16"/>
      <c r="F16"/>
      <c r="G16"/>
      <c r="H16"/>
      <c r="I16"/>
      <c r="J16"/>
      <c r="K16"/>
      <c r="O16"/>
      <c r="P16"/>
      <c r="Q16"/>
      <c r="R16" s="6"/>
      <c r="S16"/>
      <c r="T16"/>
      <c r="U16"/>
    </row>
    <row r="17" spans="1:36" s="8" customFormat="1" x14ac:dyDescent="0.25">
      <c r="B17"/>
      <c r="C17">
        <f>SUM(C9:C12)</f>
        <v>1</v>
      </c>
      <c r="D17">
        <f>SUM(D9:D12)</f>
        <v>1</v>
      </c>
      <c r="E17">
        <f>SUM(E9:E12)</f>
        <v>1</v>
      </c>
      <c r="F17">
        <f>SUM(F9:F12)</f>
        <v>0</v>
      </c>
      <c r="G17">
        <f>SUM(G9:G12)</f>
        <v>0</v>
      </c>
      <c r="H17"/>
      <c r="I17"/>
      <c r="J17"/>
      <c r="K17"/>
      <c r="L17">
        <f t="shared" ref="L17:Q17" si="8">SUM(L9:L12)</f>
        <v>0.99999999999999989</v>
      </c>
      <c r="M17">
        <f t="shared" si="8"/>
        <v>1</v>
      </c>
      <c r="N17">
        <f t="shared" si="8"/>
        <v>1</v>
      </c>
      <c r="O17">
        <f t="shared" si="8"/>
        <v>0</v>
      </c>
      <c r="P17">
        <f t="shared" si="8"/>
        <v>0</v>
      </c>
      <c r="Q17">
        <f t="shared" si="8"/>
        <v>0</v>
      </c>
      <c r="R17" s="6"/>
      <c r="S17"/>
      <c r="T17"/>
      <c r="U17"/>
    </row>
    <row r="18" spans="1:36" s="8" customForma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 s="6"/>
      <c r="S18"/>
      <c r="T18"/>
      <c r="U18"/>
    </row>
    <row r="19" spans="1:36" x14ac:dyDescent="0.25">
      <c r="R19" s="2">
        <f>INDEX($R$9:$R$12,COLUMN(Q19)-COLUMN($P$19))</f>
        <v>9.0000000000000024E-2</v>
      </c>
      <c r="S19" s="22">
        <f>INDEX($R$9:$R$12,COLUMN(R19)-COLUMN($P$19))</f>
        <v>1.0000000000000009E-2</v>
      </c>
      <c r="T19" s="22">
        <f>INDEX($R$9:$R$12,COLUMN(S19)-COLUMN($P$19))</f>
        <v>9.0000000000000024E-2</v>
      </c>
      <c r="U19" s="22">
        <f>INDEX($R$9:$R$12,COLUMN(T19)-COLUMN($P$19))</f>
        <v>0.80999999999999983</v>
      </c>
    </row>
    <row r="20" spans="1:36" x14ac:dyDescent="0.25">
      <c r="B20" t="s">
        <v>13</v>
      </c>
      <c r="C20" t="s">
        <v>19</v>
      </c>
      <c r="D20" t="s">
        <v>20</v>
      </c>
      <c r="F20">
        <f>2^2</f>
        <v>4</v>
      </c>
      <c r="H20" t="s">
        <v>34</v>
      </c>
      <c r="I20" t="s">
        <v>35</v>
      </c>
    </row>
    <row r="21" spans="1:36" x14ac:dyDescent="0.25">
      <c r="B21" t="s">
        <v>14</v>
      </c>
      <c r="C21" t="s">
        <v>11</v>
      </c>
      <c r="D21" t="s">
        <v>12</v>
      </c>
      <c r="H21">
        <f>X25</f>
        <v>2.4079456086518718</v>
      </c>
      <c r="I21">
        <f>X25/F20</f>
        <v>0.60198640216296795</v>
      </c>
    </row>
    <row r="22" spans="1:36" ht="15.75" thickBot="1" x14ac:dyDescent="0.3">
      <c r="X22" t="s">
        <v>2</v>
      </c>
      <c r="AB22" t="s">
        <v>33</v>
      </c>
    </row>
    <row r="23" spans="1:36" ht="27.75" customHeight="1" x14ac:dyDescent="0.25">
      <c r="A23" s="43"/>
      <c r="B23" s="43"/>
      <c r="C23" s="26" t="s">
        <v>22</v>
      </c>
      <c r="D23" s="26"/>
      <c r="E23" s="26"/>
      <c r="F23" s="26"/>
      <c r="G23" s="23" t="s">
        <v>4</v>
      </c>
      <c r="H23" s="24"/>
      <c r="I23" s="24"/>
      <c r="J23" s="25"/>
      <c r="K23" s="26" t="s">
        <v>5</v>
      </c>
      <c r="L23" s="26"/>
      <c r="M23" s="26"/>
      <c r="N23" s="26"/>
      <c r="O23" s="27" t="s">
        <v>23</v>
      </c>
      <c r="P23" s="4" t="s">
        <v>25</v>
      </c>
      <c r="S23" s="7"/>
      <c r="T23" s="4" t="s">
        <v>26</v>
      </c>
      <c r="X23" t="s">
        <v>7</v>
      </c>
      <c r="AB23" t="s">
        <v>8</v>
      </c>
      <c r="AG23" s="12" t="str">
        <f>C23</f>
        <v>Probability</v>
      </c>
      <c r="AH23" s="13"/>
      <c r="AI23" s="13"/>
      <c r="AJ23" s="14"/>
    </row>
    <row r="24" spans="1:36" ht="15.75" thickBot="1" x14ac:dyDescent="0.3">
      <c r="A24" s="8"/>
      <c r="B24" s="8"/>
      <c r="C24" s="21" t="s">
        <v>15</v>
      </c>
      <c r="D24" s="21" t="s">
        <v>16</v>
      </c>
      <c r="E24" s="21" t="s">
        <v>17</v>
      </c>
      <c r="F24" s="21" t="s">
        <v>18</v>
      </c>
      <c r="G24" s="17" t="s">
        <v>15</v>
      </c>
      <c r="H24" s="21" t="s">
        <v>16</v>
      </c>
      <c r="I24" s="21" t="s">
        <v>17</v>
      </c>
      <c r="J24" s="18" t="s">
        <v>18</v>
      </c>
      <c r="K24" s="21" t="s">
        <v>15</v>
      </c>
      <c r="L24" s="21" t="s">
        <v>16</v>
      </c>
      <c r="M24" s="21" t="s">
        <v>17</v>
      </c>
      <c r="N24" s="21" t="s">
        <v>18</v>
      </c>
      <c r="O24" s="18" t="s">
        <v>24</v>
      </c>
      <c r="P24" s="21" t="s">
        <v>15</v>
      </c>
      <c r="Q24" s="21" t="s">
        <v>16</v>
      </c>
      <c r="R24" s="21" t="s">
        <v>17</v>
      </c>
      <c r="S24" s="18" t="s">
        <v>18</v>
      </c>
      <c r="T24" s="21" t="s">
        <v>15</v>
      </c>
      <c r="U24" s="21" t="s">
        <v>16</v>
      </c>
      <c r="V24" s="21" t="s">
        <v>17</v>
      </c>
      <c r="W24" s="18" t="s">
        <v>18</v>
      </c>
      <c r="X24" s="21" t="s">
        <v>15</v>
      </c>
      <c r="Y24" s="21" t="s">
        <v>16</v>
      </c>
      <c r="Z24" s="21" t="s">
        <v>17</v>
      </c>
      <c r="AA24" s="18" t="s">
        <v>18</v>
      </c>
      <c r="AB24" s="21" t="s">
        <v>15</v>
      </c>
      <c r="AC24" s="21" t="s">
        <v>16</v>
      </c>
      <c r="AD24" s="21" t="s">
        <v>17</v>
      </c>
      <c r="AE24" s="18" t="s">
        <v>18</v>
      </c>
      <c r="AG24" s="34" t="str">
        <f>C24</f>
        <v>i=0,0</v>
      </c>
      <c r="AH24" s="35" t="str">
        <f>D24</f>
        <v>i=0,1</v>
      </c>
      <c r="AI24" s="35" t="str">
        <f>E24</f>
        <v>i=1,0</v>
      </c>
      <c r="AJ24" s="36" t="str">
        <f>F24</f>
        <v>i=1,1</v>
      </c>
    </row>
    <row r="25" spans="1:36" ht="15.75" thickTop="1" x14ac:dyDescent="0.25">
      <c r="A25" s="8"/>
      <c r="B25" t="s">
        <v>3</v>
      </c>
      <c r="C25" s="22">
        <v>0.21</v>
      </c>
      <c r="D25" s="22">
        <v>9.0000000000000011E-2</v>
      </c>
      <c r="E25" s="22">
        <v>0.21</v>
      </c>
      <c r="F25" s="22">
        <v>0.48999999999999994</v>
      </c>
      <c r="G25" s="2">
        <f>-LN(C25)</f>
        <v>1.5606477482646683</v>
      </c>
      <c r="H25" s="22">
        <f>-LN(D25)</f>
        <v>2.4079456086518718</v>
      </c>
      <c r="I25" s="22">
        <f t="shared" ref="H25:J31" si="9">-LN(E25)</f>
        <v>1.5606477482646683</v>
      </c>
      <c r="J25" s="3">
        <f t="shared" si="9"/>
        <v>0.71334988787746489</v>
      </c>
      <c r="K25" s="22">
        <f>G25-0</f>
        <v>1.5606477482646683</v>
      </c>
      <c r="L25" s="22">
        <f t="shared" ref="L25:N25" si="10">H25-0</f>
        <v>2.4079456086518718</v>
      </c>
      <c r="M25" s="22">
        <f t="shared" si="10"/>
        <v>1.5606477482646683</v>
      </c>
      <c r="N25" s="31">
        <f t="shared" si="10"/>
        <v>0.71334988787746489</v>
      </c>
      <c r="O25" s="3">
        <f>MAX(K25:N25)</f>
        <v>2.4079456086518718</v>
      </c>
      <c r="P25" s="29">
        <f>$O25-K25</f>
        <v>0.84729786038720345</v>
      </c>
      <c r="Q25" s="29">
        <f t="shared" ref="Q25:S31" si="11">$O25-L25</f>
        <v>0</v>
      </c>
      <c r="R25" s="29">
        <f t="shared" si="11"/>
        <v>0.84729786038720345</v>
      </c>
      <c r="S25" s="20">
        <f t="shared" si="11"/>
        <v>1.6945957207744069</v>
      </c>
      <c r="T25" s="22"/>
      <c r="U25" s="22"/>
      <c r="V25" s="22"/>
      <c r="W25" s="22"/>
      <c r="X25" s="22">
        <f>$W$29+$O25</f>
        <v>2.4079456086518718</v>
      </c>
      <c r="Y25" s="22">
        <f t="shared" ref="Y25:AA25" si="12">$W$29+$O25</f>
        <v>2.4079456086518718</v>
      </c>
      <c r="Z25" s="22">
        <f t="shared" si="12"/>
        <v>2.4079456086518718</v>
      </c>
      <c r="AA25" s="3">
        <f t="shared" si="12"/>
        <v>2.4079456086518718</v>
      </c>
      <c r="AB25" s="22"/>
      <c r="AC25" s="22"/>
      <c r="AD25" s="22"/>
      <c r="AE25" s="3"/>
      <c r="AF25" t="str">
        <f t="shared" ref="AF25:AF31" si="13">B25</f>
        <v>Prior</v>
      </c>
      <c r="AG25" s="37">
        <f t="shared" ref="AG25:AJ31" si="14">C25</f>
        <v>0.21</v>
      </c>
      <c r="AH25" s="38">
        <f t="shared" si="14"/>
        <v>9.0000000000000011E-2</v>
      </c>
      <c r="AI25" s="38">
        <f t="shared" si="14"/>
        <v>0.21</v>
      </c>
      <c r="AJ25" s="39">
        <f t="shared" si="14"/>
        <v>0.48999999999999994</v>
      </c>
    </row>
    <row r="26" spans="1:36" x14ac:dyDescent="0.25">
      <c r="A26" s="8"/>
      <c r="B26" t="s">
        <v>27</v>
      </c>
      <c r="C26">
        <v>9.0000000000000024E-2</v>
      </c>
      <c r="D26">
        <v>1.0000000000000009E-2</v>
      </c>
      <c r="E26">
        <v>9.0000000000000024E-2</v>
      </c>
      <c r="F26">
        <v>0.80999999999999983</v>
      </c>
      <c r="G26" s="6">
        <f>-LN(C26)</f>
        <v>2.4079456086518718</v>
      </c>
      <c r="H26">
        <f t="shared" si="9"/>
        <v>4.6051701859880909</v>
      </c>
      <c r="I26">
        <f t="shared" si="9"/>
        <v>2.4079456086518718</v>
      </c>
      <c r="J26" s="7">
        <f t="shared" si="9"/>
        <v>0.21072103131565281</v>
      </c>
      <c r="K26">
        <f>G26-G25</f>
        <v>0.84729786038720345</v>
      </c>
      <c r="L26">
        <f t="shared" ref="L26:N31" si="15">H26-H25</f>
        <v>2.1972245773362191</v>
      </c>
      <c r="M26">
        <f t="shared" si="15"/>
        <v>0.84729786038720345</v>
      </c>
      <c r="N26" s="7">
        <f t="shared" si="15"/>
        <v>-0.50262885656181211</v>
      </c>
      <c r="O26" s="7">
        <f>MAX(K26:N26)</f>
        <v>2.1972245773362191</v>
      </c>
      <c r="P26" s="9">
        <f>$O26-K26</f>
        <v>1.3499267169490157</v>
      </c>
      <c r="Q26" s="9">
        <f t="shared" si="11"/>
        <v>0</v>
      </c>
      <c r="R26" s="9">
        <f>$O26-M26</f>
        <v>1.3499267169490157</v>
      </c>
      <c r="S26" s="10">
        <f>$O26-N26</f>
        <v>2.6998534338980313</v>
      </c>
      <c r="X26">
        <f>X25+$O26</f>
        <v>4.6051701859880909</v>
      </c>
      <c r="Y26">
        <f t="shared" ref="Y26:AA31" si="16">Y25+$O26</f>
        <v>4.6051701859880909</v>
      </c>
      <c r="Z26">
        <f t="shared" si="16"/>
        <v>4.6051701859880909</v>
      </c>
      <c r="AA26" s="7">
        <f t="shared" si="16"/>
        <v>4.6051701859880909</v>
      </c>
      <c r="AB26" s="9">
        <f>P26-$O26</f>
        <v>-0.84729786038720345</v>
      </c>
      <c r="AC26" s="9">
        <f t="shared" ref="AC26:AE31" si="17">Q26-$O26</f>
        <v>-2.1972245773362191</v>
      </c>
      <c r="AD26" s="9">
        <f t="shared" si="17"/>
        <v>-0.84729786038720345</v>
      </c>
      <c r="AE26" s="10">
        <f>S26-$O26</f>
        <v>0.50262885656181222</v>
      </c>
      <c r="AF26" t="str">
        <f t="shared" si="13"/>
        <v>Trader 1</v>
      </c>
      <c r="AG26" s="37">
        <f t="shared" si="14"/>
        <v>9.0000000000000024E-2</v>
      </c>
      <c r="AH26" s="38">
        <f t="shared" si="14"/>
        <v>1.0000000000000009E-2</v>
      </c>
      <c r="AI26" s="38">
        <f t="shared" si="14"/>
        <v>9.0000000000000024E-2</v>
      </c>
      <c r="AJ26" s="39">
        <f t="shared" si="14"/>
        <v>0.80999999999999983</v>
      </c>
    </row>
    <row r="27" spans="1:36" x14ac:dyDescent="0.25">
      <c r="A27" s="8"/>
      <c r="B27" t="s">
        <v>28</v>
      </c>
      <c r="C27">
        <v>0.21000000000000002</v>
      </c>
      <c r="D27">
        <v>9.0000000000000024E-2</v>
      </c>
      <c r="E27">
        <v>0.21000000000000002</v>
      </c>
      <c r="F27">
        <v>0.49</v>
      </c>
      <c r="G27" s="6">
        <f t="shared" ref="G27:G31" si="18">-LN(C27)</f>
        <v>1.5606477482646683</v>
      </c>
      <c r="H27">
        <f t="shared" si="9"/>
        <v>2.4079456086518718</v>
      </c>
      <c r="I27">
        <f t="shared" si="9"/>
        <v>1.5606477482646683</v>
      </c>
      <c r="J27" s="7">
        <f t="shared" si="9"/>
        <v>0.71334988787746478</v>
      </c>
      <c r="K27">
        <f t="shared" ref="K27:K31" si="19">G27-G26</f>
        <v>-0.84729786038720345</v>
      </c>
      <c r="L27">
        <f t="shared" si="15"/>
        <v>-2.1972245773362191</v>
      </c>
      <c r="M27">
        <f t="shared" si="15"/>
        <v>-0.84729786038720345</v>
      </c>
      <c r="N27" s="7">
        <f t="shared" si="15"/>
        <v>0.502628856561812</v>
      </c>
      <c r="O27" s="7">
        <f t="shared" ref="O27:O28" si="20">MAX(K27:N27)</f>
        <v>0.502628856561812</v>
      </c>
      <c r="P27" s="9">
        <f t="shared" ref="P27:P31" si="21">$O27-K27</f>
        <v>1.3499267169490154</v>
      </c>
      <c r="Q27" s="9">
        <f t="shared" si="11"/>
        <v>2.6998534338980313</v>
      </c>
      <c r="R27" s="9">
        <f t="shared" si="11"/>
        <v>1.3499267169490154</v>
      </c>
      <c r="S27" s="10">
        <f t="shared" si="11"/>
        <v>0</v>
      </c>
      <c r="X27">
        <f t="shared" ref="X27:X30" si="22">X26+$O27</f>
        <v>5.1077990425499031</v>
      </c>
      <c r="Y27">
        <f t="shared" si="16"/>
        <v>5.1077990425499031</v>
      </c>
      <c r="Z27">
        <f t="shared" si="16"/>
        <v>5.1077990425499031</v>
      </c>
      <c r="AA27" s="7">
        <f t="shared" si="16"/>
        <v>5.1077990425499031</v>
      </c>
      <c r="AB27" s="9">
        <f>P27-$O27</f>
        <v>0.84729786038720345</v>
      </c>
      <c r="AC27" s="9">
        <f t="shared" si="17"/>
        <v>2.1972245773362191</v>
      </c>
      <c r="AD27" s="9">
        <f t="shared" si="17"/>
        <v>0.84729786038720345</v>
      </c>
      <c r="AE27" s="10">
        <f>S27-$O27</f>
        <v>-0.502628856561812</v>
      </c>
      <c r="AF27" t="str">
        <f t="shared" si="13"/>
        <v>Trader 2</v>
      </c>
      <c r="AG27" s="37">
        <f t="shared" si="14"/>
        <v>0.21000000000000002</v>
      </c>
      <c r="AH27" s="38">
        <f t="shared" si="14"/>
        <v>9.0000000000000024E-2</v>
      </c>
      <c r="AI27" s="38">
        <f t="shared" si="14"/>
        <v>0.21000000000000002</v>
      </c>
      <c r="AJ27" s="39">
        <f t="shared" si="14"/>
        <v>0.49</v>
      </c>
    </row>
    <row r="28" spans="1:36" x14ac:dyDescent="0.25">
      <c r="A28" s="9"/>
      <c r="B28" t="s">
        <v>29</v>
      </c>
      <c r="C28" s="54">
        <v>0.17012658227848101</v>
      </c>
      <c r="D28" s="54">
        <v>7.2911392405063294E-2</v>
      </c>
      <c r="E28" s="54">
        <v>0.36</v>
      </c>
      <c r="F28" s="54">
        <v>0.39696202531645564</v>
      </c>
      <c r="G28" s="6">
        <f t="shared" si="18"/>
        <v>1.7712125173720179</v>
      </c>
      <c r="H28">
        <f t="shared" si="9"/>
        <v>2.6185103777592218</v>
      </c>
      <c r="I28">
        <f t="shared" si="9"/>
        <v>1.0216512475319814</v>
      </c>
      <c r="J28" s="7">
        <f t="shared" si="9"/>
        <v>0.92391465698481456</v>
      </c>
      <c r="K28">
        <f t="shared" si="19"/>
        <v>0.21056476910734956</v>
      </c>
      <c r="L28">
        <f t="shared" si="15"/>
        <v>0.21056476910735</v>
      </c>
      <c r="M28">
        <f t="shared" si="15"/>
        <v>-0.5389965007326869</v>
      </c>
      <c r="N28" s="7">
        <f t="shared" si="15"/>
        <v>0.21056476910734978</v>
      </c>
      <c r="O28" s="7">
        <f t="shared" si="20"/>
        <v>0.21056476910735</v>
      </c>
      <c r="P28" s="9">
        <f>$O28-K28</f>
        <v>4.4408920985006262E-16</v>
      </c>
      <c r="Q28" s="9">
        <f>$O28-L28</f>
        <v>0</v>
      </c>
      <c r="R28" s="9">
        <f t="shared" si="11"/>
        <v>0.7495612698400369</v>
      </c>
      <c r="S28" s="10">
        <f t="shared" si="11"/>
        <v>2.2204460492503131E-16</v>
      </c>
      <c r="V28" s="11"/>
      <c r="W28" s="32" t="s">
        <v>6</v>
      </c>
      <c r="X28">
        <f t="shared" si="22"/>
        <v>5.3183638116572531</v>
      </c>
      <c r="Y28">
        <f t="shared" si="16"/>
        <v>5.3183638116572531</v>
      </c>
      <c r="Z28">
        <f t="shared" si="16"/>
        <v>5.3183638116572531</v>
      </c>
      <c r="AA28" s="7">
        <f t="shared" si="16"/>
        <v>5.3183638116572531</v>
      </c>
      <c r="AB28" s="9">
        <f>P28-$O28</f>
        <v>-0.21056476910734956</v>
      </c>
      <c r="AC28" s="9">
        <f t="shared" si="17"/>
        <v>-0.21056476910735</v>
      </c>
      <c r="AD28" s="9">
        <f t="shared" si="17"/>
        <v>0.5389965007326869</v>
      </c>
      <c r="AE28" s="10">
        <f t="shared" si="17"/>
        <v>-0.21056476910734978</v>
      </c>
      <c r="AF28" t="str">
        <f t="shared" si="13"/>
        <v>Trader 3</v>
      </c>
      <c r="AG28" s="37">
        <f t="shared" si="14"/>
        <v>0.17012658227848101</v>
      </c>
      <c r="AH28" s="38">
        <f t="shared" si="14"/>
        <v>7.2911392405063294E-2</v>
      </c>
      <c r="AI28" s="38">
        <f t="shared" si="14"/>
        <v>0.36</v>
      </c>
      <c r="AJ28" s="39">
        <f t="shared" si="14"/>
        <v>0.39696202531645564</v>
      </c>
    </row>
    <row r="29" spans="1:36" x14ac:dyDescent="0.25">
      <c r="A29" s="9"/>
      <c r="B29" t="s">
        <v>30</v>
      </c>
      <c r="C29" s="54">
        <v>0.12</v>
      </c>
      <c r="D29" s="54">
        <v>0.08</v>
      </c>
      <c r="E29" s="54">
        <v>0.62</v>
      </c>
      <c r="F29" s="54">
        <v>0.12</v>
      </c>
      <c r="G29" s="6">
        <f t="shared" si="18"/>
        <v>2.120263536200091</v>
      </c>
      <c r="H29">
        <f t="shared" si="9"/>
        <v>2.5257286443082556</v>
      </c>
      <c r="I29">
        <f t="shared" si="9"/>
        <v>0.4780358009429998</v>
      </c>
      <c r="J29" s="7">
        <f t="shared" si="9"/>
        <v>2.120263536200091</v>
      </c>
      <c r="K29" s="54">
        <f t="shared" si="19"/>
        <v>0.3490510188280731</v>
      </c>
      <c r="L29" s="54">
        <f t="shared" si="15"/>
        <v>-9.2781733450966186E-2</v>
      </c>
      <c r="M29" s="54">
        <f t="shared" si="15"/>
        <v>-0.54361544658898164</v>
      </c>
      <c r="N29" s="62">
        <f>J29-J28</f>
        <v>1.1963488792152766</v>
      </c>
      <c r="O29" s="62">
        <f>MAX(K29:N29)</f>
        <v>1.1963488792152766</v>
      </c>
      <c r="P29" s="65">
        <f t="shared" si="21"/>
        <v>0.84729786038720345</v>
      </c>
      <c r="Q29" s="65">
        <f t="shared" si="11"/>
        <v>1.2891306126662427</v>
      </c>
      <c r="R29" s="65">
        <f t="shared" si="11"/>
        <v>1.7399643258042583</v>
      </c>
      <c r="S29" s="66">
        <f t="shared" si="11"/>
        <v>0</v>
      </c>
      <c r="W29" s="7">
        <f>MAX(T32:W32,0)</f>
        <v>0</v>
      </c>
      <c r="X29">
        <f t="shared" si="22"/>
        <v>6.5147126908725301</v>
      </c>
      <c r="Y29">
        <f>Y28+$O29</f>
        <v>6.5147126908725301</v>
      </c>
      <c r="Z29">
        <f t="shared" si="16"/>
        <v>6.5147126908725301</v>
      </c>
      <c r="AA29" s="7">
        <f t="shared" si="16"/>
        <v>6.5147126908725301</v>
      </c>
      <c r="AB29" s="65">
        <f t="shared" ref="AB29:AB31" si="23">P29-$O29</f>
        <v>-0.3490510188280731</v>
      </c>
      <c r="AC29" s="65">
        <f t="shared" si="17"/>
        <v>9.2781733450966186E-2</v>
      </c>
      <c r="AD29" s="65">
        <f t="shared" si="17"/>
        <v>0.54361544658898175</v>
      </c>
      <c r="AE29" s="66">
        <f t="shared" si="17"/>
        <v>-1.1963488792152766</v>
      </c>
      <c r="AF29" t="str">
        <f t="shared" si="13"/>
        <v>Trader 4</v>
      </c>
      <c r="AG29" s="37">
        <f t="shared" si="14"/>
        <v>0.12</v>
      </c>
      <c r="AH29" s="38">
        <f t="shared" si="14"/>
        <v>0.08</v>
      </c>
      <c r="AI29" s="38">
        <f t="shared" si="14"/>
        <v>0.62</v>
      </c>
      <c r="AJ29" s="39">
        <f t="shared" si="14"/>
        <v>0.12</v>
      </c>
    </row>
    <row r="30" spans="1:36" x14ac:dyDescent="0.25">
      <c r="A30" s="9"/>
      <c r="B30" t="s">
        <v>31</v>
      </c>
      <c r="C30" s="54">
        <v>0.1</v>
      </c>
      <c r="D30" s="54">
        <v>0.1</v>
      </c>
      <c r="E30" s="54">
        <v>0.71</v>
      </c>
      <c r="F30" s="54">
        <v>0.09</v>
      </c>
      <c r="G30" s="6">
        <f t="shared" si="18"/>
        <v>2.3025850929940455</v>
      </c>
      <c r="H30">
        <f t="shared" si="9"/>
        <v>2.3025850929940455</v>
      </c>
      <c r="I30">
        <f t="shared" si="9"/>
        <v>0.34249030894677601</v>
      </c>
      <c r="J30" s="7">
        <f t="shared" si="9"/>
        <v>2.4079456086518722</v>
      </c>
      <c r="K30" s="54">
        <f t="shared" si="19"/>
        <v>0.18232155679395445</v>
      </c>
      <c r="L30" s="54">
        <f t="shared" si="15"/>
        <v>-0.22314355131421015</v>
      </c>
      <c r="M30" s="54">
        <f t="shared" si="15"/>
        <v>-0.13554549199622379</v>
      </c>
      <c r="N30" s="62">
        <f>J30-J29</f>
        <v>0.28768207245178123</v>
      </c>
      <c r="O30" s="62">
        <f>MAX(K30:N30)</f>
        <v>0.28768207245178123</v>
      </c>
      <c r="P30" s="65">
        <f t="shared" si="21"/>
        <v>0.10536051565782678</v>
      </c>
      <c r="Q30" s="65">
        <f t="shared" si="11"/>
        <v>0.51082562376599139</v>
      </c>
      <c r="R30" s="65">
        <f t="shared" si="11"/>
        <v>0.42322756444800502</v>
      </c>
      <c r="S30" s="66">
        <f t="shared" si="11"/>
        <v>0</v>
      </c>
      <c r="W30" s="7"/>
      <c r="X30">
        <f t="shared" si="22"/>
        <v>6.8023947633243118</v>
      </c>
      <c r="Y30">
        <f t="shared" si="16"/>
        <v>6.8023947633243118</v>
      </c>
      <c r="Z30">
        <f t="shared" si="16"/>
        <v>6.8023947633243118</v>
      </c>
      <c r="AA30" s="7">
        <f t="shared" si="16"/>
        <v>6.8023947633243118</v>
      </c>
      <c r="AB30" s="65">
        <f t="shared" si="23"/>
        <v>-0.18232155679395445</v>
      </c>
      <c r="AC30" s="65">
        <f t="shared" si="17"/>
        <v>0.22314355131421015</v>
      </c>
      <c r="AD30" s="65">
        <f t="shared" si="17"/>
        <v>0.13554549199622379</v>
      </c>
      <c r="AE30" s="66">
        <f t="shared" si="17"/>
        <v>-0.28768207245178123</v>
      </c>
      <c r="AF30" t="str">
        <f t="shared" si="13"/>
        <v>Trader 5</v>
      </c>
      <c r="AG30" s="37">
        <f t="shared" si="14"/>
        <v>0.1</v>
      </c>
      <c r="AH30" s="38">
        <f t="shared" si="14"/>
        <v>0.1</v>
      </c>
      <c r="AI30" s="38">
        <f t="shared" si="14"/>
        <v>0.71</v>
      </c>
      <c r="AJ30" s="39">
        <f t="shared" si="14"/>
        <v>0.09</v>
      </c>
    </row>
    <row r="31" spans="1:36" ht="15.75" thickBot="1" x14ac:dyDescent="0.3">
      <c r="A31" s="8"/>
      <c r="B31" t="s">
        <v>32</v>
      </c>
      <c r="C31" s="54">
        <v>0.06</v>
      </c>
      <c r="D31" s="54">
        <v>0.04</v>
      </c>
      <c r="E31" s="54">
        <v>0.81</v>
      </c>
      <c r="F31" s="54">
        <v>0.09</v>
      </c>
      <c r="G31" s="2">
        <f t="shared" si="18"/>
        <v>2.8134107167600364</v>
      </c>
      <c r="H31" s="22">
        <f t="shared" si="9"/>
        <v>3.2188758248682006</v>
      </c>
      <c r="I31" s="22">
        <f t="shared" si="9"/>
        <v>0.21072103131565253</v>
      </c>
      <c r="J31" s="3">
        <f t="shared" si="9"/>
        <v>2.4079456086518722</v>
      </c>
      <c r="K31" s="63">
        <f t="shared" si="19"/>
        <v>0.51082562376599094</v>
      </c>
      <c r="L31" s="63">
        <f t="shared" si="15"/>
        <v>0.91629073187415511</v>
      </c>
      <c r="M31" s="63">
        <f t="shared" si="15"/>
        <v>-0.13176927763112348</v>
      </c>
      <c r="N31" s="64">
        <f t="shared" si="15"/>
        <v>0</v>
      </c>
      <c r="O31" s="67">
        <f>MAX(K31:N31)</f>
        <v>0.91629073187415511</v>
      </c>
      <c r="P31" s="68">
        <f t="shared" si="21"/>
        <v>0.40546510810816416</v>
      </c>
      <c r="Q31" s="68">
        <f t="shared" si="11"/>
        <v>0</v>
      </c>
      <c r="R31" s="68">
        <f t="shared" si="11"/>
        <v>1.0480600095052786</v>
      </c>
      <c r="S31" s="69">
        <f t="shared" si="11"/>
        <v>0.91629073187415511</v>
      </c>
      <c r="T31" s="17"/>
      <c r="U31" s="21"/>
      <c r="V31" s="21"/>
      <c r="W31" s="18"/>
      <c r="X31" s="17">
        <f>X30+$O31</f>
        <v>7.7186854951984669</v>
      </c>
      <c r="Y31" s="21">
        <f t="shared" si="16"/>
        <v>7.7186854951984669</v>
      </c>
      <c r="Z31" s="21">
        <f t="shared" si="16"/>
        <v>7.7186854951984669</v>
      </c>
      <c r="AA31" s="18">
        <f t="shared" si="16"/>
        <v>7.7186854951984669</v>
      </c>
      <c r="AB31" s="70">
        <f t="shared" si="23"/>
        <v>-0.51082562376599094</v>
      </c>
      <c r="AC31" s="68">
        <f t="shared" si="17"/>
        <v>-0.91629073187415511</v>
      </c>
      <c r="AD31" s="68">
        <f t="shared" si="17"/>
        <v>0.13176927763112345</v>
      </c>
      <c r="AE31" s="69">
        <f t="shared" si="17"/>
        <v>0</v>
      </c>
      <c r="AF31" t="str">
        <f t="shared" si="13"/>
        <v>Trader 6</v>
      </c>
      <c r="AG31" s="40">
        <f t="shared" si="14"/>
        <v>0.06</v>
      </c>
      <c r="AH31" s="41">
        <f t="shared" si="14"/>
        <v>0.04</v>
      </c>
      <c r="AI31" s="41">
        <f t="shared" si="14"/>
        <v>0.81</v>
      </c>
      <c r="AJ31" s="42">
        <f t="shared" si="14"/>
        <v>0.09</v>
      </c>
    </row>
    <row r="32" spans="1:36" ht="15.75" thickTop="1" x14ac:dyDescent="0.25">
      <c r="A32" s="9"/>
      <c r="B32" t="s">
        <v>0</v>
      </c>
      <c r="C32">
        <v>1</v>
      </c>
      <c r="D32">
        <v>0</v>
      </c>
      <c r="E32">
        <v>0</v>
      </c>
      <c r="F32">
        <v>0</v>
      </c>
      <c r="G32" s="33"/>
      <c r="H32" s="9"/>
      <c r="I32" s="9"/>
      <c r="J32" s="10"/>
      <c r="O32" s="28">
        <f>SUM(O25:O31)</f>
        <v>7.7186854951984669</v>
      </c>
      <c r="P32" s="9">
        <f t="shared" ref="P32:S32" si="24">SUM(P25:P31)</f>
        <v>4.9052747784384287</v>
      </c>
      <c r="Q32" s="9">
        <f t="shared" si="24"/>
        <v>4.499809670330265</v>
      </c>
      <c r="R32" s="9">
        <f t="shared" si="24"/>
        <v>7.5079644638828151</v>
      </c>
      <c r="S32" s="28">
        <f t="shared" si="24"/>
        <v>5.3107398865465933</v>
      </c>
      <c r="T32" s="19">
        <f>P32-$O32</f>
        <v>-2.8134107167600382</v>
      </c>
      <c r="U32" s="29">
        <f>Q32-$O32</f>
        <v>-3.2188758248682019</v>
      </c>
      <c r="V32" s="29">
        <f>R32-$O32</f>
        <v>-0.21072103131565179</v>
      </c>
      <c r="W32" s="20">
        <f>S32-$O32</f>
        <v>-2.4079456086518736</v>
      </c>
      <c r="X32">
        <f>X31-P32</f>
        <v>2.8134107167600382</v>
      </c>
      <c r="Y32">
        <f t="shared" ref="Y32:Z32" si="25">Y31-Q32</f>
        <v>3.2188758248682019</v>
      </c>
      <c r="Z32">
        <f t="shared" si="25"/>
        <v>0.21072103131565179</v>
      </c>
      <c r="AA32" s="7">
        <f>AA31-S32</f>
        <v>2.4079456086518736</v>
      </c>
    </row>
  </sheetData>
  <conditionalFormatting sqref="AG25:AJ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{3704F696-6C29-4297-A24D-7938744AAEBB}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04F696-6C29-4297-A24D-7938744AA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AG25:AJ31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3"/>
  <sheetViews>
    <sheetView workbookViewId="0">
      <selection activeCell="C23" sqref="C23"/>
    </sheetView>
  </sheetViews>
  <sheetFormatPr defaultRowHeight="15" x14ac:dyDescent="0.25"/>
  <sheetData>
    <row r="1" spans="2:15" ht="15.75" thickBot="1" x14ac:dyDescent="0.3"/>
    <row r="2" spans="2:15" ht="15.75" thickBot="1" x14ac:dyDescent="0.3">
      <c r="F2" s="167" t="s">
        <v>14</v>
      </c>
      <c r="G2" s="168">
        <v>5</v>
      </c>
    </row>
    <row r="4" spans="2:15" x14ac:dyDescent="0.25">
      <c r="B4" t="s">
        <v>74</v>
      </c>
      <c r="C4" t="s">
        <v>75</v>
      </c>
      <c r="D4" t="s">
        <v>76</v>
      </c>
      <c r="E4" t="s">
        <v>77</v>
      </c>
      <c r="F4" t="s">
        <v>78</v>
      </c>
      <c r="H4" t="s">
        <v>79</v>
      </c>
      <c r="I4" t="s">
        <v>80</v>
      </c>
      <c r="J4" t="s">
        <v>81</v>
      </c>
      <c r="K4" t="s">
        <v>82</v>
      </c>
      <c r="M4" t="s">
        <v>58</v>
      </c>
      <c r="N4" t="s">
        <v>5</v>
      </c>
    </row>
    <row r="5" spans="2:15" x14ac:dyDescent="0.25">
      <c r="B5">
        <v>1</v>
      </c>
      <c r="C5">
        <v>0</v>
      </c>
      <c r="D5">
        <v>0</v>
      </c>
      <c r="E5">
        <v>0</v>
      </c>
      <c r="F5">
        <v>0</v>
      </c>
      <c r="H5">
        <f>EXP(C5/$G$2)/SUM(EXP($C5/$G$2),EXP($D5/$G$2),EXP($E5/$G$2),EXP($F5/$G$2))</f>
        <v>0.25</v>
      </c>
      <c r="I5">
        <f t="shared" ref="I5:K13" si="0">EXP(D5/$G$2)/SUM(EXP($C5/$G$2),EXP($D5/$G$2),EXP($E5/$G$2),EXP($F5/$G$2))</f>
        <v>0.25</v>
      </c>
      <c r="J5">
        <f t="shared" si="0"/>
        <v>0.25</v>
      </c>
      <c r="K5">
        <f t="shared" si="0"/>
        <v>0.25</v>
      </c>
      <c r="M5">
        <f>LN(SUM(EXP(C5/$G$2),EXP(D5/$G$2),EXP(E5/$G$2),EXP(F5/$G$2)))</f>
        <v>1.3862943611198906</v>
      </c>
      <c r="N5">
        <f>IFERROR(M5-M4,M5)</f>
        <v>1.3862943611198906</v>
      </c>
    </row>
    <row r="6" spans="2:15" x14ac:dyDescent="0.25">
      <c r="B6">
        <v>2</v>
      </c>
      <c r="C6">
        <v>1</v>
      </c>
      <c r="D6">
        <v>0</v>
      </c>
      <c r="E6">
        <v>0</v>
      </c>
      <c r="F6">
        <v>0</v>
      </c>
      <c r="H6">
        <f t="shared" ref="H6:H13" si="1">EXP(C6/$G$2)/SUM(EXP($C6/$G$2),EXP($D6/$G$2),EXP($E6/$G$2),EXP($F6/$G$2))</f>
        <v>0.28933575594016492</v>
      </c>
      <c r="I6">
        <f t="shared" si="0"/>
        <v>0.23688808135327838</v>
      </c>
      <c r="J6">
        <f t="shared" si="0"/>
        <v>0.23688808135327838</v>
      </c>
      <c r="K6">
        <f t="shared" si="0"/>
        <v>0.23688808135327838</v>
      </c>
      <c r="M6">
        <f t="shared" ref="M6:M13" si="2">LN(SUM(EXP(C6/$G$2),EXP(D6/$G$2),EXP(E6/$G$2),EXP(F6/$G$2)))</f>
        <v>1.4401674799598645</v>
      </c>
      <c r="N6" s="169">
        <f t="shared" ref="N6:N13" si="3">IFERROR(M6-M5,M6)</f>
        <v>5.3873118839973921E-2</v>
      </c>
    </row>
    <row r="7" spans="2:15" x14ac:dyDescent="0.25">
      <c r="B7">
        <v>3</v>
      </c>
      <c r="C7">
        <v>2</v>
      </c>
      <c r="D7">
        <v>3</v>
      </c>
      <c r="E7">
        <v>0</v>
      </c>
      <c r="F7">
        <v>0</v>
      </c>
      <c r="H7">
        <f t="shared" si="1"/>
        <v>0.28073777942761796</v>
      </c>
      <c r="I7">
        <f t="shared" si="0"/>
        <v>0.34289389811265397</v>
      </c>
      <c r="J7">
        <f t="shared" si="0"/>
        <v>0.18818416122986403</v>
      </c>
      <c r="K7">
        <f t="shared" si="0"/>
        <v>0.18818416122986403</v>
      </c>
      <c r="M7">
        <f t="shared" si="2"/>
        <v>1.6703342146186519</v>
      </c>
      <c r="N7" s="169">
        <f t="shared" si="3"/>
        <v>0.23016673465878745</v>
      </c>
    </row>
    <row r="8" spans="2:15" x14ac:dyDescent="0.25">
      <c r="B8">
        <v>4</v>
      </c>
      <c r="C8">
        <v>8</v>
      </c>
      <c r="D8">
        <v>9</v>
      </c>
      <c r="E8">
        <v>11</v>
      </c>
      <c r="F8">
        <v>0</v>
      </c>
      <c r="H8">
        <f t="shared" si="1"/>
        <v>0.23554806192697511</v>
      </c>
      <c r="I8">
        <f t="shared" si="0"/>
        <v>0.28769905251688987</v>
      </c>
      <c r="J8">
        <f t="shared" si="0"/>
        <v>0.42919655203268925</v>
      </c>
      <c r="K8">
        <f t="shared" si="0"/>
        <v>4.755633352344573E-2</v>
      </c>
      <c r="M8">
        <f t="shared" si="2"/>
        <v>3.0458403017324911</v>
      </c>
      <c r="N8" s="169">
        <f t="shared" si="3"/>
        <v>1.3755060871138391</v>
      </c>
    </row>
    <row r="9" spans="2:15" x14ac:dyDescent="0.25">
      <c r="B9">
        <v>5</v>
      </c>
      <c r="C9">
        <v>21</v>
      </c>
      <c r="D9">
        <v>25</v>
      </c>
      <c r="E9">
        <v>27</v>
      </c>
      <c r="F9">
        <v>17</v>
      </c>
      <c r="H9">
        <f t="shared" si="1"/>
        <v>0.14295952607174461</v>
      </c>
      <c r="I9">
        <f t="shared" si="0"/>
        <v>0.31816227639055356</v>
      </c>
      <c r="J9">
        <f t="shared" si="0"/>
        <v>0.47464234177719605</v>
      </c>
      <c r="K9">
        <f t="shared" si="0"/>
        <v>6.4235855760505917E-2</v>
      </c>
      <c r="M9">
        <f t="shared" si="2"/>
        <v>6.1451937232473677</v>
      </c>
      <c r="N9" s="169">
        <f t="shared" si="3"/>
        <v>3.0993534215148766</v>
      </c>
      <c r="O9">
        <f>SUM(N6:N9)</f>
        <v>4.7588993621274769</v>
      </c>
    </row>
    <row r="10" spans="2:15" x14ac:dyDescent="0.25">
      <c r="B10">
        <v>6</v>
      </c>
      <c r="C10">
        <v>31</v>
      </c>
      <c r="D10">
        <v>36</v>
      </c>
      <c r="E10">
        <v>42</v>
      </c>
      <c r="F10">
        <v>57</v>
      </c>
      <c r="H10">
        <f t="shared" si="1"/>
        <v>5.1542263800937928E-3</v>
      </c>
      <c r="I10">
        <f t="shared" si="0"/>
        <v>1.4010639908773201E-2</v>
      </c>
      <c r="J10">
        <f t="shared" si="0"/>
        <v>4.6516962659485954E-2</v>
      </c>
      <c r="K10">
        <f t="shared" si="0"/>
        <v>0.93431817105164705</v>
      </c>
      <c r="M10">
        <f t="shared" si="2"/>
        <v>11.467938244531888</v>
      </c>
      <c r="N10" s="170">
        <f t="shared" si="3"/>
        <v>5.3227445212845206</v>
      </c>
    </row>
    <row r="11" spans="2:15" x14ac:dyDescent="0.25">
      <c r="B11">
        <v>7</v>
      </c>
      <c r="C11">
        <v>42</v>
      </c>
      <c r="D11">
        <v>53</v>
      </c>
      <c r="E11">
        <v>55</v>
      </c>
      <c r="F11">
        <v>40</v>
      </c>
      <c r="H11">
        <f t="shared" si="1"/>
        <v>4.1392319099229483E-2</v>
      </c>
      <c r="I11">
        <f t="shared" si="0"/>
        <v>0.37356623864343058</v>
      </c>
      <c r="J11">
        <f t="shared" si="0"/>
        <v>0.55729534101322264</v>
      </c>
      <c r="K11">
        <f t="shared" si="0"/>
        <v>2.7746101244117367E-2</v>
      </c>
      <c r="M11">
        <f t="shared" si="2"/>
        <v>11.584659944367623</v>
      </c>
      <c r="N11" s="170">
        <f>IFERROR(M11-M10,M11)</f>
        <v>0.11672169983573433</v>
      </c>
    </row>
    <row r="12" spans="2:15" x14ac:dyDescent="0.25">
      <c r="B12">
        <v>8</v>
      </c>
      <c r="C12">
        <v>50</v>
      </c>
      <c r="D12">
        <v>80</v>
      </c>
      <c r="E12">
        <v>70</v>
      </c>
      <c r="F12">
        <v>42</v>
      </c>
      <c r="H12">
        <f t="shared" si="1"/>
        <v>2.1775635866085013E-3</v>
      </c>
      <c r="I12">
        <f t="shared" si="0"/>
        <v>0.87849185049918066</v>
      </c>
      <c r="J12">
        <f t="shared" si="0"/>
        <v>0.11889094340836263</v>
      </c>
      <c r="K12">
        <f t="shared" si="0"/>
        <v>4.3964250584820985E-4</v>
      </c>
      <c r="M12">
        <f t="shared" si="2"/>
        <v>16.1295486480068</v>
      </c>
      <c r="N12" s="170">
        <f t="shared" si="3"/>
        <v>4.5448887036391774</v>
      </c>
    </row>
    <row r="13" spans="2:15" x14ac:dyDescent="0.25">
      <c r="B13">
        <v>9</v>
      </c>
      <c r="C13">
        <v>30</v>
      </c>
      <c r="D13">
        <v>40</v>
      </c>
      <c r="E13">
        <v>113</v>
      </c>
      <c r="F13">
        <v>47</v>
      </c>
      <c r="H13">
        <f t="shared" si="1"/>
        <v>6.1760467062892996E-8</v>
      </c>
      <c r="I13">
        <f t="shared" si="0"/>
        <v>4.5635155582387502E-7</v>
      </c>
      <c r="J13">
        <f t="shared" si="0"/>
        <v>0.99999763129116293</v>
      </c>
      <c r="K13">
        <f t="shared" si="0"/>
        <v>1.8505968140464941E-6</v>
      </c>
      <c r="M13">
        <f t="shared" si="2"/>
        <v>22.600002368711642</v>
      </c>
      <c r="N13" s="170">
        <f t="shared" si="3"/>
        <v>6.4704537207048425</v>
      </c>
      <c r="O13">
        <f>SUM(N10:N13)</f>
        <v>16.454808645464276</v>
      </c>
    </row>
    <row r="16" spans="2:15" x14ac:dyDescent="0.25">
      <c r="B16" t="s">
        <v>74</v>
      </c>
      <c r="C16" t="s">
        <v>75</v>
      </c>
      <c r="D16" t="s">
        <v>76</v>
      </c>
      <c r="E16" t="s">
        <v>77</v>
      </c>
      <c r="F16" t="s">
        <v>78</v>
      </c>
      <c r="H16" t="s">
        <v>79</v>
      </c>
      <c r="I16" t="s">
        <v>80</v>
      </c>
      <c r="J16" t="s">
        <v>81</v>
      </c>
      <c r="K16" t="s">
        <v>82</v>
      </c>
      <c r="M16" t="s">
        <v>58</v>
      </c>
      <c r="N16" t="s">
        <v>5</v>
      </c>
    </row>
    <row r="17" spans="2:15" ht="15.75" thickBot="1" x14ac:dyDescent="0.3">
      <c r="B17">
        <v>1</v>
      </c>
      <c r="C17">
        <v>0</v>
      </c>
      <c r="D17">
        <v>0</v>
      </c>
      <c r="E17">
        <v>0</v>
      </c>
      <c r="F17">
        <v>0</v>
      </c>
      <c r="H17">
        <f>EXP(C17/$G$2)/SUM(EXP($C17/$G$2),EXP($D17/$G$2),EXP($E17/$G$2),EXP($F17/$G$2))</f>
        <v>0.25</v>
      </c>
      <c r="I17">
        <f t="shared" ref="I17:K25" si="4">EXP(D17/$G$2)/SUM(EXP($C17/$G$2),EXP($D17/$G$2),EXP($E17/$G$2),EXP($F17/$G$2))</f>
        <v>0.25</v>
      </c>
      <c r="J17">
        <f t="shared" si="4"/>
        <v>0.25</v>
      </c>
      <c r="K17">
        <f t="shared" si="4"/>
        <v>0.25</v>
      </c>
      <c r="M17">
        <f>LN(SUM(EXP(C17/$G$2),EXP(D17/$G$2),EXP(E17/$G$2),EXP(F17/$G$2)))</f>
        <v>1.3862943611198906</v>
      </c>
      <c r="N17">
        <f>IFERROR(M17-M16,M17)</f>
        <v>1.3862943611198906</v>
      </c>
    </row>
    <row r="18" spans="2:15" x14ac:dyDescent="0.25">
      <c r="B18">
        <v>2</v>
      </c>
      <c r="C18">
        <v>0</v>
      </c>
      <c r="D18">
        <v>0</v>
      </c>
      <c r="E18">
        <v>0</v>
      </c>
      <c r="F18">
        <v>0</v>
      </c>
      <c r="H18">
        <f t="shared" ref="H18:H25" si="5">EXP(C18/$G$2)/SUM(EXP($C18/$G$2),EXP($D18/$G$2),EXP($E18/$G$2),EXP($F18/$G$2))</f>
        <v>0.25</v>
      </c>
      <c r="I18">
        <f t="shared" si="4"/>
        <v>0.25</v>
      </c>
      <c r="J18">
        <f t="shared" si="4"/>
        <v>0.25</v>
      </c>
      <c r="K18">
        <f t="shared" si="4"/>
        <v>0.25</v>
      </c>
      <c r="M18">
        <f t="shared" ref="M18:M25" si="6">LN(SUM(EXP(C18/$G$2),EXP(D18/$G$2),EXP(E18/$G$2),EXP(F18/$G$2)))</f>
        <v>1.3862943611198906</v>
      </c>
      <c r="N18" s="171">
        <f t="shared" ref="N18:N25" si="7">IFERROR(M18-M17,M18)</f>
        <v>0</v>
      </c>
      <c r="O18" s="14"/>
    </row>
    <row r="19" spans="2:15" x14ac:dyDescent="0.25">
      <c r="B19">
        <v>3</v>
      </c>
      <c r="C19">
        <v>0</v>
      </c>
      <c r="D19">
        <v>0</v>
      </c>
      <c r="E19">
        <v>0</v>
      </c>
      <c r="F19">
        <v>0</v>
      </c>
      <c r="H19">
        <f t="shared" si="5"/>
        <v>0.25</v>
      </c>
      <c r="I19">
        <f t="shared" si="4"/>
        <v>0.25</v>
      </c>
      <c r="J19">
        <f t="shared" si="4"/>
        <v>0.25</v>
      </c>
      <c r="K19">
        <f t="shared" si="4"/>
        <v>0.25</v>
      </c>
      <c r="M19">
        <f t="shared" si="6"/>
        <v>1.3862943611198906</v>
      </c>
      <c r="N19" s="172">
        <f t="shared" si="7"/>
        <v>0</v>
      </c>
      <c r="O19" s="173"/>
    </row>
    <row r="20" spans="2:15" x14ac:dyDescent="0.25">
      <c r="B20">
        <v>4</v>
      </c>
      <c r="C20">
        <v>0</v>
      </c>
      <c r="D20">
        <v>0</v>
      </c>
      <c r="E20">
        <v>0</v>
      </c>
      <c r="F20">
        <v>0</v>
      </c>
      <c r="H20">
        <f t="shared" si="5"/>
        <v>0.25</v>
      </c>
      <c r="I20">
        <f t="shared" si="4"/>
        <v>0.25</v>
      </c>
      <c r="J20">
        <f t="shared" si="4"/>
        <v>0.25</v>
      </c>
      <c r="K20">
        <f t="shared" si="4"/>
        <v>0.25</v>
      </c>
      <c r="M20">
        <f t="shared" si="6"/>
        <v>1.3862943611198906</v>
      </c>
      <c r="N20" s="172">
        <f t="shared" si="7"/>
        <v>0</v>
      </c>
      <c r="O20" s="173"/>
    </row>
    <row r="21" spans="2:15" ht="15.75" thickBot="1" x14ac:dyDescent="0.3">
      <c r="B21">
        <v>5</v>
      </c>
      <c r="C21">
        <v>21</v>
      </c>
      <c r="D21">
        <v>25</v>
      </c>
      <c r="E21">
        <v>27</v>
      </c>
      <c r="F21">
        <v>17</v>
      </c>
      <c r="H21">
        <f t="shared" si="5"/>
        <v>0.14295952607174461</v>
      </c>
      <c r="I21">
        <f t="shared" si="4"/>
        <v>0.31816227639055356</v>
      </c>
      <c r="J21">
        <f t="shared" si="4"/>
        <v>0.47464234177719605</v>
      </c>
      <c r="K21">
        <f t="shared" si="4"/>
        <v>6.4235855760505917E-2</v>
      </c>
      <c r="M21">
        <f t="shared" si="6"/>
        <v>6.1451937232473677</v>
      </c>
      <c r="N21" s="174">
        <f t="shared" si="7"/>
        <v>4.7588993621274769</v>
      </c>
      <c r="O21" s="175">
        <f>SUM(N18:N21)</f>
        <v>4.7588993621274769</v>
      </c>
    </row>
    <row r="22" spans="2:15" x14ac:dyDescent="0.25">
      <c r="B22">
        <v>6</v>
      </c>
      <c r="C22">
        <v>0</v>
      </c>
      <c r="D22">
        <v>0</v>
      </c>
      <c r="E22">
        <v>0</v>
      </c>
      <c r="F22">
        <v>0</v>
      </c>
      <c r="H22">
        <f t="shared" si="5"/>
        <v>0.25</v>
      </c>
      <c r="I22">
        <f t="shared" si="4"/>
        <v>0.25</v>
      </c>
      <c r="J22">
        <f t="shared" si="4"/>
        <v>0.25</v>
      </c>
      <c r="K22">
        <f t="shared" si="4"/>
        <v>0.25</v>
      </c>
      <c r="M22">
        <f t="shared" si="6"/>
        <v>1.3862943611198906</v>
      </c>
      <c r="N22" s="176">
        <f t="shared" si="7"/>
        <v>-4.7588993621274769</v>
      </c>
      <c r="O22" s="14"/>
    </row>
    <row r="23" spans="2:15" x14ac:dyDescent="0.25">
      <c r="B23">
        <v>7</v>
      </c>
      <c r="C23">
        <v>0</v>
      </c>
      <c r="D23">
        <v>0</v>
      </c>
      <c r="E23">
        <v>0</v>
      </c>
      <c r="F23">
        <v>0</v>
      </c>
      <c r="H23">
        <f t="shared" si="5"/>
        <v>0.25</v>
      </c>
      <c r="I23">
        <f t="shared" si="4"/>
        <v>0.25</v>
      </c>
      <c r="J23">
        <f t="shared" si="4"/>
        <v>0.25</v>
      </c>
      <c r="K23">
        <f t="shared" si="4"/>
        <v>0.25</v>
      </c>
      <c r="M23">
        <f t="shared" si="6"/>
        <v>1.3862943611198906</v>
      </c>
      <c r="N23" s="177">
        <f>IFERROR(M23-M22,M23)</f>
        <v>0</v>
      </c>
      <c r="O23" s="173"/>
    </row>
    <row r="24" spans="2:15" x14ac:dyDescent="0.25">
      <c r="B24">
        <v>8</v>
      </c>
      <c r="C24">
        <v>0</v>
      </c>
      <c r="D24">
        <v>0</v>
      </c>
      <c r="E24">
        <v>0</v>
      </c>
      <c r="F24">
        <v>0</v>
      </c>
      <c r="H24">
        <f t="shared" si="5"/>
        <v>0.25</v>
      </c>
      <c r="I24">
        <f t="shared" si="4"/>
        <v>0.25</v>
      </c>
      <c r="J24">
        <f t="shared" si="4"/>
        <v>0.25</v>
      </c>
      <c r="K24">
        <f t="shared" si="4"/>
        <v>0.25</v>
      </c>
      <c r="M24">
        <f t="shared" si="6"/>
        <v>1.3862943611198906</v>
      </c>
      <c r="N24" s="177">
        <f t="shared" si="7"/>
        <v>0</v>
      </c>
      <c r="O24" s="173"/>
    </row>
    <row r="25" spans="2:15" ht="15.75" thickBot="1" x14ac:dyDescent="0.3">
      <c r="B25">
        <v>9</v>
      </c>
      <c r="C25">
        <v>30</v>
      </c>
      <c r="D25">
        <v>40</v>
      </c>
      <c r="E25">
        <v>113</v>
      </c>
      <c r="F25">
        <v>47</v>
      </c>
      <c r="H25">
        <f t="shared" si="5"/>
        <v>6.1760467062892996E-8</v>
      </c>
      <c r="I25">
        <f t="shared" si="4"/>
        <v>4.5635155582387502E-7</v>
      </c>
      <c r="J25">
        <f t="shared" si="4"/>
        <v>0.99999763129116293</v>
      </c>
      <c r="K25">
        <f t="shared" si="4"/>
        <v>1.8505968140464941E-6</v>
      </c>
      <c r="M25">
        <f t="shared" si="6"/>
        <v>22.600002368711642</v>
      </c>
      <c r="N25" s="178">
        <f t="shared" si="7"/>
        <v>21.213708007591752</v>
      </c>
      <c r="O25" s="175">
        <f>SUM(N22:N25)</f>
        <v>16.454808645464276</v>
      </c>
    </row>
    <row r="27" spans="2:15" x14ac:dyDescent="0.25">
      <c r="B27" s="179" t="s">
        <v>83</v>
      </c>
    </row>
    <row r="29" spans="2:15" ht="15.75" thickBot="1" x14ac:dyDescent="0.3"/>
    <row r="30" spans="2:15" ht="15.75" thickBot="1" x14ac:dyDescent="0.3">
      <c r="F30" s="167" t="s">
        <v>14</v>
      </c>
      <c r="G30" s="168">
        <v>5</v>
      </c>
    </row>
    <row r="32" spans="2:15" x14ac:dyDescent="0.25">
      <c r="B32" t="s">
        <v>74</v>
      </c>
      <c r="C32" t="s">
        <v>75</v>
      </c>
      <c r="D32" t="s">
        <v>76</v>
      </c>
      <c r="E32" t="s">
        <v>77</v>
      </c>
      <c r="F32" t="s">
        <v>78</v>
      </c>
      <c r="H32" t="s">
        <v>79</v>
      </c>
      <c r="I32" t="s">
        <v>80</v>
      </c>
      <c r="J32" t="s">
        <v>81</v>
      </c>
      <c r="K32" t="s">
        <v>82</v>
      </c>
      <c r="M32" t="s">
        <v>58</v>
      </c>
      <c r="N32" t="s">
        <v>5</v>
      </c>
    </row>
    <row r="33" spans="2:18" x14ac:dyDescent="0.25">
      <c r="B33">
        <v>1</v>
      </c>
      <c r="C33">
        <v>0</v>
      </c>
      <c r="D33">
        <v>0</v>
      </c>
      <c r="E33">
        <v>0</v>
      </c>
      <c r="F33">
        <v>0</v>
      </c>
      <c r="H33">
        <f>EXP(C33/$G$2)/SUM(EXP($C33/$G$2),EXP($D33/$G$2),EXP($E33/$G$2),EXP($F33/$G$2))</f>
        <v>0.25</v>
      </c>
      <c r="I33">
        <f t="shared" ref="I33:K48" si="8">EXP(D33/$G$2)/SUM(EXP($C33/$G$2),EXP($D33/$G$2),EXP($E33/$G$2),EXP($F33/$G$2))</f>
        <v>0.25</v>
      </c>
      <c r="J33">
        <f t="shared" si="8"/>
        <v>0.25</v>
      </c>
      <c r="K33">
        <f t="shared" si="8"/>
        <v>0.25</v>
      </c>
      <c r="M33">
        <f>LN(SUM(EXP(C33/$G$2),EXP(D33/$G$2),EXP(E33/$G$2),EXP(F33/$G$2)))</f>
        <v>1.3862943611198906</v>
      </c>
      <c r="N33">
        <f>$G$30*IFERROR(M33-M32,M33)</f>
        <v>6.9314718055994531</v>
      </c>
      <c r="Q33">
        <f>SUM($N$33:N33)</f>
        <v>6.9314718055994531</v>
      </c>
    </row>
    <row r="34" spans="2:18" x14ac:dyDescent="0.25">
      <c r="B34">
        <v>2</v>
      </c>
      <c r="C34">
        <v>1</v>
      </c>
      <c r="D34">
        <v>0</v>
      </c>
      <c r="E34">
        <v>0</v>
      </c>
      <c r="F34">
        <v>0</v>
      </c>
      <c r="H34">
        <f t="shared" ref="H34:K49" si="9">EXP(C34/$G$2)/SUM(EXP($C34/$G$2),EXP($D34/$G$2),EXP($E34/$G$2),EXP($F34/$G$2))</f>
        <v>0.28933575594016492</v>
      </c>
      <c r="I34">
        <f t="shared" si="8"/>
        <v>0.23688808135327838</v>
      </c>
      <c r="J34">
        <f t="shared" si="8"/>
        <v>0.23688808135327838</v>
      </c>
      <c r="K34">
        <f t="shared" si="8"/>
        <v>0.23688808135327838</v>
      </c>
      <c r="M34">
        <f t="shared" ref="M34:M73" si="10">LN(SUM(EXP(C34/$G$2),EXP(D34/$G$2),EXP(E34/$G$2),EXP(F34/$G$2)))</f>
        <v>1.4401674799598645</v>
      </c>
      <c r="N34" s="169">
        <f t="shared" ref="N34:N73" si="11">$G$30*IFERROR(M34-M33,M34)</f>
        <v>0.26936559419986961</v>
      </c>
      <c r="Q34">
        <f>SUM($N$33:N34)</f>
        <v>7.2008373997993225</v>
      </c>
    </row>
    <row r="35" spans="2:18" x14ac:dyDescent="0.25">
      <c r="B35">
        <v>3</v>
      </c>
      <c r="C35">
        <v>2</v>
      </c>
      <c r="D35">
        <v>3</v>
      </c>
      <c r="E35">
        <v>0</v>
      </c>
      <c r="F35">
        <v>0</v>
      </c>
      <c r="H35">
        <f t="shared" si="9"/>
        <v>0.28073777942761796</v>
      </c>
      <c r="I35">
        <f t="shared" si="8"/>
        <v>0.34289389811265397</v>
      </c>
      <c r="J35">
        <f t="shared" si="8"/>
        <v>0.18818416122986403</v>
      </c>
      <c r="K35">
        <f t="shared" si="8"/>
        <v>0.18818416122986403</v>
      </c>
      <c r="M35">
        <f t="shared" si="10"/>
        <v>1.6703342146186519</v>
      </c>
      <c r="N35" s="169">
        <f t="shared" si="11"/>
        <v>1.1508336732939373</v>
      </c>
      <c r="Q35">
        <f>SUM($N$33:N35)</f>
        <v>8.3516710730932591</v>
      </c>
    </row>
    <row r="36" spans="2:18" x14ac:dyDescent="0.25">
      <c r="B36">
        <v>4</v>
      </c>
      <c r="C36">
        <v>8</v>
      </c>
      <c r="D36">
        <v>9</v>
      </c>
      <c r="E36">
        <v>11</v>
      </c>
      <c r="F36">
        <v>0</v>
      </c>
      <c r="H36">
        <f t="shared" si="9"/>
        <v>0.23554806192697511</v>
      </c>
      <c r="I36">
        <f t="shared" si="8"/>
        <v>0.28769905251688987</v>
      </c>
      <c r="J36">
        <f t="shared" si="8"/>
        <v>0.42919655203268925</v>
      </c>
      <c r="K36">
        <f t="shared" si="8"/>
        <v>4.755633352344573E-2</v>
      </c>
      <c r="M36">
        <f t="shared" si="10"/>
        <v>3.0458403017324911</v>
      </c>
      <c r="N36" s="169">
        <f t="shared" si="11"/>
        <v>6.877530435569196</v>
      </c>
      <c r="Q36">
        <f>SUM($N$33:N36)</f>
        <v>15.229201508662456</v>
      </c>
    </row>
    <row r="37" spans="2:18" x14ac:dyDescent="0.25">
      <c r="B37">
        <v>5</v>
      </c>
      <c r="C37">
        <v>21</v>
      </c>
      <c r="D37">
        <v>25</v>
      </c>
      <c r="E37">
        <v>27</v>
      </c>
      <c r="F37">
        <v>17</v>
      </c>
      <c r="H37">
        <f t="shared" si="9"/>
        <v>0.14295952607174461</v>
      </c>
      <c r="I37">
        <f t="shared" si="8"/>
        <v>0.31816227639055356</v>
      </c>
      <c r="J37">
        <f t="shared" si="8"/>
        <v>0.47464234177719605</v>
      </c>
      <c r="K37">
        <f t="shared" si="8"/>
        <v>6.4235855760505917E-2</v>
      </c>
      <c r="M37">
        <f t="shared" si="10"/>
        <v>6.1451937232473677</v>
      </c>
      <c r="N37" s="169">
        <f t="shared" si="11"/>
        <v>15.496767107574383</v>
      </c>
      <c r="O37">
        <f>SUM(N34:N37)</f>
        <v>23.794496810637384</v>
      </c>
      <c r="Q37">
        <f>SUM($N$33:N37)</f>
        <v>30.725968616236841</v>
      </c>
    </row>
    <row r="38" spans="2:18" x14ac:dyDescent="0.25">
      <c r="B38">
        <v>6</v>
      </c>
      <c r="C38">
        <v>31</v>
      </c>
      <c r="D38">
        <v>36</v>
      </c>
      <c r="E38">
        <v>42</v>
      </c>
      <c r="F38">
        <v>57</v>
      </c>
      <c r="H38">
        <f t="shared" si="9"/>
        <v>5.1542263800937928E-3</v>
      </c>
      <c r="I38">
        <f t="shared" si="8"/>
        <v>1.4010639908773201E-2</v>
      </c>
      <c r="J38">
        <f t="shared" si="8"/>
        <v>4.6516962659485954E-2</v>
      </c>
      <c r="K38">
        <f t="shared" si="8"/>
        <v>0.93431817105164705</v>
      </c>
      <c r="M38">
        <f t="shared" si="10"/>
        <v>11.467938244531888</v>
      </c>
      <c r="N38" s="170">
        <f t="shared" si="11"/>
        <v>26.613722606422602</v>
      </c>
      <c r="Q38">
        <f>SUM($N$33:N38)</f>
        <v>57.33969122265944</v>
      </c>
    </row>
    <row r="39" spans="2:18" x14ac:dyDescent="0.25">
      <c r="B39">
        <v>7</v>
      </c>
      <c r="C39">
        <v>42</v>
      </c>
      <c r="D39">
        <v>53</v>
      </c>
      <c r="E39">
        <v>55</v>
      </c>
      <c r="F39">
        <v>40</v>
      </c>
      <c r="H39">
        <f t="shared" si="9"/>
        <v>4.1392319099229483E-2</v>
      </c>
      <c r="I39">
        <f t="shared" si="8"/>
        <v>0.37356623864343058</v>
      </c>
      <c r="J39">
        <f t="shared" si="8"/>
        <v>0.55729534101322264</v>
      </c>
      <c r="K39">
        <f t="shared" si="8"/>
        <v>2.7746101244117367E-2</v>
      </c>
      <c r="M39">
        <f t="shared" si="10"/>
        <v>11.584659944367623</v>
      </c>
      <c r="N39" s="170">
        <f t="shared" si="11"/>
        <v>0.58360849917867164</v>
      </c>
      <c r="Q39">
        <f>SUM($N$33:N39)</f>
        <v>57.923299721838113</v>
      </c>
    </row>
    <row r="40" spans="2:18" x14ac:dyDescent="0.25">
      <c r="B40">
        <v>8</v>
      </c>
      <c r="C40">
        <v>50</v>
      </c>
      <c r="D40">
        <v>80</v>
      </c>
      <c r="E40">
        <v>70</v>
      </c>
      <c r="F40">
        <v>42</v>
      </c>
      <c r="H40">
        <f t="shared" si="9"/>
        <v>2.1775635866085013E-3</v>
      </c>
      <c r="I40">
        <f t="shared" si="8"/>
        <v>0.87849185049918066</v>
      </c>
      <c r="J40">
        <f t="shared" si="8"/>
        <v>0.11889094340836263</v>
      </c>
      <c r="K40">
        <f t="shared" si="8"/>
        <v>4.3964250584820985E-4</v>
      </c>
      <c r="M40">
        <f t="shared" si="10"/>
        <v>16.1295486480068</v>
      </c>
      <c r="N40" s="170">
        <f t="shared" si="11"/>
        <v>22.724443518195887</v>
      </c>
      <c r="Q40">
        <f>SUM($N$33:N40)</f>
        <v>80.647743240034004</v>
      </c>
    </row>
    <row r="41" spans="2:18" x14ac:dyDescent="0.25">
      <c r="B41">
        <v>9</v>
      </c>
      <c r="C41">
        <v>30</v>
      </c>
      <c r="D41">
        <v>40</v>
      </c>
      <c r="E41">
        <v>113</v>
      </c>
      <c r="F41">
        <v>47</v>
      </c>
      <c r="H41">
        <f t="shared" si="9"/>
        <v>6.1760467062892996E-8</v>
      </c>
      <c r="I41">
        <f t="shared" si="8"/>
        <v>4.5635155582387502E-7</v>
      </c>
      <c r="J41">
        <f t="shared" si="8"/>
        <v>0.99999763129116293</v>
      </c>
      <c r="K41">
        <f t="shared" si="8"/>
        <v>1.8505968140464941E-6</v>
      </c>
      <c r="M41">
        <f t="shared" si="10"/>
        <v>22.600002368711642</v>
      </c>
      <c r="N41" s="170">
        <f t="shared" si="11"/>
        <v>32.352268603524209</v>
      </c>
      <c r="O41">
        <f>SUM(N38:N41)</f>
        <v>82.274043227321371</v>
      </c>
      <c r="Q41">
        <f>SUM($N$33:N41)</f>
        <v>113.00001184355821</v>
      </c>
    </row>
    <row r="42" spans="2:18" ht="15.75" thickBot="1" x14ac:dyDescent="0.3">
      <c r="B42" s="8">
        <v>10</v>
      </c>
      <c r="C42" s="8">
        <v>30</v>
      </c>
      <c r="D42" s="8">
        <v>11</v>
      </c>
      <c r="E42" s="8">
        <v>3</v>
      </c>
      <c r="F42" s="8">
        <v>4</v>
      </c>
      <c r="G42" s="8"/>
      <c r="H42" s="8">
        <f t="shared" si="9"/>
        <v>0.96861313999388043</v>
      </c>
      <c r="I42" s="8">
        <f t="shared" si="8"/>
        <v>2.1668623571687289E-2</v>
      </c>
      <c r="J42" s="8">
        <f t="shared" si="8"/>
        <v>4.3748196488605767E-3</v>
      </c>
      <c r="K42" s="8">
        <f t="shared" si="8"/>
        <v>5.3434167855716148E-3</v>
      </c>
      <c r="L42" s="8"/>
      <c r="M42" s="8">
        <f t="shared" si="10"/>
        <v>6.0318899831398376</v>
      </c>
      <c r="N42" s="9">
        <f t="shared" si="11"/>
        <v>-82.840561927859028</v>
      </c>
      <c r="O42" s="8"/>
      <c r="Q42">
        <f>SUM($N$33:N42)</f>
        <v>30.159449915699184</v>
      </c>
    </row>
    <row r="43" spans="2:18" ht="15.75" thickBot="1" x14ac:dyDescent="0.3">
      <c r="B43" s="180">
        <v>11</v>
      </c>
      <c r="C43" s="181">
        <v>30</v>
      </c>
      <c r="D43" s="181">
        <v>0</v>
      </c>
      <c r="E43" s="181">
        <v>0</v>
      </c>
      <c r="F43" s="181">
        <v>0</v>
      </c>
      <c r="G43" s="182"/>
      <c r="H43" s="182">
        <f t="shared" si="9"/>
        <v>0.9926186332070156</v>
      </c>
      <c r="I43" s="182">
        <f t="shared" si="8"/>
        <v>2.4604555976614757E-3</v>
      </c>
      <c r="J43" s="182">
        <f t="shared" si="8"/>
        <v>2.4604555976614757E-3</v>
      </c>
      <c r="K43" s="182">
        <f t="shared" si="8"/>
        <v>2.4604555976614757E-3</v>
      </c>
      <c r="L43" s="182"/>
      <c r="M43" s="182">
        <f t="shared" si="10"/>
        <v>6.007408743884282</v>
      </c>
      <c r="N43" s="183">
        <f t="shared" si="11"/>
        <v>-0.12240619627777782</v>
      </c>
      <c r="O43" s="168"/>
      <c r="Q43" s="180">
        <f>SUM($N$33:N43)</f>
        <v>30.037043719421405</v>
      </c>
      <c r="R43" s="180">
        <f>Q43</f>
        <v>30.037043719421405</v>
      </c>
    </row>
    <row r="44" spans="2:18" x14ac:dyDescent="0.25">
      <c r="B44">
        <v>12</v>
      </c>
      <c r="C44">
        <f>C43-1</f>
        <v>29</v>
      </c>
      <c r="D44">
        <v>0</v>
      </c>
      <c r="E44">
        <v>0</v>
      </c>
      <c r="F44">
        <v>0</v>
      </c>
      <c r="H44">
        <f t="shared" si="9"/>
        <v>0.99099908802515901</v>
      </c>
      <c r="I44">
        <f t="shared" si="8"/>
        <v>3.000303991613675E-3</v>
      </c>
      <c r="J44">
        <f t="shared" si="8"/>
        <v>3.000303991613675E-3</v>
      </c>
      <c r="K44">
        <f t="shared" si="8"/>
        <v>3.000303991613675E-3</v>
      </c>
      <c r="M44">
        <f t="shared" si="10"/>
        <v>5.8090416649097278</v>
      </c>
      <c r="N44" s="184">
        <f t="shared" si="11"/>
        <v>-0.99183539487277095</v>
      </c>
      <c r="Q44">
        <f>SUM($N$33:N44)</f>
        <v>29.045208324548632</v>
      </c>
      <c r="R44">
        <f>R43-(C43-C44)</f>
        <v>29.037043719421405</v>
      </c>
    </row>
    <row r="45" spans="2:18" x14ac:dyDescent="0.25">
      <c r="B45">
        <v>13</v>
      </c>
      <c r="C45">
        <f t="shared" ref="C45:C73" si="12">C44-1</f>
        <v>28</v>
      </c>
      <c r="D45">
        <v>0</v>
      </c>
      <c r="E45">
        <v>0</v>
      </c>
      <c r="F45">
        <v>0</v>
      </c>
      <c r="H45">
        <f t="shared" si="9"/>
        <v>0.98902812633117654</v>
      </c>
      <c r="I45">
        <f t="shared" si="8"/>
        <v>3.6572912229411551E-3</v>
      </c>
      <c r="J45">
        <f t="shared" si="8"/>
        <v>3.6572912229411551E-3</v>
      </c>
      <c r="K45">
        <f t="shared" si="8"/>
        <v>3.6572912229411551E-3</v>
      </c>
      <c r="M45">
        <f t="shared" si="10"/>
        <v>5.611032508601852</v>
      </c>
      <c r="N45" s="184">
        <f t="shared" si="11"/>
        <v>-0.99004578153937928</v>
      </c>
      <c r="Q45">
        <f>SUM($N$33:N45)</f>
        <v>28.055162543009253</v>
      </c>
      <c r="R45">
        <f t="shared" ref="R45:R73" si="13">R44-(C44-C45)</f>
        <v>28.037043719421405</v>
      </c>
    </row>
    <row r="46" spans="2:18" x14ac:dyDescent="0.25">
      <c r="B46">
        <v>14</v>
      </c>
      <c r="C46">
        <f t="shared" si="12"/>
        <v>27</v>
      </c>
      <c r="D46">
        <v>0</v>
      </c>
      <c r="E46">
        <v>0</v>
      </c>
      <c r="F46">
        <v>0</v>
      </c>
      <c r="H46">
        <f t="shared" si="9"/>
        <v>0.98663139828733637</v>
      </c>
      <c r="I46">
        <f t="shared" si="8"/>
        <v>4.4562005708878704E-3</v>
      </c>
      <c r="J46">
        <f t="shared" si="8"/>
        <v>4.4562005708878704E-3</v>
      </c>
      <c r="K46">
        <f t="shared" si="8"/>
        <v>4.4562005708878704E-3</v>
      </c>
      <c r="M46">
        <f t="shared" si="10"/>
        <v>5.4134587659500593</v>
      </c>
      <c r="N46" s="184">
        <f t="shared" si="11"/>
        <v>-0.98786871325896364</v>
      </c>
      <c r="Q46">
        <f>SUM($N$33:N46)</f>
        <v>27.067293829750291</v>
      </c>
      <c r="R46">
        <f t="shared" si="13"/>
        <v>27.037043719421405</v>
      </c>
    </row>
    <row r="47" spans="2:18" x14ac:dyDescent="0.25">
      <c r="B47">
        <v>15</v>
      </c>
      <c r="C47">
        <f t="shared" si="12"/>
        <v>26</v>
      </c>
      <c r="D47">
        <v>0</v>
      </c>
      <c r="E47">
        <v>0</v>
      </c>
      <c r="F47">
        <v>0</v>
      </c>
      <c r="H47">
        <f t="shared" si="9"/>
        <v>0.98371974004618357</v>
      </c>
      <c r="I47">
        <f t="shared" si="8"/>
        <v>5.426753317938811E-3</v>
      </c>
      <c r="J47">
        <f t="shared" si="8"/>
        <v>5.426753317938811E-3</v>
      </c>
      <c r="K47">
        <f t="shared" si="8"/>
        <v>5.426753317938811E-3</v>
      </c>
      <c r="M47">
        <f t="shared" si="10"/>
        <v>5.2164142395241928</v>
      </c>
      <c r="N47" s="184">
        <f t="shared" si="11"/>
        <v>-0.98522263212933225</v>
      </c>
      <c r="Q47">
        <f>SUM($N$33:N47)</f>
        <v>26.082071197620959</v>
      </c>
      <c r="R47">
        <f t="shared" si="13"/>
        <v>26.037043719421405</v>
      </c>
    </row>
    <row r="48" spans="2:18" x14ac:dyDescent="0.25">
      <c r="B48">
        <v>16</v>
      </c>
      <c r="C48">
        <f t="shared" si="12"/>
        <v>25</v>
      </c>
      <c r="D48">
        <v>0</v>
      </c>
      <c r="E48">
        <v>0</v>
      </c>
      <c r="F48">
        <v>0</v>
      </c>
      <c r="H48">
        <f t="shared" si="9"/>
        <v>0.98018666265349097</v>
      </c>
      <c r="I48">
        <f t="shared" si="8"/>
        <v>6.6044457821696888E-3</v>
      </c>
      <c r="J48">
        <f t="shared" si="8"/>
        <v>6.6044457821696888E-3</v>
      </c>
      <c r="K48">
        <f t="shared" si="8"/>
        <v>6.6044457821696888E-3</v>
      </c>
      <c r="M48">
        <f t="shared" si="10"/>
        <v>5.020012253359627</v>
      </c>
      <c r="N48" s="184">
        <f t="shared" si="11"/>
        <v>-0.98200993082282917</v>
      </c>
      <c r="Q48">
        <f>SUM($N$33:N48)</f>
        <v>25.100061266798129</v>
      </c>
      <c r="R48">
        <f t="shared" si="13"/>
        <v>25.037043719421405</v>
      </c>
    </row>
    <row r="49" spans="2:18" x14ac:dyDescent="0.25">
      <c r="B49">
        <v>17</v>
      </c>
      <c r="C49">
        <f t="shared" si="12"/>
        <v>24</v>
      </c>
      <c r="D49">
        <v>0</v>
      </c>
      <c r="E49">
        <v>0</v>
      </c>
      <c r="F49">
        <v>0</v>
      </c>
      <c r="H49">
        <f t="shared" si="9"/>
        <v>0.97590563055056345</v>
      </c>
      <c r="I49">
        <f t="shared" si="9"/>
        <v>8.0314564831455316E-3</v>
      </c>
      <c r="J49">
        <f t="shared" si="9"/>
        <v>8.0314564831455316E-3</v>
      </c>
      <c r="K49">
        <f t="shared" si="9"/>
        <v>8.0314564831455316E-3</v>
      </c>
      <c r="M49">
        <f t="shared" si="10"/>
        <v>4.8243893872534933</v>
      </c>
      <c r="N49" s="184">
        <f t="shared" si="11"/>
        <v>-0.97811433053066832</v>
      </c>
      <c r="Q49">
        <f>SUM($N$33:N49)</f>
        <v>24.121946936267459</v>
      </c>
      <c r="R49">
        <f t="shared" si="13"/>
        <v>24.037043719421405</v>
      </c>
    </row>
    <row r="50" spans="2:18" x14ac:dyDescent="0.25">
      <c r="B50">
        <v>18</v>
      </c>
      <c r="C50">
        <f t="shared" si="12"/>
        <v>23</v>
      </c>
      <c r="D50">
        <v>0</v>
      </c>
      <c r="E50">
        <v>0</v>
      </c>
      <c r="F50">
        <v>0</v>
      </c>
      <c r="H50">
        <f t="shared" ref="H50:K65" si="14">EXP(C50/$G$2)/SUM(EXP($C50/$G$2),EXP($D50/$G$2),EXP($E50/$G$2),EXP($F50/$G$2))</f>
        <v>0.9707272280523237</v>
      </c>
      <c r="I50">
        <f t="shared" si="14"/>
        <v>9.7575906492254252E-3</v>
      </c>
      <c r="J50">
        <f t="shared" si="14"/>
        <v>9.7575906492254252E-3</v>
      </c>
      <c r="K50">
        <f t="shared" si="14"/>
        <v>9.7575906492254252E-3</v>
      </c>
      <c r="M50">
        <f t="shared" si="10"/>
        <v>4.6297097687425195</v>
      </c>
      <c r="N50" s="184">
        <f t="shared" si="11"/>
        <v>-0.97339809255486909</v>
      </c>
      <c r="Q50">
        <f>SUM($N$33:N50)</f>
        <v>23.148548843712589</v>
      </c>
      <c r="R50">
        <f t="shared" si="13"/>
        <v>23.037043719421405</v>
      </c>
    </row>
    <row r="51" spans="2:18" x14ac:dyDescent="0.25">
      <c r="B51">
        <v>19</v>
      </c>
      <c r="C51">
        <f t="shared" si="12"/>
        <v>22</v>
      </c>
      <c r="D51">
        <v>0</v>
      </c>
      <c r="E51">
        <v>0</v>
      </c>
      <c r="F51">
        <v>0</v>
      </c>
      <c r="H51">
        <f t="shared" si="14"/>
        <v>0.96447638671543401</v>
      </c>
      <c r="I51">
        <f t="shared" si="14"/>
        <v>1.1841204428188664E-2</v>
      </c>
      <c r="J51">
        <f t="shared" si="14"/>
        <v>1.1841204428188664E-2</v>
      </c>
      <c r="K51">
        <f t="shared" si="14"/>
        <v>1.1841204428188664E-2</v>
      </c>
      <c r="M51">
        <f t="shared" si="10"/>
        <v>4.4361699293461783</v>
      </c>
      <c r="N51" s="184">
        <f t="shared" si="11"/>
        <v>-0.96769919698170614</v>
      </c>
      <c r="Q51">
        <f>SUM($N$33:N51)</f>
        <v>22.180849646730884</v>
      </c>
      <c r="R51">
        <f t="shared" si="13"/>
        <v>22.037043719421405</v>
      </c>
    </row>
    <row r="52" spans="2:18" x14ac:dyDescent="0.25">
      <c r="B52">
        <v>20</v>
      </c>
      <c r="C52">
        <f t="shared" si="12"/>
        <v>21</v>
      </c>
      <c r="D52">
        <v>0</v>
      </c>
      <c r="E52">
        <v>0</v>
      </c>
      <c r="F52">
        <v>0</v>
      </c>
      <c r="H52">
        <f t="shared" si="14"/>
        <v>0.95694995051126786</v>
      </c>
      <c r="I52">
        <f t="shared" si="14"/>
        <v>1.4350016496244053E-2</v>
      </c>
      <c r="J52">
        <f t="shared" si="14"/>
        <v>1.4350016496244053E-2</v>
      </c>
      <c r="K52">
        <f t="shared" si="14"/>
        <v>1.4350016496244053E-2</v>
      </c>
      <c r="M52">
        <f t="shared" si="10"/>
        <v>4.2440041872131218</v>
      </c>
      <c r="N52" s="184">
        <f t="shared" si="11"/>
        <v>-0.96082871066528241</v>
      </c>
      <c r="Q52">
        <f>SUM($N$33:N52)</f>
        <v>21.220020936065602</v>
      </c>
      <c r="R52">
        <f t="shared" si="13"/>
        <v>21.037043719421405</v>
      </c>
    </row>
    <row r="53" spans="2:18" x14ac:dyDescent="0.25">
      <c r="B53">
        <v>21</v>
      </c>
      <c r="C53">
        <f t="shared" si="12"/>
        <v>20</v>
      </c>
      <c r="D53">
        <v>0</v>
      </c>
      <c r="E53">
        <v>0</v>
      </c>
      <c r="F53">
        <v>0</v>
      </c>
      <c r="H53">
        <f t="shared" si="14"/>
        <v>0.94791499382751565</v>
      </c>
      <c r="I53">
        <f t="shared" si="14"/>
        <v>1.7361668724161467E-2</v>
      </c>
      <c r="J53">
        <f t="shared" si="14"/>
        <v>1.7361668724161467E-2</v>
      </c>
      <c r="K53">
        <f t="shared" si="14"/>
        <v>1.7361668724161467E-2</v>
      </c>
      <c r="M53">
        <f t="shared" si="10"/>
        <v>4.0534904497059339</v>
      </c>
      <c r="N53" s="184">
        <f t="shared" si="11"/>
        <v>-0.9525686875359396</v>
      </c>
      <c r="Q53">
        <f>SUM($N$33:N53)</f>
        <v>20.267452248529661</v>
      </c>
      <c r="R53">
        <f t="shared" si="13"/>
        <v>20.037043719421405</v>
      </c>
    </row>
    <row r="54" spans="2:18" x14ac:dyDescent="0.25">
      <c r="B54">
        <v>22</v>
      </c>
      <c r="C54">
        <f t="shared" si="12"/>
        <v>19</v>
      </c>
      <c r="D54">
        <v>0</v>
      </c>
      <c r="E54">
        <v>0</v>
      </c>
      <c r="F54">
        <v>0</v>
      </c>
      <c r="H54">
        <f t="shared" si="14"/>
        <v>0.93710847997031765</v>
      </c>
      <c r="I54">
        <f t="shared" si="14"/>
        <v>2.0963840009894107E-2</v>
      </c>
      <c r="J54">
        <f t="shared" si="14"/>
        <v>2.0963840009894107E-2</v>
      </c>
      <c r="K54">
        <f t="shared" si="14"/>
        <v>2.0963840009894107E-2</v>
      </c>
      <c r="M54">
        <f t="shared" si="10"/>
        <v>3.8649562297306539</v>
      </c>
      <c r="N54" s="184">
        <f t="shared" si="11"/>
        <v>-0.94267109987639985</v>
      </c>
      <c r="Q54">
        <f>SUM($N$33:N54)</f>
        <v>19.324781148653262</v>
      </c>
      <c r="R54">
        <f t="shared" si="13"/>
        <v>19.037043719421405</v>
      </c>
    </row>
    <row r="55" spans="2:18" x14ac:dyDescent="0.25">
      <c r="B55">
        <v>23</v>
      </c>
      <c r="C55">
        <f t="shared" si="12"/>
        <v>18</v>
      </c>
      <c r="D55">
        <v>0</v>
      </c>
      <c r="E55">
        <v>0</v>
      </c>
      <c r="F55">
        <v>0</v>
      </c>
      <c r="H55">
        <f t="shared" si="14"/>
        <v>0.92423904645882615</v>
      </c>
      <c r="I55">
        <f t="shared" si="14"/>
        <v>2.5253651180391298E-2</v>
      </c>
      <c r="J55">
        <f t="shared" si="14"/>
        <v>2.5253651180391298E-2</v>
      </c>
      <c r="K55">
        <f t="shared" si="14"/>
        <v>2.5253651180391298E-2</v>
      </c>
      <c r="M55">
        <f t="shared" si="10"/>
        <v>3.6787845325108988</v>
      </c>
      <c r="N55" s="184">
        <f t="shared" si="11"/>
        <v>-0.93085848609877564</v>
      </c>
      <c r="Q55">
        <f>SUM($N$33:N55)</f>
        <v>18.393922662554488</v>
      </c>
      <c r="R55">
        <f t="shared" si="13"/>
        <v>18.037043719421405</v>
      </c>
    </row>
    <row r="56" spans="2:18" x14ac:dyDescent="0.25">
      <c r="B56">
        <v>24</v>
      </c>
      <c r="C56">
        <f t="shared" si="12"/>
        <v>17</v>
      </c>
      <c r="D56">
        <v>0</v>
      </c>
      <c r="E56">
        <v>0</v>
      </c>
      <c r="F56">
        <v>0</v>
      </c>
      <c r="H56">
        <f t="shared" si="14"/>
        <v>0.90899190344385294</v>
      </c>
      <c r="I56">
        <f t="shared" si="14"/>
        <v>3.0336032185382365E-2</v>
      </c>
      <c r="J56">
        <f t="shared" si="14"/>
        <v>3.0336032185382365E-2</v>
      </c>
      <c r="K56">
        <f t="shared" si="14"/>
        <v>3.0336032185382365E-2</v>
      </c>
      <c r="M56">
        <f t="shared" si="10"/>
        <v>3.4954190919467987</v>
      </c>
      <c r="N56" s="184">
        <f t="shared" si="11"/>
        <v>-0.91682720282050045</v>
      </c>
      <c r="Q56">
        <f>SUM($N$33:N56)</f>
        <v>17.477095459733988</v>
      </c>
      <c r="R56">
        <f t="shared" si="13"/>
        <v>17.037043719421405</v>
      </c>
    </row>
    <row r="57" spans="2:18" x14ac:dyDescent="0.25">
      <c r="B57">
        <v>25</v>
      </c>
      <c r="C57">
        <f t="shared" si="12"/>
        <v>16</v>
      </c>
      <c r="D57">
        <v>0</v>
      </c>
      <c r="E57">
        <v>0</v>
      </c>
      <c r="F57">
        <v>0</v>
      </c>
      <c r="H57">
        <f t="shared" si="14"/>
        <v>0.89103798384955657</v>
      </c>
      <c r="I57">
        <f t="shared" si="14"/>
        <v>3.6320672050147801E-2</v>
      </c>
      <c r="J57">
        <f t="shared" si="14"/>
        <v>3.6320672050147801E-2</v>
      </c>
      <c r="K57">
        <f t="shared" si="14"/>
        <v>3.6320672050147801E-2</v>
      </c>
      <c r="M57">
        <f t="shared" si="10"/>
        <v>3.3153682218368692</v>
      </c>
      <c r="N57" s="184">
        <f t="shared" si="11"/>
        <v>-0.90025435054964742</v>
      </c>
      <c r="Q57">
        <f>SUM($N$33:N57)</f>
        <v>16.57684110918434</v>
      </c>
      <c r="R57">
        <f t="shared" si="13"/>
        <v>16.037043719421405</v>
      </c>
    </row>
    <row r="58" spans="2:18" x14ac:dyDescent="0.25">
      <c r="B58">
        <v>26</v>
      </c>
      <c r="C58">
        <f t="shared" si="12"/>
        <v>15</v>
      </c>
      <c r="D58">
        <v>0</v>
      </c>
      <c r="E58">
        <v>0</v>
      </c>
      <c r="F58">
        <v>0</v>
      </c>
      <c r="H58">
        <f t="shared" si="14"/>
        <v>0.87004850656140775</v>
      </c>
      <c r="I58">
        <f t="shared" si="14"/>
        <v>4.3317164479530733E-2</v>
      </c>
      <c r="J58">
        <f t="shared" si="14"/>
        <v>4.3317164479530733E-2</v>
      </c>
      <c r="K58">
        <f t="shared" si="14"/>
        <v>4.3317164479530733E-2</v>
      </c>
      <c r="M58">
        <f t="shared" si="10"/>
        <v>3.1392063142194564</v>
      </c>
      <c r="N58" s="184">
        <f t="shared" si="11"/>
        <v>-0.88080953808706397</v>
      </c>
      <c r="Q58">
        <f>SUM($N$33:N58)</f>
        <v>15.696031571097276</v>
      </c>
      <c r="R58">
        <f t="shared" si="13"/>
        <v>15.037043719421405</v>
      </c>
    </row>
    <row r="59" spans="2:18" x14ac:dyDescent="0.25">
      <c r="B59">
        <v>27</v>
      </c>
      <c r="C59">
        <f t="shared" si="12"/>
        <v>14</v>
      </c>
      <c r="D59">
        <v>0</v>
      </c>
      <c r="E59">
        <v>0</v>
      </c>
      <c r="F59">
        <v>0</v>
      </c>
      <c r="H59">
        <f t="shared" si="14"/>
        <v>0.84571589109763279</v>
      </c>
      <c r="I59">
        <f t="shared" si="14"/>
        <v>5.1428036300789071E-2</v>
      </c>
      <c r="J59">
        <f t="shared" si="14"/>
        <v>5.1428036300789071E-2</v>
      </c>
      <c r="K59">
        <f t="shared" si="14"/>
        <v>5.1428036300789071E-2</v>
      </c>
      <c r="M59">
        <f t="shared" si="10"/>
        <v>2.9675718019038646</v>
      </c>
      <c r="N59" s="184">
        <f t="shared" si="11"/>
        <v>-0.85817256157795896</v>
      </c>
      <c r="Q59">
        <f>SUM($N$33:N59)</f>
        <v>14.837859009519317</v>
      </c>
      <c r="R59">
        <f t="shared" si="13"/>
        <v>14.037043719421405</v>
      </c>
    </row>
    <row r="60" spans="2:18" x14ac:dyDescent="0.25">
      <c r="B60">
        <v>28</v>
      </c>
      <c r="C60">
        <f t="shared" si="12"/>
        <v>13</v>
      </c>
      <c r="D60">
        <v>0</v>
      </c>
      <c r="E60">
        <v>0</v>
      </c>
      <c r="F60">
        <v>0</v>
      </c>
      <c r="H60">
        <f t="shared" si="14"/>
        <v>0.81778135720927791</v>
      </c>
      <c r="I60">
        <f t="shared" si="14"/>
        <v>6.073954759690741E-2</v>
      </c>
      <c r="J60">
        <f t="shared" si="14"/>
        <v>6.073954759690741E-2</v>
      </c>
      <c r="K60">
        <f t="shared" si="14"/>
        <v>6.073954759690741E-2</v>
      </c>
      <c r="M60">
        <f t="shared" si="10"/>
        <v>2.8011602675827989</v>
      </c>
      <c r="N60" s="184">
        <f t="shared" si="11"/>
        <v>-0.83205767160532851</v>
      </c>
      <c r="Q60">
        <f>SUM($N$33:N60)</f>
        <v>14.005801337913988</v>
      </c>
      <c r="R60">
        <f t="shared" si="13"/>
        <v>13.037043719421405</v>
      </c>
    </row>
    <row r="61" spans="2:18" x14ac:dyDescent="0.25">
      <c r="B61">
        <v>29</v>
      </c>
      <c r="C61">
        <f t="shared" si="12"/>
        <v>12</v>
      </c>
      <c r="D61">
        <v>0</v>
      </c>
      <c r="E61">
        <v>0</v>
      </c>
      <c r="F61">
        <v>0</v>
      </c>
      <c r="H61">
        <f t="shared" si="14"/>
        <v>0.78606843994764464</v>
      </c>
      <c r="I61">
        <f t="shared" si="14"/>
        <v>7.1310520017451792E-2</v>
      </c>
      <c r="J61">
        <f t="shared" si="14"/>
        <v>7.1310520017451792E-2</v>
      </c>
      <c r="K61">
        <f t="shared" si="14"/>
        <v>7.1310520017451792E-2</v>
      </c>
      <c r="M61">
        <f t="shared" si="10"/>
        <v>2.6407114166188883</v>
      </c>
      <c r="N61" s="184">
        <f t="shared" si="11"/>
        <v>-0.80224425481955297</v>
      </c>
      <c r="Q61">
        <f>SUM($N$33:N61)</f>
        <v>13.203557083094434</v>
      </c>
      <c r="R61">
        <f t="shared" si="13"/>
        <v>12.037043719421405</v>
      </c>
    </row>
    <row r="62" spans="2:18" x14ac:dyDescent="0.25">
      <c r="B62">
        <v>30</v>
      </c>
      <c r="C62">
        <f t="shared" si="12"/>
        <v>11</v>
      </c>
      <c r="D62">
        <v>0</v>
      </c>
      <c r="E62">
        <v>0</v>
      </c>
      <c r="F62">
        <v>0</v>
      </c>
      <c r="H62">
        <f t="shared" si="14"/>
        <v>0.75052003058947292</v>
      </c>
      <c r="I62">
        <f t="shared" si="14"/>
        <v>8.3159989803509027E-2</v>
      </c>
      <c r="J62">
        <f t="shared" si="14"/>
        <v>8.3159989803509027E-2</v>
      </c>
      <c r="K62">
        <f t="shared" si="14"/>
        <v>8.3159989803509027E-2</v>
      </c>
      <c r="M62">
        <f t="shared" si="10"/>
        <v>2.486988938605259</v>
      </c>
      <c r="N62" s="184">
        <f t="shared" si="11"/>
        <v>-0.7686123900681463</v>
      </c>
      <c r="Q62">
        <f>SUM($N$33:N62)</f>
        <v>12.434944693026289</v>
      </c>
      <c r="R62">
        <f t="shared" si="13"/>
        <v>11.037043719421405</v>
      </c>
    </row>
    <row r="63" spans="2:18" x14ac:dyDescent="0.25">
      <c r="B63">
        <v>31</v>
      </c>
      <c r="C63">
        <f t="shared" si="12"/>
        <v>10</v>
      </c>
      <c r="D63">
        <v>0</v>
      </c>
      <c r="E63">
        <v>0</v>
      </c>
      <c r="F63">
        <v>0</v>
      </c>
      <c r="H63">
        <f t="shared" si="14"/>
        <v>0.71123459422759383</v>
      </c>
      <c r="I63">
        <f t="shared" si="14"/>
        <v>9.6255135257468719E-2</v>
      </c>
      <c r="J63">
        <f t="shared" si="14"/>
        <v>9.6255135257468719E-2</v>
      </c>
      <c r="K63">
        <f t="shared" si="14"/>
        <v>9.6255135257468719E-2</v>
      </c>
      <c r="M63">
        <f t="shared" si="10"/>
        <v>2.3407529539131313</v>
      </c>
      <c r="N63" s="184">
        <f t="shared" si="11"/>
        <v>-0.73117992346063865</v>
      </c>
      <c r="Q63">
        <f>SUM($N$33:N63)</f>
        <v>11.70376476956565</v>
      </c>
      <c r="R63">
        <f t="shared" si="13"/>
        <v>10.037043719421405</v>
      </c>
    </row>
    <row r="64" spans="2:18" x14ac:dyDescent="0.25">
      <c r="B64">
        <v>32</v>
      </c>
      <c r="C64">
        <f t="shared" si="12"/>
        <v>9</v>
      </c>
      <c r="D64">
        <v>0</v>
      </c>
      <c r="E64">
        <v>0</v>
      </c>
      <c r="F64">
        <v>0</v>
      </c>
      <c r="H64">
        <f t="shared" si="14"/>
        <v>0.66849537379248503</v>
      </c>
      <c r="I64">
        <f t="shared" si="14"/>
        <v>0.11050154206917169</v>
      </c>
      <c r="J64">
        <f t="shared" si="14"/>
        <v>0.11050154206917169</v>
      </c>
      <c r="K64">
        <f t="shared" si="14"/>
        <v>0.11050154206917169</v>
      </c>
      <c r="M64">
        <f t="shared" si="10"/>
        <v>2.2027258027445855</v>
      </c>
      <c r="N64" s="184">
        <f t="shared" si="11"/>
        <v>-0.69013575584272902</v>
      </c>
      <c r="Q64">
        <f>SUM($N$33:N64)</f>
        <v>11.013629013722921</v>
      </c>
      <c r="R64">
        <f t="shared" si="13"/>
        <v>9.0370437194214048</v>
      </c>
    </row>
    <row r="65" spans="2:18" x14ac:dyDescent="0.25">
      <c r="B65">
        <v>33</v>
      </c>
      <c r="C65">
        <f t="shared" si="12"/>
        <v>8</v>
      </c>
      <c r="D65">
        <v>0</v>
      </c>
      <c r="E65">
        <v>0</v>
      </c>
      <c r="F65">
        <v>0</v>
      </c>
      <c r="H65">
        <f t="shared" si="14"/>
        <v>0.62278539305362235</v>
      </c>
      <c r="I65">
        <f t="shared" si="14"/>
        <v>0.12573820231545921</v>
      </c>
      <c r="J65">
        <f t="shared" si="14"/>
        <v>0.12573820231545921</v>
      </c>
      <c r="K65">
        <f t="shared" si="14"/>
        <v>0.12573820231545921</v>
      </c>
      <c r="M65">
        <f t="shared" si="10"/>
        <v>2.0735532929684619</v>
      </c>
      <c r="N65" s="184">
        <f t="shared" si="11"/>
        <v>-0.645862548880618</v>
      </c>
      <c r="Q65">
        <f>SUM($N$33:N65)</f>
        <v>10.367766464842303</v>
      </c>
      <c r="R65">
        <f t="shared" si="13"/>
        <v>8.0370437194214048</v>
      </c>
    </row>
    <row r="66" spans="2:18" x14ac:dyDescent="0.25">
      <c r="B66">
        <v>34</v>
      </c>
      <c r="C66">
        <f t="shared" si="12"/>
        <v>7</v>
      </c>
      <c r="D66">
        <v>0</v>
      </c>
      <c r="E66">
        <v>0</v>
      </c>
      <c r="F66">
        <v>0</v>
      </c>
      <c r="H66">
        <f t="shared" ref="H66:K87" si="15">EXP(C66/$G$2)/SUM(EXP($C66/$G$2),EXP($D66/$G$2),EXP($E66/$G$2),EXP($F66/$G$2))</f>
        <v>0.5747817192853143</v>
      </c>
      <c r="I66">
        <f t="shared" si="15"/>
        <v>0.14173942690489524</v>
      </c>
      <c r="J66">
        <f t="shared" si="15"/>
        <v>0.14173942690489524</v>
      </c>
      <c r="K66">
        <f t="shared" si="15"/>
        <v>0.14173942690489524</v>
      </c>
      <c r="M66">
        <f t="shared" si="10"/>
        <v>1.9537649288924173</v>
      </c>
      <c r="N66" s="184">
        <f t="shared" si="11"/>
        <v>-0.59894182038022326</v>
      </c>
      <c r="Q66">
        <f>SUM($N$33:N66)</f>
        <v>9.7688246444620788</v>
      </c>
      <c r="R66">
        <f t="shared" si="13"/>
        <v>7.0370437194214048</v>
      </c>
    </row>
    <row r="67" spans="2:18" x14ac:dyDescent="0.25">
      <c r="B67">
        <v>35</v>
      </c>
      <c r="C67">
        <f t="shared" si="12"/>
        <v>6</v>
      </c>
      <c r="D67">
        <v>0</v>
      </c>
      <c r="E67">
        <v>0</v>
      </c>
      <c r="F67">
        <v>0</v>
      </c>
      <c r="H67">
        <f t="shared" si="15"/>
        <v>0.52532523738484416</v>
      </c>
      <c r="I67">
        <f t="shared" si="15"/>
        <v>0.15822492087171863</v>
      </c>
      <c r="J67">
        <f t="shared" si="15"/>
        <v>0.15822492087171863</v>
      </c>
      <c r="K67">
        <f t="shared" si="15"/>
        <v>0.15822492087171863</v>
      </c>
      <c r="M67">
        <f t="shared" si="10"/>
        <v>1.8437377084206332</v>
      </c>
      <c r="N67" s="184">
        <f t="shared" si="11"/>
        <v>-0.55013610235892019</v>
      </c>
      <c r="Q67">
        <f>SUM($N$33:N67)</f>
        <v>9.218688542103159</v>
      </c>
      <c r="R67">
        <f t="shared" si="13"/>
        <v>6.0370437194214048</v>
      </c>
    </row>
    <row r="68" spans="2:18" x14ac:dyDescent="0.25">
      <c r="B68">
        <v>36</v>
      </c>
      <c r="C68">
        <f t="shared" si="12"/>
        <v>5</v>
      </c>
      <c r="D68">
        <v>0</v>
      </c>
      <c r="E68">
        <v>0</v>
      </c>
      <c r="F68">
        <v>0</v>
      </c>
      <c r="H68">
        <f t="shared" si="15"/>
        <v>0.4753668864186717</v>
      </c>
      <c r="I68">
        <f t="shared" si="15"/>
        <v>0.17487770452710946</v>
      </c>
      <c r="J68">
        <f t="shared" si="15"/>
        <v>0.17487770452710946</v>
      </c>
      <c r="K68">
        <f t="shared" si="15"/>
        <v>0.17487770452710946</v>
      </c>
      <c r="M68">
        <f t="shared" si="10"/>
        <v>1.743668380628679</v>
      </c>
      <c r="N68" s="184">
        <f t="shared" si="11"/>
        <v>-0.50034663895977105</v>
      </c>
      <c r="Q68">
        <f>SUM($N$33:N68)</f>
        <v>8.7183419031433882</v>
      </c>
      <c r="R68">
        <f t="shared" si="13"/>
        <v>5.0370437194214048</v>
      </c>
    </row>
    <row r="69" spans="2:18" x14ac:dyDescent="0.25">
      <c r="B69">
        <v>37</v>
      </c>
      <c r="C69">
        <f t="shared" si="12"/>
        <v>4</v>
      </c>
      <c r="D69">
        <v>0</v>
      </c>
      <c r="E69">
        <v>0</v>
      </c>
      <c r="F69">
        <v>0</v>
      </c>
      <c r="H69">
        <f t="shared" si="15"/>
        <v>0.42589675575166169</v>
      </c>
      <c r="I69">
        <f t="shared" si="15"/>
        <v>0.19136774808277945</v>
      </c>
      <c r="J69">
        <f t="shared" si="15"/>
        <v>0.19136774808277945</v>
      </c>
      <c r="K69">
        <f t="shared" si="15"/>
        <v>0.19136774808277945</v>
      </c>
      <c r="M69">
        <f t="shared" si="10"/>
        <v>1.6535583194765306</v>
      </c>
      <c r="N69" s="184">
        <f t="shared" si="11"/>
        <v>-0.45055030576074184</v>
      </c>
      <c r="Q69">
        <f>SUM($N$33:N69)</f>
        <v>8.2677915973826472</v>
      </c>
      <c r="R69">
        <f t="shared" si="13"/>
        <v>4.0370437194214048</v>
      </c>
    </row>
    <row r="70" spans="2:18" x14ac:dyDescent="0.25">
      <c r="B70">
        <v>38</v>
      </c>
      <c r="C70">
        <f t="shared" si="12"/>
        <v>3</v>
      </c>
      <c r="D70">
        <v>0</v>
      </c>
      <c r="E70">
        <v>0</v>
      </c>
      <c r="F70">
        <v>0</v>
      </c>
      <c r="H70">
        <f t="shared" si="15"/>
        <v>0.3778668414894607</v>
      </c>
      <c r="I70">
        <f t="shared" si="15"/>
        <v>0.20737771950351308</v>
      </c>
      <c r="J70">
        <f t="shared" si="15"/>
        <v>0.20737771950351308</v>
      </c>
      <c r="K70">
        <f t="shared" si="15"/>
        <v>0.20737771950351308</v>
      </c>
      <c r="M70">
        <f t="shared" si="10"/>
        <v>1.5732134166165241</v>
      </c>
      <c r="N70" s="184">
        <f t="shared" si="11"/>
        <v>-0.40172451430003253</v>
      </c>
      <c r="Q70">
        <f>SUM($N$33:N70)</f>
        <v>7.8660670830826147</v>
      </c>
      <c r="R70">
        <f t="shared" si="13"/>
        <v>3.0370437194214048</v>
      </c>
    </row>
    <row r="71" spans="2:18" x14ac:dyDescent="0.25">
      <c r="B71">
        <v>39</v>
      </c>
      <c r="C71">
        <f t="shared" si="12"/>
        <v>2</v>
      </c>
      <c r="D71">
        <v>0</v>
      </c>
      <c r="E71">
        <v>0</v>
      </c>
      <c r="F71">
        <v>0</v>
      </c>
      <c r="H71">
        <f t="shared" si="15"/>
        <v>0.33211997307567492</v>
      </c>
      <c r="I71">
        <f t="shared" si="15"/>
        <v>0.2226266756414417</v>
      </c>
      <c r="J71">
        <f t="shared" si="15"/>
        <v>0.2226266756414417</v>
      </c>
      <c r="K71">
        <f t="shared" si="15"/>
        <v>0.2226266756414417</v>
      </c>
      <c r="M71">
        <f t="shared" si="10"/>
        <v>1.5022590106563736</v>
      </c>
      <c r="N71" s="184">
        <f t="shared" si="11"/>
        <v>-0.35477202980075284</v>
      </c>
      <c r="Q71">
        <f>SUM($N$33:N71)</f>
        <v>7.5112950532818621</v>
      </c>
      <c r="R71">
        <f t="shared" si="13"/>
        <v>2.0370437194214048</v>
      </c>
    </row>
    <row r="72" spans="2:18" x14ac:dyDescent="0.25">
      <c r="B72">
        <v>40</v>
      </c>
      <c r="C72">
        <f t="shared" si="12"/>
        <v>1</v>
      </c>
      <c r="D72">
        <v>0</v>
      </c>
      <c r="E72">
        <v>0</v>
      </c>
      <c r="F72">
        <v>0</v>
      </c>
      <c r="H72">
        <f t="shared" si="15"/>
        <v>0.28933575594016492</v>
      </c>
      <c r="I72">
        <f t="shared" si="15"/>
        <v>0.23688808135327838</v>
      </c>
      <c r="J72">
        <f t="shared" si="15"/>
        <v>0.23688808135327838</v>
      </c>
      <c r="K72">
        <f t="shared" si="15"/>
        <v>0.23688808135327838</v>
      </c>
      <c r="M72">
        <f t="shared" si="10"/>
        <v>1.4401674799598645</v>
      </c>
      <c r="N72" s="184">
        <f t="shared" si="11"/>
        <v>-0.31045765348254539</v>
      </c>
      <c r="Q72">
        <f>SUM($N$33:N72)</f>
        <v>7.2008373997993171</v>
      </c>
      <c r="R72">
        <f t="shared" si="13"/>
        <v>1.0370437194214048</v>
      </c>
    </row>
    <row r="73" spans="2:18" x14ac:dyDescent="0.25">
      <c r="B73">
        <v>41</v>
      </c>
      <c r="C73">
        <f t="shared" si="12"/>
        <v>0</v>
      </c>
      <c r="D73">
        <v>0</v>
      </c>
      <c r="E73">
        <v>0</v>
      </c>
      <c r="F73">
        <v>0</v>
      </c>
      <c r="H73">
        <f t="shared" si="15"/>
        <v>0.25</v>
      </c>
      <c r="I73">
        <f t="shared" si="15"/>
        <v>0.25</v>
      </c>
      <c r="J73">
        <f t="shared" si="15"/>
        <v>0.25</v>
      </c>
      <c r="K73">
        <f t="shared" si="15"/>
        <v>0.25</v>
      </c>
      <c r="M73">
        <f t="shared" si="10"/>
        <v>1.3862943611198906</v>
      </c>
      <c r="N73" s="184">
        <f t="shared" si="11"/>
        <v>-0.26936559419986961</v>
      </c>
      <c r="Q73">
        <f>SUM($N$33:N73)</f>
        <v>6.9314718055994478</v>
      </c>
      <c r="R73">
        <f t="shared" si="13"/>
        <v>3.704371942140483E-2</v>
      </c>
    </row>
  </sheetData>
  <hyperlinks>
    <hyperlink ref="B27" r:id="rId1" location="Example_7:_Rapidly-adjusted_.28micro.29payments_to_a_pre-determined_part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HLMSR</vt:lpstr>
      <vt:lpstr>2x2 (Pr)</vt:lpstr>
      <vt:lpstr>Some Accounting</vt:lpstr>
    </vt:vector>
  </TitlesOfParts>
  <Company>Faculty Support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Psztorc</cp:lastModifiedBy>
  <dcterms:created xsi:type="dcterms:W3CDTF">2013-11-06T14:19:02Z</dcterms:created>
  <dcterms:modified xsi:type="dcterms:W3CDTF">2013-12-04T04:05:37Z</dcterms:modified>
</cp:coreProperties>
</file>