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1075" windowHeight="9975" activeTab="3"/>
  </bookViews>
  <sheets>
    <sheet name="HLMSR" sheetId="6" r:id="rId1"/>
    <sheet name="Simple Example" sheetId="10" r:id="rId2"/>
    <sheet name="Continuous" sheetId="11" r:id="rId3"/>
    <sheet name="Multidimensional Continuous" sheetId="12" r:id="rId4"/>
    <sheet name="Changing b mid contract" sheetId="8" r:id="rId5"/>
    <sheet name="Insurance Fraud Experiments" sheetId="9" r:id="rId6"/>
    <sheet name="Some Accounting" sheetId="7" r:id="rId7"/>
    <sheet name="2x2 Update Calculator" sheetId="5" r:id="rId8"/>
  </sheets>
  <calcPr calcId="145621"/>
</workbook>
</file>

<file path=xl/calcChain.xml><?xml version="1.0" encoding="utf-8"?>
<calcChain xmlns="http://schemas.openxmlformats.org/spreadsheetml/2006/main">
  <c r="H20" i="12" l="1"/>
  <c r="T21" i="12" s="1"/>
  <c r="N20" i="12"/>
  <c r="P24" i="12"/>
  <c r="P20" i="12"/>
  <c r="Q20" i="12"/>
  <c r="R20" i="12"/>
  <c r="G27" i="12"/>
  <c r="F20" i="11"/>
  <c r="G20" i="11"/>
  <c r="H20" i="11"/>
  <c r="S10" i="12"/>
  <c r="T10" i="12" s="1"/>
  <c r="J20" i="11"/>
  <c r="I20" i="11"/>
  <c r="K20" i="11"/>
  <c r="S11" i="12"/>
  <c r="T11" i="12" s="1"/>
  <c r="S19" i="12"/>
  <c r="S18" i="12"/>
  <c r="S17" i="12"/>
  <c r="S16" i="12"/>
  <c r="S15" i="12"/>
  <c r="S14" i="12"/>
  <c r="S13" i="12"/>
  <c r="S12" i="12"/>
  <c r="J10" i="11"/>
  <c r="I10" i="11"/>
  <c r="P9" i="12"/>
  <c r="O9" i="12"/>
  <c r="N9" i="12"/>
  <c r="M9" i="12"/>
  <c r="L18" i="12"/>
  <c r="P18" i="12" s="1"/>
  <c r="R18" i="12" s="1"/>
  <c r="K18" i="12"/>
  <c r="O18" i="12" s="1"/>
  <c r="Q18" i="12" s="1"/>
  <c r="J18" i="12"/>
  <c r="N18" i="12" s="1"/>
  <c r="I18" i="12"/>
  <c r="M18" i="12" s="1"/>
  <c r="L17" i="12"/>
  <c r="P17" i="12" s="1"/>
  <c r="R17" i="12" s="1"/>
  <c r="K17" i="12"/>
  <c r="O17" i="12" s="1"/>
  <c r="Q17" i="12" s="1"/>
  <c r="J17" i="12"/>
  <c r="N17" i="12" s="1"/>
  <c r="I17" i="12"/>
  <c r="M17" i="12" s="1"/>
  <c r="L16" i="12"/>
  <c r="P16" i="12" s="1"/>
  <c r="R16" i="12" s="1"/>
  <c r="K16" i="12"/>
  <c r="O16" i="12" s="1"/>
  <c r="Q16" i="12" s="1"/>
  <c r="J16" i="12"/>
  <c r="N16" i="12" s="1"/>
  <c r="I16" i="12"/>
  <c r="M16" i="12" s="1"/>
  <c r="L15" i="12"/>
  <c r="P15" i="12" s="1"/>
  <c r="R15" i="12" s="1"/>
  <c r="K15" i="12"/>
  <c r="O15" i="12" s="1"/>
  <c r="Q15" i="12" s="1"/>
  <c r="J15" i="12"/>
  <c r="N15" i="12" s="1"/>
  <c r="I15" i="12"/>
  <c r="M15" i="12" s="1"/>
  <c r="L14" i="12"/>
  <c r="P14" i="12" s="1"/>
  <c r="R14" i="12" s="1"/>
  <c r="K14" i="12"/>
  <c r="O14" i="12" s="1"/>
  <c r="Q14" i="12" s="1"/>
  <c r="J14" i="12"/>
  <c r="N14" i="12" s="1"/>
  <c r="I14" i="12"/>
  <c r="M14" i="12" s="1"/>
  <c r="L13" i="12"/>
  <c r="P13" i="12" s="1"/>
  <c r="R13" i="12" s="1"/>
  <c r="K13" i="12"/>
  <c r="O13" i="12" s="1"/>
  <c r="Q13" i="12" s="1"/>
  <c r="J13" i="12"/>
  <c r="N13" i="12" s="1"/>
  <c r="I13" i="12"/>
  <c r="M13" i="12" s="1"/>
  <c r="L12" i="12"/>
  <c r="P12" i="12" s="1"/>
  <c r="R12" i="12" s="1"/>
  <c r="K12" i="12"/>
  <c r="O12" i="12" s="1"/>
  <c r="Q12" i="12" s="1"/>
  <c r="J12" i="12"/>
  <c r="N12" i="12" s="1"/>
  <c r="I12" i="12"/>
  <c r="M12" i="12" s="1"/>
  <c r="L11" i="12"/>
  <c r="P11" i="12" s="1"/>
  <c r="R11" i="12" s="1"/>
  <c r="K11" i="12"/>
  <c r="O11" i="12" s="1"/>
  <c r="Q11" i="12" s="1"/>
  <c r="J11" i="12"/>
  <c r="N11" i="12" s="1"/>
  <c r="I11" i="12"/>
  <c r="M11" i="12" s="1"/>
  <c r="L10" i="12"/>
  <c r="P10" i="12" s="1"/>
  <c r="R10" i="12" s="1"/>
  <c r="K10" i="12"/>
  <c r="O10" i="12" s="1"/>
  <c r="Q10" i="12" s="1"/>
  <c r="J10" i="12"/>
  <c r="N10" i="12" s="1"/>
  <c r="I10" i="12"/>
  <c r="M10" i="12" s="1"/>
  <c r="L9" i="12"/>
  <c r="K9" i="12"/>
  <c r="J9" i="12"/>
  <c r="I9" i="12"/>
  <c r="H9" i="12"/>
  <c r="X9" i="12"/>
  <c r="G9" i="12"/>
  <c r="F9" i="12"/>
  <c r="E9" i="12"/>
  <c r="W9" i="12" s="1"/>
  <c r="I25" i="12"/>
  <c r="W19" i="12"/>
  <c r="X18" i="12"/>
  <c r="W18" i="12"/>
  <c r="X17" i="12"/>
  <c r="W17" i="12"/>
  <c r="X16" i="12"/>
  <c r="W16" i="12"/>
  <c r="X15" i="12"/>
  <c r="W15" i="12"/>
  <c r="X14" i="12"/>
  <c r="W14" i="12"/>
  <c r="X13" i="12"/>
  <c r="W13" i="12"/>
  <c r="X12" i="12"/>
  <c r="W12" i="12"/>
  <c r="AA12" i="12" s="1"/>
  <c r="X11" i="12"/>
  <c r="W11" i="12"/>
  <c r="P22" i="12" l="1"/>
  <c r="J20" i="12"/>
  <c r="K20" i="12"/>
  <c r="L20" i="12"/>
  <c r="I20" i="12"/>
  <c r="S20" i="12"/>
  <c r="W4" i="12"/>
  <c r="T12" i="12"/>
  <c r="Y12" i="12" s="1"/>
  <c r="AB12" i="12" s="1"/>
  <c r="AC12" i="12" s="1"/>
  <c r="T13" i="12"/>
  <c r="Y13" i="12" s="1"/>
  <c r="T18" i="12"/>
  <c r="Y18" i="12" s="1"/>
  <c r="AB18" i="12" s="1"/>
  <c r="T14" i="12"/>
  <c r="Y14" i="12" s="1"/>
  <c r="T17" i="12"/>
  <c r="Y17" i="12" s="1"/>
  <c r="AA17" i="12" s="1"/>
  <c r="T16" i="12"/>
  <c r="Y16" i="12" s="1"/>
  <c r="AA16" i="12" s="1"/>
  <c r="Y11" i="12"/>
  <c r="AA11" i="12" s="1"/>
  <c r="AB14" i="12"/>
  <c r="AA14" i="12"/>
  <c r="AA13" i="12"/>
  <c r="AB13" i="12"/>
  <c r="T15" i="12"/>
  <c r="Y15" i="12" s="1"/>
  <c r="AA15" i="12" s="1"/>
  <c r="G25" i="11"/>
  <c r="L11" i="11" s="1"/>
  <c r="E27" i="11"/>
  <c r="H9" i="11"/>
  <c r="G9" i="11"/>
  <c r="F9" i="11"/>
  <c r="Q9" i="11" s="1"/>
  <c r="E9" i="11"/>
  <c r="P9" i="11" s="1"/>
  <c r="P15" i="11"/>
  <c r="E20" i="11"/>
  <c r="L10" i="6"/>
  <c r="P19" i="11"/>
  <c r="P18" i="11"/>
  <c r="P17" i="11"/>
  <c r="P16" i="11"/>
  <c r="P14" i="11"/>
  <c r="Q13" i="11"/>
  <c r="P13" i="11"/>
  <c r="H13" i="11"/>
  <c r="G13" i="11"/>
  <c r="Q12" i="11"/>
  <c r="P12" i="11"/>
  <c r="H12" i="11"/>
  <c r="G12" i="11"/>
  <c r="Q11" i="11"/>
  <c r="P11" i="11"/>
  <c r="H11" i="11"/>
  <c r="G11" i="11"/>
  <c r="H10" i="11"/>
  <c r="G10" i="11"/>
  <c r="AA18" i="12" l="1"/>
  <c r="AC18" i="12" s="1"/>
  <c r="AB16" i="12"/>
  <c r="AC16" i="12" s="1"/>
  <c r="AB17" i="12"/>
  <c r="AC17" i="12" s="1"/>
  <c r="L19" i="12"/>
  <c r="P19" i="12" s="1"/>
  <c r="R19" i="12" s="1"/>
  <c r="K19" i="12"/>
  <c r="O19" i="12" s="1"/>
  <c r="Q19" i="12" s="1"/>
  <c r="J19" i="12"/>
  <c r="N19" i="12" s="1"/>
  <c r="I19" i="12"/>
  <c r="M19" i="12" s="1"/>
  <c r="AB11" i="12"/>
  <c r="AC11" i="12" s="1"/>
  <c r="X19" i="12"/>
  <c r="T19" i="12"/>
  <c r="Y19" i="12" s="1"/>
  <c r="AA19" i="12" s="1"/>
  <c r="AB15" i="12"/>
  <c r="AC15" i="12" s="1"/>
  <c r="AC14" i="12"/>
  <c r="AC13" i="12"/>
  <c r="L10" i="11"/>
  <c r="P4" i="11" s="1"/>
  <c r="J13" i="11"/>
  <c r="K13" i="11" s="1"/>
  <c r="L12" i="11"/>
  <c r="I12" i="11"/>
  <c r="L13" i="11"/>
  <c r="K10" i="11"/>
  <c r="J12" i="11"/>
  <c r="K12" i="11" s="1"/>
  <c r="L14" i="11"/>
  <c r="I11" i="11"/>
  <c r="I13" i="11"/>
  <c r="J9" i="11"/>
  <c r="J11" i="11"/>
  <c r="K11" i="11" s="1"/>
  <c r="Q23" i="10"/>
  <c r="Q21" i="10"/>
  <c r="Q19" i="10"/>
  <c r="Q17" i="10"/>
  <c r="Q15" i="10"/>
  <c r="Q13" i="10"/>
  <c r="Q11" i="10"/>
  <c r="Q9" i="10"/>
  <c r="P23" i="10"/>
  <c r="R23" i="10" s="1"/>
  <c r="P22" i="10"/>
  <c r="P20" i="10"/>
  <c r="P18" i="10"/>
  <c r="P16" i="10"/>
  <c r="P14" i="10"/>
  <c r="P12" i="10"/>
  <c r="P10" i="10"/>
  <c r="M7" i="10"/>
  <c r="L7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9" i="10"/>
  <c r="L9" i="10"/>
  <c r="I8" i="10"/>
  <c r="J8" i="10" s="1"/>
  <c r="I20" i="10"/>
  <c r="H20" i="10"/>
  <c r="G20" i="10"/>
  <c r="E24" i="10"/>
  <c r="I23" i="10"/>
  <c r="H23" i="10"/>
  <c r="G23" i="10"/>
  <c r="I22" i="10"/>
  <c r="H22" i="10"/>
  <c r="G22" i="10"/>
  <c r="I21" i="10"/>
  <c r="H21" i="10"/>
  <c r="G21" i="10"/>
  <c r="I9" i="10"/>
  <c r="H9" i="10"/>
  <c r="G9" i="10"/>
  <c r="L3" i="10"/>
  <c r="H8" i="10"/>
  <c r="G8" i="10"/>
  <c r="P23" i="12" l="1"/>
  <c r="T20" i="12"/>
  <c r="T22" i="12" s="1"/>
  <c r="AB19" i="12"/>
  <c r="AC19" i="12" s="1"/>
  <c r="M12" i="11"/>
  <c r="R12" i="11" s="1"/>
  <c r="U12" i="11" s="1"/>
  <c r="M13" i="11"/>
  <c r="R13" i="11" s="1"/>
  <c r="T13" i="11" s="1"/>
  <c r="M11" i="11"/>
  <c r="R11" i="11" s="1"/>
  <c r="T11" i="11" s="1"/>
  <c r="M10" i="11"/>
  <c r="F19" i="11"/>
  <c r="L19" i="11" s="1"/>
  <c r="L20" i="11"/>
  <c r="M21" i="11"/>
  <c r="L15" i="11"/>
  <c r="L18" i="11"/>
  <c r="M14" i="11"/>
  <c r="L17" i="11"/>
  <c r="L16" i="11"/>
  <c r="U13" i="11"/>
  <c r="V13" i="11" s="1"/>
  <c r="U11" i="11"/>
  <c r="T12" i="11"/>
  <c r="G10" i="10"/>
  <c r="J21" i="10"/>
  <c r="N21" i="10" s="1"/>
  <c r="P21" i="10" s="1"/>
  <c r="R21" i="10" s="1"/>
  <c r="J23" i="10"/>
  <c r="N23" i="10" s="1"/>
  <c r="J9" i="10"/>
  <c r="N9" i="10" s="1"/>
  <c r="P9" i="10" s="1"/>
  <c r="R9" i="10" s="1"/>
  <c r="H24" i="10"/>
  <c r="J22" i="10"/>
  <c r="N22" i="10" s="1"/>
  <c r="Q22" i="10" s="1"/>
  <c r="R22" i="10" s="1"/>
  <c r="I10" i="10"/>
  <c r="G24" i="10"/>
  <c r="I24" i="10"/>
  <c r="H10" i="10"/>
  <c r="J38" i="9"/>
  <c r="J37" i="9"/>
  <c r="T23" i="12" l="1"/>
  <c r="M19" i="11"/>
  <c r="M20" i="11" s="1"/>
  <c r="M22" i="11" s="1"/>
  <c r="V11" i="11"/>
  <c r="V12" i="11"/>
  <c r="Q17" i="11"/>
  <c r="H16" i="11"/>
  <c r="J16" i="11" s="1"/>
  <c r="K16" i="11" s="1"/>
  <c r="Q16" i="11"/>
  <c r="G16" i="11"/>
  <c r="I16" i="11" s="1"/>
  <c r="H15" i="11"/>
  <c r="J15" i="11" s="1"/>
  <c r="K15" i="11" s="1"/>
  <c r="G15" i="11"/>
  <c r="I15" i="11" s="1"/>
  <c r="M17" i="11"/>
  <c r="H17" i="11"/>
  <c r="J17" i="11" s="1"/>
  <c r="K17" i="11" s="1"/>
  <c r="G17" i="11"/>
  <c r="I17" i="11" s="1"/>
  <c r="H19" i="11"/>
  <c r="J19" i="11" s="1"/>
  <c r="K19" i="11" s="1"/>
  <c r="Q19" i="11"/>
  <c r="G19" i="11"/>
  <c r="I19" i="11" s="1"/>
  <c r="Q15" i="11"/>
  <c r="G14" i="11"/>
  <c r="I14" i="11" s="1"/>
  <c r="H14" i="11"/>
  <c r="J14" i="11" s="1"/>
  <c r="K14" i="11" s="1"/>
  <c r="Q14" i="11"/>
  <c r="M18" i="11"/>
  <c r="H18" i="11"/>
  <c r="J18" i="11" s="1"/>
  <c r="K18" i="11" s="1"/>
  <c r="Q18" i="11"/>
  <c r="G18" i="11"/>
  <c r="I18" i="11" s="1"/>
  <c r="H11" i="10"/>
  <c r="G11" i="10"/>
  <c r="I11" i="10"/>
  <c r="J11" i="10" s="1"/>
  <c r="N11" i="10" s="1"/>
  <c r="P11" i="10" s="1"/>
  <c r="R11" i="10" s="1"/>
  <c r="J10" i="10"/>
  <c r="N10" i="10" s="1"/>
  <c r="Q10" i="10" s="1"/>
  <c r="R10" i="10" s="1"/>
  <c r="F62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I12" i="9"/>
  <c r="J12" i="9" s="1"/>
  <c r="H12" i="9"/>
  <c r="G12" i="9"/>
  <c r="I7" i="9"/>
  <c r="U16" i="11" l="1"/>
  <c r="R19" i="11"/>
  <c r="T19" i="11" s="1"/>
  <c r="M15" i="11"/>
  <c r="M23" i="11" s="1"/>
  <c r="M16" i="11"/>
  <c r="R16" i="11" s="1"/>
  <c r="T16" i="11" s="1"/>
  <c r="R18" i="11"/>
  <c r="T18" i="11" s="1"/>
  <c r="R17" i="11"/>
  <c r="T17" i="11" s="1"/>
  <c r="I12" i="10"/>
  <c r="J12" i="10" s="1"/>
  <c r="N12" i="10" s="1"/>
  <c r="Q12" i="10" s="1"/>
  <c r="R12" i="10" s="1"/>
  <c r="H12" i="10"/>
  <c r="G12" i="10"/>
  <c r="I61" i="9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U18" i="11" l="1"/>
  <c r="V18" i="11" s="1"/>
  <c r="U19" i="11"/>
  <c r="V19" i="11" s="1"/>
  <c r="U17" i="11"/>
  <c r="V17" i="11" s="1"/>
  <c r="V16" i="11"/>
  <c r="R15" i="11"/>
  <c r="R14" i="11"/>
  <c r="H13" i="10"/>
  <c r="G13" i="10"/>
  <c r="I13" i="10"/>
  <c r="J13" i="10" s="1"/>
  <c r="N13" i="10" s="1"/>
  <c r="P13" i="10" s="1"/>
  <c r="R13" i="10" s="1"/>
  <c r="L62" i="9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U14" i="11" l="1"/>
  <c r="T14" i="11"/>
  <c r="U15" i="11"/>
  <c r="T15" i="11"/>
  <c r="H14" i="10"/>
  <c r="G14" i="10"/>
  <c r="H15" i="10"/>
  <c r="I14" i="10"/>
  <c r="J14" i="10" s="1"/>
  <c r="N14" i="10" s="1"/>
  <c r="Q14" i="10" s="1"/>
  <c r="R14" i="10" s="1"/>
  <c r="H62" i="9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V15" i="11" l="1"/>
  <c r="V14" i="11"/>
  <c r="G15" i="10"/>
  <c r="I15" i="10"/>
  <c r="J15" i="10" s="1"/>
  <c r="N15" i="10" s="1"/>
  <c r="P15" i="10" s="1"/>
  <c r="R15" i="10" s="1"/>
  <c r="J62" i="9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I16" i="10" l="1"/>
  <c r="J16" i="10" s="1"/>
  <c r="N16" i="10" s="1"/>
  <c r="Q16" i="10" s="1"/>
  <c r="R16" i="10" s="1"/>
  <c r="G17" i="10"/>
  <c r="G16" i="10"/>
  <c r="H16" i="10"/>
  <c r="M63" i="9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17" i="10" l="1"/>
  <c r="J17" i="10" s="1"/>
  <c r="N17" i="10" s="1"/>
  <c r="P17" i="10" s="1"/>
  <c r="R17" i="10" s="1"/>
  <c r="H17" i="10"/>
  <c r="I65" i="9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H18" i="10" l="1"/>
  <c r="I18" i="10"/>
  <c r="J18" i="10" s="1"/>
  <c r="N18" i="10" s="1"/>
  <c r="Q18" i="10" s="1"/>
  <c r="R18" i="10" s="1"/>
  <c r="G18" i="10"/>
  <c r="L67" i="9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19" i="10" l="1"/>
  <c r="I19" i="10"/>
  <c r="G19" i="10"/>
  <c r="H67" i="9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J19" i="10" l="1"/>
  <c r="N19" i="10" s="1"/>
  <c r="P19" i="10" s="1"/>
  <c r="R19" i="10" s="1"/>
  <c r="J20" i="10"/>
  <c r="N20" i="10" s="1"/>
  <c r="Q20" i="10" s="1"/>
  <c r="R20" i="10" s="1"/>
  <c r="I68" i="9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J24" i="10" l="1"/>
  <c r="J25" i="10" s="1"/>
  <c r="L70" i="9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<sst xmlns="http://schemas.openxmlformats.org/spreadsheetml/2006/main" count="364" uniqueCount="140">
  <si>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</si>
  <si>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</si>
  <si>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</si>
  <si>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</si>
  <si>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</si>
  <si>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</si>
  <si>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</si>
  <si>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</si>
  <si>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</si>
  <si>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</si>
  <si>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</si>
  <si>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</si>
  <si>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</si>
  <si>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</si>
  <si>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</si>
  <si>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</si>
  <si>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</si>
  <si>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</si>
  <si>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</si>
  <si>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</si>
  <si>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</si>
  <si>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</si>
  <si>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</si>
  <si>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</si>
  <si>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</si>
  <si>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</si>
  <si>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</si>
  <si>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</si>
  <si>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</si>
  <si>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</si>
  <si>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</si>
  <si>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</si>
  <si>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</si>
  <si>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</si>
  <si>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</si>
  <si>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</si>
  <si>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</si>
  <si>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</si>
  <si>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</si>
  <si>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</si>
  <si>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</si>
  <si>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</si>
  <si>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</si>
  <si>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</si>
  <si>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</si>
  <si>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</si>
  <si>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</si>
  <si>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</si>
  <si>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</si>
  <si>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</si>
  <si>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</si>
  <si>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</si>
  <si>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</si>
  <si>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</si>
  <si>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</si>
  <si>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</si>
  <si>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</si>
  <si>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</si>
  <si>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</si>
  <si>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</si>
  <si>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</si>
  <si>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</si>
  <si>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</si>
  <si>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</si>
  <si>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</si>
  <si>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</si>
  <si>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</si>
  <si>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</si>
  <si>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</si>
  <si>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</si>
  <si>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</si>
  <si>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</si>
  <si>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</si>
  <si>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</si>
  <si>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</si>
  <si>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</si>
  <si>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</si>
  <si>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</si>
  <si>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</si>
  <si>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</si>
  <si>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</si>
  <si>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</si>
  <si>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</si>
  <si>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</si>
  <si>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</si>
  <si>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</si>
  <si>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</si>
  <si>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</si>
  <si>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</si>
  <si>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</si>
  <si>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</si>
  <si>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</si>
  <si>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</si>
  <si>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</si>
  <si>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</si>
  <si>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ROCE</t>
  </si>
  <si>
    <t>(return on capital employed)</t>
  </si>
  <si>
    <t>Very capital intensive (but no counter-party risk)</t>
  </si>
  <si>
    <t>Will likely only work in situations</t>
  </si>
  <si>
    <t>only insure events like natural disasters (hurricane/tornado)</t>
  </si>
  <si>
    <t>works good for events where $ is potentially high (hurricane), because individuals can purchase as much insurance as they need (potentially a great deal), and insurance providers face a deep market</t>
  </si>
  <si>
    <t>include price of arson (unravel?)</t>
  </si>
  <si>
    <t>demand arson protections</t>
  </si>
  <si>
    <t>augmentation - see note on manipulation (this would certainly work IF the augmentation were ungameable [which will probably not be met])</t>
  </si>
  <si>
    <t>i=0</t>
  </si>
  <si>
    <t>i=1</t>
  </si>
  <si>
    <t>Liquidity Parameter</t>
  </si>
  <si>
    <t>Seed Capital Required</t>
  </si>
  <si>
    <t>End</t>
  </si>
  <si>
    <t>Trade</t>
  </si>
  <si>
    <t>Trade Cost</t>
  </si>
  <si>
    <t>Interpretation</t>
  </si>
  <si>
    <t>Order Books of Permanent Liquidity</t>
  </si>
  <si>
    <t>Max</t>
  </si>
  <si>
    <t>Outcome</t>
  </si>
  <si>
    <t>Min</t>
  </si>
  <si>
    <t>Scale Parameter</t>
  </si>
  <si>
    <t>i</t>
  </si>
  <si>
    <t>Refund</t>
  </si>
  <si>
    <t>Post-Hoc Net Cost</t>
  </si>
  <si>
    <t>DJIA 4/17/2014</t>
  </si>
  <si>
    <t>Scaled Contracts</t>
  </si>
  <si>
    <t>Re: consensus, I suppose most frequent value (tie goes to more-central) becomes 1, others become .5</t>
  </si>
  <si>
    <t>Market Author can "get back" the "left over" money, this encourages him to set appropriate min/max as this refund value is low when final value crashes into these limits.</t>
  </si>
  <si>
    <t>Max and Min must be set in advance - The Taleb Criticism</t>
  </si>
  <si>
    <t>What will the Dow Jones Industrial Average closing price be on Feb 13th, 2014?</t>
  </si>
  <si>
    <t>http://measuringworth.com/DJA/</t>
  </si>
  <si>
    <t>http://finance.yahoo.com/echarts?s=%5Edji+interactive</t>
  </si>
  <si>
    <t>https://research.stlouisfed.org/fred2/series/DJIA/downloaddata</t>
  </si>
  <si>
    <t>Escrow Account Balance: enough to pay off the shareholders</t>
  </si>
  <si>
    <t>Redemptions</t>
  </si>
  <si>
    <t>MV Scaled Contracts</t>
  </si>
  <si>
    <t>i|1</t>
  </si>
  <si>
    <t>i|0</t>
  </si>
  <si>
    <t>Index (Same Units)</t>
  </si>
  <si>
    <t>Index (Units)</t>
  </si>
  <si>
    <t>Becomes clear that i2=1</t>
  </si>
  <si>
    <t>Stock Market Improves</t>
  </si>
  <si>
    <t>i2=1 is better for the DJIA</t>
  </si>
  <si>
    <t>Outcome revealed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</si>
</sst>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%"/>
    <numFmt numFmtId="167" formatCode="0.0"/>
    <numFmt numFmtId="168" formatCode="0.00000"/>
    <numFmt numFmtId="169" formatCode="0.0000000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9" fontId="0" fillId="7" borderId="4" xfId="0" applyNumberFormat="1" applyFill="1" applyBorder="1" applyAlignment="1"/>
    <xf numFmtId="169" fontId="0" fillId="7" borderId="6" xfId="0" applyNumberFormat="1" applyFill="1" applyBorder="1" applyAlignment="1"/>
    <xf numFmtId="169" fontId="0" fillId="7" borderId="35" xfId="0" applyNumberFormat="1" applyFill="1" applyBorder="1" applyAlignment="1"/>
    <xf numFmtId="169" fontId="0" fillId="7" borderId="14" xfId="0" applyNumberFormat="1" applyFill="1" applyBorder="1" applyAlignment="1"/>
    <xf numFmtId="169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69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  <xf numFmtId="170" fontId="0" fillId="0" borderId="0" xfId="1" applyNumberFormat="1" applyFont="1"/>
    <xf numFmtId="166" fontId="0" fillId="3" borderId="22" xfId="1" applyNumberFormat="1" applyFont="1" applyFill="1" applyBorder="1" applyAlignment="1"/>
    <xf numFmtId="166" fontId="0" fillId="3" borderId="41" xfId="1" applyNumberFormat="1" applyFont="1" applyFill="1" applyBorder="1" applyAlignment="1"/>
    <xf numFmtId="166" fontId="0" fillId="3" borderId="19" xfId="1" applyNumberFormat="1" applyFont="1" applyFill="1" applyBorder="1" applyAlignment="1"/>
    <xf numFmtId="166" fontId="0" fillId="3" borderId="39" xfId="1" applyNumberFormat="1" applyFont="1" applyFill="1" applyBorder="1" applyAlignment="1"/>
    <xf numFmtId="0" fontId="0" fillId="5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166" fontId="0" fillId="0" borderId="0" xfId="0" applyNumberFormat="1" applyBorder="1"/>
    <xf numFmtId="0" fontId="0" fillId="3" borderId="41" xfId="0" applyFill="1" applyBorder="1" applyAlignment="1"/>
    <xf numFmtId="2" fontId="0" fillId="3" borderId="39" xfId="1" applyNumberFormat="1" applyFont="1" applyFill="1" applyBorder="1" applyAlignment="1"/>
    <xf numFmtId="2" fontId="0" fillId="3" borderId="22" xfId="1" applyNumberFormat="1" applyFont="1" applyFill="1" applyBorder="1" applyAlignment="1"/>
    <xf numFmtId="2" fontId="0" fillId="3" borderId="41" xfId="1" applyNumberFormat="1" applyFont="1" applyFill="1" applyBorder="1" applyAlignment="1"/>
    <xf numFmtId="2" fontId="0" fillId="3" borderId="19" xfId="1" applyNumberFormat="1" applyFont="1" applyFill="1" applyBorder="1" applyAlignment="1"/>
    <xf numFmtId="0" fontId="3" fillId="8" borderId="0" xfId="0" applyFont="1" applyFill="1" applyBorder="1" applyAlignment="1">
      <alignment horizontal="left" vertical="center"/>
    </xf>
    <xf numFmtId="2" fontId="0" fillId="0" borderId="0" xfId="0" applyNumberFormat="1" applyAlignment="1"/>
    <xf numFmtId="0" fontId="0" fillId="0" borderId="0" xfId="0" applyBorder="1" applyAlignment="1">
      <alignment horizontal="left"/>
    </xf>
    <xf numFmtId="164" fontId="0" fillId="7" borderId="28" xfId="0" applyNumberFormat="1" applyFill="1" applyBorder="1" applyAlignment="1"/>
    <xf numFmtId="2" fontId="0" fillId="0" borderId="17" xfId="1" applyNumberFormat="1" applyFont="1" applyBorder="1" applyAlignment="1"/>
    <xf numFmtId="0" fontId="1" fillId="8" borderId="42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4" borderId="7" xfId="1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/>
    </xf>
    <xf numFmtId="2" fontId="0" fillId="6" borderId="4" xfId="1" applyNumberFormat="1" applyFont="1" applyFill="1" applyBorder="1" applyAlignment="1">
      <alignment horizontal="center"/>
    </xf>
    <xf numFmtId="2" fontId="0" fillId="4" borderId="0" xfId="1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2" fontId="0" fillId="6" borderId="6" xfId="1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2" xfId="0" applyBorder="1"/>
    <xf numFmtId="2" fontId="0" fillId="5" borderId="3" xfId="1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center"/>
    </xf>
    <xf numFmtId="166" fontId="0" fillId="4" borderId="7" xfId="1" applyNumberFormat="1" applyFont="1" applyFill="1" applyBorder="1" applyAlignment="1">
      <alignment horizontal="center"/>
    </xf>
    <xf numFmtId="166" fontId="0" fillId="3" borderId="7" xfId="1" applyNumberFormat="1" applyFont="1" applyFill="1" applyBorder="1" applyAlignment="1">
      <alignment horizontal="center"/>
    </xf>
    <xf numFmtId="166" fontId="0" fillId="6" borderId="7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3" borderId="0" xfId="1" applyNumberFormat="1" applyFont="1" applyFill="1" applyBorder="1" applyAlignment="1">
      <alignment horizontal="center"/>
    </xf>
    <xf numFmtId="166" fontId="0" fillId="6" borderId="0" xfId="1" applyNumberFormat="1" applyFont="1" applyFill="1" applyBorder="1" applyAlignment="1">
      <alignment horizontal="center"/>
    </xf>
    <xf numFmtId="166" fontId="0" fillId="5" borderId="8" xfId="1" applyNumberFormat="1" applyFont="1" applyFill="1" applyBorder="1" applyAlignment="1">
      <alignment horizontal="center"/>
    </xf>
    <xf numFmtId="166" fontId="0" fillId="4" borderId="8" xfId="1" applyNumberFormat="1" applyFont="1" applyFill="1" applyBorder="1" applyAlignment="1">
      <alignment horizontal="center"/>
    </xf>
    <xf numFmtId="166" fontId="0" fillId="3" borderId="8" xfId="1" applyNumberFormat="1" applyFont="1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3" borderId="7" xfId="1" applyNumberFormat="1" applyFont="1" applyFill="1" applyBorder="1" applyAlignment="1"/>
    <xf numFmtId="2" fontId="0" fillId="3" borderId="0" xfId="1" applyNumberFormat="1" applyFont="1" applyFill="1" applyBorder="1" applyAlignment="1"/>
    <xf numFmtId="2" fontId="0" fillId="3" borderId="8" xfId="1" applyNumberFormat="1" applyFont="1" applyFill="1" applyBorder="1" applyAlignment="1"/>
    <xf numFmtId="2" fontId="0" fillId="3" borderId="23" xfId="1" applyNumberFormat="1" applyFont="1" applyFill="1" applyBorder="1" applyAlignment="1"/>
    <xf numFmtId="0" fontId="0" fillId="2" borderId="45" xfId="0" applyFill="1" applyBorder="1" applyAlignment="1"/>
    <xf numFmtId="0" fontId="0" fillId="3" borderId="20" xfId="0" applyFill="1" applyBorder="1" applyAlignment="1">
      <alignment horizontal="center"/>
    </xf>
    <xf numFmtId="2" fontId="0" fillId="3" borderId="45" xfId="1" applyNumberFormat="1" applyFont="1" applyFill="1" applyBorder="1" applyAlignment="1"/>
    <xf numFmtId="2" fontId="0" fillId="3" borderId="46" xfId="1" applyNumberFormat="1" applyFont="1" applyFill="1" applyBorder="1" applyAlignment="1"/>
    <xf numFmtId="2" fontId="0" fillId="3" borderId="44" xfId="1" applyNumberFormat="1" applyFont="1" applyFill="1" applyBorder="1" applyAlignment="1"/>
    <xf numFmtId="0" fontId="0" fillId="2" borderId="47" xfId="0" applyFill="1" applyBorder="1" applyAlignment="1"/>
    <xf numFmtId="164" fontId="0" fillId="7" borderId="48" xfId="0" applyNumberFormat="1" applyFill="1" applyBorder="1" applyAlignment="1"/>
    <xf numFmtId="0" fontId="3" fillId="0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/>
    <xf numFmtId="2" fontId="0" fillId="5" borderId="30" xfId="1" applyNumberFormat="1" applyFont="1" applyFill="1" applyBorder="1" applyAlignment="1">
      <alignment horizontal="center"/>
    </xf>
    <xf numFmtId="2" fontId="0" fillId="4" borderId="33" xfId="1" applyNumberFormat="1" applyFont="1" applyFill="1" applyBorder="1" applyAlignment="1">
      <alignment horizontal="center"/>
    </xf>
    <xf numFmtId="2" fontId="0" fillId="3" borderId="33" xfId="1" applyNumberFormat="1" applyFont="1" applyFill="1" applyBorder="1" applyAlignment="1">
      <alignment horizontal="center"/>
    </xf>
    <xf numFmtId="2" fontId="0" fillId="6" borderId="31" xfId="1" applyNumberFormat="1" applyFont="1" applyFill="1" applyBorder="1" applyAlignment="1">
      <alignment horizontal="center"/>
    </xf>
    <xf numFmtId="2" fontId="0" fillId="0" borderId="0" xfId="0" applyNumberForma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9376"/>
        <c:axId val="49350912"/>
      </c:lineChart>
      <c:catAx>
        <c:axId val="493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350912"/>
        <c:crosses val="autoZero"/>
        <c:auto val="1"/>
        <c:lblAlgn val="ctr"/>
        <c:lblOffset val="100"/>
        <c:noMultiLvlLbl val="0"/>
      </c:catAx>
      <c:valAx>
        <c:axId val="49350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93493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'Simple Example'!$G$8:$G$23</c:f>
              <c:numCache>
                <c:formatCode>0.0%</c:formatCode>
                <c:ptCount val="16"/>
                <c:pt idx="0">
                  <c:v>0.5</c:v>
                </c:pt>
                <c:pt idx="1">
                  <c:v>0.53565367083397153</c:v>
                </c:pt>
                <c:pt idx="2">
                  <c:v>0.32865254651727005</c:v>
                </c:pt>
                <c:pt idx="3">
                  <c:v>0.84739133515736897</c:v>
                </c:pt>
                <c:pt idx="4">
                  <c:v>0.5</c:v>
                </c:pt>
                <c:pt idx="5">
                  <c:v>0.88079707797788231</c:v>
                </c:pt>
                <c:pt idx="6">
                  <c:v>0.57094659688346627</c:v>
                </c:pt>
                <c:pt idx="7">
                  <c:v>0.78342090423182409</c:v>
                </c:pt>
                <c:pt idx="8">
                  <c:v>0.36090725483714864</c:v>
                </c:pt>
                <c:pt idx="9">
                  <c:v>0.88079707797788231</c:v>
                </c:pt>
                <c:pt idx="10">
                  <c:v>0.36090725483714881</c:v>
                </c:pt>
                <c:pt idx="11">
                  <c:v>0.5</c:v>
                </c:pt>
                <c:pt idx="12">
                  <c:v>0.95257412682243314</c:v>
                </c:pt>
                <c:pt idx="13">
                  <c:v>0.57094659688346627</c:v>
                </c:pt>
                <c:pt idx="14">
                  <c:v>0.99111341128091202</c:v>
                </c:pt>
                <c:pt idx="15">
                  <c:v>0.99111341128091202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80"/>
        <c:axId val="49525888"/>
      </c:lineChart>
      <c:catAx>
        <c:axId val="494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525888"/>
        <c:crosses val="autoZero"/>
        <c:auto val="1"/>
        <c:lblAlgn val="ctr"/>
        <c:lblOffset val="100"/>
        <c:noMultiLvlLbl val="0"/>
      </c:catAx>
      <c:valAx>
        <c:axId val="495258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94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DJIA</a:t>
            </a:r>
            <a:r>
              <a:rPr lang="en-US" baseline="0"/>
              <a:t> on 2/13/2014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Continuous!$K$10:$K$20</c:f>
              <c:numCache>
                <c:formatCode>0.00</c:formatCode>
                <c:ptCount val="11"/>
                <c:pt idx="0">
                  <c:v>14000</c:v>
                </c:pt>
                <c:pt idx="1">
                  <c:v>8004.0242015655977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8000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16027.58999999998</c:v>
                </c:pt>
                <c:pt idx="10">
                  <c:v>14210.96641462841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0608"/>
        <c:axId val="51862144"/>
      </c:lineChart>
      <c:catAx>
        <c:axId val="518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51862144"/>
        <c:crosses val="autoZero"/>
        <c:auto val="1"/>
        <c:lblAlgn val="ctr"/>
        <c:lblOffset val="100"/>
        <c:noMultiLvlLbl val="0"/>
      </c:catAx>
      <c:valAx>
        <c:axId val="51862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86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DJIA</a:t>
            </a:r>
            <a:r>
              <a:rPr lang="en-US" baseline="0"/>
              <a:t> on 2/13/2014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'Multidimensional Continuous'!$R$10:$R$20</c:f>
              <c:numCache>
                <c:formatCode>0.00</c:formatCode>
                <c:ptCount val="11"/>
                <c:pt idx="0">
                  <c:v>11000</c:v>
                </c:pt>
                <c:pt idx="1">
                  <c:v>11000</c:v>
                </c:pt>
                <c:pt idx="2">
                  <c:v>11734.755987211127</c:v>
                </c:pt>
                <c:pt idx="3">
                  <c:v>11734.755987211127</c:v>
                </c:pt>
                <c:pt idx="4">
                  <c:v>11734.755987211127</c:v>
                </c:pt>
                <c:pt idx="5">
                  <c:v>11647.229217593798</c:v>
                </c:pt>
                <c:pt idx="6">
                  <c:v>11503.382239729086</c:v>
                </c:pt>
                <c:pt idx="7">
                  <c:v>12800.033671585548</c:v>
                </c:pt>
                <c:pt idx="8">
                  <c:v>13026.184489190488</c:v>
                </c:pt>
                <c:pt idx="9">
                  <c:v>15935.414178785333</c:v>
                </c:pt>
                <c:pt idx="10">
                  <c:v>16027.59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9744"/>
        <c:axId val="45681280"/>
      </c:lineChart>
      <c:catAx>
        <c:axId val="456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81280"/>
        <c:crosses val="autoZero"/>
        <c:auto val="1"/>
        <c:lblAlgn val="ctr"/>
        <c:lblOffset val="100"/>
        <c:noMultiLvlLbl val="0"/>
      </c:catAx>
      <c:valAx>
        <c:axId val="45681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67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8544"/>
        <c:axId val="51950336"/>
      </c:lineChart>
      <c:catAx>
        <c:axId val="519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1950336"/>
        <c:crosses val="autoZero"/>
        <c:auto val="1"/>
        <c:lblAlgn val="ctr"/>
        <c:lblOffset val="100"/>
        <c:noMultiLvlLbl val="0"/>
      </c:catAx>
      <c:valAx>
        <c:axId val="519503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19485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557893</xdr:colOff>
      <xdr:row>7</xdr:row>
      <xdr:rowOff>220434</xdr:rowOff>
    </xdr:from>
    <xdr:to>
      <xdr:col>32</xdr:col>
      <xdr:colOff>285751</xdr:colOff>
      <xdr:row>22</xdr:row>
      <xdr:rowOff>99331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40475</xdr:colOff>
      <xdr:row>19</xdr:row>
      <xdr:rowOff>210687</xdr:rowOff>
    </xdr:from>
    <xdr:to>
      <xdr:col>26</xdr:col>
      <xdr:colOff>481367</xdr:colOff>
      <xdr:row>35</xdr:row>
      <xdr:rowOff>21922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40475</xdr:colOff>
      <xdr:row>19</xdr:row>
      <xdr:rowOff>210687</xdr:rowOff>
    </xdr:from>
    <xdr:to>
      <xdr:col>33</xdr:col>
      <xdr:colOff>481367</xdr:colOff>
      <xdr:row>35</xdr:row>
      <xdr:rowOff>21922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P59"/>
  <sheetViews>
    <sheetView zoomScale="70" zoomScaleNormal="70" workbookViewId="0">
      <selection activeCell="E25" sqref="E25:H33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203" t="s">
        <v>8</v>
      </c>
      <c r="F25" s="207" t="s">
        <v>9</v>
      </c>
      <c r="G25" s="204" t="s">
        <v>10</v>
      </c>
      <c r="H25" s="208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X27"/>
  <sheetViews>
    <sheetView zoomScale="70" zoomScaleNormal="70" workbookViewId="0">
      <selection activeCell="V31" sqref="V31"/>
    </sheetView>
  </sheetViews>
  <sheetFormatPr defaultRowHeight="15" x14ac:dyDescent="0.25"/>
  <cols>
    <col min="5" max="9" width="11.42578125" style="34" customWidth="1"/>
    <col min="10" max="10" width="12" style="34" customWidth="1"/>
    <col min="11" max="11" width="25.7109375" customWidth="1"/>
    <col min="13" max="13" width="9.42578125" customWidth="1"/>
    <col min="14" max="14" width="12.7109375" customWidth="1"/>
    <col min="15" max="15" width="10.28515625" customWidth="1"/>
    <col min="16" max="16" width="10.7109375" hidden="1" customWidth="1"/>
    <col min="17" max="17" width="0" hidden="1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1" spans="2:24" ht="15.75" thickBot="1" x14ac:dyDescent="0.3"/>
    <row r="2" spans="2:24" ht="31.5" x14ac:dyDescent="0.5">
      <c r="B2" s="219" t="s">
        <v>112</v>
      </c>
      <c r="D2" s="163"/>
      <c r="K2" s="209" t="s">
        <v>106</v>
      </c>
      <c r="L2" s="210">
        <v>7</v>
      </c>
    </row>
    <row r="3" spans="2:24" ht="15.75" thickBot="1" x14ac:dyDescent="0.3">
      <c r="K3" s="211" t="s">
        <v>107</v>
      </c>
      <c r="L3" s="212">
        <f>I8</f>
        <v>4.8520302639196169</v>
      </c>
    </row>
    <row r="4" spans="2:24" s="7" customFormat="1" x14ac:dyDescent="0.25">
      <c r="C4"/>
      <c r="E4" s="17"/>
      <c r="F4" s="17"/>
      <c r="G4" s="34"/>
      <c r="H4" s="34"/>
      <c r="I4" s="34"/>
      <c r="J4" s="34"/>
      <c r="L4" s="27"/>
      <c r="Q4"/>
      <c r="R4"/>
      <c r="S4"/>
      <c r="T4" s="8"/>
    </row>
    <row r="5" spans="2:24" s="7" customFormat="1" ht="15.75" thickBot="1" x14ac:dyDescent="0.3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2:24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L6" s="231" t="s">
        <v>109</v>
      </c>
      <c r="M6" s="232"/>
      <c r="N6" s="216" t="s">
        <v>110</v>
      </c>
      <c r="P6" s="7" t="s">
        <v>111</v>
      </c>
      <c r="Q6" s="20"/>
      <c r="R6" s="217" t="s">
        <v>111</v>
      </c>
      <c r="S6" s="20"/>
    </row>
    <row r="7" spans="2:24" s="7" customFormat="1" ht="16.5" thickTop="1" thickBot="1" x14ac:dyDescent="0.3">
      <c r="C7" s="33"/>
      <c r="D7" s="35" t="s">
        <v>51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L7" s="213" t="str">
        <f>E7</f>
        <v>i=0</v>
      </c>
      <c r="M7" s="214" t="str">
        <f>F7</f>
        <v>i=1</v>
      </c>
      <c r="R7"/>
    </row>
    <row r="8" spans="2:24" s="7" customFormat="1" ht="18" customHeight="1" thickTop="1" x14ac:dyDescent="0.25">
      <c r="D8" s="26">
        <v>1</v>
      </c>
      <c r="E8" s="45">
        <v>0</v>
      </c>
      <c r="F8" s="46">
        <v>0</v>
      </c>
      <c r="G8" s="51">
        <f t="shared" ref="G8:G23" si="0">EXP(E8/$L$2)/(EXP($F8/$L$2)+EXP($E8/$L$2))</f>
        <v>0.5</v>
      </c>
      <c r="H8" s="202">
        <f t="shared" ref="H8:H23" si="1">EXP(F8/$L$2)/(EXP($F8/$L$2)+EXP($E8/$L$2))</f>
        <v>0.5</v>
      </c>
      <c r="I8" s="95">
        <f t="shared" ref="I8:I24" si="2">$L$2*LN(EXP($F8/$L$2)+EXP($E8/$L$2))</f>
        <v>4.8520302639196169</v>
      </c>
      <c r="J8" s="47">
        <f>(I8-I7)</f>
        <v>4.8520302639196169</v>
      </c>
      <c r="L8" s="135"/>
      <c r="M8" s="118"/>
      <c r="R8"/>
      <c r="X8" s="220"/>
    </row>
    <row r="9" spans="2:24" s="7" customFormat="1" ht="18.75" x14ac:dyDescent="0.3">
      <c r="D9" s="26">
        <v>2</v>
      </c>
      <c r="E9" s="48">
        <v>1</v>
      </c>
      <c r="F9" s="42">
        <v>0</v>
      </c>
      <c r="G9" s="49">
        <f t="shared" si="0"/>
        <v>0.53565367083397153</v>
      </c>
      <c r="H9" s="199">
        <f t="shared" si="1"/>
        <v>0.46434632916602836</v>
      </c>
      <c r="I9" s="96">
        <f t="shared" si="2"/>
        <v>5.3698722427589098</v>
      </c>
      <c r="J9" s="50">
        <f>(I9-I8)</f>
        <v>0.51784197883929295</v>
      </c>
      <c r="L9" s="135">
        <f>E9-E8</f>
        <v>1</v>
      </c>
      <c r="M9" s="118">
        <f>F9-F8</f>
        <v>0</v>
      </c>
      <c r="N9" s="215">
        <f t="shared" ref="N9:N23" si="3">J9</f>
        <v>0.51784197883929295</v>
      </c>
      <c r="P9" s="7" t="str">
        <f>IF(L9&gt;0,"Bought ",IF(L9&lt;0,"Sold ",""))&amp;IF(L9&lt;0,L9*-1,IF(L9&gt;0,L9,""))&amp;IF(L9&lt;&gt;0," Shares of State 1 at a cost of "&amp;ROUND($N9,5),"")</f>
        <v>Bought 1 Shares of State 1 at a cost of 0.51784</v>
      </c>
      <c r="Q9" s="7" t="str">
        <f t="shared" ref="Q9" si="4">IF(M9&gt;0,"Bought ",IF(M9&lt;0,"Sold ",""))&amp;IF(M9&lt;0,M9*-1,IF(M9&gt;0,M9,""))&amp;IF(M9&lt;&gt;0," Shares of State 2 at a cost of "&amp;ROUND($N9,5),"")</f>
        <v/>
      </c>
      <c r="R9" s="218" t="str">
        <f>P9&amp;Q9</f>
        <v>Bought 1 Shares of State 1 at a cost of 0.51784</v>
      </c>
    </row>
    <row r="10" spans="2:24" s="7" customFormat="1" ht="18.75" x14ac:dyDescent="0.3">
      <c r="D10" s="26">
        <v>3</v>
      </c>
      <c r="E10" s="48">
        <v>1</v>
      </c>
      <c r="F10" s="42">
        <v>6</v>
      </c>
      <c r="G10" s="49">
        <f t="shared" si="0"/>
        <v>0.32865254651727005</v>
      </c>
      <c r="H10" s="199">
        <f t="shared" si="1"/>
        <v>0.67134745348273006</v>
      </c>
      <c r="I10" s="96">
        <f t="shared" si="2"/>
        <v>8.7892792311985044</v>
      </c>
      <c r="J10" s="50">
        <f t="shared" ref="J10:J22" si="5">(I10-I9)</f>
        <v>3.4194069884395946</v>
      </c>
      <c r="L10" s="135">
        <f t="shared" ref="L10:L23" si="6">E10-E9</f>
        <v>0</v>
      </c>
      <c r="M10" s="118">
        <f t="shared" ref="M10:M23" si="7">F10-F9</f>
        <v>6</v>
      </c>
      <c r="N10" s="215">
        <f t="shared" si="3"/>
        <v>3.4194069884395946</v>
      </c>
      <c r="P10" s="7" t="str">
        <f t="shared" ref="P10:P23" si="8">IF(L10&gt;0,"Bought ",IF(L10&lt;0,"Sold ",""))&amp;IF(L10&lt;0,L10*-1,IF(L10&gt;0,L10,""))&amp;IF(L10&lt;&gt;0," Shares of State 1 at a cost of "&amp;ROUND($N10,5),"")</f>
        <v/>
      </c>
      <c r="Q10" s="7" t="str">
        <f>IF(M10&gt;0,"Bought ",IF(M10&lt;0,"Sold ",""))&amp;IF(M10&lt;0,M10*-1,IF(M10&gt;0,M10,""))&amp;IF(M10&lt;&gt;0," Shares of State 2 at a cost of "&amp;ROUND($N10,5),"")</f>
        <v>Bought 6 Shares of State 2 at a cost of 3.41941</v>
      </c>
      <c r="R10" s="218" t="str">
        <f t="shared" ref="R10:R23" si="9">P10&amp;Q10</f>
        <v>Bought 6 Shares of State 2 at a cost of 3.41941</v>
      </c>
    </row>
    <row r="11" spans="2:24" s="7" customFormat="1" ht="18.75" x14ac:dyDescent="0.3">
      <c r="D11" s="26">
        <v>4</v>
      </c>
      <c r="E11" s="48">
        <v>18</v>
      </c>
      <c r="F11" s="42">
        <v>6</v>
      </c>
      <c r="G11" s="49">
        <f t="shared" si="0"/>
        <v>0.84739133515736897</v>
      </c>
      <c r="H11" s="199">
        <f t="shared" si="1"/>
        <v>0.152608664842631</v>
      </c>
      <c r="I11" s="96">
        <f t="shared" si="2"/>
        <v>19.159148662361027</v>
      </c>
      <c r="J11" s="50">
        <f t="shared" ref="J11:J20" si="10">(I11-I10)</f>
        <v>10.369869431162522</v>
      </c>
      <c r="L11" s="135">
        <f t="shared" si="6"/>
        <v>17</v>
      </c>
      <c r="M11" s="118">
        <f t="shared" si="7"/>
        <v>0</v>
      </c>
      <c r="N11" s="215">
        <f t="shared" si="3"/>
        <v>10.369869431162522</v>
      </c>
      <c r="P11" s="7" t="str">
        <f t="shared" si="8"/>
        <v>Bought 17 Shares of State 1 at a cost of 10.36987</v>
      </c>
      <c r="Q11" s="7" t="str">
        <f t="shared" ref="Q11:Q23" si="11">IF(M11&gt;0,"Bought ",IF(M11&lt;0,"Sold ",""))&amp;IF(M11&lt;0,M11*-1,IF(M11&gt;0,M11,""))&amp;IF(M11&lt;&gt;0," Shares of State 2 at a cost of "&amp;ROUND($N11,5),"")</f>
        <v/>
      </c>
      <c r="R11" s="218" t="str">
        <f t="shared" si="9"/>
        <v>Bought 17 Shares of State 1 at a cost of 10.36987</v>
      </c>
    </row>
    <row r="12" spans="2:24" s="7" customFormat="1" ht="18.75" x14ac:dyDescent="0.3">
      <c r="D12" s="26">
        <v>5</v>
      </c>
      <c r="E12" s="48">
        <v>18</v>
      </c>
      <c r="F12" s="42">
        <v>18</v>
      </c>
      <c r="G12" s="49">
        <f t="shared" si="0"/>
        <v>0.5</v>
      </c>
      <c r="H12" s="199">
        <f t="shared" si="1"/>
        <v>0.5</v>
      </c>
      <c r="I12" s="96">
        <f t="shared" si="2"/>
        <v>22.85203026391962</v>
      </c>
      <c r="J12" s="50">
        <f t="shared" si="10"/>
        <v>3.692881601558593</v>
      </c>
      <c r="L12" s="135">
        <f t="shared" si="6"/>
        <v>0</v>
      </c>
      <c r="M12" s="118">
        <f t="shared" si="7"/>
        <v>12</v>
      </c>
      <c r="N12" s="215">
        <f t="shared" si="3"/>
        <v>3.692881601558593</v>
      </c>
      <c r="P12" s="7" t="str">
        <f t="shared" si="8"/>
        <v/>
      </c>
      <c r="Q12" s="7" t="str">
        <f t="shared" si="11"/>
        <v>Bought 12 Shares of State 2 at a cost of 3.69288</v>
      </c>
      <c r="R12" s="218" t="str">
        <f t="shared" si="9"/>
        <v>Bought 12 Shares of State 2 at a cost of 3.69288</v>
      </c>
    </row>
    <row r="13" spans="2:24" s="7" customFormat="1" ht="18.75" x14ac:dyDescent="0.3">
      <c r="D13" s="26">
        <v>6</v>
      </c>
      <c r="E13" s="48">
        <v>32</v>
      </c>
      <c r="F13" s="42">
        <v>18</v>
      </c>
      <c r="G13" s="49">
        <f t="shared" si="0"/>
        <v>0.88079707797788231</v>
      </c>
      <c r="H13" s="199">
        <f t="shared" si="1"/>
        <v>0.11920292202211759</v>
      </c>
      <c r="I13" s="96">
        <f t="shared" si="2"/>
        <v>32.8884960773008</v>
      </c>
      <c r="J13" s="50">
        <f t="shared" si="10"/>
        <v>10.036465813381181</v>
      </c>
      <c r="L13" s="135">
        <f t="shared" si="6"/>
        <v>14</v>
      </c>
      <c r="M13" s="118">
        <f t="shared" si="7"/>
        <v>0</v>
      </c>
      <c r="N13" s="215">
        <f t="shared" si="3"/>
        <v>10.036465813381181</v>
      </c>
      <c r="P13" s="7" t="str">
        <f t="shared" si="8"/>
        <v>Bought 14 Shares of State 1 at a cost of 10.03647</v>
      </c>
      <c r="Q13" s="7" t="str">
        <f t="shared" si="11"/>
        <v/>
      </c>
      <c r="R13" s="218" t="str">
        <f t="shared" si="9"/>
        <v>Bought 14 Shares of State 1 at a cost of 10.03647</v>
      </c>
    </row>
    <row r="14" spans="2:24" s="7" customFormat="1" ht="18.75" x14ac:dyDescent="0.3">
      <c r="D14" s="26">
        <v>7</v>
      </c>
      <c r="E14" s="48">
        <v>32</v>
      </c>
      <c r="F14" s="42">
        <v>30</v>
      </c>
      <c r="G14" s="49">
        <f t="shared" si="0"/>
        <v>0.57094659688346627</v>
      </c>
      <c r="H14" s="199">
        <f t="shared" si="1"/>
        <v>0.42905340311653373</v>
      </c>
      <c r="I14" s="96">
        <f t="shared" si="2"/>
        <v>35.923217195086352</v>
      </c>
      <c r="J14" s="50">
        <f t="shared" si="10"/>
        <v>3.0347211177855513</v>
      </c>
      <c r="L14" s="135">
        <f t="shared" si="6"/>
        <v>0</v>
      </c>
      <c r="M14" s="118">
        <f t="shared" si="7"/>
        <v>12</v>
      </c>
      <c r="N14" s="215">
        <f t="shared" si="3"/>
        <v>3.0347211177855513</v>
      </c>
      <c r="P14" s="7" t="str">
        <f t="shared" si="8"/>
        <v/>
      </c>
      <c r="Q14" s="7" t="str">
        <f t="shared" si="11"/>
        <v>Bought 12 Shares of State 2 at a cost of 3.03472</v>
      </c>
      <c r="R14" s="218" t="str">
        <f t="shared" si="9"/>
        <v>Bought 12 Shares of State 2 at a cost of 3.03472</v>
      </c>
    </row>
    <row r="15" spans="2:24" s="7" customFormat="1" ht="18.75" x14ac:dyDescent="0.3">
      <c r="D15" s="26">
        <v>8</v>
      </c>
      <c r="E15" s="48">
        <v>39</v>
      </c>
      <c r="F15" s="42">
        <v>30</v>
      </c>
      <c r="G15" s="49">
        <f t="shared" si="0"/>
        <v>0.78342090423182409</v>
      </c>
      <c r="H15" s="199">
        <f t="shared" si="1"/>
        <v>0.21657909576817599</v>
      </c>
      <c r="I15" s="96">
        <f t="shared" si="2"/>
        <v>40.70859621886801</v>
      </c>
      <c r="J15" s="50">
        <f t="shared" si="10"/>
        <v>4.7853790237816582</v>
      </c>
      <c r="L15" s="135">
        <f t="shared" si="6"/>
        <v>7</v>
      </c>
      <c r="M15" s="118">
        <f t="shared" si="7"/>
        <v>0</v>
      </c>
      <c r="N15" s="215">
        <f t="shared" si="3"/>
        <v>4.7853790237816582</v>
      </c>
      <c r="P15" s="7" t="str">
        <f t="shared" si="8"/>
        <v>Bought 7 Shares of State 1 at a cost of 4.78538</v>
      </c>
      <c r="Q15" s="7" t="str">
        <f t="shared" si="11"/>
        <v/>
      </c>
      <c r="R15" s="218" t="str">
        <f t="shared" si="9"/>
        <v>Bought 7 Shares of State 1 at a cost of 4.78538</v>
      </c>
    </row>
    <row r="16" spans="2:24" s="7" customFormat="1" ht="18.75" x14ac:dyDescent="0.3">
      <c r="D16" s="26">
        <v>9</v>
      </c>
      <c r="E16" s="48">
        <v>39</v>
      </c>
      <c r="F16" s="42">
        <v>43</v>
      </c>
      <c r="G16" s="49">
        <f t="shared" si="0"/>
        <v>0.36090725483714864</v>
      </c>
      <c r="H16" s="199">
        <f t="shared" si="1"/>
        <v>0.63909274516285142</v>
      </c>
      <c r="I16" s="96">
        <f t="shared" si="2"/>
        <v>46.133939858256404</v>
      </c>
      <c r="J16" s="50">
        <f t="shared" si="10"/>
        <v>5.4253436393883945</v>
      </c>
      <c r="L16" s="135">
        <f t="shared" si="6"/>
        <v>0</v>
      </c>
      <c r="M16" s="118">
        <f t="shared" si="7"/>
        <v>13</v>
      </c>
      <c r="N16" s="215">
        <f t="shared" si="3"/>
        <v>5.4253436393883945</v>
      </c>
      <c r="P16" s="7" t="str">
        <f t="shared" si="8"/>
        <v/>
      </c>
      <c r="Q16" s="7" t="str">
        <f t="shared" si="11"/>
        <v>Bought 13 Shares of State 2 at a cost of 5.42534</v>
      </c>
      <c r="R16" s="218" t="str">
        <f t="shared" si="9"/>
        <v>Bought 13 Shares of State 2 at a cost of 5.42534</v>
      </c>
    </row>
    <row r="17" spans="3:19" s="7" customFormat="1" ht="18.75" x14ac:dyDescent="0.3">
      <c r="D17" s="26">
        <v>10</v>
      </c>
      <c r="E17" s="48">
        <v>57</v>
      </c>
      <c r="F17" s="42">
        <v>43</v>
      </c>
      <c r="G17" s="49">
        <f t="shared" si="0"/>
        <v>0.88079707797788231</v>
      </c>
      <c r="H17" s="199">
        <f t="shared" si="1"/>
        <v>0.11920292202211764</v>
      </c>
      <c r="I17" s="96">
        <f t="shared" si="2"/>
        <v>57.8884960773008</v>
      </c>
      <c r="J17" s="50">
        <f>(I17-I16)</f>
        <v>11.754556219044396</v>
      </c>
      <c r="L17" s="135">
        <f t="shared" si="6"/>
        <v>18</v>
      </c>
      <c r="M17" s="118">
        <f t="shared" si="7"/>
        <v>0</v>
      </c>
      <c r="N17" s="215">
        <f t="shared" si="3"/>
        <v>11.754556219044396</v>
      </c>
      <c r="P17" s="7" t="str">
        <f t="shared" si="8"/>
        <v>Bought 18 Shares of State 1 at a cost of 11.75456</v>
      </c>
      <c r="Q17" s="7" t="str">
        <f t="shared" si="11"/>
        <v/>
      </c>
      <c r="R17" s="218" t="str">
        <f t="shared" si="9"/>
        <v>Bought 18 Shares of State 1 at a cost of 11.75456</v>
      </c>
    </row>
    <row r="18" spans="3:19" s="7" customFormat="1" ht="18.75" x14ac:dyDescent="0.3">
      <c r="D18" s="26">
        <v>11</v>
      </c>
      <c r="E18" s="48">
        <v>57</v>
      </c>
      <c r="F18" s="42">
        <v>61</v>
      </c>
      <c r="G18" s="49">
        <f t="shared" si="0"/>
        <v>0.36090725483714881</v>
      </c>
      <c r="H18" s="199">
        <f t="shared" si="1"/>
        <v>0.63909274516285108</v>
      </c>
      <c r="I18" s="96">
        <f t="shared" si="2"/>
        <v>64.133939858256412</v>
      </c>
      <c r="J18" s="50">
        <f t="shared" si="10"/>
        <v>6.2454437809556111</v>
      </c>
      <c r="L18" s="135">
        <f t="shared" si="6"/>
        <v>0</v>
      </c>
      <c r="M18" s="118">
        <f t="shared" si="7"/>
        <v>18</v>
      </c>
      <c r="N18" s="215">
        <f t="shared" si="3"/>
        <v>6.2454437809556111</v>
      </c>
      <c r="P18" s="7" t="str">
        <f t="shared" si="8"/>
        <v/>
      </c>
      <c r="Q18" s="7" t="str">
        <f t="shared" si="11"/>
        <v>Bought 18 Shares of State 2 at a cost of 6.24544</v>
      </c>
      <c r="R18" s="218" t="str">
        <f t="shared" si="9"/>
        <v>Bought 18 Shares of State 2 at a cost of 6.24544</v>
      </c>
    </row>
    <row r="19" spans="3:19" s="7" customFormat="1" ht="18.75" x14ac:dyDescent="0.3">
      <c r="D19" s="26">
        <v>12</v>
      </c>
      <c r="E19" s="48">
        <v>61</v>
      </c>
      <c r="F19" s="42">
        <v>61</v>
      </c>
      <c r="G19" s="49">
        <f t="shared" si="0"/>
        <v>0.5</v>
      </c>
      <c r="H19" s="199">
        <f t="shared" si="1"/>
        <v>0.5</v>
      </c>
      <c r="I19" s="96">
        <f t="shared" si="2"/>
        <v>65.852030263919616</v>
      </c>
      <c r="J19" s="50">
        <f t="shared" si="10"/>
        <v>1.7180904056632045</v>
      </c>
      <c r="L19" s="135">
        <f t="shared" si="6"/>
        <v>4</v>
      </c>
      <c r="M19" s="118">
        <f t="shared" si="7"/>
        <v>0</v>
      </c>
      <c r="N19" s="215">
        <f t="shared" si="3"/>
        <v>1.7180904056632045</v>
      </c>
      <c r="P19" s="7" t="str">
        <f t="shared" si="8"/>
        <v>Bought 4 Shares of State 1 at a cost of 1.71809</v>
      </c>
      <c r="Q19" s="7" t="str">
        <f t="shared" si="11"/>
        <v/>
      </c>
      <c r="R19" s="218" t="str">
        <f t="shared" si="9"/>
        <v>Bought 4 Shares of State 1 at a cost of 1.71809</v>
      </c>
    </row>
    <row r="20" spans="3:19" s="7" customFormat="1" ht="18.75" x14ac:dyDescent="0.3">
      <c r="D20" s="26">
        <v>13</v>
      </c>
      <c r="E20" s="48">
        <v>61</v>
      </c>
      <c r="F20" s="42">
        <v>40</v>
      </c>
      <c r="G20" s="49">
        <f t="shared" si="0"/>
        <v>0.95257412682243314</v>
      </c>
      <c r="H20" s="199">
        <f t="shared" si="1"/>
        <v>4.7425873177566823E-2</v>
      </c>
      <c r="I20" s="96">
        <f t="shared" si="2"/>
        <v>61.340111461016193</v>
      </c>
      <c r="J20" s="50">
        <f t="shared" si="10"/>
        <v>-4.5119188029034234</v>
      </c>
      <c r="L20" s="135">
        <f t="shared" si="6"/>
        <v>0</v>
      </c>
      <c r="M20" s="118">
        <f t="shared" si="7"/>
        <v>-21</v>
      </c>
      <c r="N20" s="215">
        <f t="shared" si="3"/>
        <v>-4.5119188029034234</v>
      </c>
      <c r="P20" s="7" t="str">
        <f t="shared" si="8"/>
        <v/>
      </c>
      <c r="Q20" s="7" t="str">
        <f t="shared" si="11"/>
        <v>Sold 21 Shares of State 2 at a cost of -4.51192</v>
      </c>
      <c r="R20" s="218" t="str">
        <f t="shared" si="9"/>
        <v>Sold 21 Shares of State 2 at a cost of -4.51192</v>
      </c>
    </row>
    <row r="21" spans="3:19" s="7" customFormat="1" ht="18.75" x14ac:dyDescent="0.3">
      <c r="D21" s="26">
        <v>14</v>
      </c>
      <c r="E21" s="48">
        <v>42</v>
      </c>
      <c r="F21" s="42">
        <v>40</v>
      </c>
      <c r="G21" s="49">
        <f t="shared" si="0"/>
        <v>0.57094659688346627</v>
      </c>
      <c r="H21" s="199">
        <f t="shared" si="1"/>
        <v>0.42905340311653378</v>
      </c>
      <c r="I21" s="96">
        <f t="shared" si="2"/>
        <v>45.923217195086359</v>
      </c>
      <c r="J21" s="50">
        <f t="shared" si="5"/>
        <v>-15.416894265929834</v>
      </c>
      <c r="L21" s="135">
        <f t="shared" si="6"/>
        <v>-19</v>
      </c>
      <c r="M21" s="118">
        <f t="shared" si="7"/>
        <v>0</v>
      </c>
      <c r="N21" s="215">
        <f t="shared" si="3"/>
        <v>-15.416894265929834</v>
      </c>
      <c r="P21" s="7" t="str">
        <f t="shared" si="8"/>
        <v>Sold 19 Shares of State 1 at a cost of -15.41689</v>
      </c>
      <c r="Q21" s="7" t="str">
        <f t="shared" si="11"/>
        <v/>
      </c>
      <c r="R21" s="218" t="str">
        <f t="shared" si="9"/>
        <v>Sold 19 Shares of State 1 at a cost of -15.41689</v>
      </c>
    </row>
    <row r="22" spans="3:19" s="7" customFormat="1" ht="18.75" x14ac:dyDescent="0.3">
      <c r="C22"/>
      <c r="D22" s="26">
        <v>15</v>
      </c>
      <c r="E22" s="48">
        <v>42</v>
      </c>
      <c r="F22" s="42">
        <v>9</v>
      </c>
      <c r="G22" s="49">
        <f t="shared" si="0"/>
        <v>0.99111341128091202</v>
      </c>
      <c r="H22" s="199">
        <f t="shared" si="1"/>
        <v>8.8865887190879463E-3</v>
      </c>
      <c r="I22" s="96">
        <f t="shared" si="2"/>
        <v>42.062484169635077</v>
      </c>
      <c r="J22" s="50">
        <f t="shared" si="5"/>
        <v>-3.8607330254512817</v>
      </c>
      <c r="L22" s="135">
        <f t="shared" si="6"/>
        <v>0</v>
      </c>
      <c r="M22" s="118">
        <f t="shared" si="7"/>
        <v>-31</v>
      </c>
      <c r="N22" s="215">
        <f t="shared" si="3"/>
        <v>-3.8607330254512817</v>
      </c>
      <c r="P22" s="7" t="str">
        <f t="shared" si="8"/>
        <v/>
      </c>
      <c r="Q22" s="7" t="str">
        <f t="shared" si="11"/>
        <v>Sold 31 Shares of State 2 at a cost of -3.86073</v>
      </c>
      <c r="R22" s="218" t="str">
        <f t="shared" si="9"/>
        <v>Sold 31 Shares of State 2 at a cost of -3.86073</v>
      </c>
    </row>
    <row r="23" spans="3:19" s="7" customFormat="1" ht="19.5" thickBot="1" x14ac:dyDescent="0.35">
      <c r="D23" s="26">
        <v>16</v>
      </c>
      <c r="E23" s="40">
        <v>42</v>
      </c>
      <c r="F23" s="41">
        <v>9</v>
      </c>
      <c r="G23" s="131">
        <f t="shared" si="0"/>
        <v>0.99111341128091202</v>
      </c>
      <c r="H23" s="200">
        <f t="shared" si="1"/>
        <v>8.8865887190879463E-3</v>
      </c>
      <c r="I23" s="133">
        <f t="shared" si="2"/>
        <v>42.062484169635077</v>
      </c>
      <c r="J23" s="134">
        <f>(I23-I22)</f>
        <v>0</v>
      </c>
      <c r="L23" s="143">
        <f t="shared" si="6"/>
        <v>0</v>
      </c>
      <c r="M23" s="120">
        <f t="shared" si="7"/>
        <v>0</v>
      </c>
      <c r="N23" s="215">
        <f t="shared" si="3"/>
        <v>0</v>
      </c>
      <c r="P23" s="7" t="str">
        <f t="shared" si="8"/>
        <v/>
      </c>
      <c r="Q23" s="7" t="str">
        <f t="shared" si="11"/>
        <v/>
      </c>
      <c r="R23" s="218" t="str">
        <f t="shared" si="9"/>
        <v/>
      </c>
    </row>
    <row r="24" spans="3:19" s="7" customFormat="1" ht="16.5" thickTop="1" thickBot="1" x14ac:dyDescent="0.3">
      <c r="D24" s="26" t="s">
        <v>108</v>
      </c>
      <c r="E24" s="52">
        <f>E23</f>
        <v>42</v>
      </c>
      <c r="F24" s="53">
        <v>0</v>
      </c>
      <c r="G24" s="54">
        <f>EXP(E24)/(EXP($F24)+EXP($E24))</f>
        <v>1</v>
      </c>
      <c r="H24" s="201">
        <f>EXP(F24)/(EXP($F24)+EXP($E24))</f>
        <v>5.7495222642935599E-19</v>
      </c>
      <c r="I24" s="97">
        <f t="shared" si="2"/>
        <v>42.017329795964109</v>
      </c>
      <c r="J24" s="55">
        <f>SUM(J8:J23)</f>
        <v>42.062484169635077</v>
      </c>
      <c r="K24" s="8" t="s">
        <v>47</v>
      </c>
      <c r="Q24" s="8"/>
      <c r="R24" s="8"/>
      <c r="S24" s="8"/>
    </row>
    <row r="25" spans="3:19" s="7" customFormat="1" ht="15.75" thickBot="1" x14ac:dyDescent="0.3">
      <c r="C25"/>
      <c r="D25"/>
      <c r="E25" s="34"/>
      <c r="F25" s="34"/>
      <c r="G25" s="34"/>
      <c r="H25" s="34"/>
      <c r="I25" s="130">
        <v>0</v>
      </c>
      <c r="J25" s="56">
        <f>J24-(SUMPRODUCT(G24:H24,E24:F24))</f>
        <v>6.248416963507708E-2</v>
      </c>
      <c r="K25" t="s">
        <v>64</v>
      </c>
      <c r="Q25"/>
      <c r="R25"/>
      <c r="S25"/>
    </row>
    <row r="26" spans="3:19" s="7" customFormat="1" x14ac:dyDescent="0.25">
      <c r="E26" s="17"/>
      <c r="F26" s="17"/>
      <c r="G26" s="17"/>
      <c r="H26" s="17"/>
      <c r="I26" s="57"/>
      <c r="J26" s="58"/>
    </row>
    <row r="27" spans="3:19" s="7" customFormat="1" x14ac:dyDescent="0.25">
      <c r="E27" s="17"/>
      <c r="F27" s="17"/>
      <c r="G27" s="17"/>
      <c r="H27" s="17"/>
      <c r="I27" s="57"/>
      <c r="J27" s="58"/>
      <c r="O27" s="8"/>
      <c r="P27" s="8"/>
      <c r="Q27" s="8"/>
      <c r="R27" s="29"/>
      <c r="S27" s="29"/>
    </row>
  </sheetData>
  <mergeCells count="1">
    <mergeCell ref="L6:M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B36"/>
  <sheetViews>
    <sheetView zoomScale="85" zoomScaleNormal="85" workbookViewId="0">
      <selection activeCell="F21" sqref="F21"/>
    </sheetView>
  </sheetViews>
  <sheetFormatPr defaultRowHeight="15" x14ac:dyDescent="0.25"/>
  <cols>
    <col min="5" max="12" width="11.42578125" style="34" customWidth="1"/>
    <col min="13" max="14" width="12" style="34" customWidth="1"/>
    <col min="15" max="15" width="25.7109375" customWidth="1"/>
    <col min="17" max="17" width="9.42578125" customWidth="1"/>
    <col min="18" max="18" width="12.7109375" customWidth="1"/>
    <col min="19" max="19" width="10.28515625" customWidth="1"/>
    <col min="20" max="20" width="10.7109375" hidden="1" customWidth="1"/>
    <col min="21" max="21" width="0" hidden="1" customWidth="1"/>
    <col min="22" max="22" width="9.42578125" customWidth="1"/>
    <col min="24" max="24" width="12.140625" customWidth="1"/>
    <col min="25" max="25" width="10.5703125" customWidth="1"/>
    <col min="28" max="28" width="11.140625" customWidth="1"/>
  </cols>
  <sheetData>
    <row r="2" spans="2:28" ht="32.25" thickBot="1" x14ac:dyDescent="0.55000000000000004">
      <c r="B2" s="219" t="s">
        <v>121</v>
      </c>
      <c r="D2" s="163"/>
    </row>
    <row r="3" spans="2:28" ht="21" x14ac:dyDescent="0.35">
      <c r="B3" s="7" t="s">
        <v>125</v>
      </c>
      <c r="D3" s="163"/>
      <c r="O3" s="209" t="s">
        <v>106</v>
      </c>
      <c r="P3" s="210">
        <v>0.1</v>
      </c>
    </row>
    <row r="4" spans="2:28" ht="15.75" thickBot="1" x14ac:dyDescent="0.3">
      <c r="B4" s="7" t="s">
        <v>128</v>
      </c>
      <c r="O4" s="211" t="s">
        <v>107</v>
      </c>
      <c r="P4" s="212">
        <f>L10</f>
        <v>831.77661667193433</v>
      </c>
    </row>
    <row r="5" spans="2:28" x14ac:dyDescent="0.25">
      <c r="B5" s="7" t="s">
        <v>127</v>
      </c>
      <c r="O5" s="228"/>
      <c r="P5" s="228"/>
    </row>
    <row r="6" spans="2:28" s="7" customFormat="1" x14ac:dyDescent="0.25">
      <c r="B6" s="7" t="s">
        <v>126</v>
      </c>
      <c r="C6"/>
      <c r="E6" s="17"/>
      <c r="F6" s="17"/>
      <c r="G6" s="34"/>
      <c r="H6" s="34"/>
      <c r="I6" s="34"/>
      <c r="J6" s="34"/>
      <c r="K6" s="34"/>
      <c r="L6" s="34"/>
      <c r="M6" s="34"/>
      <c r="N6" s="34"/>
      <c r="P6" s="27"/>
      <c r="U6"/>
      <c r="V6"/>
      <c r="W6"/>
      <c r="X6" s="8"/>
    </row>
    <row r="7" spans="2:28" s="7" customFormat="1" ht="15.75" thickBot="1" x14ac:dyDescent="0.3">
      <c r="C7"/>
      <c r="D7"/>
      <c r="E7" s="34"/>
      <c r="F7" s="34"/>
      <c r="G7" s="34"/>
      <c r="H7" s="34"/>
      <c r="I7" s="34"/>
      <c r="J7" s="34"/>
      <c r="K7" s="34"/>
      <c r="L7" s="34"/>
      <c r="M7" s="34"/>
      <c r="N7" s="34"/>
      <c r="O7"/>
      <c r="P7"/>
      <c r="Q7"/>
      <c r="R7"/>
      <c r="S7"/>
      <c r="T7"/>
      <c r="U7"/>
      <c r="V7"/>
      <c r="W7"/>
      <c r="X7" s="8"/>
    </row>
    <row r="8" spans="2:28" s="7" customFormat="1" ht="24.75" customHeight="1" thickBot="1" x14ac:dyDescent="0.35">
      <c r="D8"/>
      <c r="E8" s="67" t="s">
        <v>14</v>
      </c>
      <c r="F8" s="68"/>
      <c r="G8" s="68" t="s">
        <v>15</v>
      </c>
      <c r="H8" s="69"/>
      <c r="I8" s="68" t="s">
        <v>79</v>
      </c>
      <c r="J8" s="68"/>
      <c r="K8" s="67" t="s">
        <v>135</v>
      </c>
      <c r="L8" s="67" t="s">
        <v>38</v>
      </c>
      <c r="M8" s="69" t="s">
        <v>37</v>
      </c>
      <c r="N8" s="226"/>
      <c r="O8" s="20"/>
      <c r="P8" s="231" t="s">
        <v>109</v>
      </c>
      <c r="Q8" s="232"/>
      <c r="R8" s="216" t="s">
        <v>110</v>
      </c>
      <c r="T8" s="7" t="s">
        <v>111</v>
      </c>
      <c r="U8" s="20"/>
      <c r="V8" s="217" t="s">
        <v>111</v>
      </c>
      <c r="W8" s="20"/>
    </row>
    <row r="9" spans="2:28" s="7" customFormat="1" ht="16.5" thickTop="1" thickBot="1" x14ac:dyDescent="0.3">
      <c r="C9" s="33"/>
      <c r="D9" s="35" t="s">
        <v>51</v>
      </c>
      <c r="E9" s="203" t="str">
        <f>"i="&amp;G23</f>
        <v>i=8000</v>
      </c>
      <c r="F9" s="204" t="str">
        <f>"i="&amp;G24</f>
        <v>i=20000</v>
      </c>
      <c r="G9" s="205" t="str">
        <f>"i="&amp;G23</f>
        <v>i=8000</v>
      </c>
      <c r="H9" s="206" t="str">
        <f>"i="&amp;G24</f>
        <v>i=20000</v>
      </c>
      <c r="I9" s="205" t="s">
        <v>104</v>
      </c>
      <c r="J9" s="204" t="str">
        <f>"i="&amp;G25</f>
        <v>i=12000</v>
      </c>
      <c r="K9" s="277" t="s">
        <v>117</v>
      </c>
      <c r="L9" s="43">
        <v>0</v>
      </c>
      <c r="M9" s="44"/>
      <c r="N9" s="164"/>
      <c r="P9" s="213" t="str">
        <f>E9</f>
        <v>i=8000</v>
      </c>
      <c r="Q9" s="214" t="str">
        <f>F9</f>
        <v>i=20000</v>
      </c>
      <c r="V9"/>
    </row>
    <row r="10" spans="2:28" s="7" customFormat="1" ht="18" customHeight="1" thickTop="1" x14ac:dyDescent="0.25">
      <c r="D10" s="26">
        <v>1</v>
      </c>
      <c r="E10" s="45">
        <v>0</v>
      </c>
      <c r="F10" s="46">
        <v>0</v>
      </c>
      <c r="G10" s="51">
        <f t="shared" ref="G10:G19" si="0">EXP(E10/$P$3)/(EXP($F10/$P$3)+EXP($E10/$P$3))</f>
        <v>0.5</v>
      </c>
      <c r="H10" s="202">
        <f t="shared" ref="H10:H19" si="1">EXP(F10/$P$3)/(EXP($F10/$P$3)+EXP($E10/$P$3))</f>
        <v>0.5</v>
      </c>
      <c r="I10" s="45">
        <f>(G10*$G$25)</f>
        <v>6000</v>
      </c>
      <c r="J10" s="272">
        <f>(H10*$G$25)</f>
        <v>6000</v>
      </c>
      <c r="K10" s="278">
        <f>J10+$G$23</f>
        <v>14000</v>
      </c>
      <c r="L10" s="95">
        <f t="shared" ref="L10:L20" si="2">$P$3*LN(EXP($F10/$P$3)+EXP($E10/$P$3))*$G$25</f>
        <v>831.77661667193433</v>
      </c>
      <c r="M10" s="47">
        <f>(L10-L9)</f>
        <v>831.77661667193433</v>
      </c>
      <c r="N10" s="284"/>
      <c r="P10" s="135"/>
      <c r="Q10" s="118"/>
      <c r="V10"/>
      <c r="AB10" s="220"/>
    </row>
    <row r="11" spans="2:28" s="7" customFormat="1" ht="18.75" x14ac:dyDescent="0.3">
      <c r="D11" s="26">
        <v>2</v>
      </c>
      <c r="E11" s="48">
        <v>1</v>
      </c>
      <c r="F11" s="42">
        <v>0.2</v>
      </c>
      <c r="G11" s="49">
        <f t="shared" si="0"/>
        <v>0.99966464986953352</v>
      </c>
      <c r="H11" s="199">
        <f t="shared" si="1"/>
        <v>3.3535013046647811E-4</v>
      </c>
      <c r="I11" s="48">
        <f t="shared" ref="I10:I20" si="3">(G11*$G$25)</f>
        <v>11995.975798434401</v>
      </c>
      <c r="J11" s="273">
        <f t="shared" ref="J10:J20" si="4">(H11*$G$25)</f>
        <v>4.0242015655977372</v>
      </c>
      <c r="K11" s="279">
        <f t="shared" ref="K11:K19" si="5">J11+$G$23</f>
        <v>8004.0242015655977</v>
      </c>
      <c r="L11" s="96">
        <f t="shared" si="2"/>
        <v>12000.402487647474</v>
      </c>
      <c r="M11" s="50">
        <f t="shared" ref="M11:M18" si="6">(L11-L10)</f>
        <v>11168.62587097554</v>
      </c>
      <c r="N11" s="284"/>
      <c r="P11" s="135">
        <f t="shared" ref="P11:P19" si="7">E11-E10</f>
        <v>1</v>
      </c>
      <c r="Q11" s="118">
        <f t="shared" ref="Q11:Q19" si="8">F11-F10</f>
        <v>0.2</v>
      </c>
      <c r="R11" s="215">
        <f t="shared" ref="R11:R19" si="9">M11</f>
        <v>11168.62587097554</v>
      </c>
      <c r="T11" s="7" t="str">
        <f>IF(P11&gt;0,"Bought ",IF(P11&lt;0,"Sold ",""))&amp;IF(P11&lt;0,P11*-1,IF(P11&gt;0,P11,""))&amp;IF(P11&lt;&gt;0," Shares of State 1 at a cost of "&amp;ROUND($R11,5),"")</f>
        <v>Bought 1 Shares of State 1 at a cost of 11168.62587</v>
      </c>
      <c r="U11" s="7" t="str">
        <f t="shared" ref="U11" si="10">IF(Q11&gt;0,"Bought ",IF(Q11&lt;0,"Sold ",""))&amp;IF(Q11&lt;0,Q11*-1,IF(Q11&gt;0,Q11,""))&amp;IF(Q11&lt;&gt;0," Shares of State 2 at a cost of "&amp;ROUND($R11,5),"")</f>
        <v>Bought 0.2 Shares of State 2 at a cost of 11168.62587</v>
      </c>
      <c r="V11" s="218" t="str">
        <f>T11&amp;U11</f>
        <v>Bought 1 Shares of State 1 at a cost of 11168.62587Bought 0.2 Shares of State 2 at a cost of 11168.62587</v>
      </c>
    </row>
    <row r="12" spans="2:28" s="7" customFormat="1" ht="18.75" x14ac:dyDescent="0.3">
      <c r="D12" s="26">
        <v>3</v>
      </c>
      <c r="E12" s="48">
        <v>1</v>
      </c>
      <c r="F12" s="42">
        <v>1</v>
      </c>
      <c r="G12" s="49">
        <f t="shared" si="0"/>
        <v>0.5</v>
      </c>
      <c r="H12" s="199">
        <f t="shared" si="1"/>
        <v>0.5</v>
      </c>
      <c r="I12" s="48">
        <f t="shared" si="3"/>
        <v>6000</v>
      </c>
      <c r="J12" s="273">
        <f t="shared" si="4"/>
        <v>6000</v>
      </c>
      <c r="K12" s="279">
        <f t="shared" si="5"/>
        <v>14000</v>
      </c>
      <c r="L12" s="96">
        <f t="shared" si="2"/>
        <v>12831.776616671934</v>
      </c>
      <c r="M12" s="50">
        <f t="shared" si="6"/>
        <v>831.37412902445976</v>
      </c>
      <c r="N12" s="284"/>
      <c r="P12" s="135">
        <f t="shared" si="7"/>
        <v>0</v>
      </c>
      <c r="Q12" s="118">
        <f t="shared" si="8"/>
        <v>0.8</v>
      </c>
      <c r="R12" s="215">
        <f t="shared" si="9"/>
        <v>831.37412902445976</v>
      </c>
      <c r="T12" s="7" t="str">
        <f>IF(P12&gt;0,"Bought ",IF(P12&lt;0,"Sold ",""))&amp;IF(P12&lt;0,P12*-1,IF(P12&gt;0,P12,""))&amp;IF(P12&lt;&gt;0," Shares of State 1 at a cost of "&amp;ROUND($R12,5),"")</f>
        <v/>
      </c>
      <c r="U12" s="7" t="str">
        <f>IF(Q12&gt;0,"Bought ",IF(Q12&lt;0,"Sold ",""))&amp;IF(Q12&lt;0,Q12*-1,IF(Q12&gt;0,Q12,""))&amp;IF(Q12&lt;&gt;0," Shares of State 2 at a cost of "&amp;ROUND($R12,5),"")</f>
        <v>Bought 0.8 Shares of State 2 at a cost of 831.37413</v>
      </c>
      <c r="V12" s="218" t="str">
        <f t="shared" ref="V12:V19" si="11">T12&amp;U12</f>
        <v>Bought 0.8 Shares of State 2 at a cost of 831.37413</v>
      </c>
    </row>
    <row r="13" spans="2:28" s="7" customFormat="1" ht="18.75" x14ac:dyDescent="0.3">
      <c r="D13" s="26">
        <v>4</v>
      </c>
      <c r="E13" s="48">
        <v>2</v>
      </c>
      <c r="F13" s="42">
        <v>2</v>
      </c>
      <c r="G13" s="49">
        <f t="shared" si="0"/>
        <v>0.5</v>
      </c>
      <c r="H13" s="199">
        <f t="shared" si="1"/>
        <v>0.5</v>
      </c>
      <c r="I13" s="48">
        <f t="shared" si="3"/>
        <v>6000</v>
      </c>
      <c r="J13" s="273">
        <f t="shared" si="4"/>
        <v>6000</v>
      </c>
      <c r="K13" s="279">
        <f t="shared" si="5"/>
        <v>14000</v>
      </c>
      <c r="L13" s="96">
        <f t="shared" si="2"/>
        <v>24831.776616671934</v>
      </c>
      <c r="M13" s="50">
        <f t="shared" si="6"/>
        <v>12000</v>
      </c>
      <c r="N13" s="284"/>
      <c r="P13" s="135">
        <f t="shared" si="7"/>
        <v>1</v>
      </c>
      <c r="Q13" s="118">
        <f t="shared" si="8"/>
        <v>1</v>
      </c>
      <c r="R13" s="215">
        <f t="shared" si="9"/>
        <v>12000</v>
      </c>
      <c r="T13" s="7" t="str">
        <f>IF(P13&gt;0,"Bought ",IF(P13&lt;0,"Sold ",""))&amp;IF(P13&lt;0,P13*-1,IF(P13&gt;0,P13,""))&amp;IF(P13&lt;&gt;0," Shares of State 1 at a cost of "&amp;ROUND($R13,5),"")</f>
        <v>Bought 1 Shares of State 1 at a cost of 12000</v>
      </c>
      <c r="U13" s="7" t="str">
        <f>IF(Q13&gt;0,"Bought ",IF(Q13&lt;0,"Sold ",""))&amp;IF(Q13&lt;0,Q13*-1,IF(Q13&gt;0,Q13,""))&amp;IF(Q13&lt;&gt;0," Shares of State 2 at a cost of "&amp;ROUND($R13,5),"")</f>
        <v>Bought 1 Shares of State 2 at a cost of 12000</v>
      </c>
      <c r="V13" s="218" t="str">
        <f t="shared" si="11"/>
        <v>Bought 1 Shares of State 1 at a cost of 12000Bought 1 Shares of State 2 at a cost of 12000</v>
      </c>
    </row>
    <row r="14" spans="2:28" s="7" customFormat="1" ht="18.75" x14ac:dyDescent="0.3">
      <c r="D14" s="26">
        <v>5</v>
      </c>
      <c r="E14" s="48">
        <v>12</v>
      </c>
      <c r="F14" s="42">
        <v>12</v>
      </c>
      <c r="G14" s="49">
        <f t="shared" si="0"/>
        <v>0.5</v>
      </c>
      <c r="H14" s="199">
        <f t="shared" si="1"/>
        <v>0.5</v>
      </c>
      <c r="I14" s="48">
        <f t="shared" si="3"/>
        <v>6000</v>
      </c>
      <c r="J14" s="273">
        <f t="shared" si="4"/>
        <v>6000</v>
      </c>
      <c r="K14" s="279">
        <f t="shared" si="5"/>
        <v>14000</v>
      </c>
      <c r="L14" s="96">
        <f t="shared" si="2"/>
        <v>144831.77661667194</v>
      </c>
      <c r="M14" s="50">
        <f>(L14-L13)</f>
        <v>120000</v>
      </c>
      <c r="N14" s="284"/>
      <c r="P14" s="135">
        <f t="shared" si="7"/>
        <v>10</v>
      </c>
      <c r="Q14" s="118">
        <f t="shared" si="8"/>
        <v>10</v>
      </c>
      <c r="R14" s="215">
        <f t="shared" ref="R14:R18" si="12">M14</f>
        <v>120000</v>
      </c>
      <c r="T14" s="7" t="str">
        <f t="shared" ref="T14:T18" si="13">IF(P14&gt;0,"Bought ",IF(P14&lt;0,"Sold ",""))&amp;IF(P14&lt;0,P14*-1,IF(P14&gt;0,P14,""))&amp;IF(P14&lt;&gt;0," Shares of State 1 at a cost of "&amp;ROUND($R14,5),"")</f>
        <v>Bought 10 Shares of State 1 at a cost of 120000</v>
      </c>
      <c r="U14" s="7" t="str">
        <f t="shared" ref="U14:U18" si="14">IF(Q14&gt;0,"Bought ",IF(Q14&lt;0,"Sold ",""))&amp;IF(Q14&lt;0,Q14*-1,IF(Q14&gt;0,Q14,""))&amp;IF(Q14&lt;&gt;0," Shares of State 2 at a cost of "&amp;ROUND($R14,5),"")</f>
        <v>Bought 10 Shares of State 2 at a cost of 120000</v>
      </c>
      <c r="V14" s="218" t="str">
        <f t="shared" ref="V14:V18" si="15">T14&amp;U14</f>
        <v>Bought 10 Shares of State 1 at a cost of 120000Bought 10 Shares of State 2 at a cost of 120000</v>
      </c>
    </row>
    <row r="15" spans="2:28" s="7" customFormat="1" ht="18.75" x14ac:dyDescent="0.3">
      <c r="D15" s="26">
        <v>12</v>
      </c>
      <c r="E15" s="48">
        <v>30</v>
      </c>
      <c r="F15" s="42">
        <v>15</v>
      </c>
      <c r="G15" s="49">
        <f t="shared" si="0"/>
        <v>1</v>
      </c>
      <c r="H15" s="199">
        <f t="shared" si="1"/>
        <v>7.1750959731644108E-66</v>
      </c>
      <c r="I15" s="48">
        <f t="shared" si="3"/>
        <v>12000</v>
      </c>
      <c r="J15" s="273">
        <f t="shared" si="4"/>
        <v>8.6101151677972925E-62</v>
      </c>
      <c r="K15" s="279">
        <f t="shared" si="5"/>
        <v>8000</v>
      </c>
      <c r="L15" s="96">
        <f t="shared" si="2"/>
        <v>360000</v>
      </c>
      <c r="M15" s="50">
        <f t="shared" si="6"/>
        <v>215168.22338332806</v>
      </c>
      <c r="N15" s="284"/>
      <c r="P15" s="135">
        <f t="shared" si="7"/>
        <v>18</v>
      </c>
      <c r="Q15" s="118">
        <f t="shared" si="8"/>
        <v>3</v>
      </c>
      <c r="R15" s="215">
        <f t="shared" si="12"/>
        <v>215168.22338332806</v>
      </c>
      <c r="T15" s="7" t="str">
        <f t="shared" si="13"/>
        <v>Bought 18 Shares of State 1 at a cost of 215168.22338</v>
      </c>
      <c r="U15" s="7" t="str">
        <f t="shared" si="14"/>
        <v>Bought 3 Shares of State 2 at a cost of 215168.22338</v>
      </c>
      <c r="V15" s="218" t="str">
        <f t="shared" si="15"/>
        <v>Bought 18 Shares of State 1 at a cost of 215168.22338Bought 3 Shares of State 2 at a cost of 215168.22338</v>
      </c>
    </row>
    <row r="16" spans="2:28" s="7" customFormat="1" ht="18.75" x14ac:dyDescent="0.3">
      <c r="D16" s="26">
        <v>13</v>
      </c>
      <c r="E16" s="48">
        <v>11</v>
      </c>
      <c r="F16" s="42">
        <v>15</v>
      </c>
      <c r="G16" s="49">
        <f t="shared" si="0"/>
        <v>4.2483542552915889E-18</v>
      </c>
      <c r="H16" s="199">
        <f t="shared" si="1"/>
        <v>1</v>
      </c>
      <c r="I16" s="48">
        <f t="shared" si="3"/>
        <v>5.0980251063499068E-14</v>
      </c>
      <c r="J16" s="273">
        <f t="shared" si="4"/>
        <v>12000</v>
      </c>
      <c r="K16" s="279">
        <f t="shared" si="5"/>
        <v>20000</v>
      </c>
      <c r="L16" s="96">
        <f t="shared" si="2"/>
        <v>180000</v>
      </c>
      <c r="M16" s="50">
        <f t="shared" si="6"/>
        <v>-180000</v>
      </c>
      <c r="N16" s="284"/>
      <c r="P16" s="135">
        <f t="shared" si="7"/>
        <v>-19</v>
      </c>
      <c r="Q16" s="118">
        <f t="shared" si="8"/>
        <v>0</v>
      </c>
      <c r="R16" s="215">
        <f t="shared" si="12"/>
        <v>-180000</v>
      </c>
      <c r="T16" s="7" t="str">
        <f t="shared" si="13"/>
        <v>Sold 19 Shares of State 1 at a cost of -180000</v>
      </c>
      <c r="U16" s="7" t="str">
        <f t="shared" si="14"/>
        <v/>
      </c>
      <c r="V16" s="218" t="str">
        <f t="shared" si="15"/>
        <v>Sold 19 Shares of State 1 at a cost of -180000</v>
      </c>
    </row>
    <row r="17" spans="3:23" s="7" customFormat="1" ht="18.75" x14ac:dyDescent="0.3">
      <c r="D17" s="26">
        <v>14</v>
      </c>
      <c r="E17" s="48">
        <v>16</v>
      </c>
      <c r="F17" s="42">
        <v>22</v>
      </c>
      <c r="G17" s="49">
        <f t="shared" si="0"/>
        <v>8.75651076269652E-27</v>
      </c>
      <c r="H17" s="199">
        <f t="shared" si="1"/>
        <v>1</v>
      </c>
      <c r="I17" s="48">
        <f t="shared" si="3"/>
        <v>1.0507812915235824E-22</v>
      </c>
      <c r="J17" s="273">
        <f t="shared" si="4"/>
        <v>12000</v>
      </c>
      <c r="K17" s="279">
        <f t="shared" si="5"/>
        <v>20000</v>
      </c>
      <c r="L17" s="96">
        <f t="shared" si="2"/>
        <v>264000</v>
      </c>
      <c r="M17" s="50">
        <f t="shared" si="6"/>
        <v>84000</v>
      </c>
      <c r="N17" s="284"/>
      <c r="P17" s="135">
        <f t="shared" si="7"/>
        <v>5</v>
      </c>
      <c r="Q17" s="118">
        <f t="shared" si="8"/>
        <v>7</v>
      </c>
      <c r="R17" s="215">
        <f t="shared" si="12"/>
        <v>84000</v>
      </c>
      <c r="T17" s="7" t="str">
        <f t="shared" si="13"/>
        <v>Bought 5 Shares of State 1 at a cost of 84000</v>
      </c>
      <c r="U17" s="7" t="str">
        <f t="shared" si="14"/>
        <v>Bought 7 Shares of State 2 at a cost of 84000</v>
      </c>
      <c r="V17" s="218" t="str">
        <f t="shared" si="15"/>
        <v>Bought 5 Shares of State 1 at a cost of 84000Bought 7 Shares of State 2 at a cost of 84000</v>
      </c>
    </row>
    <row r="18" spans="3:23" s="7" customFormat="1" ht="18.75" x14ac:dyDescent="0.3">
      <c r="C18"/>
      <c r="D18" s="26">
        <v>15</v>
      </c>
      <c r="E18" s="48">
        <v>16</v>
      </c>
      <c r="F18" s="42">
        <v>21</v>
      </c>
      <c r="G18" s="49">
        <f t="shared" si="0"/>
        <v>1.9287498479639178E-22</v>
      </c>
      <c r="H18" s="199">
        <f t="shared" si="1"/>
        <v>1</v>
      </c>
      <c r="I18" s="48">
        <f t="shared" si="3"/>
        <v>2.3144998175567013E-18</v>
      </c>
      <c r="J18" s="273">
        <f t="shared" si="4"/>
        <v>12000</v>
      </c>
      <c r="K18" s="279">
        <f t="shared" si="5"/>
        <v>20000</v>
      </c>
      <c r="L18" s="96">
        <f t="shared" si="2"/>
        <v>252000</v>
      </c>
      <c r="M18" s="50">
        <f t="shared" si="6"/>
        <v>-12000</v>
      </c>
      <c r="N18" s="284"/>
      <c r="P18" s="135">
        <f t="shared" si="7"/>
        <v>0</v>
      </c>
      <c r="Q18" s="118">
        <f t="shared" si="8"/>
        <v>-1</v>
      </c>
      <c r="R18" s="215">
        <f t="shared" si="12"/>
        <v>-12000</v>
      </c>
      <c r="T18" s="7" t="str">
        <f t="shared" si="13"/>
        <v/>
      </c>
      <c r="U18" s="7" t="str">
        <f t="shared" si="14"/>
        <v>Sold 1 Shares of State 2 at a cost of -12000</v>
      </c>
      <c r="V18" s="218" t="str">
        <f t="shared" si="15"/>
        <v>Sold 1 Shares of State 2 at a cost of -12000</v>
      </c>
    </row>
    <row r="19" spans="3:23" s="7" customFormat="1" ht="19.5" thickBot="1" x14ac:dyDescent="0.35">
      <c r="D19" s="26">
        <v>16</v>
      </c>
      <c r="E19" s="40">
        <v>12</v>
      </c>
      <c r="F19" s="221">
        <f>$F$20</f>
        <v>12.070351139496553</v>
      </c>
      <c r="G19" s="131">
        <f t="shared" si="0"/>
        <v>0.33103416666666818</v>
      </c>
      <c r="H19" s="200">
        <f t="shared" si="1"/>
        <v>0.66896583333333171</v>
      </c>
      <c r="I19" s="40">
        <f t="shared" si="3"/>
        <v>3972.410000000018</v>
      </c>
      <c r="J19" s="274">
        <f t="shared" si="4"/>
        <v>8027.5899999999801</v>
      </c>
      <c r="K19" s="280">
        <f t="shared" si="5"/>
        <v>16027.58999999998</v>
      </c>
      <c r="L19" s="133">
        <f t="shared" si="2"/>
        <v>145326.64042364911</v>
      </c>
      <c r="M19" s="134">
        <f>(L19-L18)</f>
        <v>-106673.35957635089</v>
      </c>
      <c r="N19" s="284"/>
      <c r="P19" s="143">
        <f t="shared" si="7"/>
        <v>-4</v>
      </c>
      <c r="Q19" s="120">
        <f t="shared" si="8"/>
        <v>-8.9296488605034465</v>
      </c>
      <c r="R19" s="215">
        <f t="shared" si="9"/>
        <v>-106673.35957635089</v>
      </c>
      <c r="T19" s="7" t="str">
        <f>IF(P19&gt;0,"Bought ",IF(P19&lt;0,"Sold ",""))&amp;IF(P19&lt;0,P19*-1,IF(P19&gt;0,P19,""))&amp;IF(P19&lt;&gt;0," Shares of State 1 at a cost of "&amp;ROUND($R19,5),"")</f>
        <v>Sold 4 Shares of State 1 at a cost of -106673.35958</v>
      </c>
      <c r="U19" s="7" t="str">
        <f>IF(Q19&gt;0,"Bought ",IF(Q19&lt;0,"Sold ",""))&amp;IF(Q19&lt;0,Q19*-1,IF(Q19&gt;0,Q19,""))&amp;IF(Q19&lt;&gt;0," Shares of State 2 at a cost of "&amp;ROUND($R19,5),"")</f>
        <v>Sold 8.92964886050345 Shares of State 2 at a cost of -106673.35958</v>
      </c>
      <c r="V19" s="218" t="str">
        <f t="shared" si="11"/>
        <v>Sold 4 Shares of State 1 at a cost of -106673.35958Sold 8.92964886050345 Shares of State 2 at a cost of -106673.35958</v>
      </c>
    </row>
    <row r="20" spans="3:23" s="7" customFormat="1" ht="16.5" thickTop="1" thickBot="1" x14ac:dyDescent="0.3">
      <c r="D20" s="26" t="s">
        <v>108</v>
      </c>
      <c r="E20" s="52">
        <f>E19</f>
        <v>12</v>
      </c>
      <c r="F20" s="53">
        <f>P3*LN(E27/(1-E27))+E20</f>
        <v>12.070351139496553</v>
      </c>
      <c r="G20" s="54">
        <f>EXP(E20)/(EXP($F20)+EXP($E20))</f>
        <v>0.48241946544763248</v>
      </c>
      <c r="H20" s="201">
        <f>EXP(F20)/(EXP($F20)+EXP($E20))</f>
        <v>0.51758053455236752</v>
      </c>
      <c r="I20" s="52">
        <f>(G20*$G$25)</f>
        <v>5789.0335853715897</v>
      </c>
      <c r="J20" s="275">
        <f>(H20*$G$25)</f>
        <v>6210.9664146284103</v>
      </c>
      <c r="K20" s="278">
        <f>J20+$G$23</f>
        <v>14210.96641462841</v>
      </c>
      <c r="L20" s="281">
        <f t="shared" si="2"/>
        <v>145326.64042364911</v>
      </c>
      <c r="M20" s="282">
        <f>SUM(M10:M19)</f>
        <v>145326.64042364911</v>
      </c>
      <c r="N20" s="8" t="s">
        <v>129</v>
      </c>
      <c r="U20" s="8"/>
      <c r="V20" s="8"/>
      <c r="W20" s="8"/>
    </row>
    <row r="21" spans="3:23" s="7" customFormat="1" ht="15.75" thickBot="1" x14ac:dyDescent="0.3">
      <c r="C21"/>
      <c r="D21"/>
      <c r="E21" s="34"/>
      <c r="F21" s="34"/>
      <c r="G21" s="34"/>
      <c r="H21" s="34"/>
      <c r="I21" s="34"/>
      <c r="J21" s="34"/>
      <c r="K21" s="34"/>
      <c r="L21" s="276">
        <v>0</v>
      </c>
      <c r="M21" s="50">
        <f>SUMPRODUCT(E20:F20,I20:J20)</f>
        <v>144436.94856464394</v>
      </c>
      <c r="N21" t="s">
        <v>130</v>
      </c>
      <c r="U21"/>
      <c r="V21"/>
      <c r="W21"/>
    </row>
    <row r="22" spans="3:23" s="7" customFormat="1" ht="15.75" thickBot="1" x14ac:dyDescent="0.3">
      <c r="E22" s="164"/>
      <c r="F22" s="17"/>
      <c r="G22" s="17"/>
      <c r="H22" s="17"/>
      <c r="I22" s="17"/>
      <c r="J22" s="17"/>
      <c r="K22" s="17"/>
      <c r="L22" s="57"/>
      <c r="M22" s="229">
        <f>M20-M21</f>
        <v>889.69185900516459</v>
      </c>
      <c r="N22" s="7" t="s">
        <v>118</v>
      </c>
    </row>
    <row r="23" spans="3:23" s="7" customFormat="1" ht="15.75" thickBot="1" x14ac:dyDescent="0.3">
      <c r="E23" s="34">
        <v>0</v>
      </c>
      <c r="F23" s="34" t="s">
        <v>115</v>
      </c>
      <c r="G23" s="34">
        <v>8000</v>
      </c>
      <c r="H23" s="17"/>
      <c r="I23" s="17"/>
      <c r="J23" s="17"/>
      <c r="K23" s="17"/>
      <c r="L23" s="57"/>
      <c r="M23" s="230">
        <f>M10-M22</f>
        <v>-57.915242333230253</v>
      </c>
      <c r="N23" s="58" t="s">
        <v>119</v>
      </c>
      <c r="S23" s="8"/>
      <c r="T23" s="8"/>
      <c r="U23" s="8"/>
      <c r="V23" s="29"/>
      <c r="W23" s="29"/>
    </row>
    <row r="24" spans="3:23" x14ac:dyDescent="0.25">
      <c r="E24" s="34">
        <v>1</v>
      </c>
      <c r="F24" s="34" t="s">
        <v>113</v>
      </c>
      <c r="G24" s="34">
        <v>20000</v>
      </c>
      <c r="M24" s="227"/>
    </row>
    <row r="25" spans="3:23" x14ac:dyDescent="0.25">
      <c r="F25" s="34" t="s">
        <v>116</v>
      </c>
      <c r="G25" s="34">
        <f>G24-G23</f>
        <v>12000</v>
      </c>
    </row>
    <row r="27" spans="3:23" x14ac:dyDescent="0.25">
      <c r="E27" s="34">
        <f>(G27-G23)/(G24-G23)</f>
        <v>0.66896583333333337</v>
      </c>
      <c r="F27" s="34" t="s">
        <v>114</v>
      </c>
      <c r="G27" s="34">
        <v>16027.59</v>
      </c>
      <c r="I27" s="34" t="s">
        <v>120</v>
      </c>
    </row>
    <row r="32" spans="3:23" x14ac:dyDescent="0.25">
      <c r="E32" s="34" t="s">
        <v>124</v>
      </c>
    </row>
    <row r="33" spans="5:5" x14ac:dyDescent="0.25">
      <c r="E33" s="34" t="s">
        <v>123</v>
      </c>
    </row>
    <row r="36" spans="5:5" x14ac:dyDescent="0.25">
      <c r="E36" s="34" t="s">
        <v>122</v>
      </c>
    </row>
  </sheetData>
  <mergeCells count="1">
    <mergeCell ref="P8:Q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AI27"/>
  <sheetViews>
    <sheetView tabSelected="1" zoomScale="85" zoomScaleNormal="85" workbookViewId="0">
      <selection activeCell="H21" sqref="H21"/>
    </sheetView>
  </sheetViews>
  <sheetFormatPr defaultRowHeight="15" x14ac:dyDescent="0.25"/>
  <cols>
    <col min="5" max="19" width="11.42578125" style="34" customWidth="1"/>
    <col min="20" max="21" width="12" style="34" customWidth="1"/>
    <col min="22" max="22" width="25.7109375" customWidth="1"/>
    <col min="24" max="24" width="9.42578125" customWidth="1"/>
    <col min="25" max="25" width="12.7109375" customWidth="1"/>
    <col min="26" max="26" width="10.28515625" customWidth="1"/>
    <col min="27" max="27" width="10.7109375" hidden="1" customWidth="1"/>
    <col min="28" max="28" width="0" hidden="1" customWidth="1"/>
    <col min="29" max="29" width="9.42578125" customWidth="1"/>
    <col min="31" max="31" width="12.140625" customWidth="1"/>
    <col min="32" max="32" width="10.5703125" customWidth="1"/>
    <col min="35" max="35" width="11.140625" customWidth="1"/>
  </cols>
  <sheetData>
    <row r="2" spans="2:35" ht="32.25" thickBot="1" x14ac:dyDescent="0.55000000000000004">
      <c r="B2" s="219" t="s">
        <v>131</v>
      </c>
      <c r="D2" s="163"/>
    </row>
    <row r="3" spans="2:35" ht="21" x14ac:dyDescent="0.35">
      <c r="B3" s="7"/>
      <c r="D3" s="163"/>
      <c r="V3" s="209" t="s">
        <v>106</v>
      </c>
      <c r="W3" s="210">
        <v>2</v>
      </c>
    </row>
    <row r="4" spans="2:35" ht="15.75" thickBot="1" x14ac:dyDescent="0.3">
      <c r="B4" s="7"/>
      <c r="V4" s="211" t="s">
        <v>107</v>
      </c>
      <c r="W4" s="212">
        <f>S10</f>
        <v>33271.064666877377</v>
      </c>
    </row>
    <row r="5" spans="2:35" x14ac:dyDescent="0.25">
      <c r="B5" s="7"/>
      <c r="V5" s="228"/>
      <c r="W5" s="228"/>
    </row>
    <row r="6" spans="2:35" s="7" customFormat="1" x14ac:dyDescent="0.25">
      <c r="C6"/>
      <c r="E6" s="17"/>
      <c r="F6" s="17"/>
      <c r="G6" s="17"/>
      <c r="H6" s="17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W6" s="27"/>
      <c r="AB6"/>
      <c r="AC6"/>
      <c r="AD6"/>
      <c r="AE6" s="8"/>
    </row>
    <row r="7" spans="2:35" s="7" customFormat="1" ht="15.75" thickBot="1" x14ac:dyDescent="0.3">
      <c r="C7"/>
      <c r="D7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/>
      <c r="W7"/>
      <c r="X7"/>
      <c r="Y7"/>
      <c r="Z7"/>
      <c r="AA7"/>
      <c r="AB7"/>
      <c r="AC7"/>
      <c r="AD7"/>
      <c r="AE7" s="8"/>
    </row>
    <row r="8" spans="2:35" s="7" customFormat="1" ht="24.75" customHeight="1" thickBot="1" x14ac:dyDescent="0.35">
      <c r="D8"/>
      <c r="E8" s="67" t="s">
        <v>14</v>
      </c>
      <c r="F8" s="68"/>
      <c r="G8" s="68"/>
      <c r="H8" s="69"/>
      <c r="I8" s="68" t="s">
        <v>15</v>
      </c>
      <c r="J8" s="68"/>
      <c r="K8" s="68"/>
      <c r="L8" s="68"/>
      <c r="M8" s="67" t="s">
        <v>79</v>
      </c>
      <c r="N8" s="68"/>
      <c r="O8" s="68"/>
      <c r="P8" s="249"/>
      <c r="Q8" s="68" t="s">
        <v>134</v>
      </c>
      <c r="R8" s="68"/>
      <c r="S8" s="67" t="s">
        <v>38</v>
      </c>
      <c r="T8" s="69" t="s">
        <v>37</v>
      </c>
      <c r="U8" s="283"/>
      <c r="V8" s="20"/>
      <c r="W8" s="231" t="s">
        <v>109</v>
      </c>
      <c r="X8" s="232"/>
      <c r="Y8" s="216" t="s">
        <v>110</v>
      </c>
      <c r="AA8" s="7" t="s">
        <v>111</v>
      </c>
      <c r="AB8" s="20"/>
      <c r="AC8" s="217" t="s">
        <v>111</v>
      </c>
      <c r="AD8" s="20"/>
    </row>
    <row r="9" spans="2:35" s="7" customFormat="1" ht="16.5" thickTop="1" thickBot="1" x14ac:dyDescent="0.3">
      <c r="C9" s="33"/>
      <c r="D9" s="136" t="s">
        <v>51</v>
      </c>
      <c r="E9" s="203" t="str">
        <f>"i="&amp;$I$23&amp;", 0"</f>
        <v>i=8000, 0</v>
      </c>
      <c r="F9" s="207" t="str">
        <f>"i="&amp;$I$23&amp;", 1"</f>
        <v>i=8000, 1</v>
      </c>
      <c r="G9" s="204" t="str">
        <f>"i="&amp;$I$24&amp;", 0"</f>
        <v>i=20000, 0</v>
      </c>
      <c r="H9" s="208" t="str">
        <f>"i="&amp;$I$24&amp;", 1"</f>
        <v>i=20000, 1</v>
      </c>
      <c r="I9" s="205" t="str">
        <f>"i="&amp;$I$23&amp;", 0"</f>
        <v>i=8000, 0</v>
      </c>
      <c r="J9" s="207" t="str">
        <f>"i="&amp;$I$23&amp;", 1"</f>
        <v>i=8000, 1</v>
      </c>
      <c r="K9" s="204" t="str">
        <f>"i="&amp;$I$24&amp;", 0"</f>
        <v>i=20000, 0</v>
      </c>
      <c r="L9" s="248" t="str">
        <f>"i="&amp;$I$24&amp;", 1"</f>
        <v>i=20000, 1</v>
      </c>
      <c r="M9" s="203" t="str">
        <f>"i="&amp;$I$23&amp;", 0"</f>
        <v>i=8000, 0</v>
      </c>
      <c r="N9" s="207" t="str">
        <f>"i="&amp;$I$23&amp;", 1"</f>
        <v>i=8000, 1</v>
      </c>
      <c r="O9" s="204" t="str">
        <f>"i="&amp;$I$24&amp;", 0"</f>
        <v>i=20000, 0</v>
      </c>
      <c r="P9" s="208" t="str">
        <f>"i="&amp;$I$24&amp;", 1"</f>
        <v>i=20000, 1</v>
      </c>
      <c r="Q9" s="206" t="s">
        <v>133</v>
      </c>
      <c r="R9" s="206" t="s">
        <v>132</v>
      </c>
      <c r="S9" s="43">
        <v>0</v>
      </c>
      <c r="T9" s="44"/>
      <c r="U9" s="164"/>
      <c r="W9" s="213" t="str">
        <f>E9</f>
        <v>i=8000, 0</v>
      </c>
      <c r="X9" s="214" t="str">
        <f>H9</f>
        <v>i=20000, 1</v>
      </c>
      <c r="AC9"/>
    </row>
    <row r="10" spans="2:35" s="7" customFormat="1" ht="18" customHeight="1" thickTop="1" x14ac:dyDescent="0.25">
      <c r="D10" s="26">
        <v>1</v>
      </c>
      <c r="E10" s="264">
        <v>0</v>
      </c>
      <c r="F10" s="265"/>
      <c r="G10" s="266"/>
      <c r="H10" s="267">
        <v>0</v>
      </c>
      <c r="I10" s="252">
        <f>EXP(E10/$W$3)/(EXP($E10/$W$3)+EXP($F10/$W$3)+EXP($G10/$W$3)+EXP($H10/$W$3))</f>
        <v>0.25</v>
      </c>
      <c r="J10" s="253">
        <f>EXP(F10/$W$3)/(EXP($E10/$W$3)+EXP($F10/$W$3)+EXP($G10/$W$3)+EXP($H10/$W$3))</f>
        <v>0.25</v>
      </c>
      <c r="K10" s="254">
        <f>EXP(G10/$W$3)/(EXP($E10/$W$3)+EXP($F10/$W$3)+EXP($G10/$W$3)+EXP($H10/$W$3))</f>
        <v>0.25</v>
      </c>
      <c r="L10" s="255">
        <f>EXP(H10/$W$3)/(EXP($E10/$W$3)+EXP($F10/$W$3)+EXP($G10/$W$3)+EXP($H10/$W$3))</f>
        <v>0.25</v>
      </c>
      <c r="M10" s="250">
        <f>(I10*$I$25)</f>
        <v>3000</v>
      </c>
      <c r="N10" s="238">
        <f t="shared" ref="N10:N20" si="0">(J10*$I$25)</f>
        <v>3000</v>
      </c>
      <c r="O10" s="239">
        <f t="shared" ref="O10:O20" si="1">(K10*$I$25)</f>
        <v>3000</v>
      </c>
      <c r="P10" s="240">
        <f t="shared" ref="P10:P20" si="2">(L10*$I$25)</f>
        <v>3000</v>
      </c>
      <c r="Q10" s="222">
        <f>O10+$I$23</f>
        <v>11000</v>
      </c>
      <c r="R10" s="222">
        <f>P10+$I$23</f>
        <v>11000</v>
      </c>
      <c r="S10" s="95">
        <f>$W$3*$I$25*LN(EXP($E10/$W$3) + EXP($F10/$W$3) + EXP($G10/$W$3) +EXP($H10/$W$3) )</f>
        <v>33271.064666877377</v>
      </c>
      <c r="T10" s="47">
        <f>(S10-S9)</f>
        <v>33271.064666877377</v>
      </c>
      <c r="U10" s="284"/>
      <c r="W10" s="135"/>
      <c r="X10" s="118"/>
      <c r="AC10"/>
      <c r="AI10" s="220"/>
    </row>
    <row r="11" spans="2:35" s="7" customFormat="1" ht="18.75" x14ac:dyDescent="0.3">
      <c r="D11" s="26">
        <v>2</v>
      </c>
      <c r="E11" s="244">
        <v>1</v>
      </c>
      <c r="F11" s="245">
        <v>1</v>
      </c>
      <c r="G11" s="246">
        <v>1</v>
      </c>
      <c r="H11" s="247">
        <v>1</v>
      </c>
      <c r="I11" s="256">
        <f>EXP(E11/$W$3)/(EXP($E11/$W$3)+EXP($F11/$W$3)+EXP($G11/$W$3)+EXP($H11/$W$3))</f>
        <v>0.25</v>
      </c>
      <c r="J11" s="257">
        <f>EXP(F11/$W$3)/(EXP($E11/$W$3)+EXP($F11/$W$3)+EXP($G11/$W$3)+EXP($H11/$W$3))</f>
        <v>0.25</v>
      </c>
      <c r="K11" s="258">
        <f>EXP(G11/$W$3)/(EXP($E11/$W$3)+EXP($F11/$W$3)+EXP($G11/$W$3)+EXP($H11/$W$3))</f>
        <v>0.25</v>
      </c>
      <c r="L11" s="259">
        <f>EXP(H11/$W$3)/(EXP($E11/$W$3)+EXP($F11/$W$3)+EXP($G11/$W$3)+EXP($H11/$W$3))</f>
        <v>0.25</v>
      </c>
      <c r="M11" s="251">
        <f t="shared" ref="M11:M19" si="3">(I11*$I$25)</f>
        <v>3000</v>
      </c>
      <c r="N11" s="241">
        <f t="shared" si="0"/>
        <v>3000</v>
      </c>
      <c r="O11" s="242">
        <f t="shared" si="1"/>
        <v>3000</v>
      </c>
      <c r="P11" s="243">
        <f t="shared" si="2"/>
        <v>3000</v>
      </c>
      <c r="Q11" s="223">
        <f t="shared" ref="Q11:Q19" si="4">O11+$I$23</f>
        <v>11000</v>
      </c>
      <c r="R11" s="223">
        <f>P11+$I$23</f>
        <v>11000</v>
      </c>
      <c r="S11" s="96">
        <f>$W$3*$I$25*LN(EXP($E11/$W$3) + EXP($F11/$W$3) + EXP($G11/$W$3) +EXP($H11/$W$3) )</f>
        <v>45271.064666877377</v>
      </c>
      <c r="T11" s="50">
        <f>(S11-S10)</f>
        <v>12000</v>
      </c>
      <c r="U11" s="284"/>
      <c r="W11" s="135">
        <f>E11-E10</f>
        <v>1</v>
      </c>
      <c r="X11" s="118">
        <f>H11-H10</f>
        <v>1</v>
      </c>
      <c r="Y11" s="215">
        <f t="shared" ref="Y11:Y19" si="5">T11</f>
        <v>12000</v>
      </c>
      <c r="AA11" s="7" t="str">
        <f>IF(W11&gt;0,"Bought ",IF(W11&lt;0,"Sold ",""))&amp;IF(W11&lt;0,W11*-1,IF(W11&gt;0,W11,""))&amp;IF(W11&lt;&gt;0," Shares of State 1 at a cost of "&amp;ROUND($Y11,5),"")</f>
        <v>Bought 1 Shares of State 1 at a cost of 12000</v>
      </c>
      <c r="AB11" s="7" t="str">
        <f t="shared" ref="AB11" si="6">IF(X11&gt;0,"Bought ",IF(X11&lt;0,"Sold ",""))&amp;IF(X11&lt;0,X11*-1,IF(X11&gt;0,X11,""))&amp;IF(X11&lt;&gt;0," Shares of State 2 at a cost of "&amp;ROUND($Y11,5),"")</f>
        <v>Bought 1 Shares of State 2 at a cost of 12000</v>
      </c>
      <c r="AC11" s="218" t="str">
        <f>AA11&amp;AB11</f>
        <v>Bought 1 Shares of State 1 at a cost of 12000Bought 1 Shares of State 2 at a cost of 12000</v>
      </c>
    </row>
    <row r="12" spans="2:35" s="7" customFormat="1" ht="18.75" x14ac:dyDescent="0.3">
      <c r="C12" s="21" t="s">
        <v>138</v>
      </c>
      <c r="D12" s="26">
        <v>3</v>
      </c>
      <c r="E12" s="244">
        <v>1</v>
      </c>
      <c r="F12" s="245">
        <v>2</v>
      </c>
      <c r="G12" s="246">
        <v>1</v>
      </c>
      <c r="H12" s="247">
        <v>2</v>
      </c>
      <c r="I12" s="256">
        <f>EXP(E12/$W$3)/(EXP($E12/$W$3)+EXP($F12/$W$3)+EXP($G12/$W$3)+EXP($H12/$W$3))</f>
        <v>0.1887703343990727</v>
      </c>
      <c r="J12" s="257">
        <f>EXP(F12/$W$3)/(EXP($E12/$W$3)+EXP($F12/$W$3)+EXP($G12/$W$3)+EXP($H12/$W$3))</f>
        <v>0.31122966560092724</v>
      </c>
      <c r="K12" s="258">
        <f>EXP(G12/$W$3)/(EXP($E12/$W$3)+EXP($F12/$W$3)+EXP($G12/$W$3)+EXP($H12/$W$3))</f>
        <v>0.1887703343990727</v>
      </c>
      <c r="L12" s="259">
        <f>EXP(H12/$W$3)/(EXP($E12/$W$3)+EXP($F12/$W$3)+EXP($G12/$W$3)+EXP($H12/$W$3))</f>
        <v>0.31122966560092724</v>
      </c>
      <c r="M12" s="251">
        <f t="shared" si="3"/>
        <v>2265.2440127888726</v>
      </c>
      <c r="N12" s="241">
        <f>(J12*$I$25)</f>
        <v>3734.7559872111269</v>
      </c>
      <c r="O12" s="242">
        <f t="shared" si="1"/>
        <v>2265.2440127888726</v>
      </c>
      <c r="P12" s="243">
        <f t="shared" si="2"/>
        <v>3734.7559872111269</v>
      </c>
      <c r="Q12" s="223">
        <f>O12+$I$23</f>
        <v>10265.244012788873</v>
      </c>
      <c r="R12" s="223">
        <f t="shared" ref="R11:R19" si="7">P12+$I$23</f>
        <v>11734.755987211127</v>
      </c>
      <c r="S12" s="96">
        <f t="shared" ref="S11:S20" si="8">$W$3*$I$25*LN(EXP($E12/$W$3) + EXP($F12/$W$3) + EXP($G12/$W$3) +EXP($H12/$W$3) )</f>
        <v>52013.379953761243</v>
      </c>
      <c r="T12" s="50">
        <f t="shared" ref="T11:T18" si="9">(S12-S11)</f>
        <v>6742.3152868838661</v>
      </c>
      <c r="U12" s="284"/>
      <c r="W12" s="135">
        <f>E12-E11</f>
        <v>0</v>
      </c>
      <c r="X12" s="118">
        <f>H12-H11</f>
        <v>1</v>
      </c>
      <c r="Y12" s="215">
        <f t="shared" si="5"/>
        <v>6742.3152868838661</v>
      </c>
      <c r="AA12" s="7" t="str">
        <f>IF(W12&gt;0,"Bought ",IF(W12&lt;0,"Sold ",""))&amp;IF(W12&lt;0,W12*-1,IF(W12&gt;0,W12,""))&amp;IF(W12&lt;&gt;0," Shares of State 1 at a cost of "&amp;ROUND($Y12,5),"")</f>
        <v/>
      </c>
      <c r="AB12" s="7" t="str">
        <f>IF(X12&gt;0,"Bought ",IF(X12&lt;0,"Sold ",""))&amp;IF(X12&lt;0,X12*-1,IF(X12&gt;0,X12,""))&amp;IF(X12&lt;&gt;0," Shares of State 2 at a cost of "&amp;ROUND($Y12,5),"")</f>
        <v>Bought 1 Shares of State 2 at a cost of 6742.31529</v>
      </c>
      <c r="AC12" s="218" t="str">
        <f t="shared" ref="AC12:AC19" si="10">AA12&amp;AB12</f>
        <v>Bought 1 Shares of State 2 at a cost of 6742.31529</v>
      </c>
    </row>
    <row r="13" spans="2:35" s="7" customFormat="1" ht="18.75" x14ac:dyDescent="0.3">
      <c r="C13" s="21"/>
      <c r="D13" s="26">
        <v>4</v>
      </c>
      <c r="E13" s="244">
        <v>1</v>
      </c>
      <c r="F13" s="245">
        <v>2</v>
      </c>
      <c r="G13" s="246">
        <v>1</v>
      </c>
      <c r="H13" s="247">
        <v>2</v>
      </c>
      <c r="I13" s="256">
        <f>EXP(E13/$W$3)/(EXP($E13/$W$3)+EXP($F13/$W$3)+EXP($G13/$W$3)+EXP($H13/$W$3))</f>
        <v>0.1887703343990727</v>
      </c>
      <c r="J13" s="257">
        <f>EXP(F13/$W$3)/(EXP($E13/$W$3)+EXP($F13/$W$3)+EXP($G13/$W$3)+EXP($H13/$W$3))</f>
        <v>0.31122966560092724</v>
      </c>
      <c r="K13" s="258">
        <f>EXP(G13/$W$3)/(EXP($E13/$W$3)+EXP($F13/$W$3)+EXP($G13/$W$3)+EXP($H13/$W$3))</f>
        <v>0.1887703343990727</v>
      </c>
      <c r="L13" s="259">
        <f>EXP(H13/$W$3)/(EXP($E13/$W$3)+EXP($F13/$W$3)+EXP($G13/$W$3)+EXP($H13/$W$3))</f>
        <v>0.31122966560092724</v>
      </c>
      <c r="M13" s="251">
        <f t="shared" si="3"/>
        <v>2265.2440127888726</v>
      </c>
      <c r="N13" s="241">
        <f t="shared" si="0"/>
        <v>3734.7559872111269</v>
      </c>
      <c r="O13" s="242">
        <f t="shared" si="1"/>
        <v>2265.2440127888726</v>
      </c>
      <c r="P13" s="243">
        <f t="shared" si="2"/>
        <v>3734.7559872111269</v>
      </c>
      <c r="Q13" s="223">
        <f t="shared" si="4"/>
        <v>10265.244012788873</v>
      </c>
      <c r="R13" s="223">
        <f t="shared" si="7"/>
        <v>11734.755987211127</v>
      </c>
      <c r="S13" s="96">
        <f t="shared" si="8"/>
        <v>52013.379953761243</v>
      </c>
      <c r="T13" s="50">
        <f t="shared" si="9"/>
        <v>0</v>
      </c>
      <c r="U13" s="284"/>
      <c r="W13" s="135">
        <f>E13-E12</f>
        <v>0</v>
      </c>
      <c r="X13" s="118">
        <f>H13-H12</f>
        <v>0</v>
      </c>
      <c r="Y13" s="215">
        <f t="shared" si="5"/>
        <v>0</v>
      </c>
      <c r="AA13" s="7" t="str">
        <f>IF(W13&gt;0,"Bought ",IF(W13&lt;0,"Sold ",""))&amp;IF(W13&lt;0,W13*-1,IF(W13&gt;0,W13,""))&amp;IF(W13&lt;&gt;0," Shares of State 1 at a cost of "&amp;ROUND($Y13,5),"")</f>
        <v/>
      </c>
      <c r="AB13" s="7" t="str">
        <f>IF(X13&gt;0,"Bought ",IF(X13&lt;0,"Sold ",""))&amp;IF(X13&lt;0,X13*-1,IF(X13&gt;0,X13,""))&amp;IF(X13&lt;&gt;0," Shares of State 2 at a cost of "&amp;ROUND($Y13,5),"")</f>
        <v/>
      </c>
      <c r="AC13" s="218" t="str">
        <f t="shared" si="10"/>
        <v/>
      </c>
    </row>
    <row r="14" spans="2:35" s="7" customFormat="1" ht="18.75" x14ac:dyDescent="0.3">
      <c r="C14" s="21"/>
      <c r="D14" s="26">
        <v>5</v>
      </c>
      <c r="E14" s="244">
        <v>1</v>
      </c>
      <c r="F14" s="245">
        <v>2</v>
      </c>
      <c r="G14" s="246">
        <v>1</v>
      </c>
      <c r="H14" s="247">
        <v>2</v>
      </c>
      <c r="I14" s="256">
        <f>EXP(E14/$W$3)/(EXP($E14/$W$3)+EXP($F14/$W$3)+EXP($G14/$W$3)+EXP($H14/$W$3))</f>
        <v>0.1887703343990727</v>
      </c>
      <c r="J14" s="257">
        <f>EXP(F14/$W$3)/(EXP($E14/$W$3)+EXP($F14/$W$3)+EXP($G14/$W$3)+EXP($H14/$W$3))</f>
        <v>0.31122966560092724</v>
      </c>
      <c r="K14" s="258">
        <f>EXP(G14/$W$3)/(EXP($E14/$W$3)+EXP($F14/$W$3)+EXP($G14/$W$3)+EXP($H14/$W$3))</f>
        <v>0.1887703343990727</v>
      </c>
      <c r="L14" s="259">
        <f>EXP(H14/$W$3)/(EXP($E14/$W$3)+EXP($F14/$W$3)+EXP($G14/$W$3)+EXP($H14/$W$3))</f>
        <v>0.31122966560092724</v>
      </c>
      <c r="M14" s="251">
        <f t="shared" si="3"/>
        <v>2265.2440127888726</v>
      </c>
      <c r="N14" s="241">
        <f t="shared" si="0"/>
        <v>3734.7559872111269</v>
      </c>
      <c r="O14" s="242">
        <f t="shared" si="1"/>
        <v>2265.2440127888726</v>
      </c>
      <c r="P14" s="243">
        <f t="shared" si="2"/>
        <v>3734.7559872111269</v>
      </c>
      <c r="Q14" s="223">
        <f t="shared" si="4"/>
        <v>10265.244012788873</v>
      </c>
      <c r="R14" s="223">
        <f t="shared" si="7"/>
        <v>11734.755987211127</v>
      </c>
      <c r="S14" s="96">
        <f t="shared" si="8"/>
        <v>52013.379953761243</v>
      </c>
      <c r="T14" s="50">
        <f>(S14-S13)</f>
        <v>0</v>
      </c>
      <c r="U14" s="284"/>
      <c r="W14" s="135">
        <f>E14-E13</f>
        <v>0</v>
      </c>
      <c r="X14" s="118">
        <f>H14-H13</f>
        <v>0</v>
      </c>
      <c r="Y14" s="215">
        <f t="shared" si="5"/>
        <v>0</v>
      </c>
      <c r="AA14" s="7" t="str">
        <f t="shared" ref="AA14:AA18" si="11">IF(W14&gt;0,"Bought ",IF(W14&lt;0,"Sold ",""))&amp;IF(W14&lt;0,W14*-1,IF(W14&gt;0,W14,""))&amp;IF(W14&lt;&gt;0," Shares of State 1 at a cost of "&amp;ROUND($Y14,5),"")</f>
        <v/>
      </c>
      <c r="AB14" s="7" t="str">
        <f t="shared" ref="AB14:AB18" si="12">IF(X14&gt;0,"Bought ",IF(X14&lt;0,"Sold ",""))&amp;IF(X14&lt;0,X14*-1,IF(X14&gt;0,X14,""))&amp;IF(X14&lt;&gt;0," Shares of State 2 at a cost of "&amp;ROUND($Y14,5),"")</f>
        <v/>
      </c>
      <c r="AC14" s="218" t="str">
        <f t="shared" si="10"/>
        <v/>
      </c>
    </row>
    <row r="15" spans="2:35" s="7" customFormat="1" ht="18.75" x14ac:dyDescent="0.3">
      <c r="C15" s="21" t="s">
        <v>137</v>
      </c>
      <c r="D15" s="26">
        <v>12</v>
      </c>
      <c r="E15" s="244">
        <v>1</v>
      </c>
      <c r="F15" s="245">
        <v>1.8</v>
      </c>
      <c r="G15" s="246">
        <v>1.5</v>
      </c>
      <c r="H15" s="247">
        <v>2</v>
      </c>
      <c r="I15" s="256">
        <f>EXP(E15/$W$3)/(EXP($E15/$W$3)+EXP($F15/$W$3)+EXP($G15/$W$3)+EXP($H15/$W$3))</f>
        <v>0.18434636195586318</v>
      </c>
      <c r="J15" s="257">
        <f>EXP(F15/$W$3)/(EXP($E15/$W$3)+EXP($F15/$W$3)+EXP($G15/$W$3)+EXP($H15/$W$3))</f>
        <v>0.2750124556860738</v>
      </c>
      <c r="K15" s="258">
        <f>EXP(G15/$W$3)/(EXP($E15/$W$3)+EXP($F15/$W$3)+EXP($G15/$W$3)+EXP($H15/$W$3))</f>
        <v>0.23670541422524646</v>
      </c>
      <c r="L15" s="259">
        <f>EXP(H15/$W$3)/(EXP($E15/$W$3)+EXP($F15/$W$3)+EXP($G15/$W$3)+EXP($H15/$W$3))</f>
        <v>0.30393576813281648</v>
      </c>
      <c r="M15" s="251">
        <f t="shared" si="3"/>
        <v>2212.156343470358</v>
      </c>
      <c r="N15" s="241">
        <f t="shared" si="0"/>
        <v>3300.1494682328857</v>
      </c>
      <c r="O15" s="242">
        <f t="shared" si="1"/>
        <v>2840.4649707029575</v>
      </c>
      <c r="P15" s="243">
        <f t="shared" si="2"/>
        <v>3647.2292175937978</v>
      </c>
      <c r="Q15" s="223">
        <f t="shared" si="4"/>
        <v>10840.464970702957</v>
      </c>
      <c r="R15" s="223">
        <f t="shared" si="7"/>
        <v>11647.229217593798</v>
      </c>
      <c r="S15" s="96">
        <f t="shared" si="8"/>
        <v>52582.533334497028</v>
      </c>
      <c r="T15" s="50">
        <f t="shared" si="9"/>
        <v>569.15338073578459</v>
      </c>
      <c r="U15" s="284"/>
      <c r="W15" s="135">
        <f>E15-E14</f>
        <v>0</v>
      </c>
      <c r="X15" s="118">
        <f>H15-H14</f>
        <v>0</v>
      </c>
      <c r="Y15" s="215">
        <f t="shared" si="5"/>
        <v>569.15338073578459</v>
      </c>
      <c r="AA15" s="7" t="str">
        <f t="shared" si="11"/>
        <v/>
      </c>
      <c r="AB15" s="7" t="str">
        <f t="shared" si="12"/>
        <v/>
      </c>
      <c r="AC15" s="218" t="str">
        <f t="shared" si="10"/>
        <v/>
      </c>
    </row>
    <row r="16" spans="2:35" s="7" customFormat="1" ht="18.75" x14ac:dyDescent="0.3">
      <c r="C16" s="21" t="s">
        <v>137</v>
      </c>
      <c r="D16" s="26">
        <v>13</v>
      </c>
      <c r="E16" s="244">
        <v>1</v>
      </c>
      <c r="F16" s="245">
        <v>1.6</v>
      </c>
      <c r="G16" s="246">
        <v>2</v>
      </c>
      <c r="H16" s="247">
        <v>2</v>
      </c>
      <c r="I16" s="256">
        <f>EXP(E16/$W$3)/(EXP($E16/$W$3)+EXP($F16/$W$3)+EXP($G16/$W$3)+EXP($H16/$W$3))</f>
        <v>0.17707572842403385</v>
      </c>
      <c r="J16" s="257">
        <f>EXP(F16/$W$3)/(EXP($E16/$W$3)+EXP($F16/$W$3)+EXP($G16/$W$3)+EXP($H16/$W$3))</f>
        <v>0.2390272316211185</v>
      </c>
      <c r="K16" s="258">
        <f>EXP(G16/$W$3)/(EXP($E16/$W$3)+EXP($F16/$W$3)+EXP($G16/$W$3)+EXP($H16/$W$3))</f>
        <v>0.29194851997742383</v>
      </c>
      <c r="L16" s="259">
        <f>EXP(H16/$W$3)/(EXP($E16/$W$3)+EXP($F16/$W$3)+EXP($G16/$W$3)+EXP($H16/$W$3))</f>
        <v>0.29194851997742383</v>
      </c>
      <c r="M16" s="251">
        <f t="shared" si="3"/>
        <v>2124.9087410884063</v>
      </c>
      <c r="N16" s="241">
        <f t="shared" si="0"/>
        <v>2868.3267794534218</v>
      </c>
      <c r="O16" s="242">
        <f t="shared" si="1"/>
        <v>3503.382239729086</v>
      </c>
      <c r="P16" s="243">
        <f t="shared" si="2"/>
        <v>3503.382239729086</v>
      </c>
      <c r="Q16" s="223">
        <f t="shared" si="4"/>
        <v>11503.382239729086</v>
      </c>
      <c r="R16" s="223">
        <f t="shared" si="7"/>
        <v>11503.382239729086</v>
      </c>
      <c r="S16" s="96">
        <f t="shared" si="8"/>
        <v>53548.267048895061</v>
      </c>
      <c r="T16" s="50">
        <f t="shared" si="9"/>
        <v>965.73371439803304</v>
      </c>
      <c r="U16" s="284"/>
      <c r="W16" s="135">
        <f>E16-E15</f>
        <v>0</v>
      </c>
      <c r="X16" s="118">
        <f>H16-H15</f>
        <v>0</v>
      </c>
      <c r="Y16" s="215">
        <f t="shared" si="5"/>
        <v>965.73371439803304</v>
      </c>
      <c r="AA16" s="7" t="str">
        <f t="shared" si="11"/>
        <v/>
      </c>
      <c r="AB16" s="7" t="str">
        <f t="shared" si="12"/>
        <v/>
      </c>
      <c r="AC16" s="218" t="str">
        <f t="shared" si="10"/>
        <v/>
      </c>
    </row>
    <row r="17" spans="3:30" s="7" customFormat="1" ht="18.75" x14ac:dyDescent="0.3">
      <c r="C17" s="21" t="s">
        <v>136</v>
      </c>
      <c r="D17" s="26">
        <v>14</v>
      </c>
      <c r="E17" s="244">
        <v>0.3</v>
      </c>
      <c r="F17" s="245">
        <v>1.6</v>
      </c>
      <c r="G17" s="246">
        <v>0.6</v>
      </c>
      <c r="H17" s="247">
        <v>2.2999999999999998</v>
      </c>
      <c r="I17" s="256">
        <f>EXP(E17/$W$3)/(EXP($E17/$W$3)+EXP($F17/$W$3)+EXP($G17/$W$3)+EXP($H17/$W$3))</f>
        <v>0.14715280872558315</v>
      </c>
      <c r="J17" s="257">
        <f>EXP(F17/$W$3)/(EXP($E17/$W$3)+EXP($F17/$W$3)+EXP($G17/$W$3)+EXP($H17/$W$3))</f>
        <v>0.28187721321792686</v>
      </c>
      <c r="K17" s="258">
        <f>EXP(G17/$W$3)/(EXP($E17/$W$3)+EXP($F17/$W$3)+EXP($G17/$W$3)+EXP($H17/$W$3))</f>
        <v>0.17096717209102782</v>
      </c>
      <c r="L17" s="259">
        <f>EXP(H17/$W$3)/(EXP($E17/$W$3)+EXP($F17/$W$3)+EXP($G17/$W$3)+EXP($H17/$W$3))</f>
        <v>0.40000280596546228</v>
      </c>
      <c r="M17" s="251">
        <f t="shared" si="3"/>
        <v>1765.8337047069977</v>
      </c>
      <c r="N17" s="241">
        <f t="shared" si="0"/>
        <v>3382.5265586151222</v>
      </c>
      <c r="O17" s="242">
        <f t="shared" si="1"/>
        <v>2051.6060650923341</v>
      </c>
      <c r="P17" s="243">
        <f t="shared" si="2"/>
        <v>4800.0336715855474</v>
      </c>
      <c r="Q17" s="223">
        <f t="shared" si="4"/>
        <v>10051.606065092334</v>
      </c>
      <c r="R17" s="223">
        <f t="shared" si="7"/>
        <v>12800.033671585548</v>
      </c>
      <c r="S17" s="96">
        <f t="shared" si="8"/>
        <v>49590.809207642487</v>
      </c>
      <c r="T17" s="50">
        <f t="shared" si="9"/>
        <v>-3957.4578412525734</v>
      </c>
      <c r="U17" s="284"/>
      <c r="W17" s="135">
        <f>E17-E16</f>
        <v>-0.7</v>
      </c>
      <c r="X17" s="118">
        <f>H17-H16</f>
        <v>0.29999999999999982</v>
      </c>
      <c r="Y17" s="215">
        <f t="shared" si="5"/>
        <v>-3957.4578412525734</v>
      </c>
      <c r="AA17" s="7" t="str">
        <f t="shared" si="11"/>
        <v>Sold 0.7 Shares of State 1 at a cost of -3957.45784</v>
      </c>
      <c r="AB17" s="7" t="str">
        <f t="shared" si="12"/>
        <v>Bought 0.3 Shares of State 2 at a cost of -3957.45784</v>
      </c>
      <c r="AC17" s="218" t="str">
        <f>AA17&amp;AB17</f>
        <v>Sold 0.7 Shares of State 1 at a cost of -3957.45784Bought 0.3 Shares of State 2 at a cost of -3957.45784</v>
      </c>
    </row>
    <row r="18" spans="3:30" s="7" customFormat="1" ht="18.75" x14ac:dyDescent="0.3">
      <c r="C18" s="21" t="s">
        <v>136</v>
      </c>
      <c r="D18" s="26">
        <v>15</v>
      </c>
      <c r="E18" s="244">
        <v>0.1</v>
      </c>
      <c r="F18" s="245">
        <v>1.6</v>
      </c>
      <c r="G18" s="246">
        <v>0.2</v>
      </c>
      <c r="H18" s="247">
        <v>2.2999999999999998</v>
      </c>
      <c r="I18" s="256">
        <f>EXP(E18/$W$3)/(EXP($E18/$W$3)+EXP($F18/$W$3)+EXP($G18/$W$3)+EXP($H18/$W$3))</f>
        <v>0.13942262314860973</v>
      </c>
      <c r="J18" s="257">
        <f>EXP(F18/$W$3)/(EXP($E18/$W$3)+EXP($F18/$W$3)+EXP($G18/$W$3)+EXP($H18/$W$3))</f>
        <v>0.2951576955217895</v>
      </c>
      <c r="K18" s="258">
        <f>EXP(G18/$W$3)/(EXP($E18/$W$3)+EXP($F18/$W$3)+EXP($G18/$W$3)+EXP($H18/$W$3))</f>
        <v>0.14657097389706017</v>
      </c>
      <c r="L18" s="259">
        <f>EXP(H18/$W$3)/(EXP($E18/$W$3)+EXP($F18/$W$3)+EXP($G18/$W$3)+EXP($H18/$W$3))</f>
        <v>0.41884870743254071</v>
      </c>
      <c r="M18" s="251">
        <f t="shared" si="3"/>
        <v>1673.0714777833168</v>
      </c>
      <c r="N18" s="241">
        <f t="shared" si="0"/>
        <v>3541.8923462614739</v>
      </c>
      <c r="O18" s="242">
        <f t="shared" si="1"/>
        <v>1758.851686764722</v>
      </c>
      <c r="P18" s="243">
        <f t="shared" si="2"/>
        <v>5026.1844891904884</v>
      </c>
      <c r="Q18" s="223">
        <f t="shared" si="4"/>
        <v>9758.8516867647213</v>
      </c>
      <c r="R18" s="223">
        <f t="shared" si="7"/>
        <v>13026.184489190488</v>
      </c>
      <c r="S18" s="96">
        <f t="shared" si="8"/>
        <v>48485.892105081315</v>
      </c>
      <c r="T18" s="50">
        <f t="shared" si="9"/>
        <v>-1104.9171025611722</v>
      </c>
      <c r="U18" s="284"/>
      <c r="W18" s="135">
        <f>E18-E17</f>
        <v>-0.19999999999999998</v>
      </c>
      <c r="X18" s="118">
        <f>H18-H17</f>
        <v>0</v>
      </c>
      <c r="Y18" s="215">
        <f t="shared" si="5"/>
        <v>-1104.9171025611722</v>
      </c>
      <c r="AA18" s="7" t="str">
        <f t="shared" si="11"/>
        <v>Sold 0.2 Shares of State 1 at a cost of -1104.9171</v>
      </c>
      <c r="AB18" s="7" t="str">
        <f t="shared" si="12"/>
        <v/>
      </c>
      <c r="AC18" s="218" t="str">
        <f t="shared" si="10"/>
        <v>Sold 0.2 Shares of State 1 at a cost of -1104.9171</v>
      </c>
    </row>
    <row r="19" spans="3:30" s="7" customFormat="1" ht="19.5" thickBot="1" x14ac:dyDescent="0.35">
      <c r="C19" s="166" t="s">
        <v>139</v>
      </c>
      <c r="D19" s="26">
        <v>16</v>
      </c>
      <c r="E19" s="268">
        <v>0</v>
      </c>
      <c r="F19" s="269">
        <v>8</v>
      </c>
      <c r="G19" s="270">
        <v>0</v>
      </c>
      <c r="H19" s="271">
        <v>9.41</v>
      </c>
      <c r="I19" s="260">
        <f>EXP(E19/$W$3)/(EXP($E19/$W$3)+EXP($F19/$W$3)+EXP($G19/$W$3)+EXP($H19/$W$3))</f>
        <v>5.9845681334613982E-3</v>
      </c>
      <c r="J19" s="261">
        <f>EXP(F19/$W$3)/(EXP($E19/$W$3)+EXP($F19/$W$3)+EXP($G19/$W$3)+EXP($H19/$W$3))</f>
        <v>0.32674634883429937</v>
      </c>
      <c r="K19" s="262">
        <f>EXP(G19/$W$3)/(EXP($E19/$W$3)+EXP($F19/$W$3)+EXP($G19/$W$3)+EXP($H19/$W$3))</f>
        <v>5.9845681334613982E-3</v>
      </c>
      <c r="L19" s="263">
        <f>EXP(H19/$W$3)/(EXP($E19/$W$3)+EXP($F19/$W$3)+EXP($G19/$W$3)+EXP($H19/$W$3))</f>
        <v>0.66128451489877782</v>
      </c>
      <c r="M19" s="251">
        <f t="shared" si="3"/>
        <v>71.814817601536774</v>
      </c>
      <c r="N19" s="241">
        <f>(J19*$I$25)</f>
        <v>3920.9561860115923</v>
      </c>
      <c r="O19" s="242">
        <f t="shared" si="1"/>
        <v>71.814817601536774</v>
      </c>
      <c r="P19" s="243">
        <f t="shared" si="2"/>
        <v>7935.4141787853341</v>
      </c>
      <c r="Q19" s="224">
        <f>O19+$I$23</f>
        <v>8071.8148176015366</v>
      </c>
      <c r="R19" s="224">
        <f>P19+$I$23</f>
        <v>15935.414178785333</v>
      </c>
      <c r="S19" s="133">
        <f t="shared" si="8"/>
        <v>122845.70641746093</v>
      </c>
      <c r="T19" s="134">
        <f>(S19-S18)</f>
        <v>74359.814312379604</v>
      </c>
      <c r="U19" s="284"/>
      <c r="W19" s="143">
        <f>E19-E18</f>
        <v>-0.1</v>
      </c>
      <c r="X19" s="120">
        <f>H19-H18</f>
        <v>7.11</v>
      </c>
      <c r="Y19" s="215">
        <f t="shared" si="5"/>
        <v>74359.814312379604</v>
      </c>
      <c r="AA19" s="7" t="str">
        <f>IF(W19&gt;0,"Bought ",IF(W19&lt;0,"Sold ",""))&amp;IF(W19&lt;0,W19*-1,IF(W19&gt;0,W19,""))&amp;IF(W19&lt;&gt;0," Shares of State 1 at a cost of "&amp;ROUND($Y19,5),"")</f>
        <v>Sold 0.1 Shares of State 1 at a cost of 74359.81431</v>
      </c>
      <c r="AB19" s="7" t="str">
        <f>IF(X19&gt;0,"Bought ",IF(X19&lt;0,"Sold ",""))&amp;IF(X19&lt;0,X19*-1,IF(X19&gt;0,X19,""))&amp;IF(X19&lt;&gt;0," Shares of State 2 at a cost of "&amp;ROUND($Y19,5),"")</f>
        <v>Bought 7.11 Shares of State 2 at a cost of 74359.81431</v>
      </c>
      <c r="AC19" s="218" t="str">
        <f t="shared" si="10"/>
        <v>Sold 0.1 Shares of State 1 at a cost of 74359.81431Bought 7.11 Shares of State 2 at a cost of 74359.81431</v>
      </c>
    </row>
    <row r="20" spans="3:30" s="7" customFormat="1" ht="16.5" thickTop="1" thickBot="1" x14ac:dyDescent="0.3">
      <c r="D20" s="26" t="s">
        <v>108</v>
      </c>
      <c r="E20" s="264">
        <v>0</v>
      </c>
      <c r="F20" s="265">
        <v>8</v>
      </c>
      <c r="G20" s="266">
        <v>0</v>
      </c>
      <c r="H20" s="267">
        <f>W3*LN(G27/(1-G27))+F20</f>
        <v>9.4070227899310765</v>
      </c>
      <c r="I20" s="252">
        <f>EXP(E20/$W$3)/(EXP($E20/$W$3)+EXP($F20/$W$3)+EXP($G20/$W$3)+EXP($H20/$W$3))</f>
        <v>5.9904607048654286E-3</v>
      </c>
      <c r="J20" s="253">
        <f>EXP(F20/$W$3)/(EXP($E20/$W$3)+EXP($F20/$W$3)+EXP($G20/$W$3)+EXP($H20/$W$3))</f>
        <v>0.32706807233189761</v>
      </c>
      <c r="K20" s="254">
        <f>EXP(G20/$W$3)/(EXP($E20/$W$3)+EXP($F20/$W$3)+EXP($G20/$W$3)+EXP($H20/$W$3))</f>
        <v>5.9904607048654286E-3</v>
      </c>
      <c r="L20" s="255">
        <f>EXP(H20/$W$3)/(EXP($E20/$W$3)+EXP($F20/$W$3)+EXP($G20/$W$3)+EXP($H20/$W$3))</f>
        <v>0.66095100625837155</v>
      </c>
      <c r="M20" s="285">
        <v>0</v>
      </c>
      <c r="N20" s="286">
        <f>I24-I27</f>
        <v>3972.41</v>
      </c>
      <c r="O20" s="287">
        <v>0</v>
      </c>
      <c r="P20" s="288">
        <f>I27-I23</f>
        <v>8027.59</v>
      </c>
      <c r="Q20" s="225">
        <f>O20+$I$23</f>
        <v>8000</v>
      </c>
      <c r="R20" s="225">
        <f>P20+I23</f>
        <v>16027.59</v>
      </c>
      <c r="S20" s="97">
        <f t="shared" si="8"/>
        <v>122822.08697954217</v>
      </c>
      <c r="T20" s="55">
        <f>SUM(T10:T19)</f>
        <v>122845.70641746093</v>
      </c>
      <c r="U20" s="8" t="s">
        <v>129</v>
      </c>
      <c r="AB20" s="8"/>
      <c r="AC20" s="8"/>
      <c r="AD20" s="8"/>
    </row>
    <row r="21" spans="3:30" s="7" customFormat="1" ht="15.75" thickBot="1" x14ac:dyDescent="0.3">
      <c r="C21"/>
      <c r="D21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130">
        <v>0</v>
      </c>
      <c r="T21" s="50">
        <f>SUMPRODUCT(E20:H20,M20:P20)</f>
        <v>107295.00207822281</v>
      </c>
      <c r="U21" t="s">
        <v>130</v>
      </c>
      <c r="AB21"/>
      <c r="AC21"/>
      <c r="AD21"/>
    </row>
    <row r="22" spans="3:30" s="7" customFormat="1" ht="15.75" thickBot="1" x14ac:dyDescent="0.3">
      <c r="E22" s="164"/>
      <c r="F22" s="164"/>
      <c r="G22" s="164"/>
      <c r="H22" s="17"/>
      <c r="I22" s="17"/>
      <c r="J22" s="17"/>
      <c r="K22" s="17"/>
      <c r="L22" s="17"/>
      <c r="M22" s="17"/>
      <c r="N22" s="17"/>
      <c r="O22" s="17"/>
      <c r="P22" s="289">
        <f>SUM(M18:P18)</f>
        <v>12000.000000000002</v>
      </c>
      <c r="Q22" s="17"/>
      <c r="R22" s="17"/>
      <c r="S22" s="57"/>
      <c r="T22" s="229">
        <f>T20-T21</f>
        <v>15550.704339238117</v>
      </c>
      <c r="U22" s="7" t="s">
        <v>118</v>
      </c>
    </row>
    <row r="23" spans="3:30" s="7" customFormat="1" ht="15.75" thickBot="1" x14ac:dyDescent="0.3">
      <c r="F23" s="34"/>
      <c r="G23" s="34">
        <v>0</v>
      </c>
      <c r="H23" s="34" t="s">
        <v>115</v>
      </c>
      <c r="I23" s="34">
        <v>8000</v>
      </c>
      <c r="J23" s="34"/>
      <c r="K23" s="34"/>
      <c r="L23" s="34"/>
      <c r="M23" s="17"/>
      <c r="N23" s="17"/>
      <c r="O23" s="17"/>
      <c r="P23" s="289">
        <f t="shared" ref="P23:P24" si="13">SUM(M19:P19)</f>
        <v>12000</v>
      </c>
      <c r="Q23" s="17"/>
      <c r="R23" s="17"/>
      <c r="S23" s="57"/>
      <c r="T23" s="230">
        <f>T10-T22</f>
        <v>17720.360327639261</v>
      </c>
      <c r="U23" s="58" t="s">
        <v>119</v>
      </c>
      <c r="Z23" s="8"/>
      <c r="AA23" s="8"/>
      <c r="AB23" s="8"/>
      <c r="AC23" s="29"/>
      <c r="AD23" s="29"/>
    </row>
    <row r="24" spans="3:30" x14ac:dyDescent="0.25">
      <c r="G24" s="34">
        <v>1</v>
      </c>
      <c r="H24" s="34" t="s">
        <v>113</v>
      </c>
      <c r="I24" s="34">
        <v>20000</v>
      </c>
      <c r="P24" s="289">
        <f>SUM(M20:P20)</f>
        <v>12000</v>
      </c>
      <c r="T24" s="227"/>
    </row>
    <row r="25" spans="3:30" x14ac:dyDescent="0.25">
      <c r="H25" s="34" t="s">
        <v>116</v>
      </c>
      <c r="I25" s="34">
        <f>I24-I23</f>
        <v>12000</v>
      </c>
    </row>
    <row r="27" spans="3:30" x14ac:dyDescent="0.25">
      <c r="G27" s="34">
        <f>(I27-I23)/(I24-I23)</f>
        <v>0.66896583333333337</v>
      </c>
      <c r="H27" s="34" t="s">
        <v>114</v>
      </c>
      <c r="I27" s="34">
        <v>16027.59</v>
      </c>
      <c r="K27" s="34" t="s">
        <v>120</v>
      </c>
    </row>
  </sheetData>
  <mergeCells count="1">
    <mergeCell ref="W8:X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T87"/>
  <sheetViews>
    <sheetView topLeftCell="A52" workbookViewId="0">
      <selection activeCell="T43" sqref="T43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1" t="s">
        <v>7</v>
      </c>
      <c r="R5" s="10"/>
      <c r="S5" s="10"/>
      <c r="T5" s="192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4">
        <v>0.04</v>
      </c>
      <c r="T7" s="195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3"/>
      <c r="S9" s="193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 t="shared" ref="G12:H15" si="0">EXP(E12/$T$5)/(EXP($F12/$T$5)+EXP($E12/$T$5))</f>
        <v>0.5</v>
      </c>
      <c r="H12" s="92">
        <f t="shared" si="0"/>
        <v>0.5</v>
      </c>
      <c r="I12" s="95">
        <f t="shared" ref="I12:I31" si="1">$T$5*LN(EXP($F12/$T$5)+EXP($E12/$T$5))</f>
        <v>0.69314718055994529</v>
      </c>
      <c r="J12" s="181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 t="shared" si="0"/>
        <v>0.52497918747894001</v>
      </c>
      <c r="H13" s="93">
        <f t="shared" si="0"/>
        <v>0.47502081252105999</v>
      </c>
      <c r="I13" s="96">
        <f t="shared" si="1"/>
        <v>0.74439666007357097</v>
      </c>
      <c r="J13" s="182">
        <f>(I13-I12)</f>
        <v>5.1249479513625684E-2</v>
      </c>
      <c r="K13" s="7"/>
      <c r="L13" s="7" t="s">
        <v>80</v>
      </c>
      <c r="M13" s="7" t="s">
        <v>81</v>
      </c>
      <c r="N13" s="196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86">
        <f>IF(MOD(ROW(A14),2)=0,L14,F13)</f>
        <v>3.2780538303479458</v>
      </c>
      <c r="G14" s="49">
        <f t="shared" si="0"/>
        <v>3.9999999999999994E-2</v>
      </c>
      <c r="H14" s="93">
        <f t="shared" si="0"/>
        <v>0.96000000000000008</v>
      </c>
      <c r="I14" s="96">
        <f t="shared" si="1"/>
        <v>3.3188758248682011</v>
      </c>
      <c r="J14" s="182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87"/>
      <c r="Q14" s="7"/>
      <c r="R14" s="189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86">
        <f>IF(MOD(ROW(A15),2)=0,L15,F14)</f>
        <v>3.2780538303479458</v>
      </c>
      <c r="G15" s="49">
        <f t="shared" si="0"/>
        <v>4.4021644850859298E-2</v>
      </c>
      <c r="H15" s="93">
        <f t="shared" si="0"/>
        <v>0.95597835514914065</v>
      </c>
      <c r="I15" s="96">
        <f t="shared" si="1"/>
        <v>3.3230738375923785</v>
      </c>
      <c r="J15" s="182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2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3">IF(MOD(ROW(A16),2)=1,E15+$E$13,E15)</f>
        <v>0.2</v>
      </c>
      <c r="F16" s="186">
        <f>IF(MOD(ROW(A16),2)=0,L16,F15)</f>
        <v>3.3780538303479459</v>
      </c>
      <c r="G16" s="49">
        <f t="shared" ref="G16:G30" si="4">EXP(E16/$T$5)/(EXP($F16/$T$5)+EXP($E16/$T$5))</f>
        <v>3.9999999999999987E-2</v>
      </c>
      <c r="H16" s="93">
        <f t="shared" ref="H16:H30" si="5">EXP(F16/$T$5)/(EXP($F16/$T$5)+EXP($E16/$T$5))</f>
        <v>0.96</v>
      </c>
      <c r="I16" s="96">
        <f t="shared" si="1"/>
        <v>3.4188758248682012</v>
      </c>
      <c r="J16" s="182">
        <f t="shared" ref="J16:J30" si="6">(I16-I15)</f>
        <v>9.5801987275822675E-2</v>
      </c>
      <c r="K16" s="7"/>
      <c r="L16" s="144">
        <f t="shared" ref="L16:L29" si="7">$T$5*LN($T$7/$S$7)+E16</f>
        <v>3.3780538303479459</v>
      </c>
      <c r="M16" s="144">
        <f>IF( D16="Seller",((F16-F15)-J16)*$T$7,"")</f>
        <v>4.0300922152103165E-3</v>
      </c>
      <c r="N16" t="str">
        <f t="shared" ref="N16:N30" si="8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3"/>
        <v>0.30000000000000004</v>
      </c>
      <c r="F17" s="186">
        <f t="shared" ref="F17:F20" si="9">IF(MOD(ROW(A17),2)=0,L17,F16)</f>
        <v>3.3780538303479459</v>
      </c>
      <c r="G17" s="49">
        <f t="shared" si="4"/>
        <v>4.4021644850859298E-2</v>
      </c>
      <c r="H17" s="93">
        <f t="shared" si="5"/>
        <v>0.95597835514914076</v>
      </c>
      <c r="I17" s="96">
        <f t="shared" si="1"/>
        <v>3.4230738375923786</v>
      </c>
      <c r="J17" s="182">
        <f t="shared" si="6"/>
        <v>4.1980127241774134E-3</v>
      </c>
      <c r="K17" s="7"/>
      <c r="L17" s="144">
        <f t="shared" si="7"/>
        <v>3.478053830347946</v>
      </c>
      <c r="M17" s="144" t="str">
        <f t="shared" si="2"/>
        <v/>
      </c>
      <c r="N17">
        <f t="shared" si="8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3"/>
        <v>0.30000000000000004</v>
      </c>
      <c r="F18" s="186">
        <f t="shared" si="9"/>
        <v>3.478053830347946</v>
      </c>
      <c r="G18" s="49">
        <f t="shared" si="4"/>
        <v>3.9999999999999987E-2</v>
      </c>
      <c r="H18" s="93">
        <f t="shared" si="5"/>
        <v>0.96</v>
      </c>
      <c r="I18" s="96">
        <f t="shared" si="1"/>
        <v>3.5188758248682013</v>
      </c>
      <c r="J18" s="182">
        <f t="shared" si="6"/>
        <v>9.5801987275822675E-2</v>
      </c>
      <c r="K18" s="7"/>
      <c r="L18" s="144">
        <f t="shared" si="7"/>
        <v>3.478053830347946</v>
      </c>
      <c r="M18" s="144">
        <f>IF( D18="Seller",((F18-F17)-J18)*$T$7,"")</f>
        <v>4.0300922152103165E-3</v>
      </c>
      <c r="N18" t="str">
        <f t="shared" si="8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3"/>
        <v>0.4</v>
      </c>
      <c r="F19" s="186">
        <f t="shared" si="9"/>
        <v>3.478053830347946</v>
      </c>
      <c r="G19" s="49">
        <f t="shared" si="4"/>
        <v>4.4021644850859291E-2</v>
      </c>
      <c r="H19" s="93">
        <f t="shared" si="5"/>
        <v>0.95597835514914076</v>
      </c>
      <c r="I19" s="96">
        <f t="shared" si="1"/>
        <v>3.5230738375923787</v>
      </c>
      <c r="J19" s="182">
        <f t="shared" si="6"/>
        <v>4.1980127241774134E-3</v>
      </c>
      <c r="K19" s="7"/>
      <c r="L19" s="144">
        <f t="shared" si="7"/>
        <v>3.5780538303479457</v>
      </c>
      <c r="M19" s="144" t="str">
        <f t="shared" si="2"/>
        <v/>
      </c>
      <c r="N19">
        <f t="shared" si="8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3"/>
        <v>0.4</v>
      </c>
      <c r="F20" s="186">
        <f t="shared" si="9"/>
        <v>3.5780538303479457</v>
      </c>
      <c r="G20" s="49">
        <f t="shared" si="4"/>
        <v>0.04</v>
      </c>
      <c r="H20" s="93">
        <f t="shared" si="5"/>
        <v>0.96</v>
      </c>
      <c r="I20" s="96">
        <f t="shared" si="1"/>
        <v>3.6188758248682009</v>
      </c>
      <c r="J20" s="182">
        <f t="shared" si="6"/>
        <v>9.5801987275822231E-2</v>
      </c>
      <c r="K20" s="7"/>
      <c r="L20" s="144">
        <f t="shared" si="7"/>
        <v>3.5780538303479457</v>
      </c>
      <c r="M20" s="144">
        <f>IF( D20="Seller",((F20-F19)-J20)*$T$7,"")</f>
        <v>4.0300922152103165E-3</v>
      </c>
      <c r="N20" t="str">
        <f t="shared" si="8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3"/>
        <v>0.5</v>
      </c>
      <c r="F21" s="186">
        <f t="shared" ref="F21:F29" si="10">IF(MOD(ROW(A21),2)=0,L21,F20)</f>
        <v>3.5780538303479457</v>
      </c>
      <c r="G21" s="49">
        <f t="shared" si="4"/>
        <v>4.4021644850859305E-2</v>
      </c>
      <c r="H21" s="93">
        <f t="shared" si="5"/>
        <v>0.95597835514914065</v>
      </c>
      <c r="I21" s="96">
        <f t="shared" si="1"/>
        <v>3.6230738375923783</v>
      </c>
      <c r="J21" s="182">
        <f t="shared" si="6"/>
        <v>4.1980127241774134E-3</v>
      </c>
      <c r="K21" s="7"/>
      <c r="L21" s="144">
        <f t="shared" si="7"/>
        <v>3.6780538303479458</v>
      </c>
      <c r="M21" s="144" t="str">
        <f t="shared" si="2"/>
        <v/>
      </c>
      <c r="N21">
        <f t="shared" si="8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3"/>
        <v>0.5</v>
      </c>
      <c r="F22" s="186">
        <f t="shared" si="10"/>
        <v>3.6780538303479458</v>
      </c>
      <c r="G22" s="49">
        <f t="shared" si="4"/>
        <v>3.9999999999999994E-2</v>
      </c>
      <c r="H22" s="93">
        <f t="shared" si="5"/>
        <v>0.96</v>
      </c>
      <c r="I22" s="96">
        <f t="shared" si="1"/>
        <v>3.718875824868201</v>
      </c>
      <c r="J22" s="182">
        <f>(I22-I21)</f>
        <v>9.5801987275822675E-2</v>
      </c>
      <c r="K22" s="7"/>
      <c r="L22" s="144">
        <f>$T$5*LN($T$7/$S$7)+E22</f>
        <v>3.6780538303479458</v>
      </c>
      <c r="M22" s="144">
        <f t="shared" si="2"/>
        <v>4.0300922152103165E-3</v>
      </c>
      <c r="N22" t="str">
        <f t="shared" si="8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3"/>
        <v>0.6</v>
      </c>
      <c r="F23" s="186">
        <f t="shared" si="10"/>
        <v>3.6780538303479458</v>
      </c>
      <c r="G23" s="49">
        <f t="shared" si="4"/>
        <v>4.4021644850859298E-2</v>
      </c>
      <c r="H23" s="93">
        <f t="shared" si="5"/>
        <v>0.95597835514914076</v>
      </c>
      <c r="I23" s="96">
        <f t="shared" si="1"/>
        <v>3.7230738375923784</v>
      </c>
      <c r="J23" s="182">
        <f t="shared" si="6"/>
        <v>4.1980127241774134E-3</v>
      </c>
      <c r="K23" s="7"/>
      <c r="L23" s="144">
        <f t="shared" si="7"/>
        <v>3.7780538303479458</v>
      </c>
      <c r="M23" s="144" t="str">
        <f t="shared" si="2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3"/>
        <v>0.6</v>
      </c>
      <c r="F24" s="186">
        <f t="shared" si="10"/>
        <v>3.7780538303479458</v>
      </c>
      <c r="G24" s="49">
        <f t="shared" si="4"/>
        <v>3.9999999999999994E-2</v>
      </c>
      <c r="H24" s="93">
        <f t="shared" si="5"/>
        <v>0.96000000000000008</v>
      </c>
      <c r="I24" s="96">
        <f t="shared" si="1"/>
        <v>3.8188758248682011</v>
      </c>
      <c r="J24" s="182">
        <f t="shared" si="6"/>
        <v>9.5801987275822675E-2</v>
      </c>
      <c r="K24" s="7"/>
      <c r="L24" s="144">
        <f t="shared" si="7"/>
        <v>3.7780538303479458</v>
      </c>
      <c r="M24" s="144">
        <f t="shared" si="2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3"/>
        <v>0.7</v>
      </c>
      <c r="F25" s="186">
        <f t="shared" si="10"/>
        <v>3.7780538303479458</v>
      </c>
      <c r="G25" s="49">
        <f t="shared" si="4"/>
        <v>4.4021644850859298E-2</v>
      </c>
      <c r="H25" s="93">
        <f t="shared" si="5"/>
        <v>0.95597835514914076</v>
      </c>
      <c r="I25" s="96">
        <f t="shared" si="1"/>
        <v>3.8230738375923785</v>
      </c>
      <c r="J25" s="182">
        <f t="shared" si="6"/>
        <v>4.1980127241774134E-3</v>
      </c>
      <c r="K25" s="7"/>
      <c r="L25" s="144">
        <f t="shared" si="7"/>
        <v>3.8780538303479455</v>
      </c>
      <c r="M25" s="144" t="str">
        <f t="shared" si="2"/>
        <v/>
      </c>
      <c r="N25">
        <f t="shared" si="8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3"/>
        <v>0.7</v>
      </c>
      <c r="F26" s="186">
        <f t="shared" si="10"/>
        <v>3.8780538303479455</v>
      </c>
      <c r="G26" s="49">
        <f t="shared" si="4"/>
        <v>4.0000000000000008E-2</v>
      </c>
      <c r="H26" s="93">
        <f t="shared" si="5"/>
        <v>0.96000000000000008</v>
      </c>
      <c r="I26" s="96">
        <f t="shared" si="1"/>
        <v>3.9188758248682007</v>
      </c>
      <c r="J26" s="182">
        <f>(I26-I25)</f>
        <v>9.5801987275822231E-2</v>
      </c>
      <c r="K26" s="7"/>
      <c r="L26" s="144">
        <f t="shared" si="7"/>
        <v>3.8780538303479455</v>
      </c>
      <c r="M26" s="144">
        <f t="shared" si="2"/>
        <v>4.0300922152103165E-3</v>
      </c>
      <c r="N26" t="str">
        <f t="shared" si="8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3"/>
        <v>0.79999999999999993</v>
      </c>
      <c r="F27" s="186">
        <f t="shared" si="10"/>
        <v>3.8780538303479455</v>
      </c>
      <c r="G27" s="49">
        <f t="shared" si="4"/>
        <v>4.4021644850859305E-2</v>
      </c>
      <c r="H27" s="93">
        <f t="shared" si="5"/>
        <v>0.95597835514914065</v>
      </c>
      <c r="I27" s="96">
        <f t="shared" si="1"/>
        <v>3.9230738375923782</v>
      </c>
      <c r="J27" s="182">
        <f t="shared" si="6"/>
        <v>4.1980127241774134E-3</v>
      </c>
      <c r="K27" s="7"/>
      <c r="L27" s="144">
        <f t="shared" si="7"/>
        <v>3.9780538303479456</v>
      </c>
      <c r="M27" s="144" t="str">
        <f t="shared" si="2"/>
        <v/>
      </c>
      <c r="N27">
        <f t="shared" si="8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3"/>
        <v>0.79999999999999993</v>
      </c>
      <c r="F28" s="186">
        <f t="shared" si="10"/>
        <v>3.9780538303479456</v>
      </c>
      <c r="G28" s="49">
        <f t="shared" si="4"/>
        <v>0.04</v>
      </c>
      <c r="H28" s="93">
        <f t="shared" si="5"/>
        <v>0.96000000000000008</v>
      </c>
      <c r="I28" s="96">
        <f t="shared" si="1"/>
        <v>4.0188758248682008</v>
      </c>
      <c r="J28" s="182">
        <f t="shared" si="6"/>
        <v>9.5801987275822675E-2</v>
      </c>
      <c r="K28" s="7"/>
      <c r="L28" s="144">
        <f t="shared" si="7"/>
        <v>3.9780538303479456</v>
      </c>
      <c r="M28" s="144">
        <f>IF( D28="Seller",((F28-F27)-J28)*$T$7,"")</f>
        <v>4.0300922152103165E-3</v>
      </c>
      <c r="N28" t="str">
        <f t="shared" si="8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3"/>
        <v>0.89999999999999991</v>
      </c>
      <c r="F29" s="186">
        <f t="shared" si="10"/>
        <v>3.9780538303479456</v>
      </c>
      <c r="G29" s="49">
        <f t="shared" si="4"/>
        <v>4.4021644850859305E-2</v>
      </c>
      <c r="H29" s="93">
        <f t="shared" si="5"/>
        <v>0.95597835514914065</v>
      </c>
      <c r="I29" s="96">
        <f t="shared" si="1"/>
        <v>4.0230738375923778</v>
      </c>
      <c r="J29" s="182">
        <f t="shared" si="6"/>
        <v>4.1980127241769694E-3</v>
      </c>
      <c r="K29" s="7"/>
      <c r="L29" s="144">
        <f t="shared" si="7"/>
        <v>4.0780538303479457</v>
      </c>
      <c r="M29" s="144" t="str">
        <f t="shared" si="2"/>
        <v/>
      </c>
      <c r="N29" t="str">
        <f t="shared" si="8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88">
        <f t="shared" ref="F30" si="11">F29</f>
        <v>3.9780538303479456</v>
      </c>
      <c r="G30" s="49">
        <f t="shared" si="4"/>
        <v>1.8377967132622502E-2</v>
      </c>
      <c r="H30" s="93">
        <f t="shared" si="5"/>
        <v>0.98162203286737748</v>
      </c>
      <c r="I30" s="133">
        <f t="shared" si="1"/>
        <v>3.9966027703138742</v>
      </c>
      <c r="J30" s="183">
        <f t="shared" si="6"/>
        <v>-2.6471067278503568E-2</v>
      </c>
      <c r="K30" s="7"/>
      <c r="L30" s="144">
        <f>$T$5*LN($T$7/$S$7)+E30</f>
        <v>3.1780538303479458</v>
      </c>
      <c r="M30" s="144" t="str">
        <f t="shared" si="2"/>
        <v/>
      </c>
      <c r="N30" t="str">
        <f t="shared" si="8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0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 t="shared" si="1"/>
        <v>3.9966027703138742</v>
      </c>
      <c r="J31" s="184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85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8:15" x14ac:dyDescent="0.25">
      <c r="M34" t="s">
        <v>87</v>
      </c>
      <c r="N34" t="s">
        <v>88</v>
      </c>
      <c r="O34" t="s">
        <v>89</v>
      </c>
    </row>
    <row r="35" spans="8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8:15" x14ac:dyDescent="0.25">
      <c r="H37" t="s">
        <v>92</v>
      </c>
      <c r="J37">
        <f>(J26*S9)+J14</f>
        <v>481.58441554390578</v>
      </c>
      <c r="M37" t="s">
        <v>86</v>
      </c>
    </row>
    <row r="38" spans="8:15" x14ac:dyDescent="0.25">
      <c r="H38" t="s">
        <v>95</v>
      </c>
      <c r="J38" s="198">
        <f>M35/J37</f>
        <v>4.3236163776710163E-2</v>
      </c>
    </row>
    <row r="39" spans="8:15" x14ac:dyDescent="0.25">
      <c r="H39" t="s">
        <v>96</v>
      </c>
      <c r="M39" t="s">
        <v>91</v>
      </c>
    </row>
    <row r="40" spans="8:15" x14ac:dyDescent="0.25">
      <c r="N40">
        <f>S7*S8</f>
        <v>20</v>
      </c>
    </row>
    <row r="41" spans="8:15" x14ac:dyDescent="0.25">
      <c r="H41" t="s">
        <v>97</v>
      </c>
    </row>
    <row r="42" spans="8:15" x14ac:dyDescent="0.25">
      <c r="H42" t="s">
        <v>98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1" t="s">
        <v>7</v>
      </c>
      <c r="R52" s="10"/>
      <c r="S52" s="10"/>
      <c r="T52" s="192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4">
        <v>0.04</v>
      </c>
      <c r="T54" s="195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3"/>
      <c r="S56" s="193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197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 t="shared" ref="G59:H62" si="12">EXP(E59/$T$5)/(EXP($F59/$T$5)+EXP($E59/$T$5))</f>
        <v>0.5</v>
      </c>
      <c r="H59" s="92">
        <f t="shared" si="12"/>
        <v>0.5</v>
      </c>
      <c r="I59" s="95">
        <f t="shared" ref="I59:I78" si="13">$T$5*LN(EXP($F59/$T$5)+EXP($E59/$T$5))</f>
        <v>0.69314718055994529</v>
      </c>
      <c r="J59" s="181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 t="shared" si="12"/>
        <v>3.992533395281353E-2</v>
      </c>
      <c r="H60" s="93">
        <f t="shared" si="12"/>
        <v>0.96007466604718639</v>
      </c>
      <c r="I60" s="96">
        <f t="shared" si="13"/>
        <v>503.22074422041226</v>
      </c>
      <c r="J60" s="182">
        <f>(I60-I59)</f>
        <v>502.52759703985231</v>
      </c>
      <c r="K60" s="7"/>
      <c r="L60" s="7" t="s">
        <v>80</v>
      </c>
      <c r="M60" s="7" t="s">
        <v>81</v>
      </c>
      <c r="N60" s="196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 t="shared" si="12"/>
        <v>3.992533395281353E-2</v>
      </c>
      <c r="H61" s="93">
        <f t="shared" si="12"/>
        <v>0.96007466604718639</v>
      </c>
      <c r="I61" s="96">
        <f t="shared" si="13"/>
        <v>503.22074422041226</v>
      </c>
      <c r="J61" s="182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87"/>
      <c r="Q61" s="7" t="s">
        <v>94</v>
      </c>
      <c r="R61" s="189"/>
    </row>
    <row r="62" spans="3:20" x14ac:dyDescent="0.25">
      <c r="C62" t="s">
        <v>93</v>
      </c>
      <c r="D62" s="26" t="s">
        <v>82</v>
      </c>
      <c r="E62" s="48">
        <v>510</v>
      </c>
      <c r="F62" s="186">
        <f>F61</f>
        <v>503.18</v>
      </c>
      <c r="G62" s="49">
        <f t="shared" si="12"/>
        <v>0.99890946963253902</v>
      </c>
      <c r="H62" s="93">
        <f t="shared" si="12"/>
        <v>1.0905303674609804E-3</v>
      </c>
      <c r="I62" s="96">
        <f t="shared" si="13"/>
        <v>510.00109112542839</v>
      </c>
      <c r="J62" s="182">
        <f t="shared" ref="J62:J77" si="14">(I62-I61)</f>
        <v>6.7803469050161311</v>
      </c>
      <c r="K62" s="7"/>
      <c r="L62" s="144">
        <f>$T$5*LN($T$7/$S$7)+E62</f>
        <v>513.17805383034795</v>
      </c>
      <c r="M62" s="144" t="str">
        <f t="shared" ref="M62" si="15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86">
        <v>0</v>
      </c>
      <c r="G63" s="49">
        <f t="shared" ref="G63:G77" si="16">EXP(E63/$T$5)/(EXP($F63/$T$5)+EXP($E63/$T$5))</f>
        <v>1</v>
      </c>
      <c r="H63" s="93">
        <f t="shared" ref="H63:H77" si="17">EXP(F63/$T$5)/(EXP($F63/$T$5)+EXP($E63/$T$5))</f>
        <v>3.2345526845351109E-222</v>
      </c>
      <c r="I63" s="96">
        <f t="shared" si="13"/>
        <v>510</v>
      </c>
      <c r="J63" s="182">
        <f>(I63-I62)</f>
        <v>-1.0911254283882954E-3</v>
      </c>
      <c r="K63" s="7"/>
      <c r="L63" s="144">
        <f t="shared" ref="L63:L76" si="18">$T$5*LN($T$7/$S$7)+E63</f>
        <v>513.17805383034795</v>
      </c>
      <c r="M63" s="144">
        <f>IF( D63="Seller",((F63-F62)-J63)*$T$7,"")</f>
        <v>-483.05175251958872</v>
      </c>
      <c r="N63" t="str">
        <f t="shared" ref="N63:N69" si="19">IF(D63="Buyer",J63,"")</f>
        <v/>
      </c>
      <c r="O63" s="7"/>
      <c r="P63" s="7"/>
      <c r="Q63" s="7" t="s">
        <v>103</v>
      </c>
    </row>
    <row r="64" spans="3:20" x14ac:dyDescent="0.25">
      <c r="D64" s="26" t="s">
        <v>82</v>
      </c>
      <c r="E64" s="48"/>
      <c r="F64" s="186"/>
      <c r="G64" s="49">
        <f t="shared" si="16"/>
        <v>0.5</v>
      </c>
      <c r="H64" s="93">
        <f t="shared" si="17"/>
        <v>0.5</v>
      </c>
      <c r="I64" s="96">
        <f t="shared" si="13"/>
        <v>0.69314718055994529</v>
      </c>
      <c r="J64" s="182">
        <f t="shared" si="14"/>
        <v>-509.30685281944005</v>
      </c>
      <c r="K64" s="7"/>
      <c r="L64" s="144">
        <f t="shared" si="18"/>
        <v>3.1780538303479458</v>
      </c>
      <c r="M64" s="144" t="str">
        <f t="shared" ref="M64" si="20">IF( D64="Seller",((F64-F63)-J64)*$T$7,"")</f>
        <v/>
      </c>
      <c r="N64">
        <f t="shared" si="19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86"/>
      <c r="G65" s="49">
        <f t="shared" si="16"/>
        <v>0.5</v>
      </c>
      <c r="H65" s="93">
        <f t="shared" si="17"/>
        <v>0.5</v>
      </c>
      <c r="I65" s="96">
        <f t="shared" si="13"/>
        <v>0.69314718055994529</v>
      </c>
      <c r="J65" s="182">
        <f t="shared" si="14"/>
        <v>0</v>
      </c>
      <c r="K65" s="7"/>
      <c r="L65" s="144">
        <f t="shared" si="18"/>
        <v>3.1780538303479458</v>
      </c>
      <c r="M65" s="144">
        <f>IF( D65="Seller",((F65-F64)-J65)*$T$7,"")</f>
        <v>0</v>
      </c>
      <c r="N65" t="str">
        <f t="shared" si="19"/>
        <v/>
      </c>
      <c r="O65" s="7"/>
      <c r="P65" s="7"/>
      <c r="Q65" s="7" t="s">
        <v>101</v>
      </c>
    </row>
    <row r="66" spans="4:17" x14ac:dyDescent="0.25">
      <c r="D66" s="26" t="s">
        <v>82</v>
      </c>
      <c r="E66" s="48"/>
      <c r="F66" s="186"/>
      <c r="G66" s="49">
        <f t="shared" si="16"/>
        <v>0.5</v>
      </c>
      <c r="H66" s="93">
        <f t="shared" si="17"/>
        <v>0.5</v>
      </c>
      <c r="I66" s="96">
        <f t="shared" si="13"/>
        <v>0.69314718055994529</v>
      </c>
      <c r="J66" s="182">
        <f t="shared" si="14"/>
        <v>0</v>
      </c>
      <c r="K66" s="7"/>
      <c r="L66" s="144">
        <f t="shared" si="18"/>
        <v>3.1780538303479458</v>
      </c>
      <c r="M66" s="144" t="str">
        <f t="shared" ref="M66" si="21">IF( D66="Seller",((F66-F65)-J66)*$T$7,"")</f>
        <v/>
      </c>
      <c r="N66">
        <f t="shared" si="19"/>
        <v>0</v>
      </c>
      <c r="O66" s="7"/>
      <c r="P66" s="7"/>
      <c r="Q66" s="8" t="s">
        <v>102</v>
      </c>
    </row>
    <row r="67" spans="4:17" x14ac:dyDescent="0.25">
      <c r="D67" s="26" t="s">
        <v>83</v>
      </c>
      <c r="E67" s="48"/>
      <c r="F67" s="186"/>
      <c r="G67" s="49">
        <f t="shared" si="16"/>
        <v>0.5</v>
      </c>
      <c r="H67" s="93">
        <f t="shared" si="17"/>
        <v>0.5</v>
      </c>
      <c r="I67" s="96">
        <f t="shared" si="13"/>
        <v>0.69314718055994529</v>
      </c>
      <c r="J67" s="182">
        <f t="shared" si="14"/>
        <v>0</v>
      </c>
      <c r="K67" s="7"/>
      <c r="L67" s="144">
        <f t="shared" si="18"/>
        <v>3.1780538303479458</v>
      </c>
      <c r="M67" s="144">
        <f>IF( D67="Seller",((F67-F66)-J67)*$T$7,"")</f>
        <v>0</v>
      </c>
      <c r="N67" t="str">
        <f t="shared" si="19"/>
        <v/>
      </c>
      <c r="O67" s="7"/>
      <c r="P67" s="7"/>
      <c r="Q67" s="8" t="s">
        <v>99</v>
      </c>
    </row>
    <row r="68" spans="4:17" x14ac:dyDescent="0.25">
      <c r="D68" s="26" t="s">
        <v>82</v>
      </c>
      <c r="E68" s="48"/>
      <c r="F68" s="186"/>
      <c r="G68" s="49">
        <f t="shared" si="16"/>
        <v>0.5</v>
      </c>
      <c r="H68" s="93">
        <f t="shared" si="17"/>
        <v>0.5</v>
      </c>
      <c r="I68" s="96">
        <f t="shared" si="13"/>
        <v>0.69314718055994529</v>
      </c>
      <c r="J68" s="182">
        <f t="shared" si="14"/>
        <v>0</v>
      </c>
      <c r="K68" s="7"/>
      <c r="L68" s="144">
        <f t="shared" si="18"/>
        <v>3.1780538303479458</v>
      </c>
      <c r="M68" s="144" t="str">
        <f t="shared" ref="M68:M74" si="22">IF( D68="Seller",((F68-F67)-J68)*$T$7,"")</f>
        <v/>
      </c>
      <c r="N68">
        <f t="shared" si="19"/>
        <v>0</v>
      </c>
      <c r="O68" s="7"/>
      <c r="P68" s="7"/>
      <c r="Q68" s="8" t="s">
        <v>100</v>
      </c>
    </row>
    <row r="69" spans="4:17" x14ac:dyDescent="0.25">
      <c r="D69" s="26" t="s">
        <v>83</v>
      </c>
      <c r="E69" s="48"/>
      <c r="F69" s="186"/>
      <c r="G69" s="49">
        <f t="shared" si="16"/>
        <v>0.5</v>
      </c>
      <c r="H69" s="93">
        <f t="shared" si="17"/>
        <v>0.5</v>
      </c>
      <c r="I69" s="96">
        <f t="shared" si="13"/>
        <v>0.69314718055994529</v>
      </c>
      <c r="J69" s="182">
        <f t="shared" si="14"/>
        <v>0</v>
      </c>
      <c r="K69" s="7"/>
      <c r="L69" s="144">
        <f t="shared" si="18"/>
        <v>3.1780538303479458</v>
      </c>
      <c r="M69" s="144">
        <f t="shared" si="22"/>
        <v>0</v>
      </c>
      <c r="N69" t="str">
        <f t="shared" si="19"/>
        <v/>
      </c>
      <c r="O69" s="7"/>
      <c r="P69" s="7"/>
      <c r="Q69" s="7"/>
    </row>
    <row r="70" spans="4:17" x14ac:dyDescent="0.25">
      <c r="D70" s="26" t="s">
        <v>82</v>
      </c>
      <c r="E70" s="48"/>
      <c r="F70" s="186"/>
      <c r="G70" s="49">
        <f t="shared" si="16"/>
        <v>0.5</v>
      </c>
      <c r="H70" s="93">
        <f t="shared" si="17"/>
        <v>0.5</v>
      </c>
      <c r="I70" s="96">
        <f t="shared" si="13"/>
        <v>0.69314718055994529</v>
      </c>
      <c r="J70" s="182">
        <f t="shared" si="14"/>
        <v>0</v>
      </c>
      <c r="K70" s="7"/>
      <c r="L70" s="144">
        <f t="shared" si="18"/>
        <v>3.1780538303479458</v>
      </c>
      <c r="M70" s="144" t="str">
        <f t="shared" si="22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86"/>
      <c r="G71" s="49">
        <f t="shared" si="16"/>
        <v>0.5</v>
      </c>
      <c r="H71" s="93">
        <f t="shared" si="17"/>
        <v>0.5</v>
      </c>
      <c r="I71" s="96">
        <f t="shared" si="13"/>
        <v>0.69314718055994529</v>
      </c>
      <c r="J71" s="182">
        <f t="shared" si="14"/>
        <v>0</v>
      </c>
      <c r="K71" s="7"/>
      <c r="L71" s="144">
        <f t="shared" si="18"/>
        <v>3.1780538303479458</v>
      </c>
      <c r="M71" s="144">
        <f t="shared" si="22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86"/>
      <c r="G72" s="49">
        <f t="shared" si="16"/>
        <v>0.5</v>
      </c>
      <c r="H72" s="93">
        <f t="shared" si="17"/>
        <v>0.5</v>
      </c>
      <c r="I72" s="96">
        <f t="shared" si="13"/>
        <v>0.69314718055994529</v>
      </c>
      <c r="J72" s="182">
        <f t="shared" si="14"/>
        <v>0</v>
      </c>
      <c r="K72" s="7"/>
      <c r="L72" s="144">
        <f t="shared" si="18"/>
        <v>3.1780538303479458</v>
      </c>
      <c r="M72" s="144" t="str">
        <f t="shared" si="22"/>
        <v/>
      </c>
      <c r="N72">
        <f t="shared" ref="N72:N77" si="23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86"/>
      <c r="G73" s="49">
        <f t="shared" si="16"/>
        <v>0.5</v>
      </c>
      <c r="H73" s="93">
        <f t="shared" si="17"/>
        <v>0.5</v>
      </c>
      <c r="I73" s="96">
        <f t="shared" si="13"/>
        <v>0.69314718055994529</v>
      </c>
      <c r="J73" s="182">
        <f t="shared" si="14"/>
        <v>0</v>
      </c>
      <c r="K73" s="7"/>
      <c r="L73" s="144">
        <f t="shared" si="18"/>
        <v>3.1780538303479458</v>
      </c>
      <c r="M73" s="144">
        <f t="shared" si="22"/>
        <v>0</v>
      </c>
      <c r="N73" t="str">
        <f t="shared" si="23"/>
        <v/>
      </c>
      <c r="O73" s="7"/>
      <c r="P73" s="7"/>
      <c r="Q73" s="7"/>
    </row>
    <row r="74" spans="4:17" x14ac:dyDescent="0.25">
      <c r="D74" s="26" t="s">
        <v>82</v>
      </c>
      <c r="E74" s="48"/>
      <c r="F74" s="186"/>
      <c r="G74" s="49">
        <f t="shared" si="16"/>
        <v>0.5</v>
      </c>
      <c r="H74" s="93">
        <f t="shared" si="17"/>
        <v>0.5</v>
      </c>
      <c r="I74" s="96">
        <f t="shared" si="13"/>
        <v>0.69314718055994529</v>
      </c>
      <c r="J74" s="182">
        <f t="shared" si="14"/>
        <v>0</v>
      </c>
      <c r="K74" s="7"/>
      <c r="L74" s="144">
        <f t="shared" si="18"/>
        <v>3.1780538303479458</v>
      </c>
      <c r="M74" s="144" t="str">
        <f t="shared" si="22"/>
        <v/>
      </c>
      <c r="N74">
        <f t="shared" si="23"/>
        <v>0</v>
      </c>
      <c r="O74" s="7"/>
      <c r="P74" s="7"/>
      <c r="Q74" s="7"/>
    </row>
    <row r="75" spans="4:17" x14ac:dyDescent="0.25">
      <c r="D75" s="26" t="s">
        <v>83</v>
      </c>
      <c r="E75" s="48"/>
      <c r="F75" s="186"/>
      <c r="G75" s="49">
        <f t="shared" si="16"/>
        <v>0.5</v>
      </c>
      <c r="H75" s="93">
        <f t="shared" si="17"/>
        <v>0.5</v>
      </c>
      <c r="I75" s="96">
        <f t="shared" si="13"/>
        <v>0.69314718055994529</v>
      </c>
      <c r="J75" s="182">
        <f t="shared" si="14"/>
        <v>0</v>
      </c>
      <c r="K75" s="7"/>
      <c r="L75" s="144">
        <f t="shared" si="18"/>
        <v>3.1780538303479458</v>
      </c>
      <c r="M75" s="144">
        <f>IF( D75="Seller",((F75-F74)-J75)*$T$7,"")</f>
        <v>0</v>
      </c>
      <c r="N75" t="str">
        <f t="shared" si="23"/>
        <v/>
      </c>
      <c r="O75" s="7"/>
      <c r="P75" s="7"/>
      <c r="Q75" s="7"/>
    </row>
    <row r="76" spans="4:17" x14ac:dyDescent="0.25">
      <c r="D76" s="21" t="s">
        <v>84</v>
      </c>
      <c r="E76" s="48"/>
      <c r="F76" s="186"/>
      <c r="G76" s="49">
        <f t="shared" si="16"/>
        <v>0.5</v>
      </c>
      <c r="H76" s="93">
        <f t="shared" si="17"/>
        <v>0.5</v>
      </c>
      <c r="I76" s="96">
        <f t="shared" si="13"/>
        <v>0.69314718055994529</v>
      </c>
      <c r="J76" s="182">
        <f t="shared" si="14"/>
        <v>0</v>
      </c>
      <c r="K76" s="7"/>
      <c r="L76" s="144">
        <f t="shared" si="18"/>
        <v>3.1780538303479458</v>
      </c>
      <c r="M76" s="144" t="str">
        <f t="shared" ref="M76:M77" si="24">IF( D76="Seller",((F76-F75)-J76)*$T$7,"")</f>
        <v/>
      </c>
      <c r="N76" t="str">
        <f t="shared" si="23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88"/>
      <c r="G77" s="49">
        <f t="shared" si="16"/>
        <v>0.5</v>
      </c>
      <c r="H77" s="93">
        <f t="shared" si="17"/>
        <v>0.5</v>
      </c>
      <c r="I77" s="133">
        <f t="shared" si="13"/>
        <v>0.69314718055994529</v>
      </c>
      <c r="J77" s="183">
        <f t="shared" si="14"/>
        <v>0</v>
      </c>
      <c r="K77" s="7"/>
      <c r="L77" s="144">
        <f>$T$5*LN($T$7/$S$7)+E77</f>
        <v>3.1780538303479458</v>
      </c>
      <c r="M77" s="144" t="str">
        <f t="shared" si="24"/>
        <v/>
      </c>
      <c r="N77" t="str">
        <f t="shared" si="23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0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 t="shared" si="13"/>
        <v>0.69314718055994529</v>
      </c>
      <c r="J78" s="184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85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R74"/>
  <sheetViews>
    <sheetView topLeftCell="A28"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U22"/>
  <sheetViews>
    <sheetView zoomScale="70" zoomScaleNormal="70" workbookViewId="0">
      <selection activeCell="F57" sqref="F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233" t="s">
        <v>67</v>
      </c>
      <c r="G4" s="23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235" t="s">
        <v>68</v>
      </c>
      <c r="S22" s="236"/>
      <c r="T22" s="236"/>
      <c r="U22" s="237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HLMSR</vt:lpstr>
      <vt:lpstr>Simple Example</vt:lpstr>
      <vt:lpstr>Continuous</vt:lpstr>
      <vt:lpstr>Multidimensional Continuous</vt:lpstr>
      <vt:lpstr>Changing b mid contract</vt:lpstr>
      <vt:lpstr>Insurance Fraud Experiments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2013-11-06T14:19:02Z</dcterms:created>
  <dcterms:modified xsi:type="dcterms:W3CDTF">2014-04-24T20:33:16Z</dcterms:modified>
</cp:coreProperties>
</file>