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6.xml" ContentType="application/vnd.openxmlformats-officedocument.drawing+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drawings/drawing8.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drawings/drawing10.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1075" windowHeight="9975"/>
  </bookViews>
  <sheets>
    <sheet name="Simple Example" sheetId="10" r:id="rId1"/>
    <sheet name="LMSR" sheetId="6" r:id="rId2"/>
    <sheet name="Scaled Claims" sheetId="11" r:id="rId3"/>
    <sheet name="Conditional Scaled" sheetId="12" r:id="rId4"/>
    <sheet name="MV Scaled" sheetId="14" r:id="rId5"/>
    <sheet name="LongVariability" sheetId="17" r:id="rId6"/>
    <sheet name="CounterfactualRefund" sheetId="19" r:id="rId7"/>
    <sheet name="Conditional Charity" sheetId="15" r:id="rId8"/>
    <sheet name="Changing b mid contract" sheetId="8" r:id="rId9"/>
    <sheet name="Insurance Fraud Experiments" sheetId="9" r:id="rId10"/>
    <sheet name="Some Accounting" sheetId="7" r:id="rId11"/>
    <sheet name="DistCalculator" sheetId="18" r:id="rId12"/>
    <sheet name="2x2 Update Calculator" sheetId="5" r:id="rId13"/>
  </sheets>
  <definedNames>
    <definedName name="solver_adj" localSheetId="7" hidden="1">'Conditional Charity'!$D$72:$E$73</definedName>
    <definedName name="solver_adj" localSheetId="6" hidden="1">CounterfactualRefund!$I$27:$L$27</definedName>
    <definedName name="solver_adj" localSheetId="11" hidden="1">DistCalculator!$C$5:$C$8</definedName>
    <definedName name="solver_adj" localSheetId="1" hidden="1">LMSR!$D$72:$G$72</definedName>
    <definedName name="solver_adj" localSheetId="5" hidden="1">LongVariability!$M$37:$P$37</definedName>
    <definedName name="solver_cvg" localSheetId="7" hidden="1">0.0001</definedName>
    <definedName name="solver_cvg" localSheetId="6" hidden="1">0.0001</definedName>
    <definedName name="solver_cvg" localSheetId="11" hidden="1">0.0001</definedName>
    <definedName name="solver_cvg" localSheetId="1" hidden="1">0.0001</definedName>
    <definedName name="solver_cvg" localSheetId="5" hidden="1">0.0001</definedName>
    <definedName name="solver_drv" localSheetId="7" hidden="1">2</definedName>
    <definedName name="solver_drv" localSheetId="6" hidden="1">1</definedName>
    <definedName name="solver_drv" localSheetId="11" hidden="1">2</definedName>
    <definedName name="solver_drv" localSheetId="1" hidden="1">1</definedName>
    <definedName name="solver_drv" localSheetId="5" hidden="1">1</definedName>
    <definedName name="solver_eng" localSheetId="7" hidden="1">1</definedName>
    <definedName name="solver_eng" localSheetId="6" hidden="1">1</definedName>
    <definedName name="solver_eng" localSheetId="11" hidden="1">1</definedName>
    <definedName name="solver_eng" localSheetId="1" hidden="1">1</definedName>
    <definedName name="solver_eng" localSheetId="5" hidden="1">1</definedName>
    <definedName name="solver_est" localSheetId="7" hidden="1">1</definedName>
    <definedName name="solver_est" localSheetId="6" hidden="1">1</definedName>
    <definedName name="solver_est" localSheetId="11" hidden="1">1</definedName>
    <definedName name="solver_est" localSheetId="1" hidden="1">1</definedName>
    <definedName name="solver_est" localSheetId="5" hidden="1">1</definedName>
    <definedName name="solver_itr" localSheetId="7" hidden="1">2147483647</definedName>
    <definedName name="solver_itr" localSheetId="6" hidden="1">2147483647</definedName>
    <definedName name="solver_itr" localSheetId="11" hidden="1">2147483647</definedName>
    <definedName name="solver_itr" localSheetId="1" hidden="1">2147483647</definedName>
    <definedName name="solver_itr" localSheetId="5" hidden="1">2147483647</definedName>
    <definedName name="solver_lhs1" localSheetId="7" hidden="1">'Conditional Charity'!$D$72:$E$73</definedName>
    <definedName name="solver_lhs1" localSheetId="6" hidden="1">CounterfactualRefund!$F$27</definedName>
    <definedName name="solver_lhs1" localSheetId="11" hidden="1">DistCalculator!$G$5:$G$6</definedName>
    <definedName name="solver_lhs1" localSheetId="1" hidden="1">LMSR!$D$71:$G$71</definedName>
    <definedName name="solver_lhs1" localSheetId="5" hidden="1">LongVariability!$B$37</definedName>
    <definedName name="solver_lhs10" localSheetId="5" hidden="1">LongVariability!$M$43:$P$43</definedName>
    <definedName name="solver_lhs11" localSheetId="5" hidden="1">LongVariability!$M$44:$P$44</definedName>
    <definedName name="solver_lhs12" localSheetId="5" hidden="1">LongVariability!$N$37:$N$45</definedName>
    <definedName name="solver_lhs2" localSheetId="7" hidden="1">'Conditional Charity'!$K$67:$L$68</definedName>
    <definedName name="solver_lhs2" localSheetId="6" hidden="1">CounterfactualRefund!$I$26:$L$26</definedName>
    <definedName name="solver_lhs2" localSheetId="11" hidden="1">DistCalculator!$C$7</definedName>
    <definedName name="solver_lhs2" localSheetId="1" hidden="1">LMSR!$I$96</definedName>
    <definedName name="solver_lhs2" localSheetId="5" hidden="1">LongVariability!$M$37:$P$37</definedName>
    <definedName name="solver_lhs3" localSheetId="7" hidden="1">'Conditional Charity'!#REF!</definedName>
    <definedName name="solver_lhs3" localSheetId="6" hidden="1">CounterfactualRefund!$N$103</definedName>
    <definedName name="solver_lhs3" localSheetId="11" hidden="1">DistCalculator!$C$8</definedName>
    <definedName name="solver_lhs3" localSheetId="1" hidden="1">LMSR!$L$100</definedName>
    <definedName name="solver_lhs3" localSheetId="5" hidden="1">LongVariability!$O$37</definedName>
    <definedName name="solver_lhs4" localSheetId="6" hidden="1">CounterfactualRefund!$P$30</definedName>
    <definedName name="solver_lhs4" localSheetId="11" hidden="1">DistCalculator!$C$8</definedName>
    <definedName name="solver_lhs4" localSheetId="5" hidden="1">LongVariability!$M$37:$P$45</definedName>
    <definedName name="solver_lhs5" localSheetId="11" hidden="1">DistCalculator!$C$8</definedName>
    <definedName name="solver_lhs5" localSheetId="5" hidden="1">LongVariability!$M$38:$P$38</definedName>
    <definedName name="solver_lhs6" localSheetId="5" hidden="1">LongVariability!$M$39:$P$39</definedName>
    <definedName name="solver_lhs7" localSheetId="5" hidden="1">LongVariability!$M$40:$P$40</definedName>
    <definedName name="solver_lhs8" localSheetId="5" hidden="1">LongVariability!$M$41:$P$41</definedName>
    <definedName name="solver_lhs9" localSheetId="5" hidden="1">LongVariability!$M$42:$P$42</definedName>
    <definedName name="solver_lin" localSheetId="6" hidden="1">2</definedName>
    <definedName name="solver_mip" localSheetId="7" hidden="1">2147483647</definedName>
    <definedName name="solver_mip" localSheetId="6" hidden="1">2147483647</definedName>
    <definedName name="solver_mip" localSheetId="11" hidden="1">2147483647</definedName>
    <definedName name="solver_mip" localSheetId="1" hidden="1">2147483647</definedName>
    <definedName name="solver_mip" localSheetId="5" hidden="1">2147483647</definedName>
    <definedName name="solver_mni" localSheetId="7" hidden="1">30</definedName>
    <definedName name="solver_mni" localSheetId="6" hidden="1">30</definedName>
    <definedName name="solver_mni" localSheetId="11" hidden="1">30</definedName>
    <definedName name="solver_mni" localSheetId="1" hidden="1">30</definedName>
    <definedName name="solver_mni" localSheetId="5" hidden="1">30</definedName>
    <definedName name="solver_mrt" localSheetId="7" hidden="1">0.075</definedName>
    <definedName name="solver_mrt" localSheetId="6" hidden="1">0.075</definedName>
    <definedName name="solver_mrt" localSheetId="11" hidden="1">0.075</definedName>
    <definedName name="solver_mrt" localSheetId="1" hidden="1">0.075</definedName>
    <definedName name="solver_mrt" localSheetId="5" hidden="1">0.075</definedName>
    <definedName name="solver_msl" localSheetId="7" hidden="1">2</definedName>
    <definedName name="solver_msl" localSheetId="6" hidden="1">2</definedName>
    <definedName name="solver_msl" localSheetId="11" hidden="1">2</definedName>
    <definedName name="solver_msl" localSheetId="1" hidden="1">2</definedName>
    <definedName name="solver_msl" localSheetId="5" hidden="1">2</definedName>
    <definedName name="solver_neg" localSheetId="7" hidden="1">1</definedName>
    <definedName name="solver_neg" localSheetId="6" hidden="1">2</definedName>
    <definedName name="solver_neg" localSheetId="11" hidden="1">2</definedName>
    <definedName name="solver_neg" localSheetId="1" hidden="1">1</definedName>
    <definedName name="solver_neg" localSheetId="5" hidden="1">1</definedName>
    <definedName name="solver_nod" localSheetId="7" hidden="1">2147483647</definedName>
    <definedName name="solver_nod" localSheetId="6" hidden="1">2147483647</definedName>
    <definedName name="solver_nod" localSheetId="11" hidden="1">2147483647</definedName>
    <definedName name="solver_nod" localSheetId="1" hidden="1">2147483647</definedName>
    <definedName name="solver_nod" localSheetId="5" hidden="1">2147483647</definedName>
    <definedName name="solver_num" localSheetId="7" hidden="1">2</definedName>
    <definedName name="solver_num" localSheetId="6" hidden="1">2</definedName>
    <definedName name="solver_num" localSheetId="11" hidden="1">1</definedName>
    <definedName name="solver_num" localSheetId="1" hidden="1">3</definedName>
    <definedName name="solver_num" localSheetId="5" hidden="1">3</definedName>
    <definedName name="solver_nwt" localSheetId="7" hidden="1">1</definedName>
    <definedName name="solver_nwt" localSheetId="6" hidden="1">1</definedName>
    <definedName name="solver_nwt" localSheetId="11" hidden="1">1</definedName>
    <definedName name="solver_nwt" localSheetId="1" hidden="1">1</definedName>
    <definedName name="solver_nwt" localSheetId="5" hidden="1">1</definedName>
    <definedName name="solver_opt" localSheetId="7" hidden="1">'Conditional Charity'!$K$79</definedName>
    <definedName name="solver_opt" localSheetId="6" hidden="1">CounterfactualRefund!$V$27</definedName>
    <definedName name="solver_opt" localSheetId="11" hidden="1">DistCalculator!$K$5</definedName>
    <definedName name="solver_opt" localSheetId="1" hidden="1">LMSR!$M$72</definedName>
    <definedName name="solver_opt" localSheetId="5" hidden="1">LongVariability!$K$37</definedName>
    <definedName name="solver_pre" localSheetId="7" hidden="1">0.000001</definedName>
    <definedName name="solver_pre" localSheetId="6" hidden="1">0.000001</definedName>
    <definedName name="solver_pre" localSheetId="11" hidden="1">0.000001</definedName>
    <definedName name="solver_pre" localSheetId="1" hidden="1">0.000001</definedName>
    <definedName name="solver_pre" localSheetId="5" hidden="1">0.000001</definedName>
    <definedName name="solver_rbv" localSheetId="7" hidden="1">2</definedName>
    <definedName name="solver_rbv" localSheetId="6" hidden="1">1</definedName>
    <definedName name="solver_rbv" localSheetId="11" hidden="1">2</definedName>
    <definedName name="solver_rbv" localSheetId="1" hidden="1">1</definedName>
    <definedName name="solver_rbv" localSheetId="5" hidden="1">1</definedName>
    <definedName name="solver_rel1" localSheetId="7" hidden="1">3</definedName>
    <definedName name="solver_rel1" localSheetId="6" hidden="1">2</definedName>
    <definedName name="solver_rel1" localSheetId="11" hidden="1">2</definedName>
    <definedName name="solver_rel1" localSheetId="1" hidden="1">1</definedName>
    <definedName name="solver_rel1" localSheetId="5" hidden="1">2</definedName>
    <definedName name="solver_rel10" localSheetId="5" hidden="1">1</definedName>
    <definedName name="solver_rel11" localSheetId="5" hidden="1">1</definedName>
    <definedName name="solver_rel12" localSheetId="5" hidden="1">3</definedName>
    <definedName name="solver_rel2" localSheetId="7" hidden="1">2</definedName>
    <definedName name="solver_rel2" localSheetId="6" hidden="1">1</definedName>
    <definedName name="solver_rel2" localSheetId="11" hidden="1">3</definedName>
    <definedName name="solver_rel2" localSheetId="1" hidden="1">2</definedName>
    <definedName name="solver_rel2" localSheetId="5" hidden="1">3</definedName>
    <definedName name="solver_rel3" localSheetId="7" hidden="1">2</definedName>
    <definedName name="solver_rel3" localSheetId="6" hidden="1">2</definedName>
    <definedName name="solver_rel3" localSheetId="11" hidden="1">3</definedName>
    <definedName name="solver_rel3" localSheetId="1" hidden="1">2</definedName>
    <definedName name="solver_rel3" localSheetId="5" hidden="1">1</definedName>
    <definedName name="solver_rel4" localSheetId="6" hidden="1">2</definedName>
    <definedName name="solver_rel4" localSheetId="11" hidden="1">3</definedName>
    <definedName name="solver_rel4" localSheetId="5" hidden="1">1</definedName>
    <definedName name="solver_rel5" localSheetId="11" hidden="1">3</definedName>
    <definedName name="solver_rel5" localSheetId="5" hidden="1">1</definedName>
    <definedName name="solver_rel6" localSheetId="5" hidden="1">1</definedName>
    <definedName name="solver_rel7" localSheetId="5" hidden="1">1</definedName>
    <definedName name="solver_rel8" localSheetId="5" hidden="1">1</definedName>
    <definedName name="solver_rel9" localSheetId="5" hidden="1">1</definedName>
    <definedName name="solver_rhs1" localSheetId="7" hidden="1">'Conditional Charity'!$D$62:$E$63</definedName>
    <definedName name="solver_rhs1" localSheetId="6" hidden="1">0</definedName>
    <definedName name="solver_rhs1" localSheetId="11" hidden="1">DistCalculator!$I$5:$I$6</definedName>
    <definedName name="solver_rhs1" localSheetId="1" hidden="1">LMSR!$D$72:$G$72</definedName>
    <definedName name="solver_rhs1" localSheetId="5" hidden="1">LongVariability!$G$37</definedName>
    <definedName name="solver_rhs10" localSheetId="5" hidden="1">LongVariability!$M$44:$P$44</definedName>
    <definedName name="solver_rhs11" localSheetId="5" hidden="1">LongVariability!$M$45:$P$45</definedName>
    <definedName name="solver_rhs12" localSheetId="5" hidden="1">LongVariability!$O$37:$O$45</definedName>
    <definedName name="solver_rhs2" localSheetId="7" hidden="1">'Conditional Charity'!$K$72:$L$73</definedName>
    <definedName name="solver_rhs2" localSheetId="6" hidden="1">CounterfactualRefund!$I$27:$L$27</definedName>
    <definedName name="solver_rhs2" localSheetId="11" hidden="1">DistCalculator!$C$6</definedName>
    <definedName name="solver_rhs2" localSheetId="1" hidden="1">LMSR!$I$102</definedName>
    <definedName name="solver_rhs2" localSheetId="5" hidden="1">LongVariability!$M$36:$P$36</definedName>
    <definedName name="solver_rhs3" localSheetId="7" hidden="1">0</definedName>
    <definedName name="solver_rhs3" localSheetId="6" hidden="1">CounterfactualRefund!$N$111</definedName>
    <definedName name="solver_rhs3" localSheetId="11" hidden="1">DistCalculator!$C$7</definedName>
    <definedName name="solver_rhs3" localSheetId="1" hidden="1">LMSR!$L$108</definedName>
    <definedName name="solver_rhs3" localSheetId="5" hidden="1">LongVariability!$N$37</definedName>
    <definedName name="solver_rhs4" localSheetId="6" hidden="1">CounterfactualRefund!$E$30</definedName>
    <definedName name="solver_rhs4" localSheetId="11" hidden="1">DistCalculator!$C$7</definedName>
    <definedName name="solver_rhs4" localSheetId="5" hidden="1">60</definedName>
    <definedName name="solver_rhs5" localSheetId="11" hidden="1">DistCalculator!$C$7</definedName>
    <definedName name="solver_rhs5" localSheetId="5" hidden="1">LongVariability!$M$39:$P$39</definedName>
    <definedName name="solver_rhs6" localSheetId="5" hidden="1">LongVariability!$M$40:$P$40</definedName>
    <definedName name="solver_rhs7" localSheetId="5" hidden="1">LongVariability!$M$41:$P$41</definedName>
    <definedName name="solver_rhs8" localSheetId="5" hidden="1">LongVariability!$M$42:$P$42</definedName>
    <definedName name="solver_rhs9" localSheetId="5" hidden="1">LongVariability!$M$43:$P$43</definedName>
    <definedName name="solver_rlx" localSheetId="7" hidden="1">2</definedName>
    <definedName name="solver_rlx" localSheetId="6" hidden="1">2</definedName>
    <definedName name="solver_rlx" localSheetId="11" hidden="1">2</definedName>
    <definedName name="solver_rlx" localSheetId="1" hidden="1">2</definedName>
    <definedName name="solver_rlx" localSheetId="5" hidden="1">2</definedName>
    <definedName name="solver_rsd" localSheetId="7" hidden="1">0</definedName>
    <definedName name="solver_rsd" localSheetId="6" hidden="1">0</definedName>
    <definedName name="solver_rsd" localSheetId="11" hidden="1">0</definedName>
    <definedName name="solver_rsd" localSheetId="1" hidden="1">0</definedName>
    <definedName name="solver_rsd" localSheetId="5" hidden="1">0</definedName>
    <definedName name="solver_scl" localSheetId="7" hidden="1">2</definedName>
    <definedName name="solver_scl" localSheetId="6" hidden="1">1</definedName>
    <definedName name="solver_scl" localSheetId="11" hidden="1">2</definedName>
    <definedName name="solver_scl" localSheetId="1" hidden="1">1</definedName>
    <definedName name="solver_scl" localSheetId="5" hidden="1">1</definedName>
    <definedName name="solver_sho" localSheetId="7" hidden="1">2</definedName>
    <definedName name="solver_sho" localSheetId="6" hidden="1">2</definedName>
    <definedName name="solver_sho" localSheetId="11" hidden="1">2</definedName>
    <definedName name="solver_sho" localSheetId="1" hidden="1">2</definedName>
    <definedName name="solver_sho" localSheetId="5" hidden="1">2</definedName>
    <definedName name="solver_ssz" localSheetId="7" hidden="1">100</definedName>
    <definedName name="solver_ssz" localSheetId="6" hidden="1">100</definedName>
    <definedName name="solver_ssz" localSheetId="11" hidden="1">100</definedName>
    <definedName name="solver_ssz" localSheetId="1" hidden="1">100</definedName>
    <definedName name="solver_ssz" localSheetId="5" hidden="1">100</definedName>
    <definedName name="solver_tim" localSheetId="7" hidden="1">2147483647</definedName>
    <definedName name="solver_tim" localSheetId="6" hidden="1">2147483647</definedName>
    <definedName name="solver_tim" localSheetId="11" hidden="1">2147483647</definedName>
    <definedName name="solver_tim" localSheetId="1" hidden="1">2147483647</definedName>
    <definedName name="solver_tim" localSheetId="5" hidden="1">2147483647</definedName>
    <definedName name="solver_tol" localSheetId="7" hidden="1">0.01</definedName>
    <definedName name="solver_tol" localSheetId="6" hidden="1">0.01</definedName>
    <definedName name="solver_tol" localSheetId="11" hidden="1">0.01</definedName>
    <definedName name="solver_tol" localSheetId="1" hidden="1">0.01</definedName>
    <definedName name="solver_tol" localSheetId="5" hidden="1">0.01</definedName>
    <definedName name="solver_typ" localSheetId="7" hidden="1">2</definedName>
    <definedName name="solver_typ" localSheetId="6" hidden="1">2</definedName>
    <definedName name="solver_typ" localSheetId="11" hidden="1">2</definedName>
    <definedName name="solver_typ" localSheetId="1" hidden="1">2</definedName>
    <definedName name="solver_typ" localSheetId="5" hidden="1">2</definedName>
    <definedName name="solver_val" localSheetId="7" hidden="1">0</definedName>
    <definedName name="solver_val" localSheetId="6" hidden="1">0</definedName>
    <definedName name="solver_val" localSheetId="11" hidden="1">0</definedName>
    <definedName name="solver_val" localSheetId="1" hidden="1">0</definedName>
    <definedName name="solver_val" localSheetId="5" hidden="1">0</definedName>
    <definedName name="solver_ver" localSheetId="7" hidden="1">3</definedName>
    <definedName name="solver_ver" localSheetId="6" hidden="1">3</definedName>
    <definedName name="solver_ver" localSheetId="11" hidden="1">3</definedName>
    <definedName name="solver_ver" localSheetId="1" hidden="1">3</definedName>
    <definedName name="solver_ver" localSheetId="5" hidden="1">3</definedName>
  </definedNames>
  <calcPr calcId="144525"/>
</workbook>
</file>

<file path=xl/calcChain.xml><?xml version="1.0" encoding="utf-8"?>
<calcChain xmlns="http://schemas.openxmlformats.org/spreadsheetml/2006/main">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V33" i="19" s="1"/>
  <c r="P33" i="19"/>
  <c r="O33" i="19"/>
  <c r="N33" i="19"/>
  <c r="R33" i="19" s="1"/>
  <c r="M33" i="19"/>
  <c r="Q33" i="19" s="1"/>
  <c r="A33" i="19"/>
  <c r="U32" i="19"/>
  <c r="P32" i="19"/>
  <c r="O32" i="19"/>
  <c r="N32" i="19"/>
  <c r="M32" i="19"/>
  <c r="A32" i="19"/>
  <c r="U31" i="19"/>
  <c r="P31" i="19"/>
  <c r="O31" i="19"/>
  <c r="N31" i="19"/>
  <c r="S31" i="19" s="1"/>
  <c r="M31" i="19"/>
  <c r="Q31" i="19" s="1"/>
  <c r="A31" i="19"/>
  <c r="U30" i="19"/>
  <c r="P30" i="19"/>
  <c r="O30" i="19"/>
  <c r="N30" i="19"/>
  <c r="J130" i="19" s="1"/>
  <c r="J131" i="19" s="1"/>
  <c r="M30" i="19"/>
  <c r="I130" i="19" s="1"/>
  <c r="F30" i="19"/>
  <c r="D30" i="19"/>
  <c r="C30" i="19"/>
  <c r="B30" i="19"/>
  <c r="A30" i="19"/>
  <c r="U29" i="19"/>
  <c r="P29" i="19"/>
  <c r="O29" i="19"/>
  <c r="N29" i="19"/>
  <c r="S29" i="19" s="1"/>
  <c r="M29" i="19"/>
  <c r="I157" i="19" s="1"/>
  <c r="A29" i="19"/>
  <c r="U28" i="19"/>
  <c r="P28" i="19"/>
  <c r="O28" i="19"/>
  <c r="N28" i="19"/>
  <c r="M28" i="19"/>
  <c r="A28" i="19"/>
  <c r="U27" i="19"/>
  <c r="V27" i="19" s="1"/>
  <c r="L70" i="19" s="1"/>
  <c r="P27" i="19"/>
  <c r="L76" i="19" s="1"/>
  <c r="O27" i="19"/>
  <c r="J56" i="19" s="1"/>
  <c r="N27" i="19"/>
  <c r="K55" i="19" s="1"/>
  <c r="M27" i="19"/>
  <c r="J55" i="19" s="1"/>
  <c r="A27" i="19"/>
  <c r="U26" i="19"/>
  <c r="P26" i="19"/>
  <c r="L75" i="19" s="1"/>
  <c r="O26" i="19"/>
  <c r="J48" i="19" s="1"/>
  <c r="N26" i="19"/>
  <c r="M26" i="19"/>
  <c r="J47" i="19" s="1"/>
  <c r="A26" i="19"/>
  <c r="U25" i="19"/>
  <c r="P25" i="19"/>
  <c r="O25" i="19"/>
  <c r="N25" i="19"/>
  <c r="S25" i="19" s="1"/>
  <c r="M25" i="19"/>
  <c r="Q25" i="19" s="1"/>
  <c r="A25" i="19"/>
  <c r="U24" i="19"/>
  <c r="P24" i="19"/>
  <c r="O24" i="19"/>
  <c r="N24" i="19"/>
  <c r="S24" i="19" s="1"/>
  <c r="M24" i="19"/>
  <c r="U23" i="19"/>
  <c r="V23" i="19" s="1"/>
  <c r="P23" i="19"/>
  <c r="O23" i="19"/>
  <c r="N23" i="19"/>
  <c r="M23" i="19"/>
  <c r="Q23" i="19" s="1"/>
  <c r="I13" i="19"/>
  <c r="I124" i="19" l="1"/>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I76" i="19"/>
  <c r="V28" i="19"/>
  <c r="I15" i="19"/>
  <c r="S23" i="19"/>
  <c r="T24" i="19"/>
  <c r="S28" i="19"/>
  <c r="K103" i="19"/>
  <c r="K105" i="19" s="1"/>
  <c r="J157" i="19"/>
  <c r="J163" i="19" s="1"/>
  <c r="V29" i="19"/>
  <c r="K164" i="19"/>
  <c r="V31" i="19"/>
  <c r="T32" i="19"/>
  <c r="S33" i="19"/>
  <c r="T34" i="19"/>
  <c r="V35" i="19"/>
  <c r="N55" i="19"/>
  <c r="K57" i="19"/>
  <c r="J51" i="19"/>
  <c r="L48" i="19"/>
  <c r="J57" i="19"/>
  <c r="L57" i="19"/>
  <c r="L55" i="19"/>
  <c r="K59" i="19"/>
  <c r="J49" i="19"/>
  <c r="J59" i="19"/>
  <c r="L56" i="19"/>
  <c r="T30" i="19"/>
  <c r="R32" i="19"/>
  <c r="V32" i="19"/>
  <c r="K47" i="19"/>
  <c r="K51" i="19" s="1"/>
  <c r="S26" i="19"/>
  <c r="S27" i="19"/>
  <c r="F29" i="19"/>
  <c r="T29" i="19"/>
  <c r="Q30" i="19"/>
  <c r="R31" i="19"/>
  <c r="R34" i="19"/>
  <c r="U37" i="19"/>
  <c r="J70" i="19"/>
  <c r="J71" i="19"/>
  <c r="J75" i="19"/>
  <c r="J76" i="19"/>
  <c r="R25" i="19"/>
  <c r="R26" i="19"/>
  <c r="Q52" i="19"/>
  <c r="I70" i="19"/>
  <c r="F27" i="19"/>
  <c r="Q53" i="19" s="1"/>
  <c r="Q29" i="19"/>
  <c r="R30" i="19"/>
  <c r="N48" i="19"/>
  <c r="N56" i="19"/>
  <c r="K70" i="19"/>
  <c r="K71" i="19"/>
  <c r="K75" i="19"/>
  <c r="K81" i="19" s="1"/>
  <c r="K76" i="19"/>
  <c r="K82" i="19" s="1"/>
  <c r="J103" i="19"/>
  <c r="J112" i="19"/>
  <c r="L112" i="19" s="1"/>
  <c r="V25" i="19"/>
  <c r="R27" i="19"/>
  <c r="I71" i="19"/>
  <c r="R24" i="19"/>
  <c r="T26" i="19"/>
  <c r="T27" i="19"/>
  <c r="Q26" i="19"/>
  <c r="Q27" i="19"/>
  <c r="R29" i="19"/>
  <c r="S30" i="19"/>
  <c r="L69" i="19"/>
  <c r="R108" i="19"/>
  <c r="K112" i="19"/>
  <c r="J81" i="19" l="1"/>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N104" i="19"/>
  <c r="I81" i="19"/>
  <c r="L49" i="19"/>
  <c r="L113" i="19"/>
  <c r="I163" i="19"/>
  <c r="I164" i="19"/>
  <c r="K163" i="19"/>
  <c r="L155" i="19"/>
  <c r="J155" i="19"/>
  <c r="J154" i="19"/>
  <c r="K155" i="19"/>
  <c r="I155" i="19"/>
  <c r="I154" i="19"/>
  <c r="L82" i="19"/>
  <c r="J105" i="19"/>
  <c r="L105" i="19"/>
  <c r="L103" i="19"/>
  <c r="N47" i="19"/>
  <c r="K49" i="19"/>
  <c r="J113" i="19"/>
  <c r="L73" i="19"/>
  <c r="L72" i="19"/>
  <c r="J73" i="19"/>
  <c r="J72" i="19"/>
  <c r="I82" i="19"/>
  <c r="N103" i="19"/>
  <c r="Q108" i="19" s="1"/>
  <c r="K73" i="19"/>
  <c r="K72" i="19"/>
  <c r="I73" i="19"/>
  <c r="I72" i="19"/>
  <c r="L136" i="19" l="1"/>
  <c r="J140" i="19"/>
  <c r="Q134" i="19"/>
  <c r="I132" i="19"/>
  <c r="J138" i="19" s="1"/>
  <c r="L168" i="19"/>
  <c r="L167" i="19"/>
  <c r="I168" i="19"/>
  <c r="K172" i="19"/>
  <c r="I167" i="19"/>
  <c r="K171" i="19"/>
  <c r="I85" i="19"/>
  <c r="I86" i="19"/>
  <c r="K90" i="19"/>
  <c r="K89" i="19"/>
  <c r="L86" i="19"/>
  <c r="L85" i="19"/>
  <c r="B27" i="18" l="1"/>
  <c r="B28" i="18" s="1"/>
  <c r="B29" i="18" s="1"/>
  <c r="D13" i="18"/>
  <c r="G8" i="18"/>
  <c r="D8" i="18"/>
  <c r="D7" i="18"/>
  <c r="G6" i="18"/>
  <c r="F13" i="18" s="1"/>
  <c r="D6" i="18"/>
  <c r="G5" i="18"/>
  <c r="D5" i="18"/>
  <c r="M85" i="17"/>
  <c r="M84" i="17"/>
  <c r="M83" i="17"/>
  <c r="M82" i="17"/>
  <c r="M81" i="17"/>
  <c r="S77" i="17"/>
  <c r="S73" i="17"/>
  <c r="V70" i="17"/>
  <c r="U70" i="17"/>
  <c r="T70" i="17"/>
  <c r="S76" i="17" s="1"/>
  <c r="S70" i="17"/>
  <c r="Q70" i="17"/>
  <c r="P70" i="17"/>
  <c r="O70" i="17"/>
  <c r="N70" i="17"/>
  <c r="L70" i="17"/>
  <c r="K70" i="17"/>
  <c r="J70" i="17"/>
  <c r="I70" i="17"/>
  <c r="F70" i="17"/>
  <c r="E70" i="17"/>
  <c r="D70" i="17"/>
  <c r="C70" i="17"/>
  <c r="M66" i="17"/>
  <c r="M62" i="17"/>
  <c r="M58" i="17"/>
  <c r="M54" i="17"/>
  <c r="M50" i="17"/>
  <c r="P46" i="17"/>
  <c r="O46" i="17"/>
  <c r="N46" i="17"/>
  <c r="M46" i="17"/>
  <c r="W45" i="17"/>
  <c r="T45" i="17"/>
  <c r="S45" i="17"/>
  <c r="V45" i="17" s="1"/>
  <c r="R45" i="17"/>
  <c r="X45" i="17" s="1"/>
  <c r="Q45" i="17"/>
  <c r="U45" i="17" s="1"/>
  <c r="T44" i="17"/>
  <c r="S44" i="17"/>
  <c r="W44" i="17" s="1"/>
  <c r="R44" i="17"/>
  <c r="X44" i="17" s="1"/>
  <c r="Q44" i="17"/>
  <c r="U44" i="17" s="1"/>
  <c r="Y44" i="17" s="1"/>
  <c r="AC44" i="17" s="1"/>
  <c r="T43" i="17"/>
  <c r="S43" i="17"/>
  <c r="R43" i="17"/>
  <c r="X43" i="17" s="1"/>
  <c r="Q43" i="17"/>
  <c r="U43" i="17" s="1"/>
  <c r="T42" i="17"/>
  <c r="S42" i="17"/>
  <c r="W42" i="17" s="1"/>
  <c r="R42" i="17"/>
  <c r="X42" i="17" s="1"/>
  <c r="Q42" i="17"/>
  <c r="S75" i="17" s="1"/>
  <c r="T41" i="17"/>
  <c r="S41" i="17"/>
  <c r="V41" i="17" s="1"/>
  <c r="R41" i="17"/>
  <c r="X41" i="17" s="1"/>
  <c r="Q41" i="17"/>
  <c r="U41" i="17" s="1"/>
  <c r="T40" i="17"/>
  <c r="S40" i="17"/>
  <c r="R40" i="17"/>
  <c r="X40" i="17" s="1"/>
  <c r="Q40" i="17"/>
  <c r="U40" i="17" s="1"/>
  <c r="Y40" i="17" s="1"/>
  <c r="W39" i="17"/>
  <c r="T39" i="17"/>
  <c r="S39" i="17"/>
  <c r="V39" i="17" s="1"/>
  <c r="R39" i="17"/>
  <c r="X39" i="17" s="1"/>
  <c r="Q39" i="17"/>
  <c r="U39" i="17" s="1"/>
  <c r="B39" i="17"/>
  <c r="T38" i="17"/>
  <c r="S38" i="17"/>
  <c r="R38" i="17"/>
  <c r="X38" i="17" s="1"/>
  <c r="Q38" i="17"/>
  <c r="I73" i="17" s="1"/>
  <c r="V37" i="17"/>
  <c r="Z37" i="17" s="1"/>
  <c r="T37" i="17"/>
  <c r="AO37" i="17" s="1"/>
  <c r="S37" i="17"/>
  <c r="W37" i="17" s="1"/>
  <c r="R37" i="17"/>
  <c r="X37" i="17" s="1"/>
  <c r="Q37" i="17"/>
  <c r="AN37" i="17" s="1"/>
  <c r="B37" i="17"/>
  <c r="T36" i="17"/>
  <c r="S36" i="17"/>
  <c r="W36" i="17" s="1"/>
  <c r="R36" i="17"/>
  <c r="Q36" i="17"/>
  <c r="T35" i="17"/>
  <c r="AO35" i="17" s="1"/>
  <c r="S35" i="17"/>
  <c r="W35" i="17" s="1"/>
  <c r="R35" i="17"/>
  <c r="X35" i="17" s="1"/>
  <c r="Q35" i="17"/>
  <c r="T34" i="17"/>
  <c r="S34" i="17"/>
  <c r="W34" i="17" s="1"/>
  <c r="R34" i="17"/>
  <c r="X34" i="17" s="1"/>
  <c r="Q34" i="17"/>
  <c r="AN34" i="17" s="1"/>
  <c r="T33" i="17"/>
  <c r="V33" i="17" s="1"/>
  <c r="Z33" i="17" s="1"/>
  <c r="S33" i="17"/>
  <c r="W33" i="17" s="1"/>
  <c r="R33" i="17"/>
  <c r="Q33" i="17"/>
  <c r="U33" i="17" s="1"/>
  <c r="T32" i="17"/>
  <c r="S32" i="17"/>
  <c r="R32" i="17"/>
  <c r="X32" i="17" s="1"/>
  <c r="Q32" i="17"/>
  <c r="AN32" i="17" s="1"/>
  <c r="V31" i="17"/>
  <c r="Z31" i="17" s="1"/>
  <c r="T31" i="17"/>
  <c r="AO31" i="17" s="1"/>
  <c r="AS31" i="17" s="1"/>
  <c r="S31" i="17"/>
  <c r="W31" i="17" s="1"/>
  <c r="R31" i="17"/>
  <c r="X31" i="17" s="1"/>
  <c r="Q31" i="17"/>
  <c r="AN31" i="17" s="1"/>
  <c r="AR31" i="17" s="1"/>
  <c r="AT31" i="17" s="1"/>
  <c r="T30" i="17"/>
  <c r="S30" i="17"/>
  <c r="W30" i="17" s="1"/>
  <c r="R30" i="17"/>
  <c r="X30" i="17" s="1"/>
  <c r="Q30" i="17"/>
  <c r="U30" i="17" s="1"/>
  <c r="Y30" i="17" s="1"/>
  <c r="V29" i="17"/>
  <c r="Z29" i="17" s="1"/>
  <c r="AD29" i="17" s="1"/>
  <c r="U29" i="17"/>
  <c r="Y29" i="17" s="1"/>
  <c r="AC29" i="17" s="1"/>
  <c r="P29" i="17"/>
  <c r="T29" i="17" s="1"/>
  <c r="M29" i="17"/>
  <c r="Q29" i="17" s="1"/>
  <c r="D29" i="17"/>
  <c r="N15" i="17"/>
  <c r="N29" i="17" s="1"/>
  <c r="R29" i="17" s="1"/>
  <c r="AH29" i="17" s="1"/>
  <c r="N14" i="17"/>
  <c r="N8" i="17"/>
  <c r="N57" i="17" s="1"/>
  <c r="E18" i="18" l="1"/>
  <c r="B30" i="18"/>
  <c r="B31" i="18" s="1"/>
  <c r="B32" i="18" s="1"/>
  <c r="B33" i="18" s="1"/>
  <c r="C29" i="18"/>
  <c r="D14" i="18"/>
  <c r="F19" i="18"/>
  <c r="C27" i="18"/>
  <c r="F14" i="18"/>
  <c r="C28" i="18"/>
  <c r="G7" i="18"/>
  <c r="E19" i="18"/>
  <c r="O57" i="17"/>
  <c r="AN29" i="17"/>
  <c r="AG29" i="17"/>
  <c r="AA31" i="17"/>
  <c r="AE31" i="17" s="1"/>
  <c r="AD37" i="17"/>
  <c r="G37" i="17" s="1"/>
  <c r="AC30" i="17"/>
  <c r="AD31" i="17"/>
  <c r="G31" i="17" s="1"/>
  <c r="B31" i="17" s="1"/>
  <c r="AO29" i="17"/>
  <c r="AJ29" i="17"/>
  <c r="AC40" i="17"/>
  <c r="U32" i="17"/>
  <c r="Y32" i="17" s="1"/>
  <c r="N54" i="17"/>
  <c r="O29" i="17"/>
  <c r="S29" i="17" s="1"/>
  <c r="AI29" i="17" s="1"/>
  <c r="W29" i="17"/>
  <c r="AA29" i="17" s="1"/>
  <c r="AE29" i="17" s="1"/>
  <c r="U31" i="17"/>
  <c r="Y31" i="17" s="1"/>
  <c r="AO32" i="17"/>
  <c r="AA33" i="17"/>
  <c r="AE33" i="17" s="1"/>
  <c r="AB35" i="17"/>
  <c r="AF35" i="17" s="1"/>
  <c r="U38" i="17"/>
  <c r="Y38" i="17" s="1"/>
  <c r="X29" i="17"/>
  <c r="AB29" i="17" s="1"/>
  <c r="AF29" i="17" s="1"/>
  <c r="AD33" i="17"/>
  <c r="G33" i="17" s="1"/>
  <c r="B33" i="17" s="1"/>
  <c r="AA36" i="17"/>
  <c r="AE36" i="17" s="1"/>
  <c r="N16" i="17"/>
  <c r="V30" i="17"/>
  <c r="Z30" i="17" s="1"/>
  <c r="Y33" i="17"/>
  <c r="X33" i="17"/>
  <c r="AB33" i="17" s="1"/>
  <c r="AF33" i="17" s="1"/>
  <c r="AO33" i="17"/>
  <c r="AS33" i="17" s="1"/>
  <c r="U34" i="17"/>
  <c r="Y34" i="17" s="1"/>
  <c r="AO36" i="17"/>
  <c r="V43" i="17"/>
  <c r="Z43" i="17" s="1"/>
  <c r="W43" i="17"/>
  <c r="AA43" i="17" s="1"/>
  <c r="AE43" i="17" s="1"/>
  <c r="AO34" i="17"/>
  <c r="N53" i="17"/>
  <c r="N65" i="17"/>
  <c r="N61" i="17"/>
  <c r="N49" i="17"/>
  <c r="W32" i="17"/>
  <c r="AA32" i="17" s="1"/>
  <c r="AE32" i="17" s="1"/>
  <c r="V32" i="17"/>
  <c r="Z32" i="17" s="1"/>
  <c r="AB34" i="17"/>
  <c r="AF34" i="17" s="1"/>
  <c r="AN35" i="17"/>
  <c r="U35" i="17"/>
  <c r="Y35" i="17" s="1"/>
  <c r="C73" i="17"/>
  <c r="AN36" i="17"/>
  <c r="U36" i="17"/>
  <c r="AA37" i="17"/>
  <c r="AE37" i="17" s="1"/>
  <c r="Y39" i="17"/>
  <c r="AA39" i="17"/>
  <c r="AE39" i="17" s="1"/>
  <c r="AA44" i="17"/>
  <c r="AE44" i="17" s="1"/>
  <c r="AB45" i="17"/>
  <c r="AF45" i="17" s="1"/>
  <c r="AN33" i="17"/>
  <c r="AR33" i="17" s="1"/>
  <c r="AT33" i="17" s="1"/>
  <c r="X36" i="17"/>
  <c r="AB36" i="17" s="1"/>
  <c r="AF36" i="17" s="1"/>
  <c r="U37" i="17"/>
  <c r="Z41" i="17"/>
  <c r="AA42" i="17"/>
  <c r="AE42" i="17" s="1"/>
  <c r="AB43" i="17"/>
  <c r="AF43" i="17" s="1"/>
  <c r="AB44" i="17"/>
  <c r="AF44" i="17" s="1"/>
  <c r="X51" i="17"/>
  <c r="Y45" i="17"/>
  <c r="AN45" i="17"/>
  <c r="S74" i="17"/>
  <c r="V34" i="17"/>
  <c r="Z34" i="17" s="1"/>
  <c r="V35" i="17"/>
  <c r="Z35" i="17" s="1"/>
  <c r="V36" i="17"/>
  <c r="Z36" i="17" s="1"/>
  <c r="AB38" i="17"/>
  <c r="AF38" i="17" s="1"/>
  <c r="AB39" i="17"/>
  <c r="AF39" i="17" s="1"/>
  <c r="AB40" i="17"/>
  <c r="AF40" i="17" s="1"/>
  <c r="Y41" i="17"/>
  <c r="W41" i="17"/>
  <c r="AA41" i="17" s="1"/>
  <c r="AE41" i="17" s="1"/>
  <c r="U42" i="17"/>
  <c r="Y42" i="17" s="1"/>
  <c r="Z45" i="17"/>
  <c r="N50" i="17"/>
  <c r="N66" i="17"/>
  <c r="W38" i="17"/>
  <c r="AA38" i="17" s="1"/>
  <c r="AE38" i="17" s="1"/>
  <c r="Z39" i="17"/>
  <c r="W40" i="17"/>
  <c r="AA40" i="17" s="1"/>
  <c r="AE40" i="17" s="1"/>
  <c r="AB41" i="17"/>
  <c r="AF41" i="17" s="1"/>
  <c r="AB42" i="17"/>
  <c r="AF42" i="17" s="1"/>
  <c r="Y43" i="17"/>
  <c r="AO45" i="17"/>
  <c r="N58" i="17"/>
  <c r="C77" i="17"/>
  <c r="V38" i="17"/>
  <c r="Z38" i="17" s="1"/>
  <c r="V40" i="17"/>
  <c r="Z40" i="17" s="1"/>
  <c r="V42" i="17"/>
  <c r="Z42" i="17" s="1"/>
  <c r="V44" i="17"/>
  <c r="Z44" i="17" s="1"/>
  <c r="N73" i="17"/>
  <c r="N74" i="17"/>
  <c r="N75" i="17"/>
  <c r="N76" i="17"/>
  <c r="N77" i="17"/>
  <c r="I74" i="17"/>
  <c r="I75" i="17"/>
  <c r="I76" i="17"/>
  <c r="I77" i="17"/>
  <c r="C74" i="17"/>
  <c r="C75" i="17"/>
  <c r="C76" i="17"/>
  <c r="C30" i="18" l="1"/>
  <c r="E30" i="18" s="1"/>
  <c r="E28" i="18"/>
  <c r="D28" i="18"/>
  <c r="F28" i="18"/>
  <c r="C32" i="18"/>
  <c r="C31" i="18"/>
  <c r="D29" i="18"/>
  <c r="F29" i="18"/>
  <c r="E29" i="18"/>
  <c r="F30" i="18"/>
  <c r="F27" i="18"/>
  <c r="E27" i="18"/>
  <c r="D27" i="18"/>
  <c r="B34" i="18"/>
  <c r="C33" i="18"/>
  <c r="E21" i="18"/>
  <c r="E20" i="18"/>
  <c r="AH34" i="17"/>
  <c r="AC34" i="17"/>
  <c r="AJ44" i="17"/>
  <c r="AI44" i="17"/>
  <c r="AD44" i="17"/>
  <c r="R57" i="17"/>
  <c r="W60" i="17" s="1"/>
  <c r="O58" i="17"/>
  <c r="S57" i="17" s="1"/>
  <c r="X60" i="17" s="1"/>
  <c r="O66" i="17"/>
  <c r="R65" i="17"/>
  <c r="W62" i="17" s="1"/>
  <c r="AD34" i="17"/>
  <c r="G34" i="17" s="1"/>
  <c r="AJ34" i="17"/>
  <c r="AD41" i="17"/>
  <c r="AJ41" i="17"/>
  <c r="AI41" i="17"/>
  <c r="AH35" i="17"/>
  <c r="AC35" i="17"/>
  <c r="AG35" i="17"/>
  <c r="T53" i="17"/>
  <c r="Y59" i="17" s="1"/>
  <c r="O53" i="17"/>
  <c r="Q53" i="17" s="1"/>
  <c r="V59" i="17" s="1"/>
  <c r="H33" i="17"/>
  <c r="AA45" i="17"/>
  <c r="AE45" i="17" s="1"/>
  <c r="N24" i="17"/>
  <c r="AI33" i="17"/>
  <c r="N62" i="17"/>
  <c r="AG40" i="17"/>
  <c r="AB30" i="17"/>
  <c r="AI31" i="17"/>
  <c r="AJ42" i="17"/>
  <c r="AI42" i="17"/>
  <c r="AD42" i="17"/>
  <c r="H38" i="17"/>
  <c r="X49" i="17"/>
  <c r="Y36" i="17"/>
  <c r="T49" i="17"/>
  <c r="Y58" i="17" s="1"/>
  <c r="O49" i="17"/>
  <c r="R49" i="17" s="1"/>
  <c r="W58" i="17" s="1"/>
  <c r="T46" i="17"/>
  <c r="AD43" i="17"/>
  <c r="AJ43" i="17"/>
  <c r="AI43" i="17"/>
  <c r="AH33" i="17"/>
  <c r="AG33" i="17"/>
  <c r="AC33" i="17"/>
  <c r="AG44" i="17"/>
  <c r="AG31" i="17"/>
  <c r="AC31" i="17"/>
  <c r="AJ40" i="17"/>
  <c r="AI40" i="17"/>
  <c r="AD40" i="17"/>
  <c r="AH43" i="17"/>
  <c r="AG43" i="17"/>
  <c r="AC43" i="17"/>
  <c r="AD39" i="17"/>
  <c r="G39" i="17" s="1"/>
  <c r="H39" i="17" s="1"/>
  <c r="AJ39" i="17"/>
  <c r="AI39" i="17"/>
  <c r="AD45" i="17"/>
  <c r="AJ45" i="17"/>
  <c r="AI45" i="17"/>
  <c r="AI36" i="17"/>
  <c r="AD36" i="17"/>
  <c r="G36" i="17" s="1"/>
  <c r="H36" i="17" s="1"/>
  <c r="AJ36" i="17"/>
  <c r="H34" i="17"/>
  <c r="T61" i="17"/>
  <c r="Y61" i="17" s="1"/>
  <c r="O61" i="17"/>
  <c r="AJ33" i="17"/>
  <c r="AB37" i="17"/>
  <c r="AB32" i="17"/>
  <c r="AF32" i="17" s="1"/>
  <c r="AH44" i="17"/>
  <c r="AA34" i="17"/>
  <c r="AE34" i="17" s="1"/>
  <c r="AA35" i="17"/>
  <c r="AE35" i="17" s="1"/>
  <c r="AH40" i="17"/>
  <c r="AI37" i="17"/>
  <c r="AA30" i="17"/>
  <c r="Q57" i="17"/>
  <c r="V60" i="17" s="1"/>
  <c r="R46" i="17"/>
  <c r="X46" i="17" s="1"/>
  <c r="AB46" i="17" s="1"/>
  <c r="AF46" i="17" s="1"/>
  <c r="O50" i="17"/>
  <c r="S49" i="17" s="1"/>
  <c r="X58" i="17" s="1"/>
  <c r="AH41" i="17"/>
  <c r="AG41" i="17"/>
  <c r="AC41" i="17"/>
  <c r="X50" i="17"/>
  <c r="Y37" i="17"/>
  <c r="O54" i="17"/>
  <c r="S53" i="17" s="1"/>
  <c r="X59" i="17" s="1"/>
  <c r="AJ38" i="17"/>
  <c r="AI38" i="17"/>
  <c r="AD38" i="17"/>
  <c r="G38" i="17" s="1"/>
  <c r="AH42" i="17"/>
  <c r="AC42" i="17"/>
  <c r="AG42" i="17"/>
  <c r="AI35" i="17"/>
  <c r="AD35" i="17"/>
  <c r="G35" i="17" s="1"/>
  <c r="B35" i="17" s="1"/>
  <c r="AJ35" i="17"/>
  <c r="AH45" i="17"/>
  <c r="AG45" i="17"/>
  <c r="AG51" i="17" s="1"/>
  <c r="AC45" i="17"/>
  <c r="AF51" i="17" s="1"/>
  <c r="AB51" i="17"/>
  <c r="AH39" i="17"/>
  <c r="AG39" i="17"/>
  <c r="AC39" i="17"/>
  <c r="AI32" i="17"/>
  <c r="AD32" i="17"/>
  <c r="G32" i="17" s="1"/>
  <c r="AJ32" i="17"/>
  <c r="T65" i="17"/>
  <c r="Y62" i="17" s="1"/>
  <c r="O65" i="17"/>
  <c r="Q65" i="17" s="1"/>
  <c r="V62" i="17" s="1"/>
  <c r="S65" i="17"/>
  <c r="X62" i="17" s="1"/>
  <c r="AI30" i="17"/>
  <c r="AD30" i="17"/>
  <c r="G30" i="17" s="1"/>
  <c r="B30" i="17" s="1"/>
  <c r="AH38" i="17"/>
  <c r="AC38" i="17"/>
  <c r="AG38" i="17"/>
  <c r="AH32" i="17"/>
  <c r="AC32" i="17"/>
  <c r="AG32" i="17"/>
  <c r="AB31" i="17"/>
  <c r="B32" i="17"/>
  <c r="T57" i="17"/>
  <c r="Y60" i="17" s="1"/>
  <c r="F20" i="11"/>
  <c r="E20" i="11"/>
  <c r="D20" i="11"/>
  <c r="C20" i="11"/>
  <c r="Y28" i="14"/>
  <c r="M28" i="14"/>
  <c r="Q28" i="14" s="1"/>
  <c r="U28" i="14" s="1"/>
  <c r="K24" i="15"/>
  <c r="AE24" i="15" s="1"/>
  <c r="L24" i="15"/>
  <c r="AF24" i="15" s="1"/>
  <c r="H24" i="15"/>
  <c r="G24" i="15"/>
  <c r="F24" i="15"/>
  <c r="J24" i="15" s="1"/>
  <c r="AD24" i="15" s="1"/>
  <c r="E24" i="15"/>
  <c r="I24" i="15" s="1"/>
  <c r="AC24" i="15" s="1"/>
  <c r="P28" i="14"/>
  <c r="T28" i="14" s="1"/>
  <c r="X28" i="14" s="1"/>
  <c r="O28" i="14"/>
  <c r="S28" i="14" s="1"/>
  <c r="W28" i="14" s="1"/>
  <c r="N28" i="14"/>
  <c r="R28" i="14" s="1"/>
  <c r="V28" i="14" s="1"/>
  <c r="H28" i="14"/>
  <c r="L28" i="14" s="1"/>
  <c r="G28" i="14"/>
  <c r="K28" i="14" s="1"/>
  <c r="AA28" i="14" s="1"/>
  <c r="F28" i="14"/>
  <c r="J28" i="14" s="1"/>
  <c r="E28" i="14"/>
  <c r="I28" i="14" s="1"/>
  <c r="AF28" i="14" s="1"/>
  <c r="P36" i="14"/>
  <c r="H38" i="14"/>
  <c r="G38" i="14"/>
  <c r="F38" i="14"/>
  <c r="E38" i="14"/>
  <c r="L37" i="14"/>
  <c r="K37" i="14"/>
  <c r="J37" i="14"/>
  <c r="I37" i="14"/>
  <c r="L36" i="14"/>
  <c r="K36" i="14"/>
  <c r="N36" i="14" s="1"/>
  <c r="J36" i="14"/>
  <c r="I36" i="14"/>
  <c r="AF36" i="14" s="1"/>
  <c r="L35" i="14"/>
  <c r="AG35" i="14" s="1"/>
  <c r="K35" i="14"/>
  <c r="N35" i="14" s="1"/>
  <c r="J35" i="14"/>
  <c r="P35" i="14" s="1"/>
  <c r="I35" i="14"/>
  <c r="L34" i="14"/>
  <c r="K34" i="14"/>
  <c r="N34" i="14" s="1"/>
  <c r="J34" i="14"/>
  <c r="P34" i="14" s="1"/>
  <c r="I34" i="14"/>
  <c r="M34" i="14" s="1"/>
  <c r="L33" i="14"/>
  <c r="AG33" i="14" s="1"/>
  <c r="AK33" i="14" s="1"/>
  <c r="K33" i="14"/>
  <c r="N33" i="14" s="1"/>
  <c r="J33" i="14"/>
  <c r="P33" i="14" s="1"/>
  <c r="I33" i="14"/>
  <c r="L32" i="14"/>
  <c r="K32" i="14"/>
  <c r="N32" i="14" s="1"/>
  <c r="J32" i="14"/>
  <c r="P32" i="14" s="1"/>
  <c r="I32" i="14"/>
  <c r="M32" i="14" s="1"/>
  <c r="L31" i="14"/>
  <c r="AG34" i="14" s="1"/>
  <c r="K31" i="14"/>
  <c r="N31" i="14" s="1"/>
  <c r="J31" i="14"/>
  <c r="P31" i="14" s="1"/>
  <c r="I31" i="14"/>
  <c r="L30" i="14"/>
  <c r="K30" i="14"/>
  <c r="J30" i="14"/>
  <c r="I30" i="14"/>
  <c r="L29" i="14"/>
  <c r="K29" i="14"/>
  <c r="O29" i="14" s="1"/>
  <c r="J29" i="14"/>
  <c r="P29" i="14" s="1"/>
  <c r="I29" i="14"/>
  <c r="D30" i="18" l="1"/>
  <c r="F31" i="18"/>
  <c r="E31" i="18"/>
  <c r="D31" i="18"/>
  <c r="D33" i="18"/>
  <c r="F33" i="18"/>
  <c r="E33" i="18"/>
  <c r="E32" i="18"/>
  <c r="D32" i="18"/>
  <c r="F32" i="18"/>
  <c r="B35" i="18"/>
  <c r="C34" i="18"/>
  <c r="I39" i="17"/>
  <c r="C39" i="17"/>
  <c r="J39" i="17"/>
  <c r="E39" i="17" s="1"/>
  <c r="J36" i="17"/>
  <c r="I36" i="17"/>
  <c r="AF30" i="17"/>
  <c r="H30" i="17" s="1"/>
  <c r="AH30" i="17"/>
  <c r="D74" i="17"/>
  <c r="F74" i="17" s="1"/>
  <c r="T74" i="17"/>
  <c r="V74" i="17" s="1"/>
  <c r="Q82" i="17" s="1"/>
  <c r="J74" i="17"/>
  <c r="L74" i="17" s="1"/>
  <c r="O82" i="17" s="1"/>
  <c r="AJ30" i="17"/>
  <c r="K38" i="17"/>
  <c r="R53" i="17"/>
  <c r="W59" i="17" s="1"/>
  <c r="O74" i="17" s="1"/>
  <c r="Q74" i="17" s="1"/>
  <c r="P82" i="17" s="1"/>
  <c r="AB50" i="17"/>
  <c r="AG37" i="17"/>
  <c r="AC37" i="17"/>
  <c r="AH37" i="17"/>
  <c r="H32" i="17"/>
  <c r="AH36" i="17"/>
  <c r="AC36" i="17"/>
  <c r="AF49" i="17" s="1"/>
  <c r="AB49" i="17"/>
  <c r="AG36" i="17"/>
  <c r="AK46" i="17"/>
  <c r="AK45" i="17"/>
  <c r="AK43" i="17"/>
  <c r="AK41" i="17"/>
  <c r="AK39" i="17"/>
  <c r="AL39" i="17" s="1"/>
  <c r="AK44" i="17"/>
  <c r="AK42" i="17"/>
  <c r="AL42" i="17" s="1"/>
  <c r="AK33" i="17"/>
  <c r="AK37" i="17"/>
  <c r="AL37" i="17" s="1"/>
  <c r="AK36" i="17"/>
  <c r="AK35" i="17"/>
  <c r="AL35" i="17" s="1"/>
  <c r="AK32" i="17"/>
  <c r="AK34" i="17"/>
  <c r="AL34" i="17" s="1"/>
  <c r="AK30" i="17"/>
  <c r="AK31" i="17"/>
  <c r="AL31" i="17" s="1"/>
  <c r="N25" i="17"/>
  <c r="AK40" i="17"/>
  <c r="AL40" i="17" s="1"/>
  <c r="AK38" i="17"/>
  <c r="AG34" i="17"/>
  <c r="K36" i="17"/>
  <c r="S46" i="17"/>
  <c r="AF31" i="17"/>
  <c r="H31" i="17" s="1"/>
  <c r="AJ31" i="17"/>
  <c r="D77" i="17"/>
  <c r="F77" i="17" s="1"/>
  <c r="N85" i="17" s="1"/>
  <c r="J77" i="17"/>
  <c r="L77" i="17" s="1"/>
  <c r="O85" i="17" s="1"/>
  <c r="T77" i="17"/>
  <c r="V77" i="17" s="1"/>
  <c r="Q85" i="17" s="1"/>
  <c r="O77" i="17"/>
  <c r="Q77" i="17" s="1"/>
  <c r="P85" i="17" s="1"/>
  <c r="D75" i="17"/>
  <c r="F75" i="17" s="1"/>
  <c r="J75" i="17"/>
  <c r="L75" i="17" s="1"/>
  <c r="O83" i="17" s="1"/>
  <c r="T75" i="17"/>
  <c r="V75" i="17" s="1"/>
  <c r="Q83" i="17" s="1"/>
  <c r="O75" i="17"/>
  <c r="Q75" i="17" s="1"/>
  <c r="P83" i="17" s="1"/>
  <c r="AF37" i="17"/>
  <c r="H37" i="17" s="1"/>
  <c r="AJ37" i="17"/>
  <c r="AH31" i="17"/>
  <c r="O62" i="17"/>
  <c r="S61" i="17" s="1"/>
  <c r="X61" i="17" s="1"/>
  <c r="R61" i="17"/>
  <c r="W61" i="17" s="1"/>
  <c r="AV34" i="17"/>
  <c r="AV36" i="17" s="1"/>
  <c r="AE30" i="17"/>
  <c r="AG30" i="17"/>
  <c r="J34" i="17"/>
  <c r="E34" i="17" s="1"/>
  <c r="I34" i="17"/>
  <c r="C34" i="17"/>
  <c r="K39" i="17"/>
  <c r="Q49" i="17"/>
  <c r="V58" i="17" s="1"/>
  <c r="Q46" i="17"/>
  <c r="J38" i="17"/>
  <c r="I38" i="17"/>
  <c r="I33" i="17"/>
  <c r="D33" i="17" s="1"/>
  <c r="C33" i="17"/>
  <c r="J33" i="17"/>
  <c r="E33" i="17" s="1"/>
  <c r="AI34" i="17"/>
  <c r="H35" i="17"/>
  <c r="M29" i="14"/>
  <c r="N29" i="14"/>
  <c r="AG32" i="14"/>
  <c r="AG36" i="14"/>
  <c r="M31" i="14"/>
  <c r="M33" i="14"/>
  <c r="AF35" i="14"/>
  <c r="AF37" i="14"/>
  <c r="AF30" i="14"/>
  <c r="AG30" i="14"/>
  <c r="AG37" i="14"/>
  <c r="O36" i="14"/>
  <c r="AF34" i="14"/>
  <c r="O31" i="14"/>
  <c r="O32" i="14"/>
  <c r="O33" i="14"/>
  <c r="O34" i="14"/>
  <c r="O35" i="14"/>
  <c r="AF33" i="14"/>
  <c r="AJ33" i="14" s="1"/>
  <c r="M36" i="14"/>
  <c r="AF32" i="14"/>
  <c r="M35" i="14"/>
  <c r="P37" i="14"/>
  <c r="O37" i="14"/>
  <c r="M37" i="14"/>
  <c r="N37" i="14"/>
  <c r="Z28" i="14"/>
  <c r="AB28" i="14"/>
  <c r="AG28" i="14"/>
  <c r="AL33" i="14"/>
  <c r="N30" i="14"/>
  <c r="P30" i="14"/>
  <c r="O30" i="14"/>
  <c r="AF31" i="14"/>
  <c r="M30" i="14"/>
  <c r="AG31" i="14"/>
  <c r="B36" i="18" l="1"/>
  <c r="C35" i="18"/>
  <c r="F34" i="18"/>
  <c r="E34" i="18"/>
  <c r="D34" i="18"/>
  <c r="J35" i="17"/>
  <c r="E35" i="17" s="1"/>
  <c r="I35" i="17"/>
  <c r="D35" i="17" s="1"/>
  <c r="K35" i="17" s="1"/>
  <c r="C35" i="17"/>
  <c r="AV33" i="17"/>
  <c r="AV35" i="17" s="1"/>
  <c r="AP31" i="17"/>
  <c r="AP35" i="17"/>
  <c r="AS35" i="17"/>
  <c r="AR35" i="17"/>
  <c r="AT35" i="17" s="1"/>
  <c r="AL43" i="17"/>
  <c r="I32" i="17"/>
  <c r="K32" i="17" s="1"/>
  <c r="J32" i="17"/>
  <c r="E32" i="17" s="1"/>
  <c r="C32" i="17"/>
  <c r="J31" i="17"/>
  <c r="E31" i="17" s="1"/>
  <c r="I31" i="17"/>
  <c r="D31" i="17" s="1"/>
  <c r="K31" i="17" s="1"/>
  <c r="C31" i="17"/>
  <c r="AL38" i="17"/>
  <c r="AL30" i="17"/>
  <c r="AL36" i="17"/>
  <c r="AL44" i="17"/>
  <c r="AL45" i="17"/>
  <c r="J30" i="17"/>
  <c r="E30" i="17" s="1"/>
  <c r="I30" i="17"/>
  <c r="D30" i="17" s="1"/>
  <c r="K30" i="17" s="1"/>
  <c r="C30" i="17"/>
  <c r="D34" i="17"/>
  <c r="K34" i="17" s="1"/>
  <c r="K33" i="17"/>
  <c r="J37" i="17"/>
  <c r="E37" i="17" s="1"/>
  <c r="C37" i="17"/>
  <c r="I37" i="17"/>
  <c r="K37" i="17" s="1"/>
  <c r="V46" i="17"/>
  <c r="Z46" i="17" s="1"/>
  <c r="W46" i="17"/>
  <c r="AA46" i="17" s="1"/>
  <c r="AE46" i="17" s="1"/>
  <c r="AP34" i="17"/>
  <c r="AR34" i="17"/>
  <c r="AS34" i="17"/>
  <c r="AF50" i="17"/>
  <c r="J73" i="17"/>
  <c r="L73" i="17" s="1"/>
  <c r="O81" i="17" s="1"/>
  <c r="D73" i="17"/>
  <c r="F73" i="17" s="1"/>
  <c r="T73" i="17"/>
  <c r="V73" i="17" s="1"/>
  <c r="Q81" i="17" s="1"/>
  <c r="O73" i="17"/>
  <c r="Q73" i="17" s="1"/>
  <c r="P81" i="17" s="1"/>
  <c r="AP37" i="17"/>
  <c r="AR37" i="17"/>
  <c r="AT37" i="17" s="1"/>
  <c r="AS37" i="17"/>
  <c r="U46" i="17"/>
  <c r="AL32" i="17"/>
  <c r="AL33" i="17"/>
  <c r="AP33" i="17" s="1"/>
  <c r="AL41" i="17"/>
  <c r="AG49" i="17"/>
  <c r="Q61" i="17"/>
  <c r="V61" i="17" s="1"/>
  <c r="AG50" i="17"/>
  <c r="P41" i="14"/>
  <c r="P42" i="14"/>
  <c r="P43" i="14"/>
  <c r="C31" i="11"/>
  <c r="D31" i="11"/>
  <c r="B37" i="18" l="1"/>
  <c r="C36" i="18"/>
  <c r="F35" i="18"/>
  <c r="E35" i="18"/>
  <c r="D35" i="18"/>
  <c r="AP36" i="17"/>
  <c r="AS36" i="17"/>
  <c r="AR36" i="17"/>
  <c r="AD46" i="17"/>
  <c r="AJ46" i="17"/>
  <c r="AI46" i="17"/>
  <c r="AV31" i="17"/>
  <c r="D76" i="17"/>
  <c r="F76" i="17" s="1"/>
  <c r="N84" i="17" s="1"/>
  <c r="T76" i="17"/>
  <c r="V76" i="17" s="1"/>
  <c r="Q84" i="17" s="1"/>
  <c r="O76" i="17"/>
  <c r="Q76" i="17" s="1"/>
  <c r="P84" i="17" s="1"/>
  <c r="J76" i="17"/>
  <c r="L76" i="17" s="1"/>
  <c r="O84" i="17" s="1"/>
  <c r="AP32" i="17"/>
  <c r="AR32" i="17"/>
  <c r="AS32" i="17"/>
  <c r="X52" i="17"/>
  <c r="Y46" i="17"/>
  <c r="AT34" i="17"/>
  <c r="AP45" i="17"/>
  <c r="AR45" i="17"/>
  <c r="AS45" i="17"/>
  <c r="E54" i="15"/>
  <c r="F54" i="15" s="1"/>
  <c r="H32" i="15"/>
  <c r="G32" i="15"/>
  <c r="B38" i="18" l="1"/>
  <c r="C37" i="18"/>
  <c r="E36" i="18"/>
  <c r="D36" i="18"/>
  <c r="F36" i="18"/>
  <c r="AW33" i="17"/>
  <c r="AW34" i="17"/>
  <c r="AH46" i="17"/>
  <c r="AG46" i="17"/>
  <c r="AC46" i="17"/>
  <c r="AF52" i="17" s="1"/>
  <c r="AB52" i="17"/>
  <c r="AT45" i="17"/>
  <c r="AT36" i="17"/>
  <c r="AT32" i="17"/>
  <c r="H72" i="15"/>
  <c r="K62" i="15"/>
  <c r="L62" i="15"/>
  <c r="H73" i="15"/>
  <c r="I73" i="15"/>
  <c r="H63" i="15"/>
  <c r="I63" i="15"/>
  <c r="I62" i="15"/>
  <c r="H62" i="15"/>
  <c r="E68" i="15"/>
  <c r="I68" i="15" s="1"/>
  <c r="D68" i="15"/>
  <c r="H68" i="15" s="1"/>
  <c r="E67" i="15"/>
  <c r="F67" i="15" s="1"/>
  <c r="D67" i="15"/>
  <c r="E64" i="15"/>
  <c r="D64" i="15"/>
  <c r="F63" i="15"/>
  <c r="F62" i="15"/>
  <c r="L63" i="15"/>
  <c r="K63" i="15"/>
  <c r="P97" i="6"/>
  <c r="R97" i="6"/>
  <c r="P98" i="6"/>
  <c r="P102" i="6"/>
  <c r="Q102" i="6" s="1"/>
  <c r="R102" i="6"/>
  <c r="S102" i="6" s="1"/>
  <c r="R100" i="6"/>
  <c r="R101" i="6"/>
  <c r="R103" i="6"/>
  <c r="P101" i="6"/>
  <c r="P103" i="6"/>
  <c r="Q103" i="6" s="1"/>
  <c r="N101" i="6"/>
  <c r="N102" i="6"/>
  <c r="O102" i="6" s="1"/>
  <c r="N103" i="6"/>
  <c r="O103" i="6" s="1"/>
  <c r="N97" i="6"/>
  <c r="O97" i="6" s="1"/>
  <c r="R98" i="6"/>
  <c r="N98" i="6"/>
  <c r="P100" i="6"/>
  <c r="L69" i="6"/>
  <c r="N100" i="6"/>
  <c r="B39" i="18" l="1"/>
  <c r="C38" i="18"/>
  <c r="D37" i="18"/>
  <c r="F37" i="18"/>
  <c r="E37" i="18"/>
  <c r="AG52" i="17"/>
  <c r="AK47" i="17"/>
  <c r="AK48" i="17" s="1"/>
  <c r="AK49" i="17" s="1"/>
  <c r="AX34" i="17"/>
  <c r="AW36" i="17"/>
  <c r="AX36" i="17" s="1"/>
  <c r="AW35" i="17"/>
  <c r="AX35" i="17" s="1"/>
  <c r="AX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B41" i="18" l="1"/>
  <c r="C40" i="18"/>
  <c r="F39" i="18"/>
  <c r="E39" i="18"/>
  <c r="D39" i="18"/>
  <c r="J78" i="15"/>
  <c r="J79" i="15"/>
  <c r="K79" i="15" s="1"/>
  <c r="F53" i="15"/>
  <c r="L50" i="15"/>
  <c r="M66" i="15"/>
  <c r="U25" i="15"/>
  <c r="Y25" i="15" s="1"/>
  <c r="P25" i="15"/>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X25" i="15"/>
  <c r="AB25" i="15" s="1"/>
  <c r="V25" i="15"/>
  <c r="Z25" i="15" s="1"/>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X44" i="15"/>
  <c r="AB44" i="15" s="1"/>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O68" i="15"/>
  <c r="E19" i="15"/>
  <c r="K50" i="15"/>
  <c r="J48" i="15"/>
  <c r="K48" i="15"/>
  <c r="I48" i="15"/>
  <c r="L48" i="15"/>
  <c r="L47" i="15"/>
  <c r="J47" i="15"/>
  <c r="I47" i="15"/>
  <c r="K47" i="15"/>
  <c r="E15" i="14"/>
  <c r="E40" i="18" l="1"/>
  <c r="D40" i="18"/>
  <c r="F40" i="18"/>
  <c r="B42" i="18"/>
  <c r="C41" i="18"/>
  <c r="P50" i="15"/>
  <c r="AG25" i="15"/>
  <c r="AG35" i="15"/>
  <c r="AG27" i="15"/>
  <c r="AH27" i="15" s="1"/>
  <c r="AG41" i="15"/>
  <c r="AH41" i="15" s="1"/>
  <c r="AG33" i="15"/>
  <c r="AH33" i="15" s="1"/>
  <c r="AG40" i="15"/>
  <c r="AG32" i="15"/>
  <c r="AG34" i="15"/>
  <c r="AH34" i="15" s="1"/>
  <c r="AG26" i="15"/>
  <c r="AH26" i="15" s="1"/>
  <c r="AG28" i="15"/>
  <c r="AG39" i="15"/>
  <c r="AH40" i="15" s="1"/>
  <c r="AG31" i="15"/>
  <c r="AH32" i="15" s="1"/>
  <c r="AG36" i="15"/>
  <c r="AH36" i="15" s="1"/>
  <c r="AG38" i="15"/>
  <c r="AG30" i="15"/>
  <c r="AG37" i="15"/>
  <c r="AH38" i="15" s="1"/>
  <c r="AG29" i="15"/>
  <c r="AG47" i="15"/>
  <c r="AG48" i="15"/>
  <c r="AH48" i="15" s="1"/>
  <c r="AG45" i="15"/>
  <c r="AH45" i="15" s="1"/>
  <c r="AG43" i="15"/>
  <c r="AH43" i="15" s="1"/>
  <c r="AG46" i="15"/>
  <c r="AG49" i="15"/>
  <c r="AG44" i="15"/>
  <c r="AH44" i="15" s="1"/>
  <c r="AG42" i="15"/>
  <c r="X50" i="15"/>
  <c r="AB50" i="15" s="1"/>
  <c r="J50" i="15"/>
  <c r="I50" i="15"/>
  <c r="L55" i="15" s="1"/>
  <c r="L68" i="15"/>
  <c r="K68" i="15"/>
  <c r="M68" i="15"/>
  <c r="L53" i="15"/>
  <c r="T43" i="15"/>
  <c r="O43" i="15"/>
  <c r="S43" i="15" s="1"/>
  <c r="M46" i="15"/>
  <c r="Q46" i="15" s="1"/>
  <c r="R46" i="15"/>
  <c r="M26" i="15"/>
  <c r="Q26" i="15" s="1"/>
  <c r="R26" i="15"/>
  <c r="P48" i="15"/>
  <c r="U48" i="15"/>
  <c r="Y48" i="15" s="1"/>
  <c r="P47" i="15"/>
  <c r="U47" i="15"/>
  <c r="Y47" i="15" s="1"/>
  <c r="W48" i="15"/>
  <c r="AA48" i="15" s="1"/>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R25" i="15"/>
  <c r="M25" i="15"/>
  <c r="Q25" i="15" s="1"/>
  <c r="AC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T25" i="15"/>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W33" i="14" s="1"/>
  <c r="S32" i="14"/>
  <c r="W32" i="14" s="1"/>
  <c r="S34" i="14"/>
  <c r="W34" i="14" s="1"/>
  <c r="T37" i="14"/>
  <c r="X37" i="14" s="1"/>
  <c r="S36" i="14"/>
  <c r="W36" i="14" s="1"/>
  <c r="S37" i="14"/>
  <c r="W37" i="14" s="1"/>
  <c r="S31" i="14"/>
  <c r="W31" i="14" s="1"/>
  <c r="S35" i="14"/>
  <c r="W35" i="14" s="1"/>
  <c r="E42" i="14"/>
  <c r="N67" i="15"/>
  <c r="N66" i="15"/>
  <c r="K69" i="15"/>
  <c r="AH30" i="15"/>
  <c r="AH39" i="15"/>
  <c r="AH47" i="15"/>
  <c r="AH28" i="15"/>
  <c r="AH35" i="15"/>
  <c r="K49" i="15"/>
  <c r="J49" i="15"/>
  <c r="F50" i="15"/>
  <c r="L49" i="15"/>
  <c r="I49" i="15"/>
  <c r="L54" i="15" s="1"/>
  <c r="AH29" i="15"/>
  <c r="E20" i="15"/>
  <c r="AH49" i="15"/>
  <c r="AH37" i="15"/>
  <c r="D41" i="18" l="1"/>
  <c r="F41" i="18"/>
  <c r="E41" i="18"/>
  <c r="B43" i="18"/>
  <c r="C42" i="18"/>
  <c r="W50" i="15"/>
  <c r="AA50" i="15" s="1"/>
  <c r="N50" i="15"/>
  <c r="V50" i="15"/>
  <c r="Z50" i="15" s="1"/>
  <c r="AH42" i="15"/>
  <c r="AH31" i="15"/>
  <c r="T50" i="15"/>
  <c r="O50" i="15"/>
  <c r="S50" i="15" s="1"/>
  <c r="AH46" i="15"/>
  <c r="U50" i="15"/>
  <c r="Y50" i="15" s="1"/>
  <c r="AG50" i="15"/>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E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AD26" i="15"/>
  <c r="AC26" i="15"/>
  <c r="X30" i="14"/>
  <c r="F42" i="14"/>
  <c r="N69" i="15"/>
  <c r="L69" i="15"/>
  <c r="N68" i="15"/>
  <c r="AH25" i="15"/>
  <c r="G50" i="12"/>
  <c r="E50" i="12"/>
  <c r="H50" i="12"/>
  <c r="F47" i="12"/>
  <c r="F48" i="12" s="1"/>
  <c r="F49" i="12" s="1"/>
  <c r="F50" i="12" s="1"/>
  <c r="K50" i="12"/>
  <c r="E53" i="12"/>
  <c r="E33" i="6"/>
  <c r="G76" i="6"/>
  <c r="F76" i="6"/>
  <c r="E76" i="6"/>
  <c r="F42" i="18" l="1"/>
  <c r="E42" i="18"/>
  <c r="D42" i="18"/>
  <c r="B44" i="18"/>
  <c r="C43" i="18"/>
  <c r="F53" i="12"/>
  <c r="K52" i="12"/>
  <c r="L52" i="12"/>
  <c r="L50" i="12"/>
  <c r="P50" i="12" s="1"/>
  <c r="M50" i="15"/>
  <c r="R50" i="15"/>
  <c r="Q48" i="15"/>
  <c r="T53" i="15" s="1"/>
  <c r="P53" i="15"/>
  <c r="AD47" i="15"/>
  <c r="AC47" i="15"/>
  <c r="AF47" i="15"/>
  <c r="AE47" i="15"/>
  <c r="T49" i="15"/>
  <c r="O49" i="15"/>
  <c r="S49" i="15" s="1"/>
  <c r="R49" i="15"/>
  <c r="M49" i="15"/>
  <c r="AD48" i="15"/>
  <c r="AC48" i="15"/>
  <c r="AF48" i="15"/>
  <c r="AE48" i="15"/>
  <c r="E7" i="14"/>
  <c r="E23" i="14" s="1"/>
  <c r="E24" i="14" s="1"/>
  <c r="E7" i="12"/>
  <c r="E19" i="12" s="1"/>
  <c r="O50" i="12" s="1"/>
  <c r="Q50" i="12" s="1"/>
  <c r="D11" i="10"/>
  <c r="I15" i="10"/>
  <c r="D18" i="6"/>
  <c r="F43" i="18" l="1"/>
  <c r="E43" i="18"/>
  <c r="D43" i="18"/>
  <c r="B45" i="18"/>
  <c r="C44" i="18"/>
  <c r="Q50" i="15"/>
  <c r="P55" i="15"/>
  <c r="AC53" i="15"/>
  <c r="Q49" i="15"/>
  <c r="T54" i="15" s="1"/>
  <c r="P54" i="15"/>
  <c r="S25" i="12"/>
  <c r="E20" i="12"/>
  <c r="J52" i="12"/>
  <c r="I52" i="12"/>
  <c r="I50" i="12"/>
  <c r="M50" i="12" s="1"/>
  <c r="J50" i="12"/>
  <c r="N50" i="12" s="1"/>
  <c r="AF50" i="15"/>
  <c r="AE50" i="15"/>
  <c r="AC49" i="15"/>
  <c r="AF49" i="15"/>
  <c r="AE49" i="15"/>
  <c r="Q34" i="14"/>
  <c r="R35" i="14"/>
  <c r="R31" i="14"/>
  <c r="Q29" i="14"/>
  <c r="Y29" i="14" s="1"/>
  <c r="R34" i="14"/>
  <c r="R33" i="14"/>
  <c r="Q32" i="14"/>
  <c r="R29" i="14"/>
  <c r="R36" i="14"/>
  <c r="Q33" i="14"/>
  <c r="R32" i="14"/>
  <c r="Q31" i="14"/>
  <c r="Q35" i="14"/>
  <c r="R37" i="14"/>
  <c r="Q37" i="14"/>
  <c r="R30" i="14"/>
  <c r="Q36" i="14"/>
  <c r="Q30" i="14"/>
  <c r="W30" i="12"/>
  <c r="W32" i="12"/>
  <c r="E24" i="12"/>
  <c r="V24" i="12" s="1"/>
  <c r="F24" i="12"/>
  <c r="G24" i="12"/>
  <c r="H24" i="12"/>
  <c r="W24" i="12" s="1"/>
  <c r="I24" i="12"/>
  <c r="J24" i="12"/>
  <c r="K24" i="12"/>
  <c r="L24" i="12"/>
  <c r="M24" i="12"/>
  <c r="N24" i="12"/>
  <c r="O24" i="12"/>
  <c r="P24" i="12"/>
  <c r="I25" i="12"/>
  <c r="M25" i="12" s="1"/>
  <c r="J25" i="12"/>
  <c r="N25" i="12" s="1"/>
  <c r="K25" i="12"/>
  <c r="O25" i="12" s="1"/>
  <c r="Q25" i="12" s="1"/>
  <c r="L25" i="12"/>
  <c r="P25" i="12" s="1"/>
  <c r="R25" i="12" s="1"/>
  <c r="I26" i="12"/>
  <c r="M26" i="12" s="1"/>
  <c r="J26" i="12"/>
  <c r="N26" i="12" s="1"/>
  <c r="K26" i="12"/>
  <c r="O26" i="12" s="1"/>
  <c r="L26" i="12"/>
  <c r="P26" i="12" s="1"/>
  <c r="V26" i="12"/>
  <c r="W26" i="12"/>
  <c r="I27" i="12"/>
  <c r="M27" i="12" s="1"/>
  <c r="J27" i="12"/>
  <c r="N27" i="12" s="1"/>
  <c r="K27" i="12"/>
  <c r="O27" i="12" s="1"/>
  <c r="Q27" i="12" s="1"/>
  <c r="L27" i="12"/>
  <c r="P27" i="12" s="1"/>
  <c r="V27" i="12"/>
  <c r="Z27" i="12" s="1"/>
  <c r="W27" i="12"/>
  <c r="W28" i="12"/>
  <c r="W29" i="12"/>
  <c r="R50" i="12"/>
  <c r="E44" i="18" l="1"/>
  <c r="D44" i="18"/>
  <c r="F44" i="18"/>
  <c r="B46" i="18"/>
  <c r="C45" i="18"/>
  <c r="AD49" i="15"/>
  <c r="AC54" i="15"/>
  <c r="S51" i="12"/>
  <c r="T55" i="15"/>
  <c r="AC50" i="15"/>
  <c r="AD50" i="15"/>
  <c r="Z36" i="14"/>
  <c r="Y36" i="14"/>
  <c r="U36" i="14"/>
  <c r="T42" i="14"/>
  <c r="T41" i="14"/>
  <c r="Z35" i="14"/>
  <c r="Y35" i="14"/>
  <c r="U35" i="14"/>
  <c r="V36" i="14"/>
  <c r="AB36" i="14"/>
  <c r="AA36" i="14"/>
  <c r="V34" i="14"/>
  <c r="AB34" i="14"/>
  <c r="AA34" i="14"/>
  <c r="Z34" i="14"/>
  <c r="Y34" i="14"/>
  <c r="U34" i="14"/>
  <c r="V30" i="14"/>
  <c r="AA30" i="14"/>
  <c r="AB30" i="14"/>
  <c r="Z31" i="14"/>
  <c r="Y31" i="14"/>
  <c r="U31" i="14"/>
  <c r="V29" i="14"/>
  <c r="D41" i="14" s="1"/>
  <c r="E41" i="14" s="1"/>
  <c r="F41" i="14" s="1"/>
  <c r="AB29" i="14"/>
  <c r="AA29" i="14"/>
  <c r="AN33" i="14" s="1"/>
  <c r="AN35" i="14" s="1"/>
  <c r="Z29" i="14"/>
  <c r="U29" i="14"/>
  <c r="AC34" i="14"/>
  <c r="AC30" i="14"/>
  <c r="AC35" i="14"/>
  <c r="AC29" i="14"/>
  <c r="AD29" i="14" s="1"/>
  <c r="AC36" i="14"/>
  <c r="AC32" i="14"/>
  <c r="AC37" i="14"/>
  <c r="AC33" i="14"/>
  <c r="AC31" i="14"/>
  <c r="AD31" i="14" s="1"/>
  <c r="AC38" i="14"/>
  <c r="Y37" i="14"/>
  <c r="Z37" i="14"/>
  <c r="U37" i="14"/>
  <c r="X43" i="14" s="1"/>
  <c r="T43"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K38" i="14"/>
  <c r="T25" i="12"/>
  <c r="V48" i="12"/>
  <c r="J28" i="12"/>
  <c r="N28" i="12" s="1"/>
  <c r="K28" i="12"/>
  <c r="I28" i="12"/>
  <c r="M28" i="12" s="1"/>
  <c r="V28" i="12"/>
  <c r="L28" i="12"/>
  <c r="W31" i="12"/>
  <c r="V49" i="12"/>
  <c r="P54" i="12"/>
  <c r="S27" i="12"/>
  <c r="R26" i="12"/>
  <c r="S28" i="12"/>
  <c r="S26" i="12"/>
  <c r="Q26" i="12"/>
  <c r="R27" i="12"/>
  <c r="D45" i="18" l="1"/>
  <c r="F45" i="18"/>
  <c r="E45" i="18"/>
  <c r="B47" i="18"/>
  <c r="C46" i="18"/>
  <c r="AC55" i="15"/>
  <c r="AG51" i="15"/>
  <c r="AG52" i="15" s="1"/>
  <c r="AG53" i="15" s="1"/>
  <c r="O28" i="12"/>
  <c r="Q28" i="12" s="1"/>
  <c r="P28" i="12"/>
  <c r="R28" i="12" s="1"/>
  <c r="L38" i="14"/>
  <c r="N38" i="14" s="1"/>
  <c r="R38" i="14" s="1"/>
  <c r="AD33" i="14"/>
  <c r="AH33" i="14" s="1"/>
  <c r="Y43" i="14"/>
  <c r="AD37" i="14"/>
  <c r="AD36" i="14"/>
  <c r="L41" i="14"/>
  <c r="K41" i="14"/>
  <c r="X41" i="14"/>
  <c r="AD32" i="14"/>
  <c r="AD30" i="14"/>
  <c r="Y41" i="14"/>
  <c r="X42" i="14"/>
  <c r="AD35" i="14"/>
  <c r="AD34" i="14"/>
  <c r="Y42" i="14"/>
  <c r="AH31" i="14"/>
  <c r="AJ31" i="14"/>
  <c r="AK31" i="14"/>
  <c r="I41" i="14"/>
  <c r="J41" i="14"/>
  <c r="I38" i="14"/>
  <c r="J38" i="14"/>
  <c r="J33" i="12"/>
  <c r="N33" i="12" s="1"/>
  <c r="V33" i="12"/>
  <c r="T28" i="12"/>
  <c r="X28" i="12" s="1"/>
  <c r="W33" i="12"/>
  <c r="T27" i="12"/>
  <c r="X27" i="12" s="1"/>
  <c r="AA27" i="12" s="1"/>
  <c r="AB27" i="12" s="1"/>
  <c r="T26" i="12"/>
  <c r="X26" i="12" s="1"/>
  <c r="F46" i="18" l="1"/>
  <c r="E46" i="18"/>
  <c r="D46" i="18"/>
  <c r="B48" i="18"/>
  <c r="C47" i="18"/>
  <c r="AL31" i="14"/>
  <c r="P38" i="14"/>
  <c r="T38" i="14" s="1"/>
  <c r="X38" i="14" s="1"/>
  <c r="AJ34" i="14"/>
  <c r="AH34" i="14"/>
  <c r="AK34" i="14"/>
  <c r="AN32" i="14"/>
  <c r="AN34" i="14" s="1"/>
  <c r="AK30" i="14"/>
  <c r="AH30" i="14"/>
  <c r="AJ30" i="14"/>
  <c r="AK35" i="14"/>
  <c r="AH35" i="14"/>
  <c r="AJ35" i="14"/>
  <c r="AK32" i="14"/>
  <c r="AH32" i="14"/>
  <c r="AJ32" i="14"/>
  <c r="AH36" i="14"/>
  <c r="AJ36" i="14"/>
  <c r="AK36" i="14"/>
  <c r="AJ37" i="14"/>
  <c r="AH37" i="14"/>
  <c r="AK37" i="14"/>
  <c r="O38" i="14"/>
  <c r="S38" i="14" s="1"/>
  <c r="W38" i="14" s="1"/>
  <c r="V38" i="14"/>
  <c r="AN30" i="14"/>
  <c r="M38" i="14"/>
  <c r="AB38" i="14"/>
  <c r="V29" i="12"/>
  <c r="K29" i="12"/>
  <c r="J29" i="12"/>
  <c r="N29" i="12" s="1"/>
  <c r="I29" i="12"/>
  <c r="M29" i="12" s="1"/>
  <c r="S29" i="12"/>
  <c r="T29" i="12" s="1"/>
  <c r="X29" i="12" s="1"/>
  <c r="AA29" i="12" s="1"/>
  <c r="L29" i="12"/>
  <c r="AA28" i="12"/>
  <c r="Z28" i="12"/>
  <c r="I33" i="12"/>
  <c r="M33" i="12" s="1"/>
  <c r="S33" i="12"/>
  <c r="L33" i="12"/>
  <c r="K33" i="12"/>
  <c r="K34" i="12"/>
  <c r="V34" i="12"/>
  <c r="J34" i="12"/>
  <c r="N34" i="12" s="1"/>
  <c r="S34" i="12"/>
  <c r="I34" i="12"/>
  <c r="M34" i="12" s="1"/>
  <c r="L34" i="12"/>
  <c r="W34" i="12"/>
  <c r="Z26" i="12"/>
  <c r="AA26" i="12"/>
  <c r="F47" i="18" l="1"/>
  <c r="E47" i="18"/>
  <c r="D47" i="18"/>
  <c r="B49" i="18"/>
  <c r="C48" i="18"/>
  <c r="O34" i="12"/>
  <c r="Q34" i="12" s="1"/>
  <c r="R33" i="12"/>
  <c r="P33" i="12"/>
  <c r="P29" i="12"/>
  <c r="R29" i="12" s="1"/>
  <c r="O33" i="12"/>
  <c r="Q33" i="12" s="1"/>
  <c r="P34" i="12"/>
  <c r="R34" i="12" s="1"/>
  <c r="Q29" i="12"/>
  <c r="O29" i="12"/>
  <c r="AL35" i="14"/>
  <c r="AL36" i="14"/>
  <c r="AL30" i="14"/>
  <c r="AL34" i="14"/>
  <c r="AL37" i="14"/>
  <c r="AL32" i="14"/>
  <c r="AA38" i="14"/>
  <c r="Q38" i="14"/>
  <c r="P44" i="14"/>
  <c r="Y38" i="14"/>
  <c r="Z29" i="12"/>
  <c r="AB29" i="12" s="1"/>
  <c r="AB28" i="12"/>
  <c r="T34" i="12"/>
  <c r="X34" i="12" s="1"/>
  <c r="Z34" i="12" s="1"/>
  <c r="V35" i="12"/>
  <c r="S35" i="12"/>
  <c r="T35" i="12" s="1"/>
  <c r="X35" i="12" s="1"/>
  <c r="W35" i="12"/>
  <c r="L35" i="12"/>
  <c r="J35" i="12"/>
  <c r="N35" i="12" s="1"/>
  <c r="I35" i="12"/>
  <c r="M35" i="12" s="1"/>
  <c r="K35" i="12"/>
  <c r="W48" i="12"/>
  <c r="AB26" i="12"/>
  <c r="B50" i="18" l="1"/>
  <c r="C49" i="18"/>
  <c r="E48" i="18"/>
  <c r="D48" i="18"/>
  <c r="F48" i="18"/>
  <c r="P35" i="12"/>
  <c r="R35" i="12" s="1"/>
  <c r="O35" i="12"/>
  <c r="Q35" i="12" s="1"/>
  <c r="U38" i="14"/>
  <c r="X44" i="14" s="1"/>
  <c r="T44" i="14"/>
  <c r="AO33" i="14"/>
  <c r="AO32" i="14"/>
  <c r="Z38" i="14"/>
  <c r="Y44" i="14"/>
  <c r="AC39" i="14"/>
  <c r="AC40" i="14" s="1"/>
  <c r="AC41" i="14" s="1"/>
  <c r="V30" i="12"/>
  <c r="S30" i="12"/>
  <c r="T30" i="12" s="1"/>
  <c r="X30" i="12" s="1"/>
  <c r="AA30" i="12" s="1"/>
  <c r="L30" i="12"/>
  <c r="J30" i="12"/>
  <c r="N30" i="12" s="1"/>
  <c r="K30" i="12"/>
  <c r="I30" i="12"/>
  <c r="M30" i="12" s="1"/>
  <c r="AA34" i="12"/>
  <c r="AB34" i="12" s="1"/>
  <c r="Z35" i="12"/>
  <c r="V36" i="12"/>
  <c r="I36" i="12"/>
  <c r="M36" i="12" s="1"/>
  <c r="AA35" i="12"/>
  <c r="K36" i="12"/>
  <c r="S36" i="12"/>
  <c r="T36" i="12" s="1"/>
  <c r="X36" i="12" s="1"/>
  <c r="L36" i="12"/>
  <c r="W36" i="12"/>
  <c r="J36" i="12"/>
  <c r="N36" i="12" s="1"/>
  <c r="W49" i="12"/>
  <c r="D8" i="11"/>
  <c r="G15" i="10"/>
  <c r="D49" i="18" l="1"/>
  <c r="F49" i="18"/>
  <c r="E49" i="18"/>
  <c r="B51" i="18"/>
  <c r="C51" i="18" s="1"/>
  <c r="C50" i="18"/>
  <c r="P30" i="12"/>
  <c r="R30" i="12" s="1"/>
  <c r="Q36" i="12"/>
  <c r="O36" i="12"/>
  <c r="Q30" i="12"/>
  <c r="O30" i="12"/>
  <c r="D16" i="11"/>
  <c r="F35" i="11"/>
  <c r="P36" i="12"/>
  <c r="R36" i="12" s="1"/>
  <c r="AO34" i="14"/>
  <c r="AP34" i="14" s="1"/>
  <c r="AP32" i="14"/>
  <c r="AP33" i="14"/>
  <c r="AO35" i="14"/>
  <c r="AP35" i="14" s="1"/>
  <c r="Z30" i="12"/>
  <c r="AB30" i="12" s="1"/>
  <c r="J37" i="12"/>
  <c r="N37" i="12" s="1"/>
  <c r="AB35" i="12"/>
  <c r="Z36" i="12"/>
  <c r="V37" i="12"/>
  <c r="W37" i="12"/>
  <c r="AA36" i="12"/>
  <c r="O20" i="11"/>
  <c r="N20" i="11"/>
  <c r="N26" i="11"/>
  <c r="K28" i="6"/>
  <c r="N30" i="11"/>
  <c r="N29" i="11"/>
  <c r="N28" i="11"/>
  <c r="N27" i="11"/>
  <c r="N25" i="11"/>
  <c r="O24" i="11"/>
  <c r="N24" i="11"/>
  <c r="F24" i="11"/>
  <c r="H24" i="11" s="1"/>
  <c r="J24" i="11" s="1"/>
  <c r="E24" i="11"/>
  <c r="G24" i="11" s="1"/>
  <c r="I24" i="11" s="1"/>
  <c r="O23" i="11"/>
  <c r="N23" i="11"/>
  <c r="F23" i="11"/>
  <c r="H23" i="11" s="1"/>
  <c r="J23" i="11" s="1"/>
  <c r="D58" i="11" s="1"/>
  <c r="E23" i="11"/>
  <c r="G23" i="11" s="1"/>
  <c r="I23" i="11" s="1"/>
  <c r="C58" i="11" s="1"/>
  <c r="O22" i="11"/>
  <c r="N22" i="11"/>
  <c r="F22" i="11"/>
  <c r="H22" i="11" s="1"/>
  <c r="J22" i="11" s="1"/>
  <c r="E22" i="11"/>
  <c r="G22" i="11" s="1"/>
  <c r="I22" i="11" s="1"/>
  <c r="C57" i="11" s="1"/>
  <c r="F21" i="11"/>
  <c r="H21" i="11" s="1"/>
  <c r="J21" i="11" s="1"/>
  <c r="E21" i="11"/>
  <c r="G21" i="11" s="1"/>
  <c r="I21" i="11" s="1"/>
  <c r="F51" i="18" l="1"/>
  <c r="E51" i="18"/>
  <c r="D51" i="18"/>
  <c r="F50" i="18"/>
  <c r="E50" i="18"/>
  <c r="D50" i="18"/>
  <c r="D17" i="11"/>
  <c r="K31" i="11"/>
  <c r="K21" i="11"/>
  <c r="K30" i="11"/>
  <c r="E35" i="11"/>
  <c r="E31" i="11" s="1"/>
  <c r="G31" i="11" s="1"/>
  <c r="F31" i="11"/>
  <c r="H31" i="11" s="1"/>
  <c r="J31" i="11" s="1"/>
  <c r="C59" i="11"/>
  <c r="D57" i="11"/>
  <c r="D59" i="11"/>
  <c r="V31" i="12"/>
  <c r="S31" i="12"/>
  <c r="T31" i="12" s="1"/>
  <c r="X31" i="12" s="1"/>
  <c r="AA31" i="12" s="1"/>
  <c r="J31" i="12"/>
  <c r="N31" i="12" s="1"/>
  <c r="I31" i="12"/>
  <c r="M31" i="12" s="1"/>
  <c r="L31" i="12"/>
  <c r="K31" i="12"/>
  <c r="I37" i="12"/>
  <c r="M37" i="12" s="1"/>
  <c r="K37" i="12"/>
  <c r="S37" i="12"/>
  <c r="T37" i="12" s="1"/>
  <c r="X37" i="12" s="1"/>
  <c r="AA37" i="12" s="1"/>
  <c r="L37" i="12"/>
  <c r="S38" i="12"/>
  <c r="K38" i="12"/>
  <c r="V38" i="12"/>
  <c r="AB36" i="12"/>
  <c r="L38" i="12"/>
  <c r="I38" i="12"/>
  <c r="M38" i="12" s="1"/>
  <c r="J38" i="12"/>
  <c r="N38" i="12" s="1"/>
  <c r="W38" i="12"/>
  <c r="K23" i="11"/>
  <c r="K22" i="11"/>
  <c r="K29" i="11"/>
  <c r="K25" i="11"/>
  <c r="K28" i="11"/>
  <c r="K27" i="11"/>
  <c r="K26" i="11"/>
  <c r="K24" i="11"/>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O31" i="12" l="1"/>
  <c r="Q31" i="12" s="1"/>
  <c r="P31" i="12"/>
  <c r="R31" i="12" s="1"/>
  <c r="P38" i="12"/>
  <c r="R38" i="12" s="1"/>
  <c r="O38" i="12"/>
  <c r="Q38" i="12" s="1"/>
  <c r="C53" i="11"/>
  <c r="I31" i="11"/>
  <c r="K32" i="11"/>
  <c r="K33" i="11" s="1"/>
  <c r="T32" i="11"/>
  <c r="P37" i="12"/>
  <c r="R37" i="12" s="1"/>
  <c r="O37" i="12"/>
  <c r="Q37" i="12" s="1"/>
  <c r="Z31" i="12"/>
  <c r="AB31" i="12" s="1"/>
  <c r="Z37" i="12"/>
  <c r="AB37" i="12" s="1"/>
  <c r="T38" i="12"/>
  <c r="X38" i="12" s="1"/>
  <c r="Z38" i="12" s="1"/>
  <c r="J39" i="12"/>
  <c r="N39" i="12" s="1"/>
  <c r="V39" i="12"/>
  <c r="W39" i="12"/>
  <c r="R32" i="10"/>
  <c r="I32" i="10"/>
  <c r="J16" i="10"/>
  <c r="N16" i="10" s="1"/>
  <c r="P16" i="10" s="1"/>
  <c r="R16" i="10" s="1"/>
  <c r="L23" i="11"/>
  <c r="P23" i="11" s="1"/>
  <c r="S23" i="11" s="1"/>
  <c r="L24" i="11"/>
  <c r="P24" i="11" s="1"/>
  <c r="R24" i="11" s="1"/>
  <c r="L22" i="11"/>
  <c r="P22" i="11" s="1"/>
  <c r="L21" i="11"/>
  <c r="T21" i="11" s="1"/>
  <c r="L25" i="11"/>
  <c r="R23" i="11"/>
  <c r="G17" i="10"/>
  <c r="J28" i="10"/>
  <c r="N28" i="10" s="1"/>
  <c r="P28" i="10" s="1"/>
  <c r="R28" i="10" s="1"/>
  <c r="J30" i="10"/>
  <c r="N30" i="10" s="1"/>
  <c r="Q30" i="10" s="1"/>
  <c r="R30" i="10" s="1"/>
  <c r="J29" i="10"/>
  <c r="N29" i="10" s="1"/>
  <c r="Q29" i="10" s="1"/>
  <c r="R29" i="10" s="1"/>
  <c r="I17" i="10"/>
  <c r="I31" i="10"/>
  <c r="H17" i="10"/>
  <c r="T33" i="11" l="1"/>
  <c r="K34" i="11"/>
  <c r="T34" i="11" s="1"/>
  <c r="V32" i="12"/>
  <c r="J32" i="12"/>
  <c r="N32" i="12" s="1"/>
  <c r="S32" i="12"/>
  <c r="K32" i="12"/>
  <c r="L32" i="12"/>
  <c r="I32" i="12"/>
  <c r="M32" i="12" s="1"/>
  <c r="I39" i="12"/>
  <c r="M39" i="12" s="1"/>
  <c r="S39" i="12"/>
  <c r="T39" i="12" s="1"/>
  <c r="X39" i="12" s="1"/>
  <c r="AA39" i="12" s="1"/>
  <c r="AA38" i="12"/>
  <c r="AB38" i="12" s="1"/>
  <c r="L39" i="12"/>
  <c r="K39" i="12"/>
  <c r="J40" i="12"/>
  <c r="N40" i="12" s="1"/>
  <c r="V40" i="12"/>
  <c r="W40" i="12"/>
  <c r="I33" i="10"/>
  <c r="R33" i="10" s="1"/>
  <c r="T23" i="11"/>
  <c r="S22" i="11"/>
  <c r="R22" i="11"/>
  <c r="S24" i="11"/>
  <c r="T24" i="11" s="1"/>
  <c r="O28" i="11"/>
  <c r="F27" i="11"/>
  <c r="H27" i="11" s="1"/>
  <c r="J27" i="11" s="1"/>
  <c r="O27" i="11"/>
  <c r="E27" i="11"/>
  <c r="G27" i="11" s="1"/>
  <c r="I27" i="11" s="1"/>
  <c r="F26" i="11"/>
  <c r="H26" i="11" s="1"/>
  <c r="J26" i="11" s="1"/>
  <c r="E26" i="11"/>
  <c r="G26" i="11" s="1"/>
  <c r="I26" i="11" s="1"/>
  <c r="L28" i="11"/>
  <c r="F28" i="11"/>
  <c r="H28" i="11" s="1"/>
  <c r="J28" i="11" s="1"/>
  <c r="E28" i="11"/>
  <c r="G28" i="11" s="1"/>
  <c r="I28" i="11" s="1"/>
  <c r="O26" i="11"/>
  <c r="E25" i="11"/>
  <c r="G25" i="11" s="1"/>
  <c r="I25" i="11" s="1"/>
  <c r="C60" i="11" s="1"/>
  <c r="F25" i="11"/>
  <c r="H25" i="11" s="1"/>
  <c r="J25" i="11" s="1"/>
  <c r="D60" i="11" s="1"/>
  <c r="O25" i="11"/>
  <c r="L29" i="11"/>
  <c r="F29" i="11"/>
  <c r="H29" i="11" s="1"/>
  <c r="J29" i="11" s="1"/>
  <c r="O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J59" i="9" s="1"/>
  <c r="N59" i="9" s="1"/>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P32" i="12" l="1"/>
  <c r="R32" i="12" s="1"/>
  <c r="Q39" i="12"/>
  <c r="O39" i="12"/>
  <c r="L76" i="9"/>
  <c r="P39" i="12"/>
  <c r="R39" i="12" s="1"/>
  <c r="C51" i="11"/>
  <c r="I29" i="11"/>
  <c r="Q32" i="12"/>
  <c r="O32" i="12"/>
  <c r="T32" i="12"/>
  <c r="X32" i="12" s="1"/>
  <c r="AA32" i="12" s="1"/>
  <c r="T33" i="12"/>
  <c r="X33" i="12" s="1"/>
  <c r="S40" i="12"/>
  <c r="T40" i="12" s="1"/>
  <c r="X40" i="12" s="1"/>
  <c r="Z40" i="12" s="1"/>
  <c r="Z39" i="12"/>
  <c r="AB39" i="12" s="1"/>
  <c r="J41" i="12"/>
  <c r="N41" i="12" s="1"/>
  <c r="I40" i="12"/>
  <c r="M40" i="12" s="1"/>
  <c r="K40" i="12"/>
  <c r="L40" i="12"/>
  <c r="V41" i="12"/>
  <c r="W41" i="12"/>
  <c r="T22" i="11"/>
  <c r="L26" i="11"/>
  <c r="L27" i="11"/>
  <c r="P27" i="11" s="1"/>
  <c r="R27" i="11" s="1"/>
  <c r="P29" i="11"/>
  <c r="R29" i="11" s="1"/>
  <c r="P28" i="11"/>
  <c r="R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7" i="8" s="1"/>
  <c r="M15" i="8"/>
  <c r="M14" i="8"/>
  <c r="E14" i="9" l="1"/>
  <c r="E15" i="9" s="1"/>
  <c r="E16" i="9" s="1"/>
  <c r="E17" i="9" s="1"/>
  <c r="E18" i="9" s="1"/>
  <c r="L18" i="9" s="1"/>
  <c r="R40" i="12"/>
  <c r="P40" i="12"/>
  <c r="O40" i="12"/>
  <c r="Q40" i="12" s="1"/>
  <c r="Z32" i="12"/>
  <c r="AB32" i="12" s="1"/>
  <c r="AA33" i="12"/>
  <c r="Z33" i="12"/>
  <c r="AA40" i="12"/>
  <c r="AB40" i="12" s="1"/>
  <c r="I41" i="12"/>
  <c r="M41" i="12" s="1"/>
  <c r="K41" i="12"/>
  <c r="S41" i="12"/>
  <c r="T41" i="12" s="1"/>
  <c r="X41" i="12" s="1"/>
  <c r="AA41" i="12" s="1"/>
  <c r="L41" i="12"/>
  <c r="V42" i="12"/>
  <c r="V47" i="12"/>
  <c r="K42" i="12"/>
  <c r="W42" i="12"/>
  <c r="W47" i="12"/>
  <c r="I42" i="12"/>
  <c r="M42" i="12" s="1"/>
  <c r="J42" i="12"/>
  <c r="N42" i="12" s="1"/>
  <c r="L42" i="12"/>
  <c r="S42" i="12"/>
  <c r="W43" i="12"/>
  <c r="S27" i="11"/>
  <c r="T27" i="11" s="1"/>
  <c r="M16" i="8"/>
  <c r="M18" i="8" s="1"/>
  <c r="S29" i="11"/>
  <c r="T29" i="11" s="1"/>
  <c r="S28" i="11"/>
  <c r="T28" i="11" s="1"/>
  <c r="P26" i="11"/>
  <c r="P25" i="11"/>
  <c r="H20" i="10"/>
  <c r="G20" i="10"/>
  <c r="I20" i="10"/>
  <c r="J20" i="10" s="1"/>
  <c r="N20" i="10" s="1"/>
  <c r="P20" i="10" s="1"/>
  <c r="R20" i="10" s="1"/>
  <c r="L61" i="9"/>
  <c r="E19" i="9"/>
  <c r="L19" i="9" s="1"/>
  <c r="G13" i="9"/>
  <c r="L16" i="9"/>
  <c r="L17" i="9"/>
  <c r="L15"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L14" i="9" l="1"/>
  <c r="F14" i="9" s="1"/>
  <c r="G14" i="9" s="1"/>
  <c r="P42" i="12"/>
  <c r="R42" i="12" s="1"/>
  <c r="Q41" i="12"/>
  <c r="O41" i="12"/>
  <c r="P41" i="12"/>
  <c r="R41" i="12" s="1"/>
  <c r="O42" i="12"/>
  <c r="Q42" i="12" s="1"/>
  <c r="AB33" i="12"/>
  <c r="Z41" i="12"/>
  <c r="AB41" i="12" s="1"/>
  <c r="T42" i="12"/>
  <c r="X42" i="12" s="1"/>
  <c r="AA42" i="12" s="1"/>
  <c r="J43" i="12"/>
  <c r="N43" i="12" s="1"/>
  <c r="V43" i="12"/>
  <c r="W44" i="12"/>
  <c r="S25" i="11"/>
  <c r="R25" i="11"/>
  <c r="S26" i="11"/>
  <c r="R26" i="11"/>
  <c r="H21" i="10"/>
  <c r="G21" i="10"/>
  <c r="H22" i="10"/>
  <c r="I21" i="10"/>
  <c r="J21" i="10" s="1"/>
  <c r="N21" i="10" s="1"/>
  <c r="Q21" i="10" s="1"/>
  <c r="R21" i="10" s="1"/>
  <c r="H61" i="9"/>
  <c r="I61" i="9"/>
  <c r="L62" i="9"/>
  <c r="G61" i="9"/>
  <c r="E20" i="9"/>
  <c r="L20" i="9" s="1"/>
  <c r="F20" i="9" s="1"/>
  <c r="I14" i="9"/>
  <c r="F16" i="9"/>
  <c r="F17" i="9" s="1"/>
  <c r="E21" i="9"/>
  <c r="L21" i="9" s="1"/>
  <c r="N10" i="8"/>
  <c r="M13" i="8"/>
  <c r="K4" i="8"/>
  <c r="N9" i="8"/>
  <c r="K13" i="8"/>
  <c r="I13" i="8"/>
  <c r="L13" i="8"/>
  <c r="J13" i="8"/>
  <c r="K11" i="8"/>
  <c r="M11" i="8"/>
  <c r="N11" i="8" s="1"/>
  <c r="L11" i="8"/>
  <c r="I11" i="8"/>
  <c r="J11" i="8"/>
  <c r="O71" i="6"/>
  <c r="F18" i="9" l="1"/>
  <c r="F19" i="9" s="1"/>
  <c r="I17" i="9"/>
  <c r="H17" i="9"/>
  <c r="G17" i="9"/>
  <c r="F15" i="9"/>
  <c r="H14" i="9"/>
  <c r="N13" i="8"/>
  <c r="B22" i="8" s="1"/>
  <c r="Z42" i="12"/>
  <c r="AB42" i="12" s="1"/>
  <c r="K43" i="12"/>
  <c r="I43" i="12"/>
  <c r="M43" i="12" s="1"/>
  <c r="J44" i="12"/>
  <c r="N44" i="12" s="1"/>
  <c r="L43" i="12"/>
  <c r="S43" i="12"/>
  <c r="T43" i="12" s="1"/>
  <c r="X43" i="12" s="1"/>
  <c r="AA43" i="12" s="1"/>
  <c r="V44" i="12"/>
  <c r="W46" i="12"/>
  <c r="W45" i="12"/>
  <c r="T26" i="11"/>
  <c r="T25" i="11"/>
  <c r="G22" i="10"/>
  <c r="I22" i="10"/>
  <c r="J22" i="10" s="1"/>
  <c r="N22" i="10" s="1"/>
  <c r="P22" i="10" s="1"/>
  <c r="R22" i="10" s="1"/>
  <c r="J61" i="9"/>
  <c r="N61" i="9" s="1"/>
  <c r="I62" i="9"/>
  <c r="J62" i="9" s="1"/>
  <c r="H62" i="9"/>
  <c r="L63" i="9"/>
  <c r="G63" i="9" s="1"/>
  <c r="G62" i="9"/>
  <c r="H16" i="9"/>
  <c r="I16" i="9"/>
  <c r="G16" i="9"/>
  <c r="E22" i="9"/>
  <c r="F21" i="9"/>
  <c r="I18" i="9"/>
  <c r="H18" i="9"/>
  <c r="G18" i="9"/>
  <c r="N12" i="8"/>
  <c r="N14" i="8"/>
  <c r="D71" i="6"/>
  <c r="M33" i="7"/>
  <c r="D62" i="6"/>
  <c r="L74" i="6"/>
  <c r="H70" i="6"/>
  <c r="J18" i="9" l="1"/>
  <c r="N18" i="9" s="1"/>
  <c r="J16" i="9"/>
  <c r="N16" i="9" s="1"/>
  <c r="G15" i="9"/>
  <c r="I15" i="9"/>
  <c r="J15" i="9" s="1"/>
  <c r="M15" i="9" s="1"/>
  <c r="H15" i="9"/>
  <c r="O43" i="12"/>
  <c r="Q43" i="12" s="1"/>
  <c r="P43" i="12"/>
  <c r="R43" i="12" s="1"/>
  <c r="Q13" i="8"/>
  <c r="P99" i="6"/>
  <c r="R99" i="6"/>
  <c r="N99" i="6"/>
  <c r="L71" i="6"/>
  <c r="S44" i="12"/>
  <c r="T44" i="12" s="1"/>
  <c r="X44" i="12" s="1"/>
  <c r="AA44" i="12" s="1"/>
  <c r="I44" i="12"/>
  <c r="M44" i="12" s="1"/>
  <c r="K44" i="12"/>
  <c r="Z43" i="12"/>
  <c r="AB43" i="12" s="1"/>
  <c r="L44" i="12"/>
  <c r="V45" i="12"/>
  <c r="V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Q14" i="8"/>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N36" i="7" s="1"/>
  <c r="K36" i="7"/>
  <c r="J36" i="7"/>
  <c r="I36" i="7"/>
  <c r="H36" i="7"/>
  <c r="M35" i="7"/>
  <c r="K35" i="7"/>
  <c r="J35" i="7"/>
  <c r="I35" i="7"/>
  <c r="H35" i="7"/>
  <c r="M34" i="7"/>
  <c r="N35" i="7" s="1"/>
  <c r="K34" i="7"/>
  <c r="J34" i="7"/>
  <c r="I34" i="7"/>
  <c r="H34" i="7"/>
  <c r="N33" i="7"/>
  <c r="K33" i="7"/>
  <c r="J33" i="7"/>
  <c r="I33" i="7"/>
  <c r="H33" i="7"/>
  <c r="M26" i="7"/>
  <c r="N26" i="7" s="1"/>
  <c r="K26" i="7"/>
  <c r="J26" i="7"/>
  <c r="I26" i="7"/>
  <c r="H26" i="7"/>
  <c r="M25" i="7"/>
  <c r="K25" i="7"/>
  <c r="J25" i="7"/>
  <c r="I25" i="7"/>
  <c r="H25" i="7"/>
  <c r="M24" i="7"/>
  <c r="K24" i="7"/>
  <c r="J24" i="7"/>
  <c r="I24" i="7"/>
  <c r="H24" i="7"/>
  <c r="M23" i="7"/>
  <c r="K23" i="7"/>
  <c r="J23" i="7"/>
  <c r="I23" i="7"/>
  <c r="H23" i="7"/>
  <c r="M22" i="7"/>
  <c r="N22" i="7" s="1"/>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N13" i="7" s="1"/>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N37" i="7" l="1"/>
  <c r="P44" i="12"/>
  <c r="R44" i="12" s="1"/>
  <c r="N25" i="7"/>
  <c r="O44" i="12"/>
  <c r="Q44" i="12" s="1"/>
  <c r="O99" i="6"/>
  <c r="O100" i="6"/>
  <c r="S99" i="6"/>
  <c r="S100" i="6"/>
  <c r="Q99" i="6"/>
  <c r="Q100" i="6"/>
  <c r="N20" i="7"/>
  <c r="N10" i="7"/>
  <c r="N14" i="7"/>
  <c r="N21" i="7"/>
  <c r="N40" i="7"/>
  <c r="N43" i="7"/>
  <c r="N41" i="7"/>
  <c r="N8" i="7"/>
  <c r="N38" i="7"/>
  <c r="N42" i="7"/>
  <c r="J45" i="12"/>
  <c r="N45" i="12" s="1"/>
  <c r="I45" i="12"/>
  <c r="M45" i="12" s="1"/>
  <c r="S45" i="12"/>
  <c r="T45" i="12" s="1"/>
  <c r="X45" i="12" s="1"/>
  <c r="Z45" i="12" s="1"/>
  <c r="L45" i="12"/>
  <c r="L46" i="12"/>
  <c r="I46" i="12"/>
  <c r="M46" i="12" s="1"/>
  <c r="S46" i="12"/>
  <c r="J46" i="12"/>
  <c r="N46" i="12" s="1"/>
  <c r="K46" i="12"/>
  <c r="Z44" i="12"/>
  <c r="AB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J44" i="7"/>
  <c r="N11" i="7"/>
  <c r="N23" i="7"/>
  <c r="N34" i="7"/>
  <c r="O37" i="7" s="1"/>
  <c r="N39" i="7"/>
  <c r="O41" i="7" s="1"/>
  <c r="K44" i="7"/>
  <c r="H44" i="7"/>
  <c r="M44" i="7"/>
  <c r="N44" i="7" s="1"/>
  <c r="F24" i="9" l="1"/>
  <c r="O14" i="7"/>
  <c r="O46" i="12"/>
  <c r="Q46" i="12" s="1"/>
  <c r="R45" i="12"/>
  <c r="P45" i="12"/>
  <c r="O22" i="7"/>
  <c r="P46" i="12"/>
  <c r="R46" i="12" s="1"/>
  <c r="O10" i="7"/>
  <c r="O45" i="12"/>
  <c r="Q45" i="12" s="1"/>
  <c r="O26" i="7"/>
  <c r="Q44" i="7"/>
  <c r="T46" i="12"/>
  <c r="X46" i="12" s="1"/>
  <c r="Z46" i="12" s="1"/>
  <c r="AA45" i="12"/>
  <c r="AB45" i="12" s="1"/>
  <c r="S50" i="12"/>
  <c r="S52" i="12" s="1"/>
  <c r="S53" i="12" s="1"/>
  <c r="K47" i="12"/>
  <c r="I47" i="12"/>
  <c r="M47" i="12" s="1"/>
  <c r="J47" i="12"/>
  <c r="N47" i="12" s="1"/>
  <c r="L47" i="12"/>
  <c r="S47" i="12"/>
  <c r="T47" i="12" s="1"/>
  <c r="X47" i="12" s="1"/>
  <c r="Z47" i="12" s="1"/>
  <c r="J48" i="12"/>
  <c r="N48" i="12" s="1"/>
  <c r="K48" i="12"/>
  <c r="L48" i="12"/>
  <c r="S48" i="12"/>
  <c r="I48" i="12"/>
  <c r="M48" i="12" s="1"/>
  <c r="H25" i="10"/>
  <c r="I25" i="10"/>
  <c r="J25" i="10" s="1"/>
  <c r="N25" i="10" s="1"/>
  <c r="Q25" i="10" s="1"/>
  <c r="R25" i="10" s="1"/>
  <c r="G25" i="10"/>
  <c r="L66" i="9"/>
  <c r="I65" i="9"/>
  <c r="J65" i="9" s="1"/>
  <c r="N65" i="9" s="1"/>
  <c r="H65" i="9"/>
  <c r="E25" i="9"/>
  <c r="L24" i="9"/>
  <c r="I21" i="9"/>
  <c r="G21" i="9"/>
  <c r="H21" i="9"/>
  <c r="Q38" i="7"/>
  <c r="Q35" i="7"/>
  <c r="Q39" i="7"/>
  <c r="N45" i="7"/>
  <c r="Q43" i="7"/>
  <c r="R43" i="7" s="1"/>
  <c r="Q36" i="7"/>
  <c r="Q40" i="7"/>
  <c r="J46" i="7"/>
  <c r="I46" i="7"/>
  <c r="C47" i="7"/>
  <c r="M46" i="7"/>
  <c r="N46" i="7" s="1"/>
  <c r="H46" i="7"/>
  <c r="K46" i="7"/>
  <c r="Q37" i="7"/>
  <c r="Q41" i="7"/>
  <c r="Q42" i="7"/>
  <c r="Q34" i="7"/>
  <c r="O48" i="12" l="1"/>
  <c r="Q48" i="12" s="1"/>
  <c r="P48" i="12"/>
  <c r="R48" i="12" s="1"/>
  <c r="P47" i="12"/>
  <c r="R47" i="12" s="1"/>
  <c r="J21" i="9"/>
  <c r="M21" i="9" s="1"/>
  <c r="O47" i="12"/>
  <c r="Q47" i="12" s="1"/>
  <c r="Q45" i="7"/>
  <c r="R44" i="7"/>
  <c r="R45" i="7" s="1"/>
  <c r="R46" i="7" s="1"/>
  <c r="R47" i="7" s="1"/>
  <c r="AA46" i="12"/>
  <c r="AB46" i="12" s="1"/>
  <c r="T48" i="12"/>
  <c r="X48" i="12" s="1"/>
  <c r="AA47" i="12"/>
  <c r="AB47" i="12" s="1"/>
  <c r="P52" i="12"/>
  <c r="J49" i="12"/>
  <c r="N49" i="12" s="1"/>
  <c r="K49" i="12"/>
  <c r="I49" i="12"/>
  <c r="M49" i="12" s="1"/>
  <c r="L49" i="12"/>
  <c r="S49" i="12"/>
  <c r="T49" i="12" s="1"/>
  <c r="X49" i="12" s="1"/>
  <c r="H26" i="10"/>
  <c r="I26" i="10"/>
  <c r="G26" i="10"/>
  <c r="H66" i="9"/>
  <c r="I66" i="9"/>
  <c r="J66" i="9" s="1"/>
  <c r="M66" i="9"/>
  <c r="G66" i="9"/>
  <c r="L67" i="9"/>
  <c r="E26" i="9"/>
  <c r="L25" i="9"/>
  <c r="F25" i="9" s="1"/>
  <c r="G22" i="9"/>
  <c r="H22" i="9"/>
  <c r="I22" i="9"/>
  <c r="J22" i="9" s="1"/>
  <c r="N22" i="9" s="1"/>
  <c r="Q46" i="7"/>
  <c r="I47" i="7"/>
  <c r="C48" i="7"/>
  <c r="M47" i="7"/>
  <c r="N47" i="7" s="1"/>
  <c r="Q47" i="7" s="1"/>
  <c r="H47" i="7"/>
  <c r="K47" i="7"/>
  <c r="J47" i="7"/>
  <c r="R48" i="7" l="1"/>
  <c r="P49" i="12"/>
  <c r="R49" i="12" s="1"/>
  <c r="O49" i="12"/>
  <c r="Q49" i="12" s="1"/>
  <c r="AA49" i="12"/>
  <c r="Z49" i="12"/>
  <c r="AA48" i="12"/>
  <c r="Z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P53" i="12" l="1"/>
  <c r="AB48" i="12"/>
  <c r="AB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H49" i="7"/>
  <c r="Q49" i="7"/>
  <c r="R49" i="7"/>
  <c r="R50" i="7" s="1"/>
  <c r="Q48" i="7"/>
  <c r="L70" i="9" l="1"/>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H72" i="9"/>
  <c r="M72" i="9"/>
  <c r="G28" i="9"/>
  <c r="I28" i="9"/>
  <c r="J28" i="9" s="1"/>
  <c r="H28" i="9"/>
  <c r="K53" i="7"/>
  <c r="J53" i="7"/>
  <c r="I53" i="7"/>
  <c r="C54" i="7"/>
  <c r="M53" i="7"/>
  <c r="N53" i="7" s="1"/>
  <c r="Q53" i="7" s="1"/>
  <c r="H53" i="7"/>
  <c r="R53" i="7"/>
  <c r="R54" i="7" s="1"/>
  <c r="I73" i="9" l="1"/>
  <c r="J73" i="9" s="1"/>
  <c r="N73" i="9" s="1"/>
  <c r="N81" i="9" s="1"/>
  <c r="H73" i="9"/>
  <c r="G74" i="9"/>
  <c r="L74" i="9"/>
  <c r="G29" i="9"/>
  <c r="I29" i="9"/>
  <c r="J29" i="9" s="1"/>
  <c r="H29" i="9"/>
  <c r="R55" i="7"/>
  <c r="J54" i="7"/>
  <c r="I54" i="7"/>
  <c r="C55" i="7"/>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78" i="9" s="1"/>
  <c r="J58" i="7"/>
  <c r="I58" i="7"/>
  <c r="C59" i="7"/>
  <c r="R59" i="7" s="1"/>
  <c r="M58" i="7"/>
  <c r="N58" i="7" s="1"/>
  <c r="Q58" i="7" s="1"/>
  <c r="H58" i="7"/>
  <c r="K58" i="7"/>
  <c r="I59" i="7" l="1"/>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s="1"/>
  <c r="J66" i="7" l="1"/>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s="1"/>
  <c r="J70" i="7" l="1"/>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L94" i="6" s="1"/>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H35" i="6" l="1"/>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7" i="9" s="1"/>
  <c r="J36" i="9"/>
  <c r="J30" i="9"/>
  <c r="J31" i="9" s="1"/>
  <c r="R30" i="11" l="1"/>
  <c r="E30" i="11"/>
  <c r="G30" i="11" s="1"/>
  <c r="F30" i="11"/>
  <c r="H30" i="11" s="1"/>
  <c r="J30" i="11" s="1"/>
  <c r="L30" i="11"/>
  <c r="P30" i="11" s="1"/>
  <c r="O30" i="11"/>
  <c r="S30" i="11"/>
  <c r="I30" i="11" l="1"/>
  <c r="C52" i="11"/>
  <c r="T30" i="11"/>
  <c r="L73" i="15"/>
  <c r="F72" i="15"/>
  <c r="D74" i="15"/>
  <c r="L72" i="15"/>
  <c r="K72" i="15"/>
  <c r="K73" i="15"/>
  <c r="M72" i="15" l="1"/>
  <c r="N72" i="15" s="1"/>
  <c r="M73" i="15"/>
  <c r="N73" i="15" s="1"/>
  <c r="K74" i="15"/>
  <c r="N74" i="15" s="1"/>
  <c r="M71" i="15"/>
  <c r="N71" i="15" s="1"/>
  <c r="L74" i="15"/>
</calcChain>
</file>

<file path=xl/sharedStrings.xml><?xml version="1.0" encoding="utf-8"?>
<sst xmlns="http://schemas.openxmlformats.org/spreadsheetml/2006/main" count="1057" uniqueCount="391">
  <si>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</si>
  <si>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</si>
  <si>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</si>
  <si>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</si>
  <si>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</si>
  <si>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</si>
  <si>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</si>
  <si>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</si>
  <si>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</si>
  <si>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</si>
  <si>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</si>
  <si>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</si>
  <si>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</si>
  <si>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</si>
  <si>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</si>
  <si>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</si>
  <si>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</si>
  <si>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</si>
  <si>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</si>
  <si>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</si>
  <si>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</si>
  <si>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</si>
  <si>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</si>
  <si>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</si>
  <si>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</si>
  <si>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</si>
  <si>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</si>
  <si>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</si>
  <si>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</si>
  <si>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</si>
  <si>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</si>
  <si>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</si>
  <si>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</si>
  <si>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</si>
  <si>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</si>
  <si>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</si>
  <si>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</si>
  <si>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</si>
  <si>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</si>
  <si>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</si>
  <si>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</si>
  <si>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</si>
  <si>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</si>
  <si>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</si>
  <si>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</si>
  <si>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</si>
  <si>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</si>
  <si>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</si>
  <si>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</si>
  <si>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</si>
  <si>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</si>
  <si>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</si>
  <si>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</si>
  <si>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</si>
  <si>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</si>
  <si>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</si>
  <si>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</si>
  <si>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</si>
  <si>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</si>
  <si>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</si>
  <si>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</si>
  <si>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</si>
  <si>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</si>
  <si>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</si>
  <si>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</si>
  <si>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</si>
  <si>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</si>
  <si>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</si>
  <si>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</si>
  <si>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</si>
  <si>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</si>
  <si>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</si>
  <si>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</si>
  <si>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</si>
  <si>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</si>
  <si>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</si>
  <si>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</si>
  <si>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</si>
  <si>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</si>
  <si>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</si>
  <si>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</si>
  <si>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</si>
  <si>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</si>
  <si>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</si>
  <si>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</si>
  <si>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</si>
  <si>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</si>
  <si>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</si>
  <si>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</si>
  <si>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</si>
  <si>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</si>
  <si>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</si>
  <si>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</si>
  <si>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</si>
  <si>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</si>
  <si>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</si>
  <si>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</si>
  <si>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</si>
  <si>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</si>
  <si>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</si>
  <si>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</si>
  <si>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</si>
  <si>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</si>
  <si>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</si>
  <si>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</si>
  <si>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</si>
  <si>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</si>
  <si>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</si>
  <si>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</si>
  <si>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</si>
  <si>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</si>
  <si>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</si>
  <si>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i|1</t>
  </si>
  <si>
    <t>i|0</t>
  </si>
  <si>
    <t>Index (Same Units)</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</si>
  <si>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</si>
  <si>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</si>
  <si>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</si>
  <si>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</si>
  <si>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</si>
  <si>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</si>
  <si>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</si>
  <si>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</si>
  <si>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</si>
  <si>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</si>
  <si>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</si>
  <si>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</si>
  <si>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</si>
  <si>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</si>
  <si>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</si>
  <si>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</si>
  <si>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</si>
  <si>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</si>
  <si>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</si>
  <si>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</si>
  <si>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</si>
  <si>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</si>
  <si>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</si>
  <si>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</si>
  <si>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</si>
  <si>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</si>
  <si>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</si>
  <si>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</si>
  <si>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</si>
  <si>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</si>
  <si>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</si>
  <si>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</si>
  <si>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</si>
  <si>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</si>
  <si>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</si>
  <si>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</si>
  <si>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</si>
  <si>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</si>
  <si>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</si>
  <si>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</si>
  <si>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</si>
  <si>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</si>
  <si>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</si>
  <si>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</si>
  <si>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</si>
  <si>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</si>
  <si>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</si>
  <si>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</si>
  <si>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</si>
  <si>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</si>
  <si>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</si>
  <si>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</si>
  <si>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</si>
  <si>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</si>
  <si>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</si>
  <si>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</si>
  <si>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</si>
  <si>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</si>
  <si>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</si>
  <si>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"Jeffrey R. Immelt to remain CEO of GE, Jan 1, 2014?"</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</si>
  <si>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</si>
  <si>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</si>
  <si>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</si>
  <si>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</si>
  <si>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</si>
  <si>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</si>
  <si>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</si>
  <si>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This market believes that the GE share price would be higher under Immelt's leadership. Which CEOs aren't pulling their weight?</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</si>
  <si>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</si>
  <si>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</si>
  <si>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</si>
  <si>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</si>
  <si>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</si>
  <si>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</si>
  <si>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</si>
  <si>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</si>
  <si>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</si>
  <si>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</si>
  <si>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</si>
  <si>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</si>
  <si>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</si>
  <si>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</si>
  <si>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</si>
  <si>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</si>
  <si>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</si>
  <si>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</si>
  <si>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</si>
  <si>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</si>
  <si>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</si>
  <si>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</si>
  <si>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</si>
  <si>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</si>
  <si>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</si>
  <si>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</si>
  <si>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</si>
  <si>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</si>
  <si>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</si>
  <si>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</si>
  <si>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</si>
  <si>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</si>
  <si>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</si>
  <si>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</si>
  <si>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</si>
  <si>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</si>
  <si>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</si>
  <si>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</si>
  <si>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Value of each Share (if expired in this state)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</si>
  <si>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</si>
  <si>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</si>
  <si>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</si>
  <si>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</si>
  <si>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</si>
  <si>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</si>
  <si>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</si>
  <si>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</si>
  <si>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</si>
  <si>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Total value across all Shares is always "scale":</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</si>
  <si>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</si>
  <si>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</si>
  <si>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</si>
  <si>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</si>
  <si>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</si>
  <si>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</si>
  <si>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</si>
  <si>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</si>
  <si>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</si>
  <si>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</si>
  <si>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</si>
  <si>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</si>
  <si>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</si>
  <si>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</si>
  <si>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</si>
  <si>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</si>
  <si>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</si>
  <si>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</si>
  <si>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</si>
  <si>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</si>
  <si>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</si>
  <si>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</si>
  <si>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</si>
  <si>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</si>
  <si>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V(0)</t>
  </si>
  <si>
    <t>v(12000)</t>
  </si>
  <si>
    <t>Buy this to "short" the DJIA.</t>
  </si>
  <si>
    <t>Buy this to "go long" on the DJIA.</t>
  </si>
  <si>
    <t>"What will the Dow Jones Industrial Average closing price be on Feb 13th, 2014? (two decimal places, rounded, USD/DJIA)"</t>
  </si>
  <si>
    <t>"What will the NYSE:GE closing price be on May 2nd, 2014? (three decimal places, rounded, USD/Share)"</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</si>
  <si>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</si>
  <si>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</si>
  <si>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</si>
  <si>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</si>
  <si>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</si>
  <si>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</si>
  <si>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</si>
  <si>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</si>
  <si>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</si>
  <si>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</si>
  <si>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</si>
  <si>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</si>
  <si>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</si>
  <si>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</si>
  <si>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</si>
  <si>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</si>
  <si>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</si>
  <si>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</si>
  <si>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</si>
  <si>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</si>
  <si>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</si>
  <si>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</si>
  <si>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</si>
  <si>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</si>
  <si>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</si>
  <si>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</si>
  <si>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</si>
  <si>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If(0,0)</t>
  </si>
  <si>
    <t>If(0,1)</t>
  </si>
  <si>
    <t>If(1,0)</t>
  </si>
  <si>
    <t>If(1,1)</t>
  </si>
  <si>
    <t>Benefit</t>
  </si>
  <si>
    <t>b-independent Cost</t>
  </si>
  <si>
    <t>b-indep Return</t>
  </si>
  <si>
    <t>What if NOT Mitt Romney?</t>
  </si>
  <si>
    <t>Expected Return</t>
  </si>
  <si>
    <t>What if Mitt Romney?</t>
  </si>
  <si>
    <t>Expected Total Return</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</si>
  <si>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</si>
  <si>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</si>
  <si>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</si>
  <si>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</si>
  <si>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</si>
  <si>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</si>
  <si>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"How many rainy or snowy days will there be in New York City in 2015?"</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</si>
  <si>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</si>
  <si>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</si>
  <si>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</si>
  <si>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</si>
  <si>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</si>
  <si>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</si>
  <si>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</si>
  <si>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</si>
  <si>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</si>
  <si>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</si>
  <si>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</si>
  <si>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</si>
  <si>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</si>
  <si>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</si>
  <si>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</si>
  <si>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</si>
  <si>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</si>
  <si>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</si>
  <si>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</si>
  <si>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</si>
  <si>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</si>
  <si>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</si>
  <si>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</si>
  <si>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</si>
  <si>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</si>
  <si>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</si>
  <si>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</si>
  <si>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</si>
  <si>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</si>
  <si>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</si>
  <si>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</si>
  <si>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</si>
  <si>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</si>
  <si>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</si>
  <si>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</si>
  <si>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</si>
  <si>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</si>
  <si>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</si>
  <si>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</si>
  <si>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</si>
  <si>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</si>
  <si>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</si>
  <si>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</si>
  <si>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</si>
  <si>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</si>
  <si>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</si>
  <si>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</si>
  <si>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</si>
  <si>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</si>
  <si>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</si>
  <si>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</si>
  <si>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</si>
  <si>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</si>
  <si>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</si>
  <si>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</si>
  <si>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Getting the refund if NOT Mitt Romney.</t>
  </si>
  <si>
    <t>P(War|.)</t>
  </si>
  <si>
    <t>P(Romney|.)</t>
  </si>
  <si>
    <t>Shares bought:</t>
  </si>
  <si>
    <t>Old Probabilities</t>
  </si>
  <si>
    <t>New Probabilities</t>
  </si>
  <si>
    <t>Two Possible Worlds</t>
  </si>
  <si>
    <t>Not Romney*</t>
  </si>
  <si>
    <t>P(Not War)</t>
  </si>
  <si>
    <t>P(War)</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</si>
  <si>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</si>
  <si>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</si>
  <si>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</si>
  <si>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</si>
  <si>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</si>
  <si>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</si>
  <si>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</si>
  <si>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*This is the case we are interested in: Someone bet "If Mitt Romney…" yet reality gave us the counterfactual.</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</si>
  <si>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</si>
  <si>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</si>
  <si>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</si>
  <si>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</si>
  <si>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</si>
  <si>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</si>
  <si>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</si>
  <si>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</si>
  <si>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</si>
  <si>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</si>
  <si>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(This logically implies that the non-Romney candidate is coorespondingly 'more war').</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</si>
</sst>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s>
  <fonts count="28"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s>
  <fills count="29">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s>
  <borders count="8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897">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2" fontId="0" fillId="13" borderId="39" xfId="1" applyNumberFormat="1" applyFont="1" applyFill="1" applyBorder="1" applyAlignment="1"/>
    <xf numFmtId="2" fontId="0" fillId="13" borderId="22" xfId="1" applyNumberFormat="1" applyFont="1" applyFill="1" applyBorder="1" applyAlignment="1"/>
    <xf numFmtId="2" fontId="0" fillId="13" borderId="41" xfId="1" applyNumberFormat="1" applyFont="1" applyFill="1" applyBorder="1" applyAlignment="1"/>
    <xf numFmtId="2" fontId="0" fillId="13" borderId="19" xfId="1" applyNumberFormat="1" applyFont="1" applyFill="1" applyBorder="1" applyAlignment="1"/>
    <xf numFmtId="0" fontId="0" fillId="14" borderId="14" xfId="0" applyFill="1" applyBorder="1" applyAlignment="1">
      <alignment horizontal="center"/>
    </xf>
    <xf numFmtId="2" fontId="0" fillId="14" borderId="39" xfId="1" applyNumberFormat="1" applyFont="1" applyFill="1" applyBorder="1" applyAlignment="1"/>
    <xf numFmtId="2" fontId="0" fillId="14" borderId="22" xfId="1" applyNumberFormat="1" applyFont="1" applyFill="1" applyBorder="1" applyAlignment="1"/>
    <xf numFmtId="2" fontId="0" fillId="14" borderId="41" xfId="1" applyNumberFormat="1" applyFont="1" applyFill="1" applyBorder="1" applyAlignment="1"/>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6" borderId="6" xfId="1" applyNumberFormat="1" applyFon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2" fontId="0" fillId="5" borderId="5"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6" borderId="4" xfId="1" applyNumberFormat="1" applyFon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2" fontId="0" fillId="5" borderId="3"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2" fontId="0" fillId="14" borderId="23" xfId="1" applyNumberFormat="1" applyFont="1"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5" borderId="13"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2" fontId="0" fillId="6" borderId="14"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167" fontId="0" fillId="5" borderId="3" xfId="0" applyNumberFormat="1" applyFill="1" applyBorder="1" applyAlignment="1">
      <alignment horizontal="center"/>
    </xf>
    <xf numFmtId="167" fontId="0" fillId="3" borderId="7"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7" fontId="0" fillId="5" borderId="5" xfId="0" applyNumberFormat="1" applyFill="1" applyBorder="1" applyAlignment="1">
      <alignment horizontal="center"/>
    </xf>
    <xf numFmtId="167" fontId="0" fillId="3" borderId="0"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5" borderId="13" xfId="0" applyNumberFormat="1" applyFill="1" applyBorder="1" applyAlignment="1">
      <alignment horizontal="center"/>
    </xf>
    <xf numFmtId="167" fontId="0" fillId="3" borderId="8" xfId="1" applyNumberFormat="1" applyFont="1" applyFill="1" applyBorder="1" applyAlignment="1">
      <alignment horizontal="center"/>
    </xf>
    <xf numFmtId="167" fontId="0" fillId="5" borderId="38" xfId="0" applyNumberFormat="1" applyFill="1" applyBorder="1" applyAlignment="1">
      <alignment horizontal="center"/>
    </xf>
    <xf numFmtId="167" fontId="0" fillId="3" borderId="23"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10" fontId="0" fillId="23" borderId="0" xfId="1" applyNumberFormat="1" applyFont="1" applyFill="1" applyBorder="1"/>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0"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3" fillId="8" borderId="59" xfId="0" applyFont="1" applyFill="1" applyBorder="1" applyAlignment="1">
      <alignment horizontal="center" vertical="center" wrapText="1"/>
    </xf>
    <xf numFmtId="0" fontId="3" fillId="8" borderId="61" xfId="0" applyFont="1" applyFill="1" applyBorder="1" applyAlignment="1">
      <alignment horizontal="center" vertical="center" wrapText="1"/>
    </xf>
    <xf numFmtId="0" fontId="0" fillId="0" borderId="0" xfId="0" applyBorder="1" applyAlignment="1">
      <alignment horizontal="center"/>
    </xf>
    <xf numFmtId="0" fontId="0" fillId="0" borderId="23" xfId="0" applyBorder="1" applyAlignment="1">
      <alignment horizontal="center"/>
    </xf>
    <xf numFmtId="0" fontId="0" fillId="21" borderId="0" xfId="0" applyFill="1" applyAlignment="1">
      <alignment horizontal="center"/>
    </xf>
    <xf numFmtId="0" fontId="1" fillId="0" borderId="0" xfId="0" applyFont="1" applyFill="1" applyBorder="1" applyAlignment="1">
      <alignment horizontal="center"/>
    </xf>
    <xf numFmtId="0" fontId="1" fillId="0" borderId="0" xfId="0" applyFont="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F41CC"/>
      <color rgb="FF72F278"/>
      <color rgb="FF088236"/>
      <color rgb="FFB8FA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layout/>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ser>
        <c:dLbls>
          <c:showLegendKey val="0"/>
          <c:showVal val="0"/>
          <c:showCatName val="0"/>
          <c:showSerName val="0"/>
          <c:showPercent val="0"/>
          <c:showBubbleSize val="0"/>
        </c:dLbls>
        <c:marker val="1"/>
        <c:smooth val="0"/>
        <c:axId val="177444352"/>
        <c:axId val="177289408"/>
      </c:lineChart>
      <c:catAx>
        <c:axId val="177444352"/>
        <c:scaling>
          <c:orientation val="minMax"/>
        </c:scaling>
        <c:delete val="0"/>
        <c:axPos val="b"/>
        <c:majorTickMark val="out"/>
        <c:minorTickMark val="none"/>
        <c:tickLblPos val="nextTo"/>
        <c:crossAx val="177289408"/>
        <c:crosses val="autoZero"/>
        <c:auto val="1"/>
        <c:lblAlgn val="ctr"/>
        <c:lblOffset val="100"/>
        <c:noMultiLvlLbl val="0"/>
      </c:catAx>
      <c:valAx>
        <c:axId val="177289408"/>
        <c:scaling>
          <c:orientation val="minMax"/>
          <c:max val="1"/>
        </c:scaling>
        <c:delete val="0"/>
        <c:axPos val="l"/>
        <c:majorGridlines/>
        <c:numFmt formatCode="0.0%" sourceLinked="1"/>
        <c:majorTickMark val="out"/>
        <c:minorTickMark val="none"/>
        <c:tickLblPos val="nextTo"/>
        <c:crossAx val="1774443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ser>
        <c:dLbls>
          <c:showLegendKey val="0"/>
          <c:showVal val="0"/>
          <c:showCatName val="0"/>
          <c:showSerName val="0"/>
          <c:showPercent val="0"/>
          <c:showBubbleSize val="0"/>
        </c:dLbls>
        <c:marker val="1"/>
        <c:smooth val="0"/>
        <c:axId val="177446400"/>
        <c:axId val="177562176"/>
      </c:lineChart>
      <c:catAx>
        <c:axId val="177446400"/>
        <c:scaling>
          <c:orientation val="minMax"/>
        </c:scaling>
        <c:delete val="0"/>
        <c:axPos val="b"/>
        <c:majorTickMark val="out"/>
        <c:minorTickMark val="none"/>
        <c:tickLblPos val="nextTo"/>
        <c:crossAx val="177562176"/>
        <c:crosses val="autoZero"/>
        <c:auto val="1"/>
        <c:lblAlgn val="ctr"/>
        <c:lblOffset val="100"/>
        <c:noMultiLvlLbl val="0"/>
      </c:catAx>
      <c:valAx>
        <c:axId val="177562176"/>
        <c:scaling>
          <c:orientation val="minMax"/>
          <c:max val="1"/>
        </c:scaling>
        <c:delete val="0"/>
        <c:axPos val="l"/>
        <c:majorGridlines/>
        <c:numFmt formatCode="0%" sourceLinked="1"/>
        <c:majorTickMark val="out"/>
        <c:minorTickMark val="none"/>
        <c:tickLblPos val="nextTo"/>
        <c:crossAx val="1774464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ser>
        <c:ser>
          <c:idx val="1"/>
          <c:order val="1"/>
          <c:tx>
            <c:strRef>
              <c:f>LMSR!$AQ$68</c:f>
              <c:strCache>
                <c:ptCount val="1"/>
              </c:strCache>
            </c:strRef>
          </c:tx>
          <c:val>
            <c:numRef>
              <c:f>LMSR!$AQ$69:$AQ$75</c:f>
              <c:numCache>
                <c:formatCode>0.0%</c:formatCode>
                <c:ptCount val="7"/>
              </c:numCache>
            </c:numRef>
          </c:val>
          <c:smooth val="0"/>
        </c:ser>
        <c:ser>
          <c:idx val="2"/>
          <c:order val="2"/>
          <c:tx>
            <c:strRef>
              <c:f>LMSR!$AR$68</c:f>
              <c:strCache>
                <c:ptCount val="1"/>
              </c:strCache>
            </c:strRef>
          </c:tx>
          <c:val>
            <c:numRef>
              <c:f>LMSR!$AR$69:$AR$75</c:f>
              <c:numCache>
                <c:formatCode>0.0%</c:formatCode>
                <c:ptCount val="7"/>
              </c:numCache>
            </c:numRef>
          </c:val>
          <c:smooth val="0"/>
        </c:ser>
        <c:ser>
          <c:idx val="3"/>
          <c:order val="3"/>
          <c:tx>
            <c:strRef>
              <c:f>LMSR!$AS$68</c:f>
              <c:strCache>
                <c:ptCount val="1"/>
              </c:strCache>
            </c:strRef>
          </c:tx>
          <c:val>
            <c:numRef>
              <c:f>LMSR!$AS$69:$AS$75</c:f>
              <c:numCache>
                <c:formatCode>0.0%</c:formatCode>
                <c:ptCount val="7"/>
              </c:numCache>
            </c:numRef>
          </c:val>
          <c:smooth val="0"/>
        </c:ser>
        <c:dLbls>
          <c:showLegendKey val="0"/>
          <c:showVal val="0"/>
          <c:showCatName val="0"/>
          <c:showSerName val="0"/>
          <c:showPercent val="0"/>
          <c:showBubbleSize val="0"/>
        </c:dLbls>
        <c:marker val="1"/>
        <c:smooth val="0"/>
        <c:axId val="177522176"/>
        <c:axId val="177564480"/>
      </c:lineChart>
      <c:catAx>
        <c:axId val="177522176"/>
        <c:scaling>
          <c:orientation val="minMax"/>
        </c:scaling>
        <c:delete val="0"/>
        <c:axPos val="b"/>
        <c:majorTickMark val="out"/>
        <c:minorTickMark val="none"/>
        <c:tickLblPos val="nextTo"/>
        <c:crossAx val="177564480"/>
        <c:crosses val="autoZero"/>
        <c:auto val="1"/>
        <c:lblAlgn val="ctr"/>
        <c:lblOffset val="100"/>
        <c:noMultiLvlLbl val="0"/>
      </c:catAx>
      <c:valAx>
        <c:axId val="177564480"/>
        <c:scaling>
          <c:orientation val="minMax"/>
        </c:scaling>
        <c:delete val="0"/>
        <c:axPos val="l"/>
        <c:majorGridlines/>
        <c:numFmt formatCode="0.0%" sourceLinked="1"/>
        <c:majorTickMark val="out"/>
        <c:minorTickMark val="none"/>
        <c:tickLblPos val="nextTo"/>
        <c:crossAx val="17752217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ser>
        <c:dLbls>
          <c:showLegendKey val="0"/>
          <c:showVal val="0"/>
          <c:showCatName val="0"/>
          <c:showSerName val="0"/>
          <c:showPercent val="0"/>
          <c:showBubbleSize val="0"/>
        </c:dLbls>
        <c:marker val="1"/>
        <c:smooth val="0"/>
        <c:axId val="177523200"/>
        <c:axId val="177566784"/>
      </c:lineChart>
      <c:catAx>
        <c:axId val="177523200"/>
        <c:scaling>
          <c:orientation val="minMax"/>
        </c:scaling>
        <c:delete val="0"/>
        <c:axPos val="b"/>
        <c:majorTickMark val="out"/>
        <c:minorTickMark val="none"/>
        <c:tickLblPos val="nextTo"/>
        <c:crossAx val="177566784"/>
        <c:crosses val="autoZero"/>
        <c:auto val="1"/>
        <c:lblAlgn val="ctr"/>
        <c:lblOffset val="100"/>
        <c:noMultiLvlLbl val="0"/>
      </c:catAx>
      <c:valAx>
        <c:axId val="177566784"/>
        <c:scaling>
          <c:orientation val="minMax"/>
          <c:max val="1"/>
        </c:scaling>
        <c:delete val="0"/>
        <c:axPos val="l"/>
        <c:majorGridlines/>
        <c:numFmt formatCode="0.0%" sourceLinked="1"/>
        <c:majorTickMark val="out"/>
        <c:minorTickMark val="none"/>
        <c:tickLblPos val="nextTo"/>
        <c:crossAx val="177523200"/>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layout/>
      <c:overlay val="0"/>
    </c:title>
    <c:autoTitleDeleted val="0"/>
    <c:plotArea>
      <c:layout/>
      <c:lineChart>
        <c:grouping val="standard"/>
        <c:varyColors val="0"/>
        <c:ser>
          <c:idx val="0"/>
          <c:order val="0"/>
          <c:marker>
            <c:symbol val="none"/>
          </c:marker>
          <c:val>
            <c:numRef>
              <c:f>'Scaled Claims'!$J$21:$J$31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ser>
        <c:dLbls>
          <c:showLegendKey val="0"/>
          <c:showVal val="0"/>
          <c:showCatName val="0"/>
          <c:showSerName val="0"/>
          <c:showPercent val="0"/>
          <c:showBubbleSize val="0"/>
        </c:dLbls>
        <c:marker val="1"/>
        <c:smooth val="0"/>
        <c:axId val="177445888"/>
        <c:axId val="177568512"/>
      </c:lineChart>
      <c:catAx>
        <c:axId val="177445888"/>
        <c:scaling>
          <c:orientation val="minMax"/>
        </c:scaling>
        <c:delete val="0"/>
        <c:axPos val="b"/>
        <c:majorTickMark val="out"/>
        <c:minorTickMark val="none"/>
        <c:tickLblPos val="nextTo"/>
        <c:crossAx val="177568512"/>
        <c:crosses val="autoZero"/>
        <c:auto val="1"/>
        <c:lblAlgn val="ctr"/>
        <c:lblOffset val="100"/>
        <c:noMultiLvlLbl val="0"/>
      </c:catAx>
      <c:valAx>
        <c:axId val="177568512"/>
        <c:scaling>
          <c:orientation val="minMax"/>
          <c:max val="20000"/>
          <c:min val="8000"/>
        </c:scaling>
        <c:delete val="0"/>
        <c:axPos val="l"/>
        <c:majorGridlines/>
        <c:numFmt formatCode="0.00" sourceLinked="1"/>
        <c:majorTickMark val="out"/>
        <c:minorTickMark val="none"/>
        <c:tickLblPos val="nextTo"/>
        <c:crossAx val="177445888"/>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5/02/2014</a:t>
            </a:r>
            <a:endParaRPr lang="en-US"/>
          </a:p>
        </c:rich>
      </c:tx>
      <c:overlay val="0"/>
    </c:title>
    <c:autoTitleDeleted val="0"/>
    <c:plotArea>
      <c:layout/>
      <c:lineChart>
        <c:grouping val="standard"/>
        <c:varyColors val="0"/>
        <c:ser>
          <c:idx val="0"/>
          <c:order val="0"/>
          <c:tx>
            <c:v>Not Remain CEO</c:v>
          </c:tx>
          <c:marker>
            <c:symbol val="none"/>
          </c:marker>
          <c:val>
            <c:numRef>
              <c:f>'Conditional Scaled'!$Q$25:$Q$50</c:f>
              <c:numCache>
                <c:formatCode>0.00</c:formatCode>
                <c:ptCount val="26"/>
                <c:pt idx="0">
                  <c:v>14</c:v>
                </c:pt>
                <c:pt idx="1">
                  <c:v>14</c:v>
                </c:pt>
                <c:pt idx="2">
                  <c:v>12.507763978740845</c:v>
                </c:pt>
                <c:pt idx="3">
                  <c:v>12.488243051364041</c:v>
                </c:pt>
                <c:pt idx="4">
                  <c:v>12.202863876572136</c:v>
                </c:pt>
                <c:pt idx="5">
                  <c:v>13.402882664067638</c:v>
                </c:pt>
                <c:pt idx="6">
                  <c:v>13.636149060484239</c:v>
                </c:pt>
                <c:pt idx="7">
                  <c:v>13.847361448131251</c:v>
                </c:pt>
                <c:pt idx="8">
                  <c:v>13.804039419765317</c:v>
                </c:pt>
                <c:pt idx="9">
                  <c:v>13.832366346243052</c:v>
                </c:pt>
                <c:pt idx="10">
                  <c:v>14.087238978785885</c:v>
                </c:pt>
                <c:pt idx="11">
                  <c:v>14.337463858773638</c:v>
                </c:pt>
                <c:pt idx="12">
                  <c:v>13.78058545959855</c:v>
                </c:pt>
                <c:pt idx="13">
                  <c:v>12.944251327136239</c:v>
                </c:pt>
                <c:pt idx="14">
                  <c:v>13.408711982523624</c:v>
                </c:pt>
                <c:pt idx="15">
                  <c:v>14.437738983065348</c:v>
                </c:pt>
                <c:pt idx="16">
                  <c:v>18.879359904383719</c:v>
                </c:pt>
                <c:pt idx="17">
                  <c:v>17.7370547167525</c:v>
                </c:pt>
                <c:pt idx="18">
                  <c:v>17.847657513803043</c:v>
                </c:pt>
                <c:pt idx="19">
                  <c:v>19.267813237924955</c:v>
                </c:pt>
                <c:pt idx="20">
                  <c:v>18.959703228775318</c:v>
                </c:pt>
                <c:pt idx="21">
                  <c:v>2.0000006462172233</c:v>
                </c:pt>
                <c:pt idx="22">
                  <c:v>2.0000004815811518</c:v>
                </c:pt>
                <c:pt idx="23">
                  <c:v>2.0000003497438068</c:v>
                </c:pt>
                <c:pt idx="24">
                  <c:v>2.0000002473845933</c:v>
                </c:pt>
                <c:pt idx="25">
                  <c:v>2</c:v>
                </c:pt>
              </c:numCache>
            </c:numRef>
          </c:val>
          <c:smooth val="0"/>
        </c:ser>
        <c:ser>
          <c:idx val="1"/>
          <c:order val="1"/>
          <c:tx>
            <c:v>Remain CEO</c:v>
          </c:tx>
          <c:marker>
            <c:symbol val="none"/>
          </c:marker>
          <c:val>
            <c:numRef>
              <c:f>'Conditional Scaled'!$R$25:$R$50</c:f>
              <c:numCache>
                <c:formatCode>0.00</c:formatCode>
                <c:ptCount val="26"/>
                <c:pt idx="0">
                  <c:v>14</c:v>
                </c:pt>
                <c:pt idx="1">
                  <c:v>14</c:v>
                </c:pt>
                <c:pt idx="2">
                  <c:v>15.492236021259156</c:v>
                </c:pt>
                <c:pt idx="3">
                  <c:v>15.467170654350019</c:v>
                </c:pt>
                <c:pt idx="4">
                  <c:v>15.100736540523842</c:v>
                </c:pt>
                <c:pt idx="5">
                  <c:v>16.641591164170876</c:v>
                </c:pt>
                <c:pt idx="6">
                  <c:v>16.941111146028945</c:v>
                </c:pt>
                <c:pt idx="7">
                  <c:v>17.212313220087015</c:v>
                </c:pt>
                <c:pt idx="8">
                  <c:v>17.156686634562686</c:v>
                </c:pt>
                <c:pt idx="9">
                  <c:v>17.193059128136742</c:v>
                </c:pt>
                <c:pt idx="10">
                  <c:v>17.520322066339858</c:v>
                </c:pt>
                <c:pt idx="11">
                  <c:v>17.841617172131773</c:v>
                </c:pt>
                <c:pt idx="12">
                  <c:v>17.126571153586575</c:v>
                </c:pt>
                <c:pt idx="13">
                  <c:v>16.052696870661482</c:v>
                </c:pt>
                <c:pt idx="14">
                  <c:v>16.649076157230326</c:v>
                </c:pt>
                <c:pt idx="15">
                  <c:v>17.970372980383846</c:v>
                </c:pt>
                <c:pt idx="16">
                  <c:v>23.673527134648666</c:v>
                </c:pt>
                <c:pt idx="17">
                  <c:v>22.206778240115916</c:v>
                </c:pt>
                <c:pt idx="18">
                  <c:v>22.348795042685573</c:v>
                </c:pt>
                <c:pt idx="19">
                  <c:v>24.172311088112693</c:v>
                </c:pt>
                <c:pt idx="20">
                  <c:v>23.77669000522852</c:v>
                </c:pt>
                <c:pt idx="21">
                  <c:v>17.609346495756078</c:v>
                </c:pt>
                <c:pt idx="22">
                  <c:v>21.178865544368293</c:v>
                </c:pt>
                <c:pt idx="23">
                  <c:v>24.964167553067245</c:v>
                </c:pt>
                <c:pt idx="24">
                  <c:v>28.780616094604319</c:v>
                </c:pt>
                <c:pt idx="25">
                  <c:v>26.704999999999998</c:v>
                </c:pt>
              </c:numCache>
            </c:numRef>
          </c:val>
          <c:smooth val="0"/>
        </c:ser>
        <c:dLbls>
          <c:showLegendKey val="0"/>
          <c:showVal val="0"/>
          <c:showCatName val="0"/>
          <c:showSerName val="0"/>
          <c:showPercent val="0"/>
          <c:showBubbleSize val="0"/>
        </c:dLbls>
        <c:marker val="1"/>
        <c:smooth val="0"/>
        <c:axId val="185200128"/>
        <c:axId val="186155584"/>
      </c:lineChart>
      <c:catAx>
        <c:axId val="185200128"/>
        <c:scaling>
          <c:orientation val="minMax"/>
        </c:scaling>
        <c:delete val="0"/>
        <c:axPos val="b"/>
        <c:majorTickMark val="out"/>
        <c:minorTickMark val="none"/>
        <c:tickLblPos val="nextTo"/>
        <c:crossAx val="186155584"/>
        <c:crosses val="autoZero"/>
        <c:auto val="1"/>
        <c:lblAlgn val="ctr"/>
        <c:lblOffset val="100"/>
        <c:noMultiLvlLbl val="0"/>
      </c:catAx>
      <c:valAx>
        <c:axId val="186155584"/>
        <c:scaling>
          <c:orientation val="minMax"/>
          <c:max val="50"/>
          <c:min val="2"/>
        </c:scaling>
        <c:delete val="0"/>
        <c:axPos val="l"/>
        <c:majorGridlines/>
        <c:numFmt formatCode="0.00" sourceLinked="1"/>
        <c:majorTickMark val="out"/>
        <c:minorTickMark val="none"/>
        <c:tickLblPos val="nextTo"/>
        <c:crossAx val="18520012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Scaled'!$V$28</c:f>
              <c:strCache>
                <c:ptCount val="1"/>
                <c:pt idx="0">
                  <c:v>V(50,:)</c:v>
                </c:pt>
              </c:strCache>
            </c:strRef>
          </c:tx>
          <c:val>
            <c:numRef>
              <c:f>'MV Scaled'!$V$29:$V$38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26.78</c:v>
                </c:pt>
              </c:numCache>
            </c:numRef>
          </c:val>
          <c:smooth val="0"/>
        </c:ser>
        <c:dLbls>
          <c:showLegendKey val="0"/>
          <c:showVal val="0"/>
          <c:showCatName val="0"/>
          <c:showSerName val="0"/>
          <c:showPercent val="0"/>
          <c:showBubbleSize val="0"/>
        </c:dLbls>
        <c:marker val="1"/>
        <c:smooth val="0"/>
        <c:axId val="190789120"/>
        <c:axId val="186157888"/>
      </c:lineChart>
      <c:catAx>
        <c:axId val="190789120"/>
        <c:scaling>
          <c:orientation val="minMax"/>
        </c:scaling>
        <c:delete val="0"/>
        <c:axPos val="b"/>
        <c:majorTickMark val="out"/>
        <c:minorTickMark val="none"/>
        <c:tickLblPos val="nextTo"/>
        <c:crossAx val="186157888"/>
        <c:crosses val="autoZero"/>
        <c:auto val="1"/>
        <c:lblAlgn val="ctr"/>
        <c:lblOffset val="100"/>
        <c:noMultiLvlLbl val="0"/>
      </c:catAx>
      <c:valAx>
        <c:axId val="186157888"/>
        <c:scaling>
          <c:orientation val="minMax"/>
        </c:scaling>
        <c:delete val="0"/>
        <c:axPos val="l"/>
        <c:majorGridlines/>
        <c:numFmt formatCode="0.00" sourceLinked="1"/>
        <c:majorTickMark val="out"/>
        <c:minorTickMark val="none"/>
        <c:tickLblPos val="nextTo"/>
        <c:crossAx val="190789120"/>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Scaled'!$X$28</c:f>
              <c:strCache>
                <c:ptCount val="1"/>
                <c:pt idx="0">
                  <c:v>V(:,255)</c:v>
                </c:pt>
              </c:strCache>
            </c:strRef>
          </c:tx>
          <c:val>
            <c:numRef>
              <c:f>'MV Scaled'!$X$29:$X$38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90</c:v>
                </c:pt>
              </c:numCache>
            </c:numRef>
          </c:val>
          <c:smooth val="0"/>
        </c:ser>
        <c:dLbls>
          <c:showLegendKey val="0"/>
          <c:showVal val="0"/>
          <c:showCatName val="0"/>
          <c:showSerName val="0"/>
          <c:showPercent val="0"/>
          <c:showBubbleSize val="0"/>
        </c:dLbls>
        <c:marker val="1"/>
        <c:smooth val="0"/>
        <c:axId val="190790144"/>
        <c:axId val="186159616"/>
      </c:lineChart>
      <c:catAx>
        <c:axId val="190790144"/>
        <c:scaling>
          <c:orientation val="minMax"/>
        </c:scaling>
        <c:delete val="0"/>
        <c:axPos val="b"/>
        <c:majorTickMark val="out"/>
        <c:minorTickMark val="none"/>
        <c:tickLblPos val="nextTo"/>
        <c:crossAx val="186159616"/>
        <c:crosses val="autoZero"/>
        <c:auto val="1"/>
        <c:lblAlgn val="ctr"/>
        <c:lblOffset val="100"/>
        <c:noMultiLvlLbl val="0"/>
      </c:catAx>
      <c:valAx>
        <c:axId val="186159616"/>
        <c:scaling>
          <c:orientation val="minMax"/>
        </c:scaling>
        <c:delete val="0"/>
        <c:axPos val="l"/>
        <c:majorGridlines/>
        <c:numFmt formatCode="0.00" sourceLinked="1"/>
        <c:majorTickMark val="out"/>
        <c:minorTickMark val="none"/>
        <c:tickLblPos val="nextTo"/>
        <c:crossAx val="190790144"/>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LongVariability!$N$80</c:f>
              <c:strCache>
                <c:ptCount val="1"/>
                <c:pt idx="0">
                  <c:v>Short Var</c:v>
                </c:pt>
              </c:strCache>
            </c:strRef>
          </c:tx>
          <c:xVal>
            <c:numRef>
              <c:f>LongVariability!$M$81:$M$85</c:f>
              <c:numCache>
                <c:formatCode>0.00</c:formatCode>
                <c:ptCount val="5"/>
                <c:pt idx="0">
                  <c:v>65</c:v>
                </c:pt>
                <c:pt idx="1">
                  <c:v>95</c:v>
                </c:pt>
                <c:pt idx="2">
                  <c:v>105</c:v>
                </c:pt>
                <c:pt idx="3">
                  <c:v>120</c:v>
                </c:pt>
                <c:pt idx="4">
                  <c:v>145</c:v>
                </c:pt>
              </c:numCache>
            </c:numRef>
          </c:xVal>
          <c:yVal>
            <c:numRef>
              <c:f>LongVariability!$N$81:$N$85</c:f>
              <c:numCache>
                <c:formatCode>0%</c:formatCode>
                <c:ptCount val="5"/>
                <c:pt idx="3">
                  <c:v>6.0859600727975929</c:v>
                </c:pt>
                <c:pt idx="4">
                  <c:v>-0.61213325578235889</c:v>
                </c:pt>
              </c:numCache>
            </c:numRef>
          </c:yVal>
          <c:smooth val="0"/>
        </c:ser>
        <c:ser>
          <c:idx val="1"/>
          <c:order val="1"/>
          <c:tx>
            <c:strRef>
              <c:f>LongVariability!$O$80</c:f>
              <c:strCache>
                <c:ptCount val="1"/>
                <c:pt idx="0">
                  <c:v>Long Var</c:v>
                </c:pt>
              </c:strCache>
            </c:strRef>
          </c:tx>
          <c:xVal>
            <c:numRef>
              <c:f>LongVariability!$M$81:$M$85</c:f>
              <c:numCache>
                <c:formatCode>0.00</c:formatCode>
                <c:ptCount val="5"/>
                <c:pt idx="0">
                  <c:v>65</c:v>
                </c:pt>
                <c:pt idx="1">
                  <c:v>95</c:v>
                </c:pt>
                <c:pt idx="2">
                  <c:v>105</c:v>
                </c:pt>
                <c:pt idx="3">
                  <c:v>120</c:v>
                </c:pt>
                <c:pt idx="4">
                  <c:v>145</c:v>
                </c:pt>
              </c:numCache>
            </c:numRef>
          </c:xVal>
          <c:yVal>
            <c:numRef>
              <c:f>LongVariability!$O$81:$O$85</c:f>
              <c:numCache>
                <c:formatCode>0%</c:formatCode>
                <c:ptCount val="5"/>
                <c:pt idx="0">
                  <c:v>-0.84244720133307038</c:v>
                </c:pt>
                <c:pt idx="1">
                  <c:v>-0.45959258390562502</c:v>
                </c:pt>
                <c:pt idx="2">
                  <c:v>-0.28057420203114469</c:v>
                </c:pt>
                <c:pt idx="3">
                  <c:v>4.1207673678905689E-2</c:v>
                </c:pt>
                <c:pt idx="4">
                  <c:v>0.73180503265079544</c:v>
                </c:pt>
              </c:numCache>
            </c:numRef>
          </c:yVal>
          <c:smooth val="0"/>
        </c:ser>
        <c:ser>
          <c:idx val="2"/>
          <c:order val="2"/>
          <c:tx>
            <c:strRef>
              <c:f>LongVariability!$P$80</c:f>
              <c:strCache>
                <c:ptCount val="1"/>
                <c:pt idx="0">
                  <c:v>Short X2</c:v>
                </c:pt>
              </c:strCache>
            </c:strRef>
          </c:tx>
          <c:xVal>
            <c:numRef>
              <c:f>LongVariability!$M$81:$M$85</c:f>
              <c:numCache>
                <c:formatCode>0.00</c:formatCode>
                <c:ptCount val="5"/>
                <c:pt idx="0">
                  <c:v>65</c:v>
                </c:pt>
                <c:pt idx="1">
                  <c:v>95</c:v>
                </c:pt>
                <c:pt idx="2">
                  <c:v>105</c:v>
                </c:pt>
                <c:pt idx="3">
                  <c:v>120</c:v>
                </c:pt>
                <c:pt idx="4">
                  <c:v>145</c:v>
                </c:pt>
              </c:numCache>
            </c:numRef>
          </c:xVal>
          <c:yVal>
            <c:numRef>
              <c:f>LongVariability!$P$81:$P$85</c:f>
              <c:numCache>
                <c:formatCode>0%</c:formatCode>
                <c:ptCount val="5"/>
                <c:pt idx="0">
                  <c:v>0.93386243386243384</c:v>
                </c:pt>
                <c:pt idx="1">
                  <c:v>0.42592592592592621</c:v>
                </c:pt>
                <c:pt idx="2">
                  <c:v>0.21428571428571441</c:v>
                </c:pt>
                <c:pt idx="3">
                  <c:v>-0.14285714285714293</c:v>
                </c:pt>
                <c:pt idx="4">
                  <c:v>-0.84391534391534384</c:v>
                </c:pt>
              </c:numCache>
            </c:numRef>
          </c:yVal>
          <c:smooth val="0"/>
        </c:ser>
        <c:ser>
          <c:idx val="3"/>
          <c:order val="3"/>
          <c:tx>
            <c:strRef>
              <c:f>LongVariability!$Q$80</c:f>
              <c:strCache>
                <c:ptCount val="1"/>
                <c:pt idx="0">
                  <c:v>Long X2</c:v>
                </c:pt>
              </c:strCache>
            </c:strRef>
          </c:tx>
          <c:xVal>
            <c:numRef>
              <c:f>LongVariability!$M$81:$M$85</c:f>
              <c:numCache>
                <c:formatCode>0.00</c:formatCode>
                <c:ptCount val="5"/>
                <c:pt idx="0">
                  <c:v>65</c:v>
                </c:pt>
                <c:pt idx="1">
                  <c:v>95</c:v>
                </c:pt>
                <c:pt idx="2">
                  <c:v>105</c:v>
                </c:pt>
                <c:pt idx="3">
                  <c:v>120</c:v>
                </c:pt>
                <c:pt idx="4">
                  <c:v>145</c:v>
                </c:pt>
              </c:numCache>
            </c:numRef>
          </c:xVal>
          <c:yVal>
            <c:numRef>
              <c:f>LongVariability!$Q$81:$Q$85</c:f>
              <c:numCache>
                <c:formatCode>0%</c:formatCode>
                <c:ptCount val="5"/>
                <c:pt idx="0">
                  <c:v>-0.93386243386243384</c:v>
                </c:pt>
                <c:pt idx="1">
                  <c:v>-0.42592592592592587</c:v>
                </c:pt>
                <c:pt idx="2">
                  <c:v>-0.21428571428571427</c:v>
                </c:pt>
                <c:pt idx="3">
                  <c:v>0.14285714285714293</c:v>
                </c:pt>
                <c:pt idx="4">
                  <c:v>0.84391534391534384</c:v>
                </c:pt>
              </c:numCache>
            </c:numRef>
          </c:yVal>
          <c:smooth val="0"/>
        </c:ser>
        <c:dLbls>
          <c:showLegendKey val="0"/>
          <c:showVal val="0"/>
          <c:showCatName val="0"/>
          <c:showSerName val="0"/>
          <c:showPercent val="0"/>
          <c:showBubbleSize val="0"/>
        </c:dLbls>
        <c:axId val="186161344"/>
        <c:axId val="186161920"/>
      </c:scatterChart>
      <c:valAx>
        <c:axId val="186161344"/>
        <c:scaling>
          <c:orientation val="minMax"/>
          <c:max val="150"/>
          <c:min val="60"/>
        </c:scaling>
        <c:delete val="0"/>
        <c:axPos val="b"/>
        <c:numFmt formatCode="0.00" sourceLinked="1"/>
        <c:majorTickMark val="out"/>
        <c:minorTickMark val="none"/>
        <c:tickLblPos val="nextTo"/>
        <c:crossAx val="186161920"/>
        <c:crosses val="autoZero"/>
        <c:crossBetween val="midCat"/>
      </c:valAx>
      <c:valAx>
        <c:axId val="186161920"/>
        <c:scaling>
          <c:orientation val="minMax"/>
        </c:scaling>
        <c:delete val="0"/>
        <c:axPos val="l"/>
        <c:majorGridlines/>
        <c:numFmt formatCode="0%" sourceLinked="1"/>
        <c:majorTickMark val="out"/>
        <c:minorTickMark val="none"/>
        <c:tickLblPos val="nextTo"/>
        <c:crossAx val="18616134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CounterfactualRefund!$M$22</c:f>
              <c:strCache>
                <c:ptCount val="1"/>
                <c:pt idx="0">
                  <c:v>i=0,0</c:v>
                </c:pt>
              </c:strCache>
            </c:strRef>
          </c:tx>
          <c:marker>
            <c:symbol val="none"/>
          </c:marker>
          <c:val>
            <c:numRef>
              <c:f>CounterfactualRefund!$M$23:$M$36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ser>
        <c:ser>
          <c:idx val="2"/>
          <c:order val="1"/>
          <c:tx>
            <c:strRef>
              <c:f>CounterfactualRefund!$N$22</c:f>
              <c:strCache>
                <c:ptCount val="1"/>
                <c:pt idx="0">
                  <c:v>i=0,1</c:v>
                </c:pt>
              </c:strCache>
            </c:strRef>
          </c:tx>
          <c:marker>
            <c:symbol val="none"/>
          </c:marker>
          <c:val>
            <c:numRef>
              <c:f>CounterfactualRefund!$N$23:$N$36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ser>
        <c:ser>
          <c:idx val="3"/>
          <c:order val="2"/>
          <c:tx>
            <c:strRef>
              <c:f>CounterfactualRefund!$O$22</c:f>
              <c:strCache>
                <c:ptCount val="1"/>
                <c:pt idx="0">
                  <c:v>i=1,0</c:v>
                </c:pt>
              </c:strCache>
            </c:strRef>
          </c:tx>
          <c:marker>
            <c:symbol val="none"/>
          </c:marker>
          <c:val>
            <c:numRef>
              <c:f>CounterfactualRefund!$O$23:$O$36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ser>
        <c:ser>
          <c:idx val="4"/>
          <c:order val="3"/>
          <c:tx>
            <c:strRef>
              <c:f>CounterfactualRefund!$P$22</c:f>
              <c:strCache>
                <c:ptCount val="1"/>
                <c:pt idx="0">
                  <c:v>i=1,1</c:v>
                </c:pt>
              </c:strCache>
            </c:strRef>
          </c:tx>
          <c:marker>
            <c:symbol val="none"/>
          </c:marker>
          <c:val>
            <c:numRef>
              <c:f>CounterfactualRefund!$P$23:$P$36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ser>
        <c:dLbls>
          <c:showLegendKey val="0"/>
          <c:showVal val="0"/>
          <c:showCatName val="0"/>
          <c:showSerName val="0"/>
          <c:showPercent val="0"/>
          <c:showBubbleSize val="0"/>
        </c:dLbls>
        <c:marker val="1"/>
        <c:smooth val="0"/>
        <c:axId val="191136256"/>
        <c:axId val="191039168"/>
      </c:lineChart>
      <c:catAx>
        <c:axId val="191136256"/>
        <c:scaling>
          <c:orientation val="minMax"/>
        </c:scaling>
        <c:delete val="0"/>
        <c:axPos val="b"/>
        <c:majorTickMark val="out"/>
        <c:minorTickMark val="none"/>
        <c:tickLblPos val="nextTo"/>
        <c:crossAx val="191039168"/>
        <c:crosses val="autoZero"/>
        <c:auto val="1"/>
        <c:lblAlgn val="ctr"/>
        <c:lblOffset val="100"/>
        <c:noMultiLvlLbl val="0"/>
      </c:catAx>
      <c:valAx>
        <c:axId val="191039168"/>
        <c:scaling>
          <c:orientation val="minMax"/>
          <c:max val="1"/>
        </c:scaling>
        <c:delete val="0"/>
        <c:axPos val="l"/>
        <c:majorGridlines/>
        <c:numFmt formatCode="0%" sourceLinked="1"/>
        <c:majorTickMark val="out"/>
        <c:minorTickMark val="none"/>
        <c:tickLblPos val="nextTo"/>
        <c:crossAx val="1911362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layout/>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ser>
        <c:dLbls>
          <c:showLegendKey val="0"/>
          <c:showVal val="0"/>
          <c:showCatName val="0"/>
          <c:showSerName val="0"/>
          <c:showPercent val="0"/>
          <c:showBubbleSize val="0"/>
        </c:dLbls>
        <c:marker val="1"/>
        <c:smooth val="0"/>
        <c:axId val="191137792"/>
        <c:axId val="191041472"/>
      </c:lineChart>
      <c:catAx>
        <c:axId val="191137792"/>
        <c:scaling>
          <c:orientation val="minMax"/>
        </c:scaling>
        <c:delete val="0"/>
        <c:axPos val="b"/>
        <c:majorTickMark val="out"/>
        <c:minorTickMark val="none"/>
        <c:tickLblPos val="nextTo"/>
        <c:crossAx val="191041472"/>
        <c:crosses val="autoZero"/>
        <c:auto val="1"/>
        <c:lblAlgn val="ctr"/>
        <c:lblOffset val="100"/>
        <c:noMultiLvlLbl val="0"/>
      </c:catAx>
      <c:valAx>
        <c:axId val="191041472"/>
        <c:scaling>
          <c:orientation val="minMax"/>
          <c:max val="1000"/>
          <c:min val="0"/>
        </c:scaling>
        <c:delete val="0"/>
        <c:axPos val="l"/>
        <c:majorGridlines/>
        <c:numFmt formatCode="0.00" sourceLinked="1"/>
        <c:majorTickMark val="out"/>
        <c:minorTickMark val="none"/>
        <c:tickLblPos val="nextTo"/>
        <c:crossAx val="191137792"/>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layout/>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ser>
        <c:dLbls>
          <c:showLegendKey val="0"/>
          <c:showVal val="0"/>
          <c:showCatName val="0"/>
          <c:showSerName val="0"/>
          <c:showPercent val="0"/>
          <c:showBubbleSize val="0"/>
        </c:dLbls>
        <c:marker val="1"/>
        <c:smooth val="0"/>
        <c:axId val="191139328"/>
        <c:axId val="191043200"/>
      </c:lineChart>
      <c:catAx>
        <c:axId val="191139328"/>
        <c:scaling>
          <c:orientation val="minMax"/>
        </c:scaling>
        <c:delete val="0"/>
        <c:axPos val="b"/>
        <c:majorTickMark val="out"/>
        <c:minorTickMark val="none"/>
        <c:tickLblPos val="nextTo"/>
        <c:crossAx val="191043200"/>
        <c:crosses val="autoZero"/>
        <c:auto val="1"/>
        <c:lblAlgn val="ctr"/>
        <c:lblOffset val="100"/>
        <c:noMultiLvlLbl val="0"/>
      </c:catAx>
      <c:valAx>
        <c:axId val="191043200"/>
        <c:scaling>
          <c:orientation val="minMax"/>
          <c:max val="1"/>
          <c:min val="0"/>
        </c:scaling>
        <c:delete val="0"/>
        <c:axPos val="l"/>
        <c:majorGridlines/>
        <c:numFmt formatCode="0.0%" sourceLinked="1"/>
        <c:majorTickMark val="out"/>
        <c:minorTickMark val="none"/>
        <c:tickLblPos val="nextTo"/>
        <c:crossAx val="191139328"/>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 contract'!$AM$8</c:f>
              <c:strCache>
                <c:ptCount val="1"/>
              </c:strCache>
            </c:strRef>
          </c:tx>
          <c:val>
            <c:numRef>
              <c:f>'Changing b mid contract'!$AM$9:$AM$15</c:f>
              <c:numCache>
                <c:formatCode>0.0%</c:formatCode>
                <c:ptCount val="7"/>
              </c:numCache>
            </c:numRef>
          </c:val>
          <c:smooth val="0"/>
        </c:ser>
        <c:ser>
          <c:idx val="1"/>
          <c:order val="1"/>
          <c:tx>
            <c:strRef>
              <c:f>'Changing b mid contract'!$AN$8</c:f>
              <c:strCache>
                <c:ptCount val="1"/>
              </c:strCache>
            </c:strRef>
          </c:tx>
          <c:val>
            <c:numRef>
              <c:f>'Changing b mid contract'!$AN$9:$AN$15</c:f>
              <c:numCache>
                <c:formatCode>0.0%</c:formatCode>
                <c:ptCount val="7"/>
              </c:numCache>
            </c:numRef>
          </c:val>
          <c:smooth val="0"/>
        </c:ser>
        <c:ser>
          <c:idx val="2"/>
          <c:order val="2"/>
          <c:tx>
            <c:strRef>
              <c:f>'Changing b mid contract'!$AO$8</c:f>
              <c:strCache>
                <c:ptCount val="1"/>
              </c:strCache>
            </c:strRef>
          </c:tx>
          <c:val>
            <c:numRef>
              <c:f>'Changing b mid contract'!$AO$9:$AO$15</c:f>
              <c:numCache>
                <c:formatCode>0.0%</c:formatCode>
                <c:ptCount val="7"/>
              </c:numCache>
            </c:numRef>
          </c:val>
          <c:smooth val="0"/>
        </c:ser>
        <c:ser>
          <c:idx val="3"/>
          <c:order val="3"/>
          <c:tx>
            <c:strRef>
              <c:f>'Changing b mid contract'!$AP$8</c:f>
              <c:strCache>
                <c:ptCount val="1"/>
              </c:strCache>
            </c:strRef>
          </c:tx>
          <c:val>
            <c:numRef>
              <c:f>'Changing b mid contract'!$AP$9:$AP$15</c:f>
              <c:numCache>
                <c:formatCode>0.0%</c:formatCode>
                <c:ptCount val="7"/>
              </c:numCache>
            </c:numRef>
          </c:val>
          <c:smooth val="0"/>
        </c:ser>
        <c:dLbls>
          <c:showLegendKey val="0"/>
          <c:showVal val="0"/>
          <c:showCatName val="0"/>
          <c:showSerName val="0"/>
          <c:showPercent val="0"/>
          <c:showBubbleSize val="0"/>
        </c:dLbls>
        <c:marker val="1"/>
        <c:smooth val="0"/>
        <c:axId val="191206912"/>
        <c:axId val="190915136"/>
      </c:lineChart>
      <c:catAx>
        <c:axId val="191206912"/>
        <c:scaling>
          <c:orientation val="minMax"/>
        </c:scaling>
        <c:delete val="0"/>
        <c:axPos val="b"/>
        <c:majorTickMark val="out"/>
        <c:minorTickMark val="none"/>
        <c:tickLblPos val="nextTo"/>
        <c:crossAx val="190915136"/>
        <c:crosses val="autoZero"/>
        <c:auto val="1"/>
        <c:lblAlgn val="ctr"/>
        <c:lblOffset val="100"/>
        <c:noMultiLvlLbl val="0"/>
      </c:catAx>
      <c:valAx>
        <c:axId val="190915136"/>
        <c:scaling>
          <c:orientation val="minMax"/>
        </c:scaling>
        <c:delete val="0"/>
        <c:axPos val="l"/>
        <c:majorGridlines/>
        <c:numFmt formatCode="0.0%" sourceLinked="1"/>
        <c:majorTickMark val="out"/>
        <c:minorTickMark val="none"/>
        <c:tickLblPos val="nextTo"/>
        <c:crossAx val="19120691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ser>
        <c:dLbls>
          <c:showLegendKey val="0"/>
          <c:showVal val="0"/>
          <c:showCatName val="0"/>
          <c:showSerName val="0"/>
          <c:showPercent val="0"/>
          <c:showBubbleSize val="0"/>
        </c:dLbls>
        <c:axId val="190917440"/>
        <c:axId val="190918016"/>
      </c:scatterChart>
      <c:valAx>
        <c:axId val="190917440"/>
        <c:scaling>
          <c:orientation val="minMax"/>
        </c:scaling>
        <c:delete val="0"/>
        <c:axPos val="b"/>
        <c:numFmt formatCode="0.0000" sourceLinked="1"/>
        <c:majorTickMark val="out"/>
        <c:minorTickMark val="none"/>
        <c:tickLblPos val="nextTo"/>
        <c:crossAx val="190918016"/>
        <c:crosses val="autoZero"/>
        <c:crossBetween val="midCat"/>
      </c:valAx>
      <c:valAx>
        <c:axId val="190918016"/>
        <c:scaling>
          <c:orientation val="minMax"/>
        </c:scaling>
        <c:delete val="0"/>
        <c:axPos val="l"/>
        <c:majorGridlines/>
        <c:numFmt formatCode="0.0%" sourceLinked="1"/>
        <c:majorTickMark val="out"/>
        <c:minorTickMark val="none"/>
        <c:tickLblPos val="nextTo"/>
        <c:crossAx val="1909174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168087</xdr:colOff>
      <xdr:row>11</xdr:row>
      <xdr:rowOff>221891</xdr:rowOff>
    </xdr:from>
    <xdr:to>
      <xdr:col>37</xdr:col>
      <xdr:colOff>302559</xdr:colOff>
      <xdr:row>28</xdr:row>
      <xdr:rowOff>224117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32</xdr:col>
      <xdr:colOff>22411</xdr:colOff>
      <xdr:row>18</xdr:row>
      <xdr:rowOff>11205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56030</xdr:colOff>
      <xdr:row>86</xdr:row>
      <xdr:rowOff>29135</xdr:rowOff>
    </xdr:from>
    <xdr:to>
      <xdr:col>18</xdr:col>
      <xdr:colOff>616324</xdr:colOff>
      <xdr:row>107</xdr:row>
      <xdr:rowOff>78440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H53"/>
  <sheetViews>
    <sheetView tabSelected="1" zoomScale="85" zoomScaleNormal="85" workbookViewId="0">
      <selection activeCell="J8" sqref="J8"/>
    </sheetView>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54" t="s">
        <v>132</v>
      </c>
      <c r="G2" s="17"/>
      <c r="H2" s="17"/>
      <c r="I2" s="17"/>
      <c r="W2" s="33"/>
    </row>
    <row r="3" spans="1:34" x14ac:dyDescent="0.25">
      <c r="A3" s="7"/>
      <c r="B3" s="7"/>
      <c r="C3" s="7"/>
      <c r="D3" s="7"/>
      <c r="E3" s="17"/>
      <c r="F3" s="252"/>
      <c r="G3" s="191"/>
      <c r="H3" s="17"/>
      <c r="I3" s="17"/>
      <c r="J3"/>
      <c r="N3" t="s">
        <v>134</v>
      </c>
      <c r="W3" s="33"/>
    </row>
    <row r="4" spans="1:34" x14ac:dyDescent="0.25">
      <c r="A4" s="7"/>
      <c r="B4" s="834" t="s">
        <v>166</v>
      </c>
      <c r="C4" s="152" t="s">
        <v>4</v>
      </c>
      <c r="D4" s="278" t="s">
        <v>148</v>
      </c>
      <c r="E4" s="152"/>
      <c r="F4" s="278"/>
      <c r="G4" s="285"/>
      <c r="H4" s="273"/>
      <c r="I4" s="191"/>
      <c r="J4"/>
      <c r="U4" s="33"/>
      <c r="V4" s="33"/>
      <c r="W4" s="33"/>
    </row>
    <row r="5" spans="1:34" x14ac:dyDescent="0.25">
      <c r="A5" s="7"/>
      <c r="B5" s="835"/>
      <c r="C5" s="17" t="s">
        <v>137</v>
      </c>
      <c r="D5" s="17" t="s">
        <v>3</v>
      </c>
      <c r="E5" s="7"/>
      <c r="F5" s="17"/>
      <c r="G5" s="191"/>
      <c r="H5" s="252"/>
      <c r="I5" s="191"/>
      <c r="J5"/>
      <c r="U5" s="33"/>
      <c r="V5" s="33"/>
      <c r="W5" s="33"/>
    </row>
    <row r="6" spans="1:34" x14ac:dyDescent="0.25">
      <c r="A6" s="7"/>
      <c r="B6" s="836"/>
      <c r="C6" s="271" t="s">
        <v>138</v>
      </c>
      <c r="D6" s="271" t="s">
        <v>2</v>
      </c>
      <c r="E6" s="259"/>
      <c r="F6" s="271"/>
      <c r="G6" s="286"/>
      <c r="H6" s="274"/>
      <c r="I6" s="191"/>
      <c r="J6"/>
      <c r="U6" s="33"/>
      <c r="V6" s="33"/>
      <c r="W6" s="33"/>
    </row>
    <row r="7" spans="1:34" ht="15.75" thickBot="1" x14ac:dyDescent="0.3">
      <c r="A7" s="7"/>
      <c r="B7" s="284"/>
      <c r="C7" s="17"/>
      <c r="D7" s="17"/>
      <c r="E7" s="7"/>
      <c r="F7" s="252"/>
      <c r="G7" s="191"/>
      <c r="H7" s="17"/>
      <c r="I7" s="191"/>
      <c r="J7"/>
      <c r="U7" s="33"/>
      <c r="V7" s="33"/>
      <c r="W7" s="33"/>
    </row>
    <row r="8" spans="1:34" x14ac:dyDescent="0.25">
      <c r="A8" s="7"/>
      <c r="B8" s="837" t="s">
        <v>155</v>
      </c>
      <c r="C8" s="287" t="s">
        <v>167</v>
      </c>
      <c r="D8" s="290" t="s">
        <v>168</v>
      </c>
      <c r="E8" s="265" t="s">
        <v>169</v>
      </c>
      <c r="F8" s="265"/>
      <c r="G8" s="180"/>
      <c r="H8" s="17"/>
      <c r="I8" s="191"/>
      <c r="J8"/>
      <c r="U8" s="33"/>
      <c r="V8" s="33"/>
      <c r="W8" s="33"/>
    </row>
    <row r="9" spans="1:34" x14ac:dyDescent="0.25">
      <c r="A9" s="7"/>
      <c r="B9" s="838"/>
      <c r="C9" s="17" t="s">
        <v>142</v>
      </c>
      <c r="D9" s="268">
        <v>2</v>
      </c>
      <c r="E9" s="17" t="s">
        <v>143</v>
      </c>
      <c r="F9" s="7"/>
      <c r="G9" s="291"/>
      <c r="H9" s="17"/>
      <c r="I9" s="191"/>
      <c r="J9"/>
      <c r="U9" s="33"/>
      <c r="V9" s="33"/>
      <c r="W9" s="33"/>
      <c r="AF9" s="7"/>
      <c r="AG9" s="7"/>
      <c r="AH9" s="7"/>
    </row>
    <row r="10" spans="1:34" x14ac:dyDescent="0.25">
      <c r="A10" s="7"/>
      <c r="B10" s="838"/>
      <c r="C10" s="17" t="s">
        <v>5</v>
      </c>
      <c r="D10" s="18">
        <v>7</v>
      </c>
      <c r="E10" s="17" t="s">
        <v>146</v>
      </c>
      <c r="F10" s="7"/>
      <c r="G10" s="291"/>
      <c r="H10" s="17"/>
      <c r="I10" s="191"/>
      <c r="J10"/>
      <c r="U10" s="33"/>
      <c r="V10" s="33"/>
      <c r="W10" s="33"/>
      <c r="AF10" s="7"/>
      <c r="AG10" s="7"/>
      <c r="AH10" s="7"/>
    </row>
    <row r="11" spans="1:34" ht="15.75" thickBot="1" x14ac:dyDescent="0.3">
      <c r="A11" s="7"/>
      <c r="B11" s="839"/>
      <c r="C11" s="168" t="s">
        <v>144</v>
      </c>
      <c r="D11" s="289">
        <f>D10*LN(D9)</f>
        <v>4.8520302639196169</v>
      </c>
      <c r="E11" s="168" t="s">
        <v>145</v>
      </c>
      <c r="F11" s="168"/>
      <c r="G11" s="181"/>
      <c r="H11" s="17"/>
      <c r="I11" s="191"/>
      <c r="J11"/>
      <c r="U11" s="33"/>
      <c r="V11" s="33"/>
      <c r="W11" s="33"/>
      <c r="AF11" s="7"/>
      <c r="AG11" s="7"/>
      <c r="AH11" s="7"/>
    </row>
    <row r="12" spans="1:34" s="7" customFormat="1" ht="15.75" thickBot="1" x14ac:dyDescent="0.3">
      <c r="C12"/>
      <c r="D12"/>
      <c r="E12" s="33"/>
      <c r="F12" s="252"/>
      <c r="G12" s="33"/>
      <c r="H12" s="33"/>
      <c r="I12" s="33"/>
      <c r="J12" s="33"/>
      <c r="K12"/>
      <c r="L12"/>
      <c r="M12"/>
      <c r="N12"/>
      <c r="O12"/>
      <c r="P12"/>
      <c r="Q12"/>
      <c r="R12"/>
      <c r="S12"/>
      <c r="T12" s="8"/>
    </row>
    <row r="13" spans="1:34" s="7" customFormat="1" ht="24.75" customHeight="1" thickBot="1" x14ac:dyDescent="0.35">
      <c r="D13"/>
      <c r="E13" s="208" t="s">
        <v>12</v>
      </c>
      <c r="F13" s="210"/>
      <c r="G13" s="312" t="s">
        <v>13</v>
      </c>
      <c r="H13" s="62"/>
      <c r="I13" s="63" t="s">
        <v>124</v>
      </c>
      <c r="J13" s="253" t="s">
        <v>127</v>
      </c>
      <c r="K13" s="20"/>
      <c r="L13" s="840" t="s">
        <v>98</v>
      </c>
      <c r="M13" s="841"/>
      <c r="N13" s="185" t="s">
        <v>99</v>
      </c>
      <c r="P13" s="7" t="s">
        <v>100</v>
      </c>
      <c r="Q13" s="20"/>
      <c r="R13" s="186" t="s">
        <v>100</v>
      </c>
      <c r="S13" s="20"/>
    </row>
    <row r="14" spans="1:34" s="7" customFormat="1" ht="16.5" thickTop="1" thickBot="1" x14ac:dyDescent="0.3">
      <c r="C14" s="32"/>
      <c r="D14" s="117" t="s">
        <v>45</v>
      </c>
      <c r="E14" s="261" t="s">
        <v>137</v>
      </c>
      <c r="F14" s="262" t="s">
        <v>138</v>
      </c>
      <c r="G14" s="176" t="s">
        <v>137</v>
      </c>
      <c r="H14" s="175" t="s">
        <v>138</v>
      </c>
      <c r="I14" s="309">
        <v>0</v>
      </c>
      <c r="J14" s="43"/>
      <c r="L14" s="182" t="str">
        <f>E14</f>
        <v>a=0</v>
      </c>
      <c r="M14" s="183" t="str">
        <f>F14</f>
        <v>a=1</v>
      </c>
      <c r="R14"/>
    </row>
    <row r="15" spans="1:34" s="7" customFormat="1" ht="18" customHeight="1" thickTop="1" x14ac:dyDescent="0.25">
      <c r="D15" s="25">
        <v>1</v>
      </c>
      <c r="E15" s="214">
        <v>0</v>
      </c>
      <c r="F15" s="308">
        <v>0</v>
      </c>
      <c r="G15" s="307">
        <f t="shared" ref="G15:G30" si="0">EXP(E15/$D$10)/(EXP($F15/$D$10)+EXP($E15/$D$10))</f>
        <v>0.5</v>
      </c>
      <c r="H15" s="79">
        <f t="shared" ref="H15:H30" si="1">EXP(F15/$D$10)/(EXP($F15/$D$10)+EXP($E15/$D$10))</f>
        <v>0.5</v>
      </c>
      <c r="I15" s="320">
        <f t="shared" ref="I15:I31" si="2">$D$10*LN(EXP($F15/$D$10)+EXP($E15/$D$10))</f>
        <v>4.8520302639196169</v>
      </c>
      <c r="J15" s="324">
        <f>(I15-I14)</f>
        <v>4.8520302639196169</v>
      </c>
      <c r="L15" s="116"/>
      <c r="M15" s="102"/>
      <c r="R15"/>
      <c r="X15" s="189"/>
    </row>
    <row r="16" spans="1:34" s="7" customFormat="1" ht="18.75" x14ac:dyDescent="0.3">
      <c r="D16" s="25">
        <v>2</v>
      </c>
      <c r="E16" s="214">
        <v>1</v>
      </c>
      <c r="F16" s="308">
        <v>0</v>
      </c>
      <c r="G16" s="307">
        <f t="shared" si="0"/>
        <v>0.53565367083397153</v>
      </c>
      <c r="H16" s="79">
        <f t="shared" si="1"/>
        <v>0.46434632916602836</v>
      </c>
      <c r="I16" s="320">
        <f t="shared" si="2"/>
        <v>5.3698722427589098</v>
      </c>
      <c r="J16" s="325">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14">
        <v>1</v>
      </c>
      <c r="F17" s="308">
        <v>6</v>
      </c>
      <c r="G17" s="307">
        <f t="shared" si="0"/>
        <v>0.32865254651727005</v>
      </c>
      <c r="H17" s="79">
        <f t="shared" si="1"/>
        <v>0.67134745348273006</v>
      </c>
      <c r="I17" s="320">
        <f t="shared" si="2"/>
        <v>8.7892792311985044</v>
      </c>
      <c r="J17" s="325">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14">
        <v>18</v>
      </c>
      <c r="F18" s="308">
        <v>6</v>
      </c>
      <c r="G18" s="307">
        <f t="shared" si="0"/>
        <v>0.84739133515736897</v>
      </c>
      <c r="H18" s="79">
        <f t="shared" si="1"/>
        <v>0.152608664842631</v>
      </c>
      <c r="I18" s="320">
        <f t="shared" si="2"/>
        <v>19.159148662361027</v>
      </c>
      <c r="J18" s="325">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14">
        <v>18</v>
      </c>
      <c r="F19" s="308">
        <v>18</v>
      </c>
      <c r="G19" s="307">
        <f t="shared" si="0"/>
        <v>0.5</v>
      </c>
      <c r="H19" s="79">
        <f t="shared" si="1"/>
        <v>0.5</v>
      </c>
      <c r="I19" s="320">
        <f t="shared" si="2"/>
        <v>22.85203026391962</v>
      </c>
      <c r="J19" s="325">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14">
        <v>32</v>
      </c>
      <c r="F20" s="308">
        <v>18</v>
      </c>
      <c r="G20" s="307">
        <f t="shared" si="0"/>
        <v>0.88079707797788231</v>
      </c>
      <c r="H20" s="79">
        <f t="shared" si="1"/>
        <v>0.11920292202211759</v>
      </c>
      <c r="I20" s="320">
        <f t="shared" si="2"/>
        <v>32.8884960773008</v>
      </c>
      <c r="J20" s="325">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14">
        <v>32</v>
      </c>
      <c r="F21" s="308">
        <v>30</v>
      </c>
      <c r="G21" s="307">
        <f t="shared" si="0"/>
        <v>0.57094659688346627</v>
      </c>
      <c r="H21" s="79">
        <f t="shared" si="1"/>
        <v>0.42905340311653373</v>
      </c>
      <c r="I21" s="320">
        <f t="shared" si="2"/>
        <v>35.923217195086352</v>
      </c>
      <c r="J21" s="325">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14">
        <v>39</v>
      </c>
      <c r="F22" s="308">
        <v>30</v>
      </c>
      <c r="G22" s="307">
        <f t="shared" si="0"/>
        <v>0.78342090423182409</v>
      </c>
      <c r="H22" s="79">
        <f t="shared" si="1"/>
        <v>0.21657909576817599</v>
      </c>
      <c r="I22" s="320">
        <f t="shared" si="2"/>
        <v>40.70859621886801</v>
      </c>
      <c r="J22" s="325">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14">
        <v>39</v>
      </c>
      <c r="F23" s="308">
        <v>43</v>
      </c>
      <c r="G23" s="307">
        <f t="shared" si="0"/>
        <v>0.36090725483714864</v>
      </c>
      <c r="H23" s="79">
        <f t="shared" si="1"/>
        <v>0.63909274516285142</v>
      </c>
      <c r="I23" s="320">
        <f t="shared" si="2"/>
        <v>46.133939858256404</v>
      </c>
      <c r="J23" s="325">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14">
        <v>57</v>
      </c>
      <c r="F24" s="308">
        <v>43</v>
      </c>
      <c r="G24" s="307">
        <f t="shared" si="0"/>
        <v>0.88079707797788231</v>
      </c>
      <c r="H24" s="79">
        <f t="shared" si="1"/>
        <v>0.11920292202211764</v>
      </c>
      <c r="I24" s="320">
        <f t="shared" si="2"/>
        <v>57.8884960773008</v>
      </c>
      <c r="J24" s="325">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14">
        <v>57</v>
      </c>
      <c r="F25" s="308">
        <v>61</v>
      </c>
      <c r="G25" s="307">
        <f t="shared" si="0"/>
        <v>0.36090725483714881</v>
      </c>
      <c r="H25" s="79">
        <f t="shared" si="1"/>
        <v>0.63909274516285108</v>
      </c>
      <c r="I25" s="320">
        <f t="shared" si="2"/>
        <v>64.133939858256412</v>
      </c>
      <c r="J25" s="325">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14">
        <v>61</v>
      </c>
      <c r="F26" s="308">
        <v>61</v>
      </c>
      <c r="G26" s="307">
        <f t="shared" si="0"/>
        <v>0.5</v>
      </c>
      <c r="H26" s="79">
        <f t="shared" si="1"/>
        <v>0.5</v>
      </c>
      <c r="I26" s="320">
        <f t="shared" si="2"/>
        <v>65.852030263919616</v>
      </c>
      <c r="J26" s="325">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14">
        <v>61</v>
      </c>
      <c r="F27" s="308">
        <v>40</v>
      </c>
      <c r="G27" s="307">
        <f t="shared" si="0"/>
        <v>0.95257412682243314</v>
      </c>
      <c r="H27" s="79">
        <f t="shared" si="1"/>
        <v>4.7425873177566823E-2</v>
      </c>
      <c r="I27" s="320">
        <f t="shared" si="2"/>
        <v>61.340111461016193</v>
      </c>
      <c r="J27" s="325">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14">
        <v>42</v>
      </c>
      <c r="F28" s="308">
        <v>40</v>
      </c>
      <c r="G28" s="307">
        <f t="shared" si="0"/>
        <v>0.57094659688346627</v>
      </c>
      <c r="H28" s="79">
        <f t="shared" si="1"/>
        <v>0.42905340311653378</v>
      </c>
      <c r="I28" s="320">
        <f t="shared" si="2"/>
        <v>45.923217195086359</v>
      </c>
      <c r="J28" s="325">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14">
        <v>42</v>
      </c>
      <c r="F29" s="308">
        <v>9</v>
      </c>
      <c r="G29" s="307">
        <f t="shared" si="0"/>
        <v>0.99111341128091202</v>
      </c>
      <c r="H29" s="79">
        <f t="shared" si="1"/>
        <v>8.8865887190879463E-3</v>
      </c>
      <c r="I29" s="320">
        <f t="shared" si="2"/>
        <v>42.062484169635077</v>
      </c>
      <c r="J29" s="325">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14">
        <v>42</v>
      </c>
      <c r="F30" s="308">
        <v>4</v>
      </c>
      <c r="G30" s="307">
        <f t="shared" si="0"/>
        <v>0.99562982045655568</v>
      </c>
      <c r="H30" s="80">
        <f t="shared" si="1"/>
        <v>4.3701795434443556E-3</v>
      </c>
      <c r="I30" s="321">
        <f t="shared" si="2"/>
        <v>42.030658296835739</v>
      </c>
      <c r="J30" s="326">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311">
        <v>4</v>
      </c>
      <c r="G31" s="580">
        <v>1</v>
      </c>
      <c r="H31" s="581">
        <v>0</v>
      </c>
      <c r="I31" s="322">
        <f t="shared" si="2"/>
        <v>42.030658296835739</v>
      </c>
      <c r="J31" s="8" t="s">
        <v>135</v>
      </c>
      <c r="Q31" s="8"/>
      <c r="R31" s="256" t="s">
        <v>151</v>
      </c>
      <c r="S31" s="8"/>
    </row>
    <row r="32" spans="4:19" s="7" customFormat="1" ht="18.75" x14ac:dyDescent="0.3">
      <c r="D32"/>
      <c r="E32" s="265"/>
      <c r="F32" s="255"/>
      <c r="G32" s="17"/>
      <c r="H32" s="33"/>
      <c r="I32" s="323">
        <f>SUMPRODUCT(G31:H31,E31:F31)</f>
        <v>42</v>
      </c>
      <c r="J32" t="s">
        <v>110</v>
      </c>
      <c r="Q32"/>
      <c r="R32" s="187" t="str">
        <f>"Individuals redeem "&amp;E31&amp;" i=0 shares for $1 each."</f>
        <v>Individuals redeem 42 i=0 shares for $1 each.</v>
      </c>
      <c r="S32"/>
    </row>
    <row r="33" spans="2:34" s="7" customFormat="1" ht="18.75" x14ac:dyDescent="0.3">
      <c r="E33" s="17"/>
      <c r="F33" s="252"/>
      <c r="G33" s="17"/>
      <c r="H33" s="17"/>
      <c r="I33" s="323">
        <f>I31-I32</f>
        <v>3.0658296835738952E-2</v>
      </c>
      <c r="J33" s="7" t="s">
        <v>102</v>
      </c>
      <c r="R33" s="187" t="str">
        <f>ROUND(I33,4)&amp;" happens to be left over."</f>
        <v>0.0307 happens to be left over.</v>
      </c>
    </row>
    <row r="34" spans="2:34" s="7" customFormat="1" ht="18.75" x14ac:dyDescent="0.3">
      <c r="E34" s="17"/>
      <c r="F34" s="252"/>
      <c r="G34" s="17"/>
      <c r="H34" s="17"/>
      <c r="I34" s="203"/>
      <c r="J34" s="54"/>
      <c r="O34" s="8"/>
      <c r="P34" s="8"/>
      <c r="Q34" s="8"/>
      <c r="R34" s="256"/>
      <c r="S34" s="28"/>
    </row>
    <row r="35" spans="2:34" x14ac:dyDescent="0.25">
      <c r="B35" s="7"/>
      <c r="C35" s="7"/>
      <c r="E35" s="17"/>
      <c r="F35" s="252"/>
      <c r="G35" s="17"/>
      <c r="AF35" s="7"/>
      <c r="AG35" s="7"/>
      <c r="AH35" s="7"/>
    </row>
    <row r="36" spans="2:34" x14ac:dyDescent="0.25">
      <c r="B36" s="7"/>
      <c r="C36" s="7"/>
      <c r="D36" s="7"/>
      <c r="E36" s="17"/>
      <c r="F36" s="252"/>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52"/>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52"/>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313"/>
      <c r="C39" s="313"/>
      <c r="D39" s="7"/>
      <c r="E39" s="842" t="s">
        <v>125</v>
      </c>
      <c r="F39" s="843"/>
      <c r="G39" s="848" t="s">
        <v>126</v>
      </c>
      <c r="H39" s="849"/>
      <c r="I39" s="849"/>
      <c r="J39" s="850"/>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row>
    <row r="40" spans="2:34" ht="15" customHeight="1" x14ac:dyDescent="0.25">
      <c r="B40" s="313"/>
      <c r="C40" s="313"/>
      <c r="D40" s="7"/>
      <c r="E40" s="844"/>
      <c r="F40" s="845"/>
      <c r="G40" s="851"/>
      <c r="H40" s="852"/>
      <c r="I40" s="852"/>
      <c r="J40" s="853"/>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row>
    <row r="41" spans="2:34" ht="15" customHeight="1" x14ac:dyDescent="0.25">
      <c r="B41" s="313"/>
      <c r="C41" s="313"/>
      <c r="D41" s="7"/>
      <c r="E41" s="844"/>
      <c r="F41" s="845"/>
      <c r="G41" s="851"/>
      <c r="H41" s="852"/>
      <c r="I41" s="852"/>
      <c r="J41" s="853"/>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row>
    <row r="42" spans="2:34" ht="15.75" customHeight="1" x14ac:dyDescent="0.25">
      <c r="B42" s="313"/>
      <c r="C42" s="313"/>
      <c r="D42" s="7"/>
      <c r="E42" s="846"/>
      <c r="F42" s="847"/>
      <c r="G42" s="854"/>
      <c r="H42" s="855"/>
      <c r="I42" s="855"/>
      <c r="J42" s="856"/>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row>
    <row r="43" spans="2:34" x14ac:dyDescent="0.25">
      <c r="D43" s="7"/>
      <c r="E43" s="17"/>
      <c r="F43" s="17"/>
      <c r="G43" s="306"/>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306"/>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thickBot="1" x14ac:dyDescent="0.3">
      <c r="D45" s="7"/>
      <c r="E45" s="17"/>
      <c r="F45" s="17"/>
      <c r="G45" s="832" t="s">
        <v>268</v>
      </c>
      <c r="H45" s="833"/>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7"/>
      <c r="F46" s="17"/>
      <c r="G46" s="306"/>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7"/>
      <c r="F47" s="7"/>
      <c r="G47" s="17"/>
      <c r="H47" s="17"/>
      <c r="I47" s="17"/>
    </row>
    <row r="48" spans="2:34" x14ac:dyDescent="0.25">
      <c r="D48" s="7"/>
      <c r="E48" s="17"/>
      <c r="F48" s="17"/>
      <c r="G48" s="17"/>
      <c r="H48" s="17"/>
      <c r="I48" s="17"/>
    </row>
    <row r="49" spans="4:9" x14ac:dyDescent="0.25">
      <c r="D49" s="7"/>
      <c r="E49" s="17"/>
      <c r="F49" s="17"/>
      <c r="G49" s="17"/>
      <c r="H49" s="17"/>
      <c r="I49" s="17"/>
    </row>
    <row r="50" spans="4:9" x14ac:dyDescent="0.25">
      <c r="D50" s="7"/>
      <c r="E50" s="17"/>
      <c r="F50" s="17"/>
      <c r="G50" s="17"/>
      <c r="H50" s="17"/>
      <c r="I50" s="17"/>
    </row>
    <row r="51" spans="4:9" x14ac:dyDescent="0.25">
      <c r="D51" s="7"/>
      <c r="E51" s="17"/>
      <c r="F51" s="17"/>
      <c r="G51" s="17"/>
      <c r="H51" s="17"/>
      <c r="I51" s="17"/>
    </row>
    <row r="52" spans="4:9" x14ac:dyDescent="0.25">
      <c r="D52" s="7"/>
      <c r="E52" s="17"/>
      <c r="F52" s="17"/>
      <c r="G52" s="17"/>
      <c r="H52" s="17"/>
      <c r="I52" s="17"/>
    </row>
    <row r="53" spans="4:9" x14ac:dyDescent="0.25">
      <c r="D53" s="7"/>
      <c r="E53" s="17"/>
      <c r="F53" s="17"/>
      <c r="G53" s="17"/>
      <c r="H53" s="17"/>
      <c r="I53" s="17"/>
    </row>
  </sheetData>
  <mergeCells count="6">
    <mergeCell ref="G45:H45"/>
    <mergeCell ref="B4:B6"/>
    <mergeCell ref="B8:B11"/>
    <mergeCell ref="L13:M13"/>
    <mergeCell ref="E39:F42"/>
    <mergeCell ref="G39:J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AS125"/>
  <sheetViews>
    <sheetView zoomScale="85" zoomScaleNormal="85" workbookViewId="0">
      <selection activeCell="H78" sqref="H78"/>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41" t="s">
        <v>128</v>
      </c>
    </row>
    <row r="6" spans="1:26" x14ac:dyDescent="0.25">
      <c r="C6" s="857" t="s">
        <v>129</v>
      </c>
      <c r="D6" s="858"/>
      <c r="E6" s="858"/>
      <c r="F6" s="858"/>
      <c r="G6" s="858"/>
      <c r="H6" s="858"/>
      <c r="I6" s="858"/>
      <c r="J6" s="858"/>
      <c r="K6" s="858"/>
      <c r="L6" s="858"/>
      <c r="M6" s="858"/>
      <c r="N6" s="858"/>
      <c r="O6" s="859"/>
      <c r="P6" s="330"/>
      <c r="Q6" s="330"/>
      <c r="R6" s="330"/>
      <c r="S6" s="330"/>
    </row>
    <row r="7" spans="1:26" x14ac:dyDescent="0.25">
      <c r="C7" s="860"/>
      <c r="D7" s="861"/>
      <c r="E7" s="861"/>
      <c r="F7" s="861"/>
      <c r="G7" s="861"/>
      <c r="H7" s="861"/>
      <c r="I7" s="861"/>
      <c r="J7" s="861"/>
      <c r="K7" s="861"/>
      <c r="L7" s="861"/>
      <c r="M7" s="861"/>
      <c r="N7" s="861"/>
      <c r="O7" s="862"/>
      <c r="P7" s="330"/>
      <c r="Q7" s="330"/>
      <c r="R7" s="330"/>
      <c r="S7" s="330"/>
    </row>
    <row r="8" spans="1:26" x14ac:dyDescent="0.25">
      <c r="C8" s="863"/>
      <c r="D8" s="864"/>
      <c r="E8" s="864"/>
      <c r="F8" s="864"/>
      <c r="G8" s="864"/>
      <c r="H8" s="864"/>
      <c r="I8" s="864"/>
      <c r="J8" s="864"/>
      <c r="K8" s="864"/>
      <c r="L8" s="864"/>
      <c r="M8" s="864"/>
      <c r="N8" s="864"/>
      <c r="O8" s="865"/>
      <c r="P8" s="330"/>
      <c r="Q8" s="330"/>
      <c r="R8" s="330"/>
      <c r="S8" s="330"/>
    </row>
    <row r="10" spans="1:26" ht="15.75" thickBot="1" x14ac:dyDescent="0.3">
      <c r="A10" s="13"/>
      <c r="B10" s="13"/>
      <c r="C10" s="13"/>
      <c r="D10" s="251"/>
      <c r="E10" s="251"/>
      <c r="F10" s="251"/>
      <c r="G10" s="251"/>
      <c r="H10" s="251"/>
      <c r="I10" s="251"/>
      <c r="J10" s="13"/>
      <c r="K10" s="13"/>
      <c r="L10" s="13"/>
      <c r="M10" s="13"/>
      <c r="N10" s="13"/>
      <c r="O10" s="13"/>
      <c r="P10" s="13"/>
      <c r="Q10" s="13"/>
      <c r="R10" s="13"/>
      <c r="S10" s="13"/>
      <c r="T10" s="13"/>
      <c r="U10" s="13"/>
      <c r="V10" s="13"/>
      <c r="W10" s="13"/>
      <c r="X10" s="13"/>
      <c r="Y10" s="13"/>
      <c r="Z10" s="13"/>
    </row>
    <row r="11" spans="1:26" ht="21.75" thickTop="1" x14ac:dyDescent="0.35">
      <c r="C11" s="141" t="s">
        <v>130</v>
      </c>
    </row>
    <row r="12" spans="1:26" x14ac:dyDescent="0.25">
      <c r="L12" s="7"/>
      <c r="M12" s="18"/>
      <c r="N12" s="7"/>
      <c r="O12" s="7"/>
      <c r="P12" s="7"/>
      <c r="Q12" s="7"/>
      <c r="R12" s="7"/>
      <c r="S12" s="7"/>
      <c r="T12" s="7"/>
    </row>
    <row r="13" spans="1:26" x14ac:dyDescent="0.25">
      <c r="B13" s="834" t="s">
        <v>166</v>
      </c>
      <c r="C13" s="152" t="s">
        <v>4</v>
      </c>
      <c r="D13" s="278" t="s">
        <v>136</v>
      </c>
      <c r="E13" s="278"/>
      <c r="F13" s="278"/>
      <c r="G13" s="278"/>
      <c r="H13" s="273"/>
      <c r="L13" s="7"/>
      <c r="M13" s="18"/>
      <c r="N13" s="7"/>
      <c r="O13" s="7"/>
      <c r="P13" s="7"/>
      <c r="Q13" s="7"/>
      <c r="R13" s="7"/>
      <c r="S13" s="7"/>
      <c r="T13" s="7"/>
    </row>
    <row r="14" spans="1:26" x14ac:dyDescent="0.25">
      <c r="B14" s="835"/>
      <c r="C14" s="17" t="s">
        <v>137</v>
      </c>
      <c r="D14" s="17" t="s">
        <v>3</v>
      </c>
      <c r="E14" s="17"/>
      <c r="F14" s="17"/>
      <c r="G14" s="17"/>
      <c r="H14" s="252"/>
      <c r="L14" s="7"/>
      <c r="M14" s="18"/>
      <c r="N14" s="7"/>
      <c r="O14" s="7"/>
      <c r="P14" s="7"/>
      <c r="Q14" s="7"/>
      <c r="R14" s="7"/>
      <c r="S14" s="7"/>
      <c r="T14" s="7"/>
    </row>
    <row r="15" spans="1:26" x14ac:dyDescent="0.25">
      <c r="B15" s="836"/>
      <c r="C15" s="271" t="s">
        <v>138</v>
      </c>
      <c r="D15" s="271" t="s">
        <v>2</v>
      </c>
      <c r="E15" s="271"/>
      <c r="F15" s="271"/>
      <c r="G15" s="271"/>
      <c r="H15" s="274"/>
      <c r="L15" s="7"/>
      <c r="M15" s="18"/>
      <c r="N15" s="7"/>
      <c r="O15" s="7"/>
      <c r="P15" s="7"/>
      <c r="Q15" s="7"/>
      <c r="R15" s="7"/>
      <c r="S15" s="7"/>
      <c r="T15" s="7"/>
    </row>
    <row r="16" spans="1:26" x14ac:dyDescent="0.25">
      <c r="B16" s="270"/>
      <c r="C16" s="33"/>
      <c r="L16" s="7"/>
      <c r="M16" s="18"/>
      <c r="N16" s="7"/>
      <c r="O16" s="7"/>
      <c r="P16" s="7"/>
      <c r="Q16" s="7"/>
      <c r="R16" s="7"/>
      <c r="S16" s="7"/>
      <c r="T16" s="7"/>
    </row>
    <row r="17" spans="2:23" x14ac:dyDescent="0.25">
      <c r="B17" s="834" t="s">
        <v>155</v>
      </c>
      <c r="C17" s="152" t="s">
        <v>167</v>
      </c>
      <c r="D17" s="282" t="s">
        <v>168</v>
      </c>
      <c r="E17" s="278" t="s">
        <v>169</v>
      </c>
      <c r="F17" s="278"/>
      <c r="G17" s="278"/>
      <c r="H17" s="273"/>
      <c r="L17" s="7"/>
      <c r="M17" s="18"/>
      <c r="N17" s="7"/>
      <c r="O17" s="7"/>
      <c r="P17" s="7"/>
      <c r="Q17" s="7"/>
      <c r="R17" s="7"/>
      <c r="S17" s="7"/>
      <c r="T17" s="7"/>
    </row>
    <row r="18" spans="2:23" x14ac:dyDescent="0.25">
      <c r="B18" s="835"/>
      <c r="C18" s="17" t="s">
        <v>142</v>
      </c>
      <c r="D18" s="268">
        <f>COUNTA(D25:E25)</f>
        <v>2</v>
      </c>
      <c r="E18" s="17" t="s">
        <v>143</v>
      </c>
      <c r="F18" s="17"/>
      <c r="G18" s="17"/>
      <c r="H18" s="252"/>
      <c r="L18" s="7"/>
      <c r="M18" s="18"/>
      <c r="N18" s="7"/>
      <c r="O18" s="7"/>
      <c r="P18" s="7"/>
      <c r="Q18" s="7"/>
      <c r="R18" s="7"/>
      <c r="S18" s="7"/>
      <c r="T18" s="7"/>
    </row>
    <row r="19" spans="2:23" x14ac:dyDescent="0.25">
      <c r="B19" s="835"/>
      <c r="C19" s="17" t="s">
        <v>5</v>
      </c>
      <c r="D19" s="267">
        <v>1</v>
      </c>
      <c r="E19" s="17" t="s">
        <v>146</v>
      </c>
      <c r="F19" s="17"/>
      <c r="G19" s="17"/>
      <c r="H19" s="252"/>
      <c r="L19" s="7"/>
      <c r="M19" s="18"/>
      <c r="N19" s="7"/>
      <c r="O19" s="7"/>
      <c r="P19" s="7"/>
      <c r="Q19" s="7"/>
      <c r="R19" s="7"/>
      <c r="S19" s="7"/>
      <c r="T19" s="7"/>
    </row>
    <row r="20" spans="2:23" x14ac:dyDescent="0.25">
      <c r="B20" s="836"/>
      <c r="C20" s="259" t="s">
        <v>144</v>
      </c>
      <c r="D20" s="283">
        <f>H26</f>
        <v>0.69314718055994529</v>
      </c>
      <c r="E20" s="259" t="s">
        <v>145</v>
      </c>
      <c r="F20" s="271"/>
      <c r="G20" s="271"/>
      <c r="H20" s="274"/>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119</v>
      </c>
      <c r="I24" s="63" t="s">
        <v>35</v>
      </c>
      <c r="J24" s="20"/>
      <c r="T24" s="20"/>
      <c r="U24"/>
      <c r="V24" s="20"/>
    </row>
    <row r="25" spans="2:23" s="7" customFormat="1" ht="15.75" thickBot="1" x14ac:dyDescent="0.3">
      <c r="B25" s="32"/>
      <c r="C25" s="34" t="s">
        <v>34</v>
      </c>
      <c r="D25" s="174" t="s">
        <v>137</v>
      </c>
      <c r="E25" s="175" t="s">
        <v>138</v>
      </c>
      <c r="F25" s="176" t="s">
        <v>137</v>
      </c>
      <c r="G25" s="177" t="s">
        <v>138</v>
      </c>
      <c r="H25" s="42">
        <v>0</v>
      </c>
      <c r="I25" s="43"/>
      <c r="U25"/>
    </row>
    <row r="26" spans="2:23" s="7" customFormat="1" ht="18" customHeight="1" thickTop="1" x14ac:dyDescent="0.25">
      <c r="C26" s="25" t="s">
        <v>39</v>
      </c>
      <c r="D26" s="368">
        <v>0</v>
      </c>
      <c r="E26" s="370">
        <v>0</v>
      </c>
      <c r="F26" s="342">
        <f t="shared" ref="F26:G32" si="0">EXP(D26/$D$19)/(EXP($E26/$D$19)+EXP($D26/$D$19))</f>
        <v>0.5</v>
      </c>
      <c r="G26" s="218">
        <f t="shared" si="0"/>
        <v>0.5</v>
      </c>
      <c r="H26" s="276">
        <f t="shared" ref="H26:H33" si="1">$D$19*LN(EXP($E26/$D$19)+EXP($D26/$D$19))</f>
        <v>0.69314718055994529</v>
      </c>
      <c r="I26" s="46">
        <f>(H26-H25)</f>
        <v>0.69314718055994529</v>
      </c>
      <c r="U26"/>
    </row>
    <row r="27" spans="2:23" s="7" customFormat="1" ht="15.75" thickBot="1" x14ac:dyDescent="0.3">
      <c r="C27" s="25" t="s">
        <v>37</v>
      </c>
      <c r="D27" s="376">
        <v>1</v>
      </c>
      <c r="E27" s="378">
        <v>0</v>
      </c>
      <c r="F27" s="344">
        <f t="shared" si="0"/>
        <v>0.7310585786300049</v>
      </c>
      <c r="G27" s="238">
        <f t="shared" si="0"/>
        <v>0.2689414213699951</v>
      </c>
      <c r="H27" s="301">
        <f t="shared" si="1"/>
        <v>1.3132616875182228</v>
      </c>
      <c r="I27" s="49">
        <f>(H27-H26)</f>
        <v>0.62011450695827752</v>
      </c>
      <c r="K27" s="7" t="s">
        <v>139</v>
      </c>
      <c r="U27"/>
    </row>
    <row r="28" spans="2:23" s="7" customFormat="1" ht="15.75" thickBot="1" x14ac:dyDescent="0.3">
      <c r="C28" s="25" t="s">
        <v>40</v>
      </c>
      <c r="D28" s="384">
        <f>K28</f>
        <v>1.0986122886681098</v>
      </c>
      <c r="E28" s="378">
        <v>0</v>
      </c>
      <c r="F28" s="393">
        <f t="shared" si="0"/>
        <v>0.75000000000000011</v>
      </c>
      <c r="G28" s="238">
        <f t="shared" si="0"/>
        <v>0.25</v>
      </c>
      <c r="H28" s="301">
        <f t="shared" si="1"/>
        <v>1.3862943611198906</v>
      </c>
      <c r="I28" s="49">
        <f t="shared" ref="I28:I31" si="2">(H28-H27)</f>
        <v>7.3032673601667764E-2</v>
      </c>
      <c r="K28" s="85">
        <f>D19*LN(K29/(1-K29))+E28</f>
        <v>1.0986122886681098</v>
      </c>
      <c r="U28"/>
    </row>
    <row r="29" spans="2:23" s="7" customFormat="1" ht="15.75" thickBot="1" x14ac:dyDescent="0.3">
      <c r="C29" s="25" t="s">
        <v>41</v>
      </c>
      <c r="D29" s="376">
        <v>0.5</v>
      </c>
      <c r="E29" s="378">
        <v>0</v>
      </c>
      <c r="F29" s="344">
        <f t="shared" si="0"/>
        <v>0.62245933120185459</v>
      </c>
      <c r="G29" s="238">
        <f t="shared" si="0"/>
        <v>0.37754066879814541</v>
      </c>
      <c r="H29" s="301">
        <f t="shared" si="1"/>
        <v>0.97407698418010669</v>
      </c>
      <c r="I29" s="49">
        <f t="shared" si="2"/>
        <v>-0.41221737693978389</v>
      </c>
      <c r="K29" s="84">
        <v>0.75</v>
      </c>
      <c r="L29" s="7" t="b">
        <f>K29=F28</f>
        <v>1</v>
      </c>
      <c r="U29"/>
    </row>
    <row r="30" spans="2:23" s="7" customFormat="1" x14ac:dyDescent="0.25">
      <c r="C30" s="25" t="s">
        <v>140</v>
      </c>
      <c r="D30" s="376">
        <v>2.1</v>
      </c>
      <c r="E30" s="378">
        <v>0.8</v>
      </c>
      <c r="F30" s="344">
        <f t="shared" si="0"/>
        <v>0.78583498304255861</v>
      </c>
      <c r="G30" s="238">
        <f t="shared" si="0"/>
        <v>0.21416501695744139</v>
      </c>
      <c r="H30" s="301">
        <f t="shared" si="1"/>
        <v>2.3410084538329925</v>
      </c>
      <c r="I30" s="49">
        <f t="shared" si="2"/>
        <v>1.3669314696528858</v>
      </c>
      <c r="U30"/>
    </row>
    <row r="31" spans="2:23" s="7" customFormat="1" x14ac:dyDescent="0.25">
      <c r="B31"/>
      <c r="C31" s="21" t="s">
        <v>141</v>
      </c>
      <c r="D31" s="376">
        <v>3</v>
      </c>
      <c r="E31" s="378">
        <v>1.1000000000000001</v>
      </c>
      <c r="F31" s="344">
        <f t="shared" si="0"/>
        <v>0.86989152563700223</v>
      </c>
      <c r="G31" s="238">
        <f t="shared" si="0"/>
        <v>0.13010847436299786</v>
      </c>
      <c r="H31" s="301">
        <f t="shared" si="1"/>
        <v>3.1393867582829604</v>
      </c>
      <c r="I31" s="49">
        <f t="shared" si="2"/>
        <v>0.79837830444996793</v>
      </c>
      <c r="U31"/>
    </row>
    <row r="32" spans="2:23" s="7" customFormat="1" ht="15.75" thickBot="1" x14ac:dyDescent="0.3">
      <c r="C32" s="25" t="s">
        <v>38</v>
      </c>
      <c r="D32" s="174">
        <v>3</v>
      </c>
      <c r="E32" s="175">
        <v>0.2</v>
      </c>
      <c r="F32" s="346">
        <f t="shared" si="0"/>
        <v>0.94267582410113127</v>
      </c>
      <c r="G32" s="230">
        <f t="shared" si="0"/>
        <v>5.7324175898868741E-2</v>
      </c>
      <c r="H32" s="302">
        <f t="shared" si="1"/>
        <v>3.0590328262879716</v>
      </c>
      <c r="I32" s="115">
        <f>(H32-H31)</f>
        <v>-8.0353931994988859E-2</v>
      </c>
      <c r="U32"/>
    </row>
    <row r="33" spans="2:22" s="7" customFormat="1" ht="16.5" thickTop="1" thickBot="1" x14ac:dyDescent="0.3">
      <c r="C33" s="25" t="s">
        <v>0</v>
      </c>
      <c r="D33" s="394">
        <f>D32</f>
        <v>3</v>
      </c>
      <c r="E33" s="391">
        <f>E32</f>
        <v>0.2</v>
      </c>
      <c r="F33" s="495">
        <v>1</v>
      </c>
      <c r="G33" s="496">
        <v>0</v>
      </c>
      <c r="H33" s="275">
        <f t="shared" si="1"/>
        <v>3.0590328262879716</v>
      </c>
      <c r="I33" s="8" t="s">
        <v>43</v>
      </c>
      <c r="J33" s="8"/>
      <c r="T33" s="8"/>
      <c r="U33" s="8"/>
      <c r="V33" s="8"/>
    </row>
    <row r="34" spans="2:22" s="7" customFormat="1" ht="15.75" thickBot="1" x14ac:dyDescent="0.3">
      <c r="B34"/>
      <c r="C34"/>
      <c r="D34" s="33"/>
      <c r="E34" s="33"/>
      <c r="F34" s="33"/>
      <c r="G34" s="33"/>
      <c r="H34" s="277">
        <f>SUMPRODUCT(D33:E33,F33:G33)</f>
        <v>3</v>
      </c>
      <c r="I34" t="s">
        <v>110</v>
      </c>
      <c r="T34"/>
      <c r="U34"/>
      <c r="V34"/>
    </row>
    <row r="35" spans="2:22" s="7" customFormat="1" ht="15.75" thickBot="1" x14ac:dyDescent="0.3">
      <c r="B35"/>
      <c r="C35"/>
      <c r="D35" s="33"/>
      <c r="E35" s="33"/>
      <c r="F35" s="33"/>
      <c r="G35" s="33"/>
      <c r="H35" s="277">
        <f>H33-H34</f>
        <v>5.9032826287971574E-2</v>
      </c>
      <c r="I35" s="7" t="s">
        <v>120</v>
      </c>
      <c r="T35"/>
      <c r="U35"/>
      <c r="V35"/>
    </row>
    <row r="36" spans="2:22" s="7" customFormat="1" ht="15.75" thickBot="1" x14ac:dyDescent="0.3">
      <c r="D36" s="17"/>
      <c r="E36" s="17"/>
      <c r="F36" s="17"/>
      <c r="G36" s="17"/>
      <c r="H36" s="277">
        <f>D20-H35</f>
        <v>0.63411435427197371</v>
      </c>
      <c r="I36" s="54" t="s">
        <v>103</v>
      </c>
    </row>
    <row r="37" spans="2:22" s="7" customFormat="1" ht="15" customHeight="1" x14ac:dyDescent="0.25">
      <c r="D37" s="17"/>
      <c r="E37" s="17"/>
      <c r="F37" s="17"/>
      <c r="G37" s="17"/>
      <c r="H37" s="53"/>
      <c r="I37" s="54"/>
      <c r="L37" s="269"/>
      <c r="M37" s="269"/>
      <c r="N37" s="269"/>
      <c r="O37" s="269"/>
      <c r="P37" s="269"/>
      <c r="Q37" s="269"/>
      <c r="R37" s="269"/>
      <c r="S37" s="269"/>
      <c r="T37" s="269"/>
      <c r="U37" s="269"/>
    </row>
    <row r="38" spans="2:22" s="7" customFormat="1" x14ac:dyDescent="0.25">
      <c r="D38" s="17"/>
      <c r="E38" s="17"/>
      <c r="F38" s="17"/>
      <c r="G38" s="17"/>
      <c r="H38" s="53"/>
      <c r="I38" s="54"/>
      <c r="K38" s="269"/>
      <c r="L38" s="269"/>
      <c r="M38" s="269"/>
      <c r="N38" s="269"/>
      <c r="O38" s="269"/>
      <c r="P38" s="269"/>
      <c r="Q38" s="269"/>
      <c r="R38" s="269"/>
      <c r="S38" s="269"/>
      <c r="T38" s="269"/>
      <c r="U38" s="269"/>
    </row>
    <row r="39" spans="2:22" s="7" customFormat="1" ht="15" customHeight="1" x14ac:dyDescent="0.25">
      <c r="C39" s="866" t="s">
        <v>122</v>
      </c>
      <c r="D39" s="866"/>
      <c r="E39" s="866"/>
      <c r="F39" s="866"/>
      <c r="G39" s="866"/>
      <c r="H39" s="866"/>
      <c r="I39" s="866"/>
      <c r="J39" s="866"/>
      <c r="K39" s="866"/>
      <c r="L39" s="866"/>
      <c r="M39" s="866"/>
      <c r="N39" s="269"/>
      <c r="O39" s="269"/>
      <c r="P39" s="269"/>
      <c r="Q39" s="269"/>
      <c r="R39" s="269"/>
      <c r="S39" s="269"/>
      <c r="T39" s="269"/>
      <c r="U39" s="269"/>
    </row>
    <row r="40" spans="2:22" s="7" customFormat="1" x14ac:dyDescent="0.25">
      <c r="C40" s="866"/>
      <c r="D40" s="866"/>
      <c r="E40" s="866"/>
      <c r="F40" s="866"/>
      <c r="G40" s="866"/>
      <c r="H40" s="866"/>
      <c r="I40" s="866"/>
      <c r="J40" s="866"/>
      <c r="K40" s="866"/>
      <c r="L40" s="866"/>
      <c r="M40" s="866"/>
      <c r="N40" s="269"/>
      <c r="O40" s="269"/>
      <c r="P40" s="269"/>
      <c r="Q40" s="269"/>
      <c r="R40" s="269"/>
      <c r="S40" s="269"/>
      <c r="T40" s="269"/>
      <c r="U40" s="269"/>
    </row>
    <row r="41" spans="2:22" s="7" customFormat="1" x14ac:dyDescent="0.25">
      <c r="C41" s="866"/>
      <c r="D41" s="866"/>
      <c r="E41" s="866"/>
      <c r="F41" s="866"/>
      <c r="G41" s="866"/>
      <c r="H41" s="866"/>
      <c r="I41" s="866"/>
      <c r="J41" s="866"/>
      <c r="K41" s="866"/>
      <c r="L41" s="866"/>
      <c r="M41" s="866"/>
      <c r="N41" s="269"/>
      <c r="O41" s="269"/>
      <c r="P41" s="269"/>
      <c r="Q41" s="269"/>
      <c r="R41" s="269"/>
      <c r="S41" s="269"/>
      <c r="T41" s="269"/>
      <c r="U41" s="269"/>
    </row>
    <row r="42" spans="2:22" s="7" customFormat="1" x14ac:dyDescent="0.25">
      <c r="C42" s="866"/>
      <c r="D42" s="866"/>
      <c r="E42" s="866"/>
      <c r="F42" s="866"/>
      <c r="G42" s="866"/>
      <c r="H42" s="866"/>
      <c r="I42" s="866"/>
      <c r="J42" s="866"/>
      <c r="K42" s="866"/>
      <c r="L42" s="866"/>
      <c r="M42" s="866"/>
      <c r="N42" s="269"/>
      <c r="O42" s="269"/>
      <c r="P42" s="269"/>
      <c r="Q42" s="269"/>
      <c r="R42" s="269"/>
      <c r="S42" s="269"/>
      <c r="T42" s="269"/>
      <c r="U42" s="269"/>
    </row>
    <row r="43" spans="2:22" s="7" customFormat="1" x14ac:dyDescent="0.25">
      <c r="C43" s="866"/>
      <c r="D43" s="866"/>
      <c r="E43" s="866"/>
      <c r="F43" s="866"/>
      <c r="G43" s="866"/>
      <c r="H43" s="866"/>
      <c r="I43" s="866"/>
      <c r="J43" s="866"/>
      <c r="K43" s="866"/>
      <c r="L43" s="866"/>
      <c r="M43" s="866"/>
      <c r="N43" s="269"/>
      <c r="O43" s="269"/>
      <c r="P43" s="269"/>
      <c r="Q43" s="269"/>
      <c r="R43" s="269"/>
      <c r="S43" s="269"/>
      <c r="T43" s="269"/>
      <c r="U43" s="269"/>
    </row>
    <row r="44" spans="2:22" s="7" customFormat="1" x14ac:dyDescent="0.25">
      <c r="C44" s="866"/>
      <c r="D44" s="866"/>
      <c r="E44" s="866"/>
      <c r="F44" s="866"/>
      <c r="G44" s="866"/>
      <c r="H44" s="866"/>
      <c r="I44" s="866"/>
      <c r="J44" s="866"/>
      <c r="K44" s="866"/>
      <c r="L44" s="866"/>
      <c r="M44" s="866"/>
      <c r="N44" s="269"/>
      <c r="O44" s="269"/>
      <c r="P44" s="269"/>
      <c r="Q44" s="269"/>
      <c r="R44" s="269"/>
      <c r="S44" s="269"/>
      <c r="T44" s="269"/>
      <c r="U44" s="269"/>
    </row>
    <row r="45" spans="2:22" s="7" customFormat="1" x14ac:dyDescent="0.25">
      <c r="C45" s="866"/>
      <c r="D45" s="866"/>
      <c r="E45" s="866"/>
      <c r="F45" s="866"/>
      <c r="G45" s="866"/>
      <c r="H45" s="866"/>
      <c r="I45" s="866"/>
      <c r="J45" s="866"/>
      <c r="K45" s="866"/>
      <c r="L45" s="866"/>
      <c r="M45" s="866"/>
      <c r="N45" s="269"/>
      <c r="O45" s="269"/>
      <c r="P45" s="269"/>
      <c r="Q45" s="269"/>
      <c r="R45" s="269"/>
      <c r="S45" s="269"/>
      <c r="T45" s="269"/>
      <c r="U45" s="269"/>
    </row>
    <row r="46" spans="2:22" s="7" customFormat="1" x14ac:dyDescent="0.25">
      <c r="C46" s="866"/>
      <c r="D46" s="866"/>
      <c r="E46" s="866"/>
      <c r="F46" s="866"/>
      <c r="G46" s="866"/>
      <c r="H46" s="866"/>
      <c r="I46" s="866"/>
      <c r="J46" s="866"/>
      <c r="K46" s="866"/>
      <c r="L46" s="866"/>
      <c r="M46" s="866"/>
      <c r="N46" s="269"/>
      <c r="O46" s="269"/>
      <c r="P46" s="269"/>
      <c r="Q46" s="269"/>
      <c r="R46" s="269"/>
      <c r="S46" s="269"/>
      <c r="T46" s="269"/>
      <c r="U46" s="269"/>
    </row>
    <row r="47" spans="2:22" s="7" customFormat="1" x14ac:dyDescent="0.25">
      <c r="D47" s="17"/>
      <c r="E47" s="17"/>
      <c r="F47" s="17"/>
      <c r="G47" s="17"/>
      <c r="H47" s="53"/>
      <c r="I47" s="54"/>
      <c r="K47" s="269"/>
      <c r="L47" s="269"/>
      <c r="M47" s="269"/>
      <c r="N47" s="269"/>
      <c r="O47" s="269"/>
      <c r="P47" s="269"/>
      <c r="Q47" s="269"/>
      <c r="R47" s="269"/>
      <c r="S47" s="269"/>
      <c r="T47" s="269"/>
      <c r="U47" s="269"/>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51"/>
      <c r="E50" s="251"/>
      <c r="F50" s="251"/>
      <c r="G50" s="251"/>
      <c r="H50" s="251"/>
      <c r="I50" s="251"/>
      <c r="J50" s="13"/>
      <c r="K50" s="13"/>
      <c r="L50" s="13"/>
      <c r="M50" s="13"/>
      <c r="N50" s="13"/>
      <c r="O50" s="13"/>
      <c r="P50" s="13"/>
      <c r="Q50" s="13"/>
      <c r="R50" s="13"/>
      <c r="S50" s="13"/>
      <c r="T50" s="13"/>
      <c r="U50" s="13"/>
      <c r="V50" s="13"/>
      <c r="W50" s="13"/>
      <c r="X50" s="13"/>
      <c r="Y50" s="13"/>
      <c r="Z50" s="13"/>
    </row>
    <row r="51" spans="1:26" ht="21.75" thickTop="1" x14ac:dyDescent="0.35">
      <c r="C51" s="141" t="s">
        <v>131</v>
      </c>
    </row>
    <row r="53" spans="1:26" x14ac:dyDescent="0.25">
      <c r="B53" s="834" t="s">
        <v>166</v>
      </c>
      <c r="C53" s="152" t="s">
        <v>4</v>
      </c>
      <c r="D53" s="278" t="s">
        <v>136</v>
      </c>
      <c r="E53" s="278"/>
      <c r="F53" s="278"/>
      <c r="G53" s="278"/>
      <c r="H53" s="273"/>
    </row>
    <row r="54" spans="1:26" x14ac:dyDescent="0.25">
      <c r="B54" s="835"/>
      <c r="C54" s="17" t="s">
        <v>137</v>
      </c>
      <c r="D54" s="17" t="s">
        <v>3</v>
      </c>
      <c r="E54" s="17"/>
      <c r="F54" s="17"/>
      <c r="G54" s="17"/>
      <c r="H54" s="252"/>
      <c r="M54" s="7"/>
      <c r="N54" s="7"/>
      <c r="O54" s="7"/>
      <c r="P54" s="7"/>
      <c r="Q54" s="7"/>
      <c r="R54" s="7"/>
      <c r="S54" s="7"/>
    </row>
    <row r="55" spans="1:26" x14ac:dyDescent="0.25">
      <c r="B55" s="836"/>
      <c r="C55" s="271" t="s">
        <v>138</v>
      </c>
      <c r="D55" s="271" t="s">
        <v>2</v>
      </c>
      <c r="E55" s="271"/>
      <c r="F55" s="271"/>
      <c r="G55" s="271"/>
      <c r="H55" s="274"/>
      <c r="M55" s="18"/>
      <c r="N55" s="7"/>
      <c r="O55" s="7"/>
      <c r="P55" s="7"/>
      <c r="Q55" s="7"/>
      <c r="R55" s="7"/>
      <c r="S55" s="7"/>
    </row>
    <row r="56" spans="1:26" x14ac:dyDescent="0.25">
      <c r="B56" s="270"/>
      <c r="C56" s="33"/>
      <c r="M56" s="7"/>
      <c r="N56" s="7"/>
      <c r="O56" s="7"/>
      <c r="P56" s="7"/>
      <c r="Q56" s="7"/>
      <c r="R56" s="7"/>
      <c r="S56" s="7"/>
    </row>
    <row r="57" spans="1:26" x14ac:dyDescent="0.25">
      <c r="B57" s="834" t="s">
        <v>170</v>
      </c>
      <c r="C57" s="152" t="s">
        <v>4</v>
      </c>
      <c r="D57" s="278" t="s">
        <v>147</v>
      </c>
      <c r="E57" s="278"/>
      <c r="F57" s="278"/>
      <c r="G57" s="278"/>
      <c r="H57" s="273"/>
      <c r="M57" s="18"/>
    </row>
    <row r="58" spans="1:26" x14ac:dyDescent="0.25">
      <c r="B58" s="835"/>
      <c r="C58" s="17" t="s">
        <v>137</v>
      </c>
      <c r="D58" s="17" t="s">
        <v>3</v>
      </c>
      <c r="E58" s="17"/>
      <c r="F58" s="17"/>
      <c r="G58" s="17"/>
      <c r="H58" s="252"/>
      <c r="M58" s="18"/>
    </row>
    <row r="59" spans="1:26" x14ac:dyDescent="0.25">
      <c r="B59" s="836"/>
      <c r="C59" s="271" t="s">
        <v>138</v>
      </c>
      <c r="D59" s="271" t="s">
        <v>2</v>
      </c>
      <c r="E59" s="271"/>
      <c r="F59" s="271"/>
      <c r="G59" s="271"/>
      <c r="H59" s="274"/>
      <c r="M59" s="18"/>
    </row>
    <row r="60" spans="1:26" ht="15.75" thickBot="1" x14ac:dyDescent="0.3">
      <c r="B60" s="269"/>
      <c r="C60" s="7"/>
      <c r="D60" s="267"/>
      <c r="E60" s="7"/>
      <c r="F60" s="17"/>
      <c r="G60" s="17"/>
      <c r="H60" s="17"/>
      <c r="M60" s="18"/>
    </row>
    <row r="61" spans="1:26" x14ac:dyDescent="0.25">
      <c r="B61" s="837" t="s">
        <v>155</v>
      </c>
      <c r="C61" s="10" t="s">
        <v>167</v>
      </c>
      <c r="D61" s="288" t="s">
        <v>171</v>
      </c>
      <c r="E61" s="265" t="s">
        <v>169</v>
      </c>
      <c r="F61" s="265"/>
      <c r="G61" s="265"/>
      <c r="H61" s="263"/>
      <c r="M61" s="18"/>
    </row>
    <row r="62" spans="1:26" x14ac:dyDescent="0.25">
      <c r="B62" s="838"/>
      <c r="C62" s="17" t="s">
        <v>142</v>
      </c>
      <c r="D62" s="268">
        <f>COUNTA(D68:G68)</f>
        <v>4</v>
      </c>
      <c r="E62" s="17" t="s">
        <v>143</v>
      </c>
      <c r="F62" s="17"/>
      <c r="G62" s="17"/>
      <c r="H62" s="204"/>
      <c r="M62" s="18"/>
    </row>
    <row r="63" spans="1:26" x14ac:dyDescent="0.25">
      <c r="B63" s="838"/>
      <c r="C63" s="17" t="s">
        <v>5</v>
      </c>
      <c r="D63" s="267">
        <v>8</v>
      </c>
      <c r="E63" s="17" t="s">
        <v>146</v>
      </c>
      <c r="F63" s="17"/>
      <c r="G63" s="17"/>
      <c r="H63" s="204"/>
      <c r="M63" s="18"/>
    </row>
    <row r="64" spans="1:26" ht="15.75" thickBot="1" x14ac:dyDescent="0.3">
      <c r="B64" s="839"/>
      <c r="C64" s="168" t="s">
        <v>144</v>
      </c>
      <c r="D64" s="289">
        <f>L69</f>
        <v>11.090364888959126</v>
      </c>
      <c r="E64" s="168" t="s">
        <v>145</v>
      </c>
      <c r="F64" s="266"/>
      <c r="G64" s="266"/>
      <c r="H64" s="264"/>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85" t="s">
        <v>6</v>
      </c>
      <c r="I68" s="386" t="s">
        <v>7</v>
      </c>
      <c r="J68" s="387" t="s">
        <v>8</v>
      </c>
      <c r="K68" s="388"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68">
        <v>1.0000000000000001E-5</v>
      </c>
      <c r="E69" s="369">
        <v>1.0000000000000001E-5</v>
      </c>
      <c r="F69" s="370">
        <v>1.0000000000000001E-5</v>
      </c>
      <c r="G69" s="371">
        <v>1.0000000000000001E-5</v>
      </c>
      <c r="H69" s="372">
        <f t="shared" ref="H69:K75" si="3">EXP(D69/$D$63)/(EXP($D69/$D$63)+EXP($E69/$D$63)+EXP($F69/$D$63)+EXP($G69/$D$63))</f>
        <v>0.25</v>
      </c>
      <c r="I69" s="373">
        <f t="shared" si="3"/>
        <v>0.25</v>
      </c>
      <c r="J69" s="374">
        <f t="shared" si="3"/>
        <v>0.25</v>
      </c>
      <c r="K69" s="375">
        <f t="shared" si="3"/>
        <v>0.25</v>
      </c>
      <c r="L69" s="276">
        <f>$D$63*LN(EXP($D69/$D$63)+EXP($E69/$D$63)+EXP($F69/$D$63)+EXP($G69/$D$63))</f>
        <v>11.090364888959126</v>
      </c>
      <c r="M69" s="424">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76">
        <v>1</v>
      </c>
      <c r="E70" s="377">
        <v>1</v>
      </c>
      <c r="F70" s="378">
        <v>1</v>
      </c>
      <c r="G70" s="379">
        <v>1</v>
      </c>
      <c r="H70" s="380">
        <f t="shared" si="3"/>
        <v>0.25</v>
      </c>
      <c r="I70" s="381">
        <f t="shared" si="3"/>
        <v>0.25</v>
      </c>
      <c r="J70" s="382">
        <f t="shared" si="3"/>
        <v>0.25</v>
      </c>
      <c r="K70" s="383">
        <f t="shared" si="3"/>
        <v>0.25</v>
      </c>
      <c r="L70" s="301">
        <f t="shared" ref="L70:L76" si="4">$D$63*LN(EXP($D70/$D$63)+EXP($E70/$D$63)+EXP($F70/$D$63)+EXP($G70/$D$63))</f>
        <v>12.090354888959125</v>
      </c>
      <c r="M70" s="425">
        <f t="shared" ref="M70:M74" si="5">(L70-L69)</f>
        <v>0.9999899999999986</v>
      </c>
      <c r="N70" s="7"/>
      <c r="O70" s="7" t="s">
        <v>118</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84">
        <f>O71</f>
        <v>4.2092725428500977</v>
      </c>
      <c r="E71" s="377">
        <v>0.2</v>
      </c>
      <c r="F71" s="378">
        <v>0.8</v>
      </c>
      <c r="G71" s="379">
        <v>0.1</v>
      </c>
      <c r="H71" s="380">
        <f t="shared" si="3"/>
        <v>0.35</v>
      </c>
      <c r="I71" s="381">
        <f t="shared" si="3"/>
        <v>0.21203981987370624</v>
      </c>
      <c r="J71" s="382">
        <f t="shared" si="3"/>
        <v>0.22855436119830008</v>
      </c>
      <c r="K71" s="383">
        <f t="shared" si="3"/>
        <v>0.20940581892799362</v>
      </c>
      <c r="L71" s="301">
        <f>$D$63*LN(EXP($D71/$D$63)+EXP($E71/$D$63)+EXP($F71/$D$63)+EXP($G71/$D$63))</f>
        <v>12.60784953883952</v>
      </c>
      <c r="M71" s="425">
        <f t="shared" si="5"/>
        <v>0.51749464988039584</v>
      </c>
      <c r="N71" s="7"/>
      <c r="O71" s="85">
        <f>D63*LN(O72/(1-O72))+D63*LN((SUM((EXP(E71/D63)+EXP(F71/D63)+EXP(G71/D63)))))</f>
        <v>4.2092725428500977</v>
      </c>
      <c r="P71" s="327"/>
      <c r="Q71" s="327"/>
      <c r="R71" s="327"/>
      <c r="S71" s="327"/>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22">
        <v>4.2092725428500977</v>
      </c>
      <c r="E72" s="423">
        <v>0.477679447154433</v>
      </c>
      <c r="F72" s="378">
        <v>1.151999999999999</v>
      </c>
      <c r="G72" s="379">
        <v>0.1</v>
      </c>
      <c r="H72" s="380">
        <f t="shared" si="3"/>
        <v>0.34388908334498003</v>
      </c>
      <c r="I72" s="381">
        <f t="shared" si="3"/>
        <v>0.21569600589575436</v>
      </c>
      <c r="J72" s="382">
        <f t="shared" si="3"/>
        <v>0.23466526756425818</v>
      </c>
      <c r="K72" s="383">
        <f t="shared" si="3"/>
        <v>0.20574964319500744</v>
      </c>
      <c r="L72" s="301">
        <f t="shared" si="4"/>
        <v>12.748761388752838</v>
      </c>
      <c r="M72" s="425">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76">
        <v>7</v>
      </c>
      <c r="E73" s="377">
        <v>4</v>
      </c>
      <c r="F73" s="378">
        <v>4.24</v>
      </c>
      <c r="G73" s="379">
        <v>3.1880000000000002</v>
      </c>
      <c r="H73" s="380">
        <f t="shared" si="3"/>
        <v>0.33151414279912189</v>
      </c>
      <c r="I73" s="381">
        <f t="shared" si="3"/>
        <v>0.22784611611341585</v>
      </c>
      <c r="J73" s="382">
        <f t="shared" si="3"/>
        <v>0.23478506339276881</v>
      </c>
      <c r="K73" s="383">
        <f t="shared" si="3"/>
        <v>0.20585467769469348</v>
      </c>
      <c r="L73" s="301">
        <f t="shared" si="4"/>
        <v>15.832678457777227</v>
      </c>
      <c r="M73" s="425">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76">
        <v>11</v>
      </c>
      <c r="E74" s="377">
        <v>5</v>
      </c>
      <c r="F74" s="378">
        <v>2</v>
      </c>
      <c r="G74" s="379">
        <v>3.4</v>
      </c>
      <c r="H74" s="380">
        <f t="shared" si="3"/>
        <v>0.45792577025660447</v>
      </c>
      <c r="I74" s="381">
        <f t="shared" si="3"/>
        <v>0.21630881750738612</v>
      </c>
      <c r="J74" s="382">
        <f t="shared" si="3"/>
        <v>0.14866673118077942</v>
      </c>
      <c r="K74" s="383">
        <f t="shared" si="3"/>
        <v>0.17709868105523</v>
      </c>
      <c r="L74" s="301">
        <f t="shared" si="4"/>
        <v>17.248385453430764</v>
      </c>
      <c r="M74" s="425">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85">
        <f t="shared" si="3"/>
        <v>0.53777481102890734</v>
      </c>
      <c r="I75" s="386">
        <f t="shared" si="3"/>
        <v>0.15407506299036422</v>
      </c>
      <c r="J75" s="387">
        <f t="shared" si="3"/>
        <v>0.15407506299036422</v>
      </c>
      <c r="K75" s="388">
        <f t="shared" si="3"/>
        <v>0.15407506299036422</v>
      </c>
      <c r="L75" s="302">
        <f t="shared" si="4"/>
        <v>14.962522986437438</v>
      </c>
      <c r="M75" s="426">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89">
        <f>D75</f>
        <v>10</v>
      </c>
      <c r="E76" s="390">
        <f>E75</f>
        <v>0</v>
      </c>
      <c r="F76" s="391">
        <f>F75</f>
        <v>0</v>
      </c>
      <c r="G76" s="392">
        <f>G75</f>
        <v>0</v>
      </c>
      <c r="H76" s="582">
        <v>1</v>
      </c>
      <c r="I76" s="583">
        <v>0</v>
      </c>
      <c r="J76" s="583">
        <v>0</v>
      </c>
      <c r="K76" s="584">
        <v>0</v>
      </c>
      <c r="L76" s="275">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77">
        <f>SUMPRODUCT(D76:G76,H76:K76)</f>
        <v>10</v>
      </c>
      <c r="M77" t="s">
        <v>110</v>
      </c>
    </row>
    <row r="78" spans="1:45" ht="15.75" thickBot="1" x14ac:dyDescent="0.3">
      <c r="A78" s="7"/>
      <c r="B78" s="7"/>
      <c r="C78" s="7"/>
      <c r="L78" s="277">
        <f>L76-L77</f>
        <v>4.9625229864374383</v>
      </c>
      <c r="M78" s="7" t="s">
        <v>120</v>
      </c>
    </row>
    <row r="79" spans="1:45" ht="15.75" thickBot="1" x14ac:dyDescent="0.3">
      <c r="A79" s="7"/>
      <c r="B79" s="7"/>
      <c r="C79" s="7"/>
      <c r="L79" s="277">
        <f>D64-L78</f>
        <v>6.1278419025216877</v>
      </c>
      <c r="M79" s="54" t="s">
        <v>103</v>
      </c>
    </row>
    <row r="80" spans="1:45" x14ac:dyDescent="0.25">
      <c r="A80" s="7"/>
      <c r="B80" s="7"/>
      <c r="C80" s="7"/>
      <c r="M80" s="203"/>
      <c r="N80" s="7"/>
    </row>
    <row r="81" spans="1:25" x14ac:dyDescent="0.25">
      <c r="A81" s="7"/>
      <c r="B81" s="7"/>
      <c r="C81" s="7"/>
      <c r="M81" s="203"/>
      <c r="N81" s="7"/>
    </row>
    <row r="82" spans="1:25" ht="15" customHeight="1" x14ac:dyDescent="0.25">
      <c r="A82" s="7"/>
      <c r="B82" s="7"/>
      <c r="C82" s="7"/>
      <c r="D82" s="866" t="s">
        <v>123</v>
      </c>
      <c r="E82" s="866"/>
      <c r="F82" s="866"/>
      <c r="G82" s="866"/>
      <c r="H82" s="866"/>
      <c r="I82" s="866"/>
      <c r="J82" s="866"/>
      <c r="K82" s="866"/>
      <c r="L82" s="866"/>
      <c r="M82" s="866"/>
      <c r="N82" s="269"/>
      <c r="O82" s="269"/>
      <c r="P82" s="269"/>
      <c r="Q82" s="269"/>
      <c r="R82" s="269"/>
      <c r="S82" s="269"/>
      <c r="T82" s="269"/>
      <c r="U82" s="269"/>
      <c r="Y82">
        <f>(G72-G71)*K71</f>
        <v>0</v>
      </c>
    </row>
    <row r="83" spans="1:25" x14ac:dyDescent="0.25">
      <c r="A83" s="7"/>
      <c r="B83" s="7"/>
      <c r="C83" s="7"/>
      <c r="D83" s="866"/>
      <c r="E83" s="866"/>
      <c r="F83" s="866"/>
      <c r="G83" s="866"/>
      <c r="H83" s="866"/>
      <c r="I83" s="866"/>
      <c r="J83" s="866"/>
      <c r="K83" s="866"/>
      <c r="L83" s="866"/>
      <c r="M83" s="866"/>
      <c r="N83" s="269"/>
      <c r="O83" s="269"/>
      <c r="P83" s="269"/>
      <c r="Q83" s="269"/>
      <c r="R83" s="269"/>
      <c r="S83" s="269"/>
      <c r="T83" s="269"/>
      <c r="U83" s="269"/>
      <c r="V83" s="269"/>
      <c r="W83" s="269"/>
    </row>
    <row r="84" spans="1:25" x14ac:dyDescent="0.25">
      <c r="A84" s="7"/>
      <c r="B84" s="7"/>
      <c r="C84" s="7"/>
      <c r="D84" s="866"/>
      <c r="E84" s="866"/>
      <c r="F84" s="866"/>
      <c r="G84" s="866"/>
      <c r="H84" s="866"/>
      <c r="I84" s="866"/>
      <c r="J84" s="866"/>
      <c r="K84" s="866"/>
      <c r="L84" s="866"/>
      <c r="M84" s="866"/>
      <c r="N84" s="269"/>
      <c r="O84" s="269"/>
      <c r="P84" s="269"/>
      <c r="Q84" s="269"/>
      <c r="R84" s="269"/>
      <c r="S84" s="269"/>
      <c r="T84" s="269"/>
      <c r="U84" s="269"/>
      <c r="V84" s="269"/>
      <c r="W84" s="269"/>
    </row>
    <row r="85" spans="1:25" x14ac:dyDescent="0.25">
      <c r="A85" s="7"/>
      <c r="B85" s="7"/>
      <c r="C85" s="7"/>
      <c r="D85" s="866"/>
      <c r="E85" s="866"/>
      <c r="F85" s="866"/>
      <c r="G85" s="866"/>
      <c r="H85" s="866"/>
      <c r="I85" s="866"/>
      <c r="J85" s="866"/>
      <c r="K85" s="866"/>
      <c r="L85" s="866"/>
      <c r="M85" s="866"/>
      <c r="N85" s="269"/>
      <c r="O85" s="269"/>
      <c r="P85" s="269"/>
      <c r="Q85" s="269"/>
      <c r="R85" s="269"/>
      <c r="S85" s="269"/>
      <c r="T85" s="269"/>
      <c r="U85" s="269"/>
      <c r="V85" s="269"/>
      <c r="W85" s="269"/>
    </row>
    <row r="86" spans="1:25" x14ac:dyDescent="0.25">
      <c r="A86" s="7"/>
      <c r="B86" s="7"/>
      <c r="C86" s="7"/>
      <c r="D86" s="866"/>
      <c r="E86" s="866"/>
      <c r="F86" s="866"/>
      <c r="G86" s="866"/>
      <c r="H86" s="866"/>
      <c r="I86" s="866"/>
      <c r="J86" s="866"/>
      <c r="K86" s="866"/>
      <c r="L86" s="866"/>
      <c r="M86" s="866"/>
      <c r="N86" s="269"/>
      <c r="O86" s="269"/>
      <c r="P86" s="269"/>
      <c r="Q86" s="269"/>
      <c r="R86" s="269"/>
      <c r="S86" s="269"/>
      <c r="T86" s="269"/>
      <c r="U86" s="269"/>
      <c r="V86" s="269"/>
      <c r="W86" s="269"/>
    </row>
    <row r="87" spans="1:25" x14ac:dyDescent="0.25">
      <c r="A87" s="7"/>
      <c r="B87" s="7"/>
      <c r="C87" s="7"/>
      <c r="D87" s="866"/>
      <c r="E87" s="866"/>
      <c r="F87" s="866"/>
      <c r="G87" s="866"/>
      <c r="H87" s="866"/>
      <c r="I87" s="866"/>
      <c r="J87" s="866"/>
      <c r="K87" s="866"/>
      <c r="L87" s="866"/>
      <c r="M87" s="866"/>
      <c r="N87" s="269"/>
      <c r="O87" s="269"/>
      <c r="P87" s="269"/>
      <c r="Q87" s="269"/>
      <c r="R87" s="269"/>
      <c r="S87" s="269"/>
      <c r="T87" s="269"/>
      <c r="U87" s="269"/>
      <c r="V87" s="269"/>
      <c r="W87" s="269"/>
    </row>
    <row r="88" spans="1:25" x14ac:dyDescent="0.25">
      <c r="A88" s="7"/>
      <c r="B88" s="7"/>
      <c r="C88" s="7"/>
      <c r="D88" s="866"/>
      <c r="E88" s="866"/>
      <c r="F88" s="866"/>
      <c r="G88" s="866"/>
      <c r="H88" s="866"/>
      <c r="I88" s="866"/>
      <c r="J88" s="866"/>
      <c r="K88" s="866"/>
      <c r="L88" s="866"/>
      <c r="M88" s="866"/>
      <c r="N88" s="269"/>
      <c r="O88" s="269"/>
      <c r="P88" s="269"/>
      <c r="Q88" s="269"/>
      <c r="R88" s="269"/>
      <c r="S88" s="269"/>
      <c r="T88" s="269"/>
      <c r="U88" s="269"/>
      <c r="V88" s="269"/>
      <c r="W88" s="269"/>
    </row>
    <row r="89" spans="1:25" x14ac:dyDescent="0.25">
      <c r="A89" s="7"/>
      <c r="B89" s="7"/>
      <c r="C89" s="7"/>
      <c r="M89" s="269"/>
      <c r="N89" s="269"/>
      <c r="O89" s="269"/>
      <c r="P89" s="269"/>
      <c r="Q89" s="269"/>
      <c r="R89" s="269"/>
      <c r="S89" s="269"/>
      <c r="T89" s="269"/>
      <c r="U89" s="269"/>
      <c r="V89" s="269"/>
      <c r="W89" s="269"/>
    </row>
    <row r="90" spans="1:25" x14ac:dyDescent="0.25">
      <c r="A90" s="7"/>
      <c r="B90" s="7"/>
      <c r="C90" s="7"/>
    </row>
    <row r="91" spans="1:25" x14ac:dyDescent="0.25">
      <c r="A91" s="7"/>
      <c r="B91" s="7"/>
      <c r="C91" s="7"/>
      <c r="D91" s="271" t="s">
        <v>121</v>
      </c>
      <c r="E91" s="271"/>
      <c r="F91" s="271"/>
      <c r="G91" s="271"/>
      <c r="H91" s="271"/>
      <c r="I91" s="271"/>
      <c r="J91" s="259"/>
      <c r="K91" s="259"/>
      <c r="L91" s="259"/>
      <c r="M91" s="272"/>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78"/>
      <c r="U92" s="152"/>
      <c r="V92" s="152"/>
      <c r="W92" s="357"/>
    </row>
    <row r="93" spans="1:25" ht="15.75" thickBot="1" x14ac:dyDescent="0.3">
      <c r="A93" s="17"/>
      <c r="B93" s="17"/>
      <c r="C93" s="17"/>
      <c r="D93" s="17"/>
      <c r="E93" s="17"/>
      <c r="F93" s="20">
        <v>3</v>
      </c>
      <c r="H93" s="86">
        <v>0</v>
      </c>
      <c r="I93" s="86">
        <v>1</v>
      </c>
      <c r="L93" t="s">
        <v>54</v>
      </c>
      <c r="V93" s="867" t="s">
        <v>196</v>
      </c>
      <c r="W93" s="868"/>
      <c r="X93" s="869"/>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870"/>
      <c r="W94" s="866"/>
      <c r="X94" s="871"/>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58" t="s">
        <v>36</v>
      </c>
      <c r="O95" s="361" t="s">
        <v>191</v>
      </c>
      <c r="P95" s="359" t="s">
        <v>193</v>
      </c>
      <c r="Q95" s="361" t="s">
        <v>191</v>
      </c>
      <c r="R95" s="359" t="s">
        <v>192</v>
      </c>
      <c r="S95" s="360" t="s">
        <v>191</v>
      </c>
      <c r="V95" s="870"/>
      <c r="W95" s="866"/>
      <c r="X95" s="871"/>
    </row>
    <row r="96" spans="1:25" ht="15.75" thickBot="1" x14ac:dyDescent="0.3">
      <c r="A96" s="7"/>
      <c r="B96" s="7"/>
      <c r="C96" s="7"/>
      <c r="D96" s="17"/>
      <c r="E96" s="17"/>
      <c r="F96" s="17"/>
      <c r="H96" s="118">
        <f>SUM(H94:H95)</f>
        <v>0.57855436119830006</v>
      </c>
      <c r="I96" s="119">
        <f>SUM(I94:I95)</f>
        <v>0.42144563880169983</v>
      </c>
      <c r="J96" s="94">
        <f>SUM(H94:I95)</f>
        <v>0.99999999999999989</v>
      </c>
      <c r="N96" s="364">
        <v>0</v>
      </c>
      <c r="O96" s="365"/>
      <c r="P96" s="366">
        <v>0</v>
      </c>
      <c r="Q96" s="365"/>
      <c r="R96" s="366">
        <v>0</v>
      </c>
      <c r="S96" s="367"/>
      <c r="V96" s="870"/>
      <c r="W96" s="866"/>
      <c r="X96" s="871"/>
    </row>
    <row r="97" spans="1:24" x14ac:dyDescent="0.25">
      <c r="A97" s="7"/>
      <c r="B97" s="7"/>
      <c r="C97" s="7"/>
      <c r="D97" s="17"/>
      <c r="E97" s="17"/>
      <c r="F97" s="17"/>
      <c r="H97" s="93"/>
      <c r="I97" s="93"/>
      <c r="J97" s="92"/>
      <c r="N97" s="431">
        <f>$D$63*LN(EXP($D69/$D$63)+EXP($E69/$D$63)+EXP($F69/$D$63)+EXP($G69/$D$63))</f>
        <v>11.090364888959126</v>
      </c>
      <c r="O97" s="427">
        <f t="shared" ref="O97:Q104" si="6">N97-N96</f>
        <v>11.090364888959126</v>
      </c>
      <c r="P97" s="434">
        <f>$D$63*((($D69/$D$63)+($E69/$D$63)+($F69/$D$63)+($G69/$D$63)))/((SUM(($D69/$D$63)^2,($E69/$D$63)^2,($F69/$D$63)^2,($G69/$D$63)^2)^(1/2)))</f>
        <v>16</v>
      </c>
      <c r="Q97" s="427">
        <f>P97-P96</f>
        <v>16</v>
      </c>
      <c r="R97" s="434">
        <f>$D$63*(($D69/$D$63)+($E69/$D$63)+($F69/$D$63)+($G69/$D$63)) - $D$63*(SUM(($D69/$D$63)^2,($E69/$D$63)^2,($F69/$D$63)^2,($G69/$D$63)^2)/2)</f>
        <v>3.9999975000000002E-5</v>
      </c>
      <c r="S97" s="435">
        <f t="shared" ref="S97" si="7">R97-R96</f>
        <v>3.9999975000000002E-5</v>
      </c>
      <c r="T97" s="363" t="s">
        <v>195</v>
      </c>
      <c r="V97" s="870"/>
      <c r="W97" s="866"/>
      <c r="X97" s="871"/>
    </row>
    <row r="98" spans="1:24" x14ac:dyDescent="0.25">
      <c r="A98" s="7"/>
      <c r="B98" s="7"/>
      <c r="C98" s="7"/>
      <c r="D98" s="17"/>
      <c r="E98" s="17"/>
      <c r="F98" s="17"/>
      <c r="H98" s="93"/>
      <c r="I98" s="93"/>
      <c r="J98" s="92"/>
      <c r="N98" s="431">
        <f t="shared" ref="N98:N99" si="8">$D$63*LN(EXP($D70/$D$63)+EXP($E70/$D$63)+EXP($F70/$D$63)+EXP($G70/$D$63))</f>
        <v>12.090354888959125</v>
      </c>
      <c r="O98" s="428">
        <f t="shared" si="6"/>
        <v>0.9999899999999986</v>
      </c>
      <c r="P98" s="434">
        <f>$D$63*((($D70/$D$63)+($E70/$D$63)+($F70/$D$63)+($G70/$D$63)))/((SUM(($D70/$D$63)^2,($E70/$D$63)^2,($F70/$D$63)^2,($G70/$D$63)^2)^(1/2)))</f>
        <v>16</v>
      </c>
      <c r="Q98" s="428">
        <f>P98-P97</f>
        <v>0</v>
      </c>
      <c r="R98" s="434">
        <f t="shared" ref="R98:R104" si="9">$D$63*(($D70/$D$63)+($E70/$D$63)+($F70/$D$63)+($G70/$D$63)) - $D$63*(SUM(($D70/$D$63)^2,($E70/$D$63)^2,($F70/$D$63)^2,($G70/$D$63)^2)/2)</f>
        <v>3.75</v>
      </c>
      <c r="S98" s="436">
        <f>R98-R97</f>
        <v>3.7499600000250002</v>
      </c>
      <c r="V98" s="870"/>
      <c r="W98" s="866"/>
      <c r="X98" s="871"/>
    </row>
    <row r="99" spans="1:24" ht="15.75" thickBot="1" x14ac:dyDescent="0.3">
      <c r="A99" s="7"/>
      <c r="B99" s="7"/>
      <c r="C99" s="17"/>
      <c r="D99" s="17"/>
      <c r="E99" s="17"/>
      <c r="F99" s="20">
        <v>4</v>
      </c>
      <c r="H99" s="95">
        <v>0</v>
      </c>
      <c r="I99" s="95">
        <v>1</v>
      </c>
      <c r="J99" s="92"/>
      <c r="L99" t="s">
        <v>54</v>
      </c>
      <c r="M99">
        <v>3</v>
      </c>
      <c r="N99" s="431">
        <f t="shared" si="8"/>
        <v>12.60784953883952</v>
      </c>
      <c r="O99" s="428">
        <f t="shared" si="6"/>
        <v>0.51749464988039584</v>
      </c>
      <c r="P99" s="434">
        <f>$D$63*((($D71/$D$63)+($E71/$D$63)+($F71/$D$63)+($G71/$D$63)))/((SUM(($D71/$D$63)^2,($E71/$D$63)^2,($F71/$D$63)^2,($G71/$D$63)^2)^(1/2)))</f>
        <v>9.8996991067417444</v>
      </c>
      <c r="Q99" s="428">
        <f t="shared" si="6"/>
        <v>-6.1003008932582556</v>
      </c>
      <c r="R99" s="434">
        <f t="shared" si="9"/>
        <v>4.1587740841006138</v>
      </c>
      <c r="S99" s="436">
        <f t="shared" ref="S99" si="10">R99-R98</f>
        <v>0.40877408410061378</v>
      </c>
      <c r="V99" s="870"/>
      <c r="W99" s="866"/>
      <c r="X99" s="871"/>
    </row>
    <row r="100" spans="1:24" x14ac:dyDescent="0.25">
      <c r="A100" s="7"/>
      <c r="B100" s="7"/>
      <c r="C100" s="7"/>
      <c r="F100" s="21" t="s">
        <v>4</v>
      </c>
      <c r="G100" s="86">
        <v>0</v>
      </c>
      <c r="H100" s="87">
        <f>H72</f>
        <v>0.34388908334498003</v>
      </c>
      <c r="I100" s="88">
        <f>I72</f>
        <v>0.21569600589575436</v>
      </c>
      <c r="J100" s="89">
        <f>SUM(H100:I100)</f>
        <v>0.55958508924073436</v>
      </c>
      <c r="L100" s="421">
        <f>I101/SUM(H101:I101)</f>
        <v>0.46717229178344477</v>
      </c>
      <c r="M100">
        <v>4</v>
      </c>
      <c r="N100" s="432">
        <f>$D$63*LN(EXP($D72/$D$63)+EXP($E72/$D$63)+EXP($F72/$D$63)+EXP($G72/$D$63))</f>
        <v>12.748761388752838</v>
      </c>
      <c r="O100" s="429">
        <f>N100-N99</f>
        <v>0.14091184991331751</v>
      </c>
      <c r="P100" s="437">
        <f>$D$63*((($D72/$D$63)+($E72/$D$63)+($F72/$D$63)+($G72/$D$63)))/((SUM(($D72/$D$63)^2,($E72/$D$63)^2,($F72/$D$63)^2,($G72/$D$63)^2)^(1/2)))</f>
        <v>10.819560179568017</v>
      </c>
      <c r="Q100" s="438">
        <f>P100-P99</f>
        <v>0.91986107282627216</v>
      </c>
      <c r="R100" s="437">
        <f t="shared" si="9"/>
        <v>4.7337484278654358</v>
      </c>
      <c r="S100" s="438">
        <f>R100-R99</f>
        <v>0.57497434376482204</v>
      </c>
      <c r="T100" s="362" t="s">
        <v>194</v>
      </c>
      <c r="V100" s="870"/>
      <c r="W100" s="866"/>
      <c r="X100" s="871"/>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32">
        <f t="shared" ref="N101:N103" si="11">$D$63*LN(EXP($D73/$D$63)+EXP($E73/$D$63)+EXP($F73/$D$63)+EXP($G73/$D$63))</f>
        <v>15.832678457777227</v>
      </c>
      <c r="O101" s="429">
        <f t="shared" si="6"/>
        <v>3.0839170690243893</v>
      </c>
      <c r="P101" s="437">
        <f t="shared" ref="P101:P104" si="12">$D$63*((($D73/$D$63)+($E73/$D$63)+($F73/$D$63)+($G73/$D$63)))/((SUM(($D73/$D$63)^2,($E73/$D$63)^2,($F73/$D$63)^2,($G73/$D$63)^2)^(1/2)))</f>
        <v>15.275585766304406</v>
      </c>
      <c r="Q101" s="438">
        <f t="shared" si="6"/>
        <v>4.4560255867363896</v>
      </c>
      <c r="R101" s="437">
        <f t="shared" si="9"/>
        <v>12.606691000000001</v>
      </c>
      <c r="S101" s="438">
        <f>R101-R100</f>
        <v>7.8729425721345656</v>
      </c>
      <c r="T101" s="362" t="s">
        <v>194</v>
      </c>
      <c r="V101" s="870"/>
      <c r="W101" s="866"/>
      <c r="X101" s="871"/>
    </row>
    <row r="102" spans="1:24" ht="15.75" thickBot="1" x14ac:dyDescent="0.3">
      <c r="A102" s="7"/>
      <c r="B102" s="7"/>
      <c r="C102" s="7"/>
      <c r="H102" s="118">
        <f>SUM(H100:H101)</f>
        <v>0.57855435090923824</v>
      </c>
      <c r="I102" s="119">
        <f>SUM(I100:I101)</f>
        <v>0.42144564909076176</v>
      </c>
      <c r="J102" s="94">
        <f>SUM(H100:I101)</f>
        <v>1</v>
      </c>
      <c r="N102" s="431">
        <f t="shared" si="11"/>
        <v>17.248385453430764</v>
      </c>
      <c r="O102" s="428">
        <f t="shared" si="6"/>
        <v>1.4157069956535366</v>
      </c>
      <c r="P102" s="434">
        <f>$D$63*((($D74/$D$63)+($E74/$D$63)+($F74/$D$63)+($G74/$D$63)))/((SUM(($D74/$D$63)^2,($E74/$D$63)^2,($F74/$D$63)^2,($G74/$D$63)^2)^(1/2)))</f>
        <v>13.469046060602045</v>
      </c>
      <c r="Q102" s="428">
        <f t="shared" si="6"/>
        <v>-1.8065397057023613</v>
      </c>
      <c r="R102" s="434">
        <f>$D$63*(($D74/$D$63)+($E74/$D$63)+($F74/$D$63)+($G74/$D$63)) - $D$63*(SUM(($D74/$D$63)^2,($E74/$D$63)^2,($F74/$D$63)^2,($G74/$D$63)^2)/2)</f>
        <v>11.302499999999998</v>
      </c>
      <c r="S102" s="436">
        <f t="shared" ref="S102" si="13">R102-R101</f>
        <v>-1.304191000000003</v>
      </c>
      <c r="V102" s="870"/>
      <c r="W102" s="866"/>
      <c r="X102" s="871"/>
    </row>
    <row r="103" spans="1:24" x14ac:dyDescent="0.25">
      <c r="A103" s="7"/>
      <c r="B103" s="7"/>
      <c r="C103" s="7"/>
      <c r="N103" s="431">
        <f t="shared" si="11"/>
        <v>14.962522986437438</v>
      </c>
      <c r="O103" s="428">
        <f t="shared" si="6"/>
        <v>-2.2858624669933256</v>
      </c>
      <c r="P103" s="434">
        <f t="shared" si="12"/>
        <v>8</v>
      </c>
      <c r="Q103" s="428">
        <f t="shared" si="6"/>
        <v>-5.4690460606020448</v>
      </c>
      <c r="R103" s="434">
        <f t="shared" si="9"/>
        <v>3.75</v>
      </c>
      <c r="S103" s="436">
        <f t="shared" ref="S103" si="14">R103-R102</f>
        <v>-7.5524999999999984</v>
      </c>
      <c r="V103" s="870"/>
      <c r="W103" s="866"/>
      <c r="X103" s="871"/>
    </row>
    <row r="104" spans="1:24" ht="15.75" customHeight="1" thickBot="1" x14ac:dyDescent="0.3">
      <c r="F104" s="875" t="s">
        <v>55</v>
      </c>
      <c r="G104" s="875"/>
      <c r="H104" s="875"/>
      <c r="I104" s="875"/>
      <c r="J104" s="875"/>
      <c r="K104" s="875"/>
      <c r="L104" s="875"/>
      <c r="N104" s="433">
        <f>$D$63*LN(EXP($D76/$D$63)+EXP($E76/$D$63)+EXP($F76/$D$63)+EXP($G76/$D$63))</f>
        <v>14.962522986437438</v>
      </c>
      <c r="O104" s="430">
        <f>N104-N103</f>
        <v>0</v>
      </c>
      <c r="P104" s="439">
        <f t="shared" si="12"/>
        <v>8</v>
      </c>
      <c r="Q104" s="430">
        <f t="shared" si="6"/>
        <v>0</v>
      </c>
      <c r="R104" s="439">
        <f t="shared" si="9"/>
        <v>3.75</v>
      </c>
      <c r="S104" s="440">
        <f t="shared" ref="S104" si="15">R104-R103</f>
        <v>0</v>
      </c>
      <c r="V104" s="870"/>
      <c r="W104" s="866"/>
      <c r="X104" s="871"/>
    </row>
    <row r="105" spans="1:24" x14ac:dyDescent="0.25">
      <c r="F105" s="875"/>
      <c r="G105" s="875"/>
      <c r="H105" s="875"/>
      <c r="I105" s="875"/>
      <c r="J105" s="875"/>
      <c r="K105" s="875"/>
      <c r="L105" s="875"/>
      <c r="N105" s="142"/>
      <c r="O105" s="8"/>
      <c r="P105" s="8"/>
      <c r="Q105" s="8"/>
      <c r="R105" s="8"/>
      <c r="S105" s="8"/>
      <c r="V105" s="870"/>
      <c r="W105" s="866"/>
      <c r="X105" s="871"/>
    </row>
    <row r="106" spans="1:24" x14ac:dyDescent="0.25">
      <c r="N106" s="142"/>
      <c r="P106" s="8"/>
      <c r="R106" s="8"/>
      <c r="S106" s="8"/>
      <c r="V106" s="870"/>
      <c r="W106" s="866"/>
      <c r="X106" s="871"/>
    </row>
    <row r="107" spans="1:24" ht="15.75" thickBot="1" x14ac:dyDescent="0.3">
      <c r="F107" s="26">
        <v>5</v>
      </c>
      <c r="H107" s="95">
        <v>0</v>
      </c>
      <c r="I107" s="95">
        <v>1</v>
      </c>
      <c r="J107" s="92"/>
      <c r="L107" t="s">
        <v>54</v>
      </c>
      <c r="N107" s="143"/>
      <c r="O107" s="143"/>
      <c r="P107" s="143"/>
      <c r="Q107" s="143"/>
      <c r="R107" s="143"/>
      <c r="S107" s="143"/>
      <c r="V107" s="870"/>
      <c r="W107" s="866"/>
      <c r="X107" s="871"/>
    </row>
    <row r="108" spans="1:24" x14ac:dyDescent="0.25">
      <c r="F108" s="21" t="s">
        <v>4</v>
      </c>
      <c r="G108" s="86">
        <v>0</v>
      </c>
      <c r="H108" s="87">
        <f>H73</f>
        <v>0.33151414279912189</v>
      </c>
      <c r="I108" s="88">
        <f>I73</f>
        <v>0.22784611611341585</v>
      </c>
      <c r="J108" s="89">
        <f>SUM(H108:I108)</f>
        <v>0.55936025891253771</v>
      </c>
      <c r="L108" s="421">
        <f>I109/SUM(H109:I109)</f>
        <v>0.46717229178344477</v>
      </c>
      <c r="N108" s="142"/>
      <c r="O108" s="8"/>
      <c r="P108" s="142"/>
      <c r="Q108" s="8"/>
      <c r="R108" s="142"/>
      <c r="S108" s="8"/>
      <c r="V108" s="870"/>
      <c r="W108" s="866"/>
      <c r="X108" s="871"/>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870"/>
      <c r="W109" s="866"/>
      <c r="X109" s="871"/>
    </row>
    <row r="110" spans="1:24" ht="15.75" thickBot="1" x14ac:dyDescent="0.3">
      <c r="H110" s="118">
        <f>SUM(H108:H109)</f>
        <v>0.56629920619189067</v>
      </c>
      <c r="I110" s="93">
        <f>SUM(I108:I109)</f>
        <v>0.43370079380810933</v>
      </c>
      <c r="J110" s="94">
        <f>SUM(H108:I109)</f>
        <v>1</v>
      </c>
      <c r="V110" s="870"/>
      <c r="W110" s="866"/>
      <c r="X110" s="871"/>
    </row>
    <row r="111" spans="1:24" x14ac:dyDescent="0.25">
      <c r="V111" s="870"/>
      <c r="W111" s="866"/>
      <c r="X111" s="871"/>
    </row>
    <row r="112" spans="1:24" ht="18" customHeight="1" x14ac:dyDescent="0.25">
      <c r="F112" s="875" t="s">
        <v>56</v>
      </c>
      <c r="G112" s="875"/>
      <c r="H112" s="875"/>
      <c r="I112" s="875"/>
      <c r="J112" s="875"/>
      <c r="K112" s="875"/>
      <c r="L112" s="875"/>
      <c r="V112" s="870"/>
      <c r="W112" s="866"/>
      <c r="X112" s="871"/>
    </row>
    <row r="113" spans="6:24" x14ac:dyDescent="0.25">
      <c r="F113" s="875"/>
      <c r="G113" s="875"/>
      <c r="H113" s="875"/>
      <c r="I113" s="875"/>
      <c r="J113" s="875"/>
      <c r="K113" s="875"/>
      <c r="L113" s="875"/>
      <c r="V113" s="870"/>
      <c r="W113" s="866"/>
      <c r="X113" s="871"/>
    </row>
    <row r="114" spans="6:24" x14ac:dyDescent="0.25">
      <c r="V114" s="870"/>
      <c r="W114" s="866"/>
      <c r="X114" s="871"/>
    </row>
    <row r="115" spans="6:24" x14ac:dyDescent="0.25">
      <c r="V115" s="870"/>
      <c r="W115" s="866"/>
      <c r="X115" s="871"/>
    </row>
    <row r="116" spans="6:24" x14ac:dyDescent="0.25">
      <c r="J116" s="33"/>
      <c r="K116" s="33"/>
      <c r="L116" s="33"/>
      <c r="M116" s="33"/>
      <c r="N116" s="33"/>
      <c r="V116" s="870"/>
      <c r="W116" s="866"/>
      <c r="X116" s="871"/>
    </row>
    <row r="117" spans="6:24" x14ac:dyDescent="0.25">
      <c r="J117" s="33"/>
      <c r="K117" s="33"/>
      <c r="L117" s="33"/>
      <c r="M117" s="33"/>
      <c r="N117" s="33"/>
      <c r="V117" s="870"/>
      <c r="W117" s="866"/>
      <c r="X117" s="871"/>
    </row>
    <row r="118" spans="6:24" x14ac:dyDescent="0.25">
      <c r="J118" s="33"/>
      <c r="K118" s="33"/>
      <c r="L118" s="33"/>
      <c r="M118" s="33"/>
      <c r="N118" s="33"/>
      <c r="V118" s="870"/>
      <c r="W118" s="866"/>
      <c r="X118" s="871"/>
    </row>
    <row r="119" spans="6:24" x14ac:dyDescent="0.25">
      <c r="V119" s="870"/>
      <c r="W119" s="866"/>
      <c r="X119" s="871"/>
    </row>
    <row r="120" spans="6:24" x14ac:dyDescent="0.25">
      <c r="V120" s="870"/>
      <c r="W120" s="866"/>
      <c r="X120" s="871"/>
    </row>
    <row r="121" spans="6:24" x14ac:dyDescent="0.25">
      <c r="V121" s="870"/>
      <c r="W121" s="866"/>
      <c r="X121" s="871"/>
    </row>
    <row r="122" spans="6:24" x14ac:dyDescent="0.25">
      <c r="V122" s="870"/>
      <c r="W122" s="866"/>
      <c r="X122" s="871"/>
    </row>
    <row r="123" spans="6:24" x14ac:dyDescent="0.25">
      <c r="V123" s="870"/>
      <c r="W123" s="866"/>
      <c r="X123" s="871"/>
    </row>
    <row r="124" spans="6:24" x14ac:dyDescent="0.25">
      <c r="V124" s="870"/>
      <c r="W124" s="866"/>
      <c r="X124" s="871"/>
    </row>
    <row r="125" spans="6:24" x14ac:dyDescent="0.25">
      <c r="V125" s="872"/>
      <c r="W125" s="873"/>
      <c r="X125" s="874"/>
    </row>
  </sheetData>
  <mergeCells count="11">
    <mergeCell ref="C6:O8"/>
    <mergeCell ref="C39:M46"/>
    <mergeCell ref="D82:M88"/>
    <mergeCell ref="V93:X125"/>
    <mergeCell ref="F104:L105"/>
    <mergeCell ref="F112:L113"/>
    <mergeCell ref="B61:B64"/>
    <mergeCell ref="B13:B15"/>
    <mergeCell ref="B17:B20"/>
    <mergeCell ref="B53:B55"/>
    <mergeCell ref="B57:B59"/>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Z65"/>
  <sheetViews>
    <sheetView zoomScale="85" zoomScaleNormal="85" workbookViewId="0">
      <selection activeCell="B3" sqref="B3"/>
    </sheetView>
  </sheetViews>
  <sheetFormatPr defaultRowHeight="15" x14ac:dyDescent="0.25"/>
  <cols>
    <col min="2" max="2" width="10" customWidth="1"/>
    <col min="3" max="10" width="11.42578125" style="33" customWidth="1"/>
    <col min="11" max="11" width="13.42578125" style="33" customWidth="1"/>
    <col min="12" max="13" width="12" style="33" customWidth="1"/>
    <col min="14" max="14" width="0" hidden="1" customWidth="1"/>
    <col min="15" max="15" width="9.42578125" hidden="1" customWidth="1"/>
    <col min="16" max="16" width="12.7109375" hidden="1" customWidth="1"/>
    <col min="17" max="17" width="10.28515625" hidden="1" customWidth="1"/>
    <col min="18" max="18" width="10.7109375" hidden="1" customWidth="1"/>
    <col min="19" max="19" width="9.140625" hidden="1" customWidth="1"/>
    <col min="20" max="20" width="9.42578125" customWidth="1"/>
    <col min="22" max="22" width="12.140625" customWidth="1"/>
    <col min="23" max="23" width="10.5703125" customWidth="1"/>
    <col min="26" max="26" width="11.140625" customWidth="1"/>
  </cols>
  <sheetData>
    <row r="2" spans="2:23" ht="31.5" x14ac:dyDescent="0.5">
      <c r="B2" s="188" t="s">
        <v>359</v>
      </c>
    </row>
    <row r="3" spans="2:23" ht="17.25" customHeight="1" x14ac:dyDescent="0.5">
      <c r="B3" s="188"/>
    </row>
    <row r="4" spans="2:23" ht="17.25" customHeight="1" x14ac:dyDescent="0.5">
      <c r="B4" s="188"/>
    </row>
    <row r="5" spans="2:23" ht="17.25" customHeight="1" x14ac:dyDescent="0.25">
      <c r="B5" s="834" t="s">
        <v>166</v>
      </c>
      <c r="C5" s="152" t="s">
        <v>101</v>
      </c>
      <c r="D5" s="152" t="s">
        <v>260</v>
      </c>
      <c r="E5" s="152"/>
      <c r="F5" s="278"/>
      <c r="G5" s="278"/>
      <c r="H5" s="278"/>
      <c r="I5" s="278"/>
      <c r="J5" s="278"/>
      <c r="K5" s="278"/>
      <c r="L5" s="278"/>
      <c r="M5" s="278"/>
      <c r="N5" s="152"/>
      <c r="O5" s="152"/>
      <c r="P5" s="152"/>
      <c r="Q5" s="152"/>
      <c r="R5" s="152"/>
      <c r="S5" s="152"/>
      <c r="T5" s="152"/>
      <c r="U5" s="152"/>
      <c r="V5" s="152"/>
      <c r="W5" s="250"/>
    </row>
    <row r="6" spans="2:23" ht="17.25" customHeight="1" x14ac:dyDescent="0.25">
      <c r="B6" s="835"/>
      <c r="C6" s="17" t="s">
        <v>152</v>
      </c>
      <c r="D6" s="145">
        <v>8000</v>
      </c>
      <c r="E6" s="7" t="s">
        <v>153</v>
      </c>
      <c r="F6" s="17"/>
      <c r="G6" s="454" t="s">
        <v>258</v>
      </c>
      <c r="H6" s="17"/>
      <c r="I6" s="17"/>
      <c r="J6" s="17"/>
      <c r="K6" s="17"/>
      <c r="L6" s="17"/>
      <c r="M6" s="17"/>
      <c r="N6" s="7"/>
      <c r="O6" s="7"/>
      <c r="P6" s="7"/>
      <c r="Q6" s="7"/>
      <c r="R6" s="7"/>
      <c r="S6" s="7"/>
      <c r="T6" s="7"/>
      <c r="U6" s="7"/>
      <c r="V6" s="7"/>
      <c r="W6" s="6"/>
    </row>
    <row r="7" spans="2:23" ht="17.25" customHeight="1" x14ac:dyDescent="0.25">
      <c r="B7" s="835"/>
      <c r="C7" s="17" t="s">
        <v>155</v>
      </c>
      <c r="D7" s="145">
        <v>20000</v>
      </c>
      <c r="E7" s="7" t="s">
        <v>154</v>
      </c>
      <c r="F7" s="17"/>
      <c r="G7" s="454" t="s">
        <v>259</v>
      </c>
      <c r="H7" s="17"/>
      <c r="I7" s="17"/>
      <c r="J7" s="17"/>
      <c r="K7" s="17"/>
      <c r="L7" s="17"/>
      <c r="M7" s="17"/>
      <c r="N7" s="7"/>
      <c r="O7" s="7"/>
      <c r="P7" s="7"/>
      <c r="Q7" s="7"/>
      <c r="R7" s="7"/>
      <c r="S7" s="7"/>
      <c r="T7" s="7"/>
      <c r="U7" s="7"/>
      <c r="V7" s="7"/>
      <c r="W7" s="6"/>
    </row>
    <row r="8" spans="2:23" ht="17.25" customHeight="1" x14ac:dyDescent="0.25">
      <c r="B8" s="835"/>
      <c r="C8" s="142" t="s">
        <v>156</v>
      </c>
      <c r="D8" s="18">
        <f>D7-D6</f>
        <v>12000</v>
      </c>
      <c r="E8" s="7" t="s">
        <v>157</v>
      </c>
      <c r="F8" s="17"/>
      <c r="G8" s="17"/>
      <c r="H8" s="17"/>
      <c r="I8" s="17"/>
      <c r="J8" s="17"/>
      <c r="K8" s="17"/>
      <c r="L8" s="17"/>
      <c r="M8" s="17"/>
      <c r="N8" s="7"/>
      <c r="O8" s="7"/>
      <c r="P8" s="7"/>
      <c r="Q8" s="7"/>
      <c r="R8" s="7"/>
      <c r="S8" s="7"/>
      <c r="T8" s="7"/>
      <c r="U8" s="7"/>
      <c r="V8" s="7"/>
      <c r="W8" s="6"/>
    </row>
    <row r="9" spans="2:23" ht="17.25" customHeight="1" x14ac:dyDescent="0.25">
      <c r="B9" s="835"/>
      <c r="C9" s="142" t="s">
        <v>160</v>
      </c>
      <c r="D9" s="192" t="s">
        <v>108</v>
      </c>
      <c r="E9" s="8" t="s">
        <v>163</v>
      </c>
      <c r="F9" s="17"/>
      <c r="G9" s="17"/>
      <c r="H9" s="17"/>
      <c r="I9" s="17"/>
      <c r="J9" s="17"/>
      <c r="K9" s="17"/>
      <c r="L9" s="17"/>
      <c r="M9" s="17"/>
      <c r="N9" s="7"/>
      <c r="O9" s="7"/>
      <c r="P9" s="7"/>
      <c r="Q9" s="7"/>
      <c r="R9" s="7"/>
      <c r="S9" s="7"/>
      <c r="T9" s="7"/>
      <c r="U9" s="7"/>
      <c r="V9" s="7"/>
      <c r="W9" s="6"/>
    </row>
    <row r="10" spans="2:23" ht="17.25" customHeight="1" x14ac:dyDescent="0.25">
      <c r="B10" s="835"/>
      <c r="C10" s="142" t="s">
        <v>161</v>
      </c>
      <c r="D10" s="192" t="s">
        <v>107</v>
      </c>
      <c r="E10" s="8" t="s">
        <v>164</v>
      </c>
      <c r="F10" s="17"/>
      <c r="G10" s="17"/>
      <c r="H10" s="17"/>
      <c r="I10" s="17"/>
      <c r="J10" s="17"/>
      <c r="K10" s="17"/>
      <c r="L10" s="17"/>
      <c r="M10" s="17"/>
      <c r="N10" s="7"/>
      <c r="O10" s="7"/>
      <c r="P10" s="7"/>
      <c r="Q10" s="7"/>
      <c r="R10" s="7"/>
      <c r="S10" s="7"/>
      <c r="T10" s="7"/>
      <c r="U10" s="7"/>
      <c r="V10" s="7"/>
      <c r="W10" s="6"/>
    </row>
    <row r="11" spans="2:23" ht="17.25" customHeight="1" x14ac:dyDescent="0.25">
      <c r="B11" s="836"/>
      <c r="C11" s="279" t="s">
        <v>162</v>
      </c>
      <c r="D11" s="280" t="s">
        <v>106</v>
      </c>
      <c r="E11" s="281" t="s">
        <v>165</v>
      </c>
      <c r="F11" s="271"/>
      <c r="G11" s="271"/>
      <c r="H11" s="271"/>
      <c r="I11" s="271"/>
      <c r="J11" s="271"/>
      <c r="K11" s="271"/>
      <c r="L11" s="271"/>
      <c r="M11" s="271"/>
      <c r="N11" s="259"/>
      <c r="O11" s="259"/>
      <c r="P11" s="259"/>
      <c r="Q11" s="259"/>
      <c r="R11" s="259"/>
      <c r="S11" s="259"/>
      <c r="T11" s="259"/>
      <c r="U11" s="259"/>
      <c r="V11" s="259"/>
      <c r="W11" s="3"/>
    </row>
    <row r="12" spans="2:23" ht="17.25" customHeight="1" thickBot="1" x14ac:dyDescent="0.3">
      <c r="B12" s="7"/>
      <c r="C12" s="7"/>
      <c r="D12" s="7"/>
    </row>
    <row r="13" spans="2:23" ht="17.25" customHeight="1" x14ac:dyDescent="0.25">
      <c r="B13" s="837" t="s">
        <v>155</v>
      </c>
      <c r="C13" s="287" t="s">
        <v>167</v>
      </c>
      <c r="D13" s="288" t="s">
        <v>168</v>
      </c>
      <c r="E13" s="265" t="s">
        <v>169</v>
      </c>
      <c r="F13" s="265"/>
      <c r="G13" s="265"/>
      <c r="H13" s="263"/>
      <c r="I13" s="17"/>
      <c r="J13" s="33" t="s">
        <v>232</v>
      </c>
    </row>
    <row r="14" spans="2:23" ht="17.25" customHeight="1" x14ac:dyDescent="0.25">
      <c r="B14" s="838"/>
      <c r="C14" s="17" t="s">
        <v>142</v>
      </c>
      <c r="D14" s="268">
        <v>2</v>
      </c>
      <c r="E14" s="17" t="s">
        <v>143</v>
      </c>
      <c r="F14" s="17"/>
      <c r="G14" s="17"/>
      <c r="H14" s="204"/>
      <c r="I14" s="17"/>
    </row>
    <row r="15" spans="2:23" ht="17.25" customHeight="1" x14ac:dyDescent="0.25">
      <c r="B15" s="838"/>
      <c r="C15" s="17" t="s">
        <v>5</v>
      </c>
      <c r="D15" s="18">
        <v>1.3</v>
      </c>
      <c r="E15" s="17" t="s">
        <v>146</v>
      </c>
      <c r="F15" s="17"/>
      <c r="G15" s="17"/>
      <c r="H15" s="204"/>
      <c r="I15" s="17"/>
      <c r="J15" s="33" t="s">
        <v>233</v>
      </c>
    </row>
    <row r="16" spans="2:23" ht="17.25" customHeight="1" x14ac:dyDescent="0.25">
      <c r="B16" s="838"/>
      <c r="C16" s="142" t="s">
        <v>158</v>
      </c>
      <c r="D16" s="455">
        <f>D8</f>
        <v>12000</v>
      </c>
      <c r="E16" s="142" t="s">
        <v>159</v>
      </c>
      <c r="F16" s="17"/>
      <c r="G16" s="17"/>
      <c r="H16" s="204"/>
      <c r="I16" s="17"/>
      <c r="J16" s="33" t="s">
        <v>234</v>
      </c>
    </row>
    <row r="17" spans="2:26" ht="17.25" customHeight="1" thickBot="1" x14ac:dyDescent="0.3">
      <c r="B17" s="839"/>
      <c r="C17" s="168" t="s">
        <v>144</v>
      </c>
      <c r="D17" s="456">
        <f>D15*D16*LN(D14)</f>
        <v>10813.096016735146</v>
      </c>
      <c r="E17" s="168" t="s">
        <v>145</v>
      </c>
      <c r="F17" s="266"/>
      <c r="G17" s="266"/>
      <c r="H17" s="264"/>
      <c r="I17" s="17"/>
    </row>
    <row r="18" spans="2:26" s="7" customFormat="1" ht="15.75" thickBot="1" x14ac:dyDescent="0.3">
      <c r="B18"/>
      <c r="C18" s="33"/>
      <c r="D18" s="33"/>
      <c r="E18" s="33"/>
      <c r="F18" s="33"/>
      <c r="G18" s="33"/>
      <c r="H18" s="33"/>
      <c r="I18" s="33"/>
      <c r="J18" s="33"/>
      <c r="K18" s="33"/>
      <c r="L18" s="33"/>
      <c r="M18" s="33"/>
      <c r="N18"/>
      <c r="O18"/>
      <c r="P18"/>
      <c r="Q18"/>
      <c r="R18"/>
      <c r="S18"/>
      <c r="T18"/>
      <c r="U18"/>
      <c r="V18" s="8"/>
    </row>
    <row r="19" spans="2:26" s="7" customFormat="1" ht="24.75" customHeight="1" thickBot="1" x14ac:dyDescent="0.35">
      <c r="B19"/>
      <c r="C19" s="450" t="s">
        <v>12</v>
      </c>
      <c r="D19" s="442"/>
      <c r="E19" s="451" t="s">
        <v>13</v>
      </c>
      <c r="F19" s="452"/>
      <c r="G19" s="876" t="s">
        <v>221</v>
      </c>
      <c r="H19" s="877"/>
      <c r="I19" s="461" t="s">
        <v>227</v>
      </c>
      <c r="J19" s="458" t="s">
        <v>226</v>
      </c>
      <c r="K19" s="442" t="s">
        <v>119</v>
      </c>
      <c r="L19" s="453" t="s">
        <v>35</v>
      </c>
      <c r="M19" s="202"/>
      <c r="N19" s="840" t="s">
        <v>98</v>
      </c>
      <c r="O19" s="841"/>
      <c r="P19" s="185" t="s">
        <v>99</v>
      </c>
      <c r="R19" s="7" t="s">
        <v>100</v>
      </c>
      <c r="S19" s="20"/>
      <c r="T19" s="186" t="s">
        <v>100</v>
      </c>
      <c r="U19" s="20"/>
    </row>
    <row r="20" spans="2:26" s="7" customFormat="1" ht="16.5" thickTop="1" thickBot="1" x14ac:dyDescent="0.3">
      <c r="B20" s="117" t="s">
        <v>45</v>
      </c>
      <c r="C20" s="211" t="str">
        <f>"S("&amp;D6&amp;")"</f>
        <v>S(8000)</v>
      </c>
      <c r="D20" s="207" t="str">
        <f>"S("&amp;D7&amp;")"</f>
        <v>S(20000)</v>
      </c>
      <c r="E20" s="205" t="str">
        <f>"P("&amp;D6&amp;")"</f>
        <v>P(8000)</v>
      </c>
      <c r="F20" s="206" t="str">
        <f>"S("&amp;D7&amp;")"</f>
        <v>S(20000)</v>
      </c>
      <c r="G20" s="205" t="s">
        <v>256</v>
      </c>
      <c r="H20" s="207" t="s">
        <v>257</v>
      </c>
      <c r="I20" s="463" t="s">
        <v>222</v>
      </c>
      <c r="J20" s="460" t="s">
        <v>101</v>
      </c>
      <c r="K20" s="310">
        <v>0</v>
      </c>
      <c r="L20" s="212"/>
      <c r="M20" s="142"/>
      <c r="N20" s="182" t="str">
        <f>C20</f>
        <v>S(8000)</v>
      </c>
      <c r="O20" s="183" t="str">
        <f>D20</f>
        <v>S(20000)</v>
      </c>
      <c r="T20"/>
    </row>
    <row r="21" spans="2:26" s="7" customFormat="1" ht="18" customHeight="1" thickTop="1" x14ac:dyDescent="0.3">
      <c r="B21" s="25">
        <v>1</v>
      </c>
      <c r="C21" s="468">
        <v>0</v>
      </c>
      <c r="D21" s="370">
        <v>0</v>
      </c>
      <c r="E21" s="469">
        <f t="shared" ref="E21:E29" si="0">EXP(C21/$D$15)/(EXP($D21/$D$15)+EXP($C21/$D$15))</f>
        <v>0.5</v>
      </c>
      <c r="F21" s="470">
        <f t="shared" ref="F21:F30" si="1">EXP(D21/$D$15)/(EXP($D21/$D$15)+EXP($C21/$D$15))</f>
        <v>0.5</v>
      </c>
      <c r="G21" s="471">
        <f>(E21*$D$8)</f>
        <v>6000</v>
      </c>
      <c r="H21" s="472">
        <f>(F21*$D$8)</f>
        <v>6000</v>
      </c>
      <c r="I21" s="466">
        <f>G21+$D$6</f>
        <v>14000</v>
      </c>
      <c r="J21" s="467">
        <f>H21+$D$6</f>
        <v>14000</v>
      </c>
      <c r="K21" s="354">
        <f>$D$15*$D$16*LN(EXP($D21/$D$15)+EXP($C21/$D$15))</f>
        <v>10813.096016735146</v>
      </c>
      <c r="L21" s="213">
        <f>(K21-K20)</f>
        <v>10813.096016735146</v>
      </c>
      <c r="M21" s="203"/>
      <c r="N21" s="116"/>
      <c r="O21" s="102"/>
      <c r="T21" s="187" t="str">
        <f>"Paid "&amp;ROUND(L21,2)&amp;" to create this Market."</f>
        <v>Paid 10813.1 to create this Market.</v>
      </c>
      <c r="Z21" s="189"/>
    </row>
    <row r="22" spans="2:26" s="7" customFormat="1" ht="18.75" x14ac:dyDescent="0.3">
      <c r="B22" s="25">
        <v>2</v>
      </c>
      <c r="C22" s="473">
        <v>1</v>
      </c>
      <c r="D22" s="378">
        <v>0</v>
      </c>
      <c r="E22" s="474">
        <f t="shared" si="0"/>
        <v>0.68335447018778295</v>
      </c>
      <c r="F22" s="475">
        <f t="shared" si="1"/>
        <v>0.316645529812217</v>
      </c>
      <c r="G22" s="476">
        <f>(E22*$D$8)</f>
        <v>8200.2536422533958</v>
      </c>
      <c r="H22" s="477">
        <f t="shared" ref="H22:H31" si="2">(F22*$D$8)</f>
        <v>3799.7463577466042</v>
      </c>
      <c r="I22" s="462">
        <f>G22+$D$6</f>
        <v>16200.253642253396</v>
      </c>
      <c r="J22" s="459">
        <f t="shared" ref="J22:J31" si="3">H22+$D$6</f>
        <v>11799.746357746604</v>
      </c>
      <c r="K22" s="355">
        <f t="shared" ref="K22:K29" si="4">$D$15*$D$16*LN(EXP($D22/$D$15)+EXP($C22/$D$15))</f>
        <v>17939.56839861926</v>
      </c>
      <c r="L22" s="215">
        <f t="shared" ref="L22:L29" si="5">(K22-K21)</f>
        <v>7126.4723818841139</v>
      </c>
      <c r="M22" s="203"/>
      <c r="N22" s="116">
        <f t="shared" ref="N22:N30" si="6">C22-C21</f>
        <v>1</v>
      </c>
      <c r="O22" s="102">
        <f t="shared" ref="O22:O30" si="7">D22-D21</f>
        <v>0</v>
      </c>
      <c r="P22" s="184">
        <f t="shared" ref="P22:P30" si="8">L22</f>
        <v>7126.4723818841139</v>
      </c>
      <c r="R22" s="7" t="str">
        <f>IF(N22&gt;0,"Bought ",IF(N22&lt;0,"Sold ",""))&amp;IF(N22&lt;0,N22*-1,IF(N22&gt;0,N22,""))&amp;IF(N22&lt;&gt;0," Shares of State 1 at a cost of "&amp;ROUND($P22,5),"")</f>
        <v>Bought 1 Shares of State 1 at a cost of 7126.47238</v>
      </c>
      <c r="S22" s="7" t="str">
        <f t="shared" ref="S22" si="9">IF(O22&gt;0,"Bought ",IF(O22&lt;0,"Sold ",""))&amp;IF(O22&lt;0,O22*-1,IF(O22&gt;0,O22,""))&amp;IF(O22&lt;&gt;0," Shares of State 2 at a cost of "&amp;ROUND($P22,5),"")</f>
        <v/>
      </c>
      <c r="T22" s="187" t="str">
        <f>R22&amp;S22</f>
        <v>Bought 1 Shares of State 1 at a cost of 7126.47238</v>
      </c>
    </row>
    <row r="23" spans="2:26" s="7" customFormat="1" ht="18.75" x14ac:dyDescent="0.3">
      <c r="B23" s="25">
        <v>3</v>
      </c>
      <c r="C23" s="473">
        <v>1</v>
      </c>
      <c r="D23" s="378">
        <v>2</v>
      </c>
      <c r="E23" s="474">
        <f t="shared" si="0"/>
        <v>0.316645529812217</v>
      </c>
      <c r="F23" s="475">
        <f t="shared" si="1"/>
        <v>0.68335447018778306</v>
      </c>
      <c r="G23" s="476">
        <f t="shared" ref="G23:G31" si="10">(E23*$D$8)</f>
        <v>3799.7463577466042</v>
      </c>
      <c r="H23" s="477">
        <f t="shared" si="2"/>
        <v>8200.2536422533958</v>
      </c>
      <c r="I23" s="462">
        <f>G23+$D$6</f>
        <v>11799.746357746604</v>
      </c>
      <c r="J23" s="459">
        <f t="shared" si="3"/>
        <v>16200.253642253396</v>
      </c>
      <c r="K23" s="355">
        <f t="shared" si="4"/>
        <v>29939.568398619263</v>
      </c>
      <c r="L23" s="215">
        <f t="shared" si="5"/>
        <v>12000.000000000004</v>
      </c>
      <c r="M23" s="203"/>
      <c r="N23" s="116">
        <f t="shared" si="6"/>
        <v>0</v>
      </c>
      <c r="O23" s="102">
        <f t="shared" si="7"/>
        <v>2</v>
      </c>
      <c r="P23" s="184">
        <f t="shared" si="8"/>
        <v>12000.000000000004</v>
      </c>
      <c r="R23" s="7" t="str">
        <f>IF(N23&gt;0,"Bought ",IF(N23&lt;0,"Sold ",""))&amp;IF(N23&lt;0,N23*-1,IF(N23&gt;0,N23,""))&amp;IF(N23&lt;&gt;0," Shares of State 1 at a cost of "&amp;ROUND($P23,5),"")</f>
        <v/>
      </c>
      <c r="S23" s="7" t="str">
        <f>IF(O23&gt;0,"Bought ",IF(O23&lt;0,"Sold ",""))&amp;IF(O23&lt;0,O23*-1,IF(O23&gt;0,O23,""))&amp;IF(O23&lt;&gt;0," Shares of State 2 at a cost of "&amp;ROUND($P23,5),"")</f>
        <v>Bought 2 Shares of State 2 at a cost of 12000</v>
      </c>
      <c r="T23" s="187" t="str">
        <f t="shared" ref="T23:T30" si="11">R23&amp;S23</f>
        <v>Bought 2 Shares of State 2 at a cost of 12000</v>
      </c>
    </row>
    <row r="24" spans="2:26" s="7" customFormat="1" ht="18.75" x14ac:dyDescent="0.3">
      <c r="B24" s="25">
        <v>4</v>
      </c>
      <c r="C24" s="473">
        <v>2</v>
      </c>
      <c r="D24" s="378">
        <v>2</v>
      </c>
      <c r="E24" s="474">
        <f t="shared" si="0"/>
        <v>0.5</v>
      </c>
      <c r="F24" s="475">
        <f t="shared" si="1"/>
        <v>0.5</v>
      </c>
      <c r="G24" s="476">
        <f t="shared" si="10"/>
        <v>6000</v>
      </c>
      <c r="H24" s="477">
        <f t="shared" si="2"/>
        <v>6000</v>
      </c>
      <c r="I24" s="462">
        <f t="shared" ref="I24:I31" si="12">G24+$D$6</f>
        <v>14000</v>
      </c>
      <c r="J24" s="459">
        <f t="shared" si="3"/>
        <v>14000</v>
      </c>
      <c r="K24" s="355">
        <f t="shared" si="4"/>
        <v>34813.096016735144</v>
      </c>
      <c r="L24" s="215">
        <f t="shared" si="5"/>
        <v>4873.5276181158806</v>
      </c>
      <c r="M24" s="203"/>
      <c r="N24" s="116">
        <f t="shared" si="6"/>
        <v>1</v>
      </c>
      <c r="O24" s="102">
        <f t="shared" si="7"/>
        <v>0</v>
      </c>
      <c r="P24" s="184">
        <f t="shared" si="8"/>
        <v>4873.5276181158806</v>
      </c>
      <c r="R24" s="7" t="str">
        <f>IF(N24&gt;0,"Bought ",IF(N24&lt;0,"Sold ",""))&amp;IF(N24&lt;0,N24*-1,IF(N24&gt;0,N24,""))&amp;IF(N24&lt;&gt;0," Shares of State 1 at a cost of "&amp;ROUND($P24,5),"")</f>
        <v>Bought 1 Shares of State 1 at a cost of 4873.52762</v>
      </c>
      <c r="S24" s="7" t="str">
        <f>IF(O24&gt;0,"Bought ",IF(O24&lt;0,"Sold ",""))&amp;IF(O24&lt;0,O24*-1,IF(O24&gt;0,O24,""))&amp;IF(O24&lt;&gt;0," Shares of State 2 at a cost of "&amp;ROUND($P24,5),"")</f>
        <v/>
      </c>
      <c r="T24" s="187" t="str">
        <f t="shared" si="11"/>
        <v>Bought 1 Shares of State 1 at a cost of 4873.52762</v>
      </c>
    </row>
    <row r="25" spans="2:26" s="7" customFormat="1" ht="18.75" x14ac:dyDescent="0.3">
      <c r="B25" s="25">
        <v>5</v>
      </c>
      <c r="C25" s="473">
        <v>2</v>
      </c>
      <c r="D25" s="378">
        <v>12</v>
      </c>
      <c r="E25" s="474">
        <f t="shared" si="0"/>
        <v>4.5611576405646073E-4</v>
      </c>
      <c r="F25" s="475">
        <f t="shared" si="1"/>
        <v>0.99954388423594354</v>
      </c>
      <c r="G25" s="476">
        <f t="shared" si="10"/>
        <v>5.4733891686775289</v>
      </c>
      <c r="H25" s="477">
        <f t="shared" si="2"/>
        <v>11994.526610831323</v>
      </c>
      <c r="I25" s="462">
        <f t="shared" si="12"/>
        <v>8005.4733891686774</v>
      </c>
      <c r="J25" s="459">
        <f t="shared" si="3"/>
        <v>19994.526610831323</v>
      </c>
      <c r="K25" s="355">
        <f t="shared" si="4"/>
        <v>144007.11702913727</v>
      </c>
      <c r="L25" s="215">
        <f>(K25-K24)</f>
        <v>109194.02101240213</v>
      </c>
      <c r="M25" s="203"/>
      <c r="N25" s="116">
        <f t="shared" si="6"/>
        <v>0</v>
      </c>
      <c r="O25" s="102">
        <f t="shared" si="7"/>
        <v>10</v>
      </c>
      <c r="P25" s="184">
        <f t="shared" si="8"/>
        <v>109194.02101240213</v>
      </c>
      <c r="R25" s="7" t="str">
        <f t="shared" ref="R25:R29" si="13">IF(N25&gt;0,"Bought ",IF(N25&lt;0,"Sold ",""))&amp;IF(N25&lt;0,N25*-1,IF(N25&gt;0,N25,""))&amp;IF(N25&lt;&gt;0," Shares of State 1 at a cost of "&amp;ROUND($P25,5),"")</f>
        <v/>
      </c>
      <c r="S25" s="7" t="str">
        <f t="shared" ref="S25:S29" si="14">IF(O25&gt;0,"Bought ",IF(O25&lt;0,"Sold ",""))&amp;IF(O25&lt;0,O25*-1,IF(O25&gt;0,O25,""))&amp;IF(O25&lt;&gt;0," Shares of State 2 at a cost of "&amp;ROUND($P25,5),"")</f>
        <v>Bought 10 Shares of State 2 at a cost of 109194.02101</v>
      </c>
      <c r="T25" s="187" t="str">
        <f t="shared" ref="T25:T29" si="15">R25&amp;S25</f>
        <v>Bought 10 Shares of State 2 at a cost of 109194.02101</v>
      </c>
    </row>
    <row r="26" spans="2:26" s="7" customFormat="1" ht="18.75" x14ac:dyDescent="0.3">
      <c r="B26" s="25">
        <v>6</v>
      </c>
      <c r="C26" s="473">
        <v>12</v>
      </c>
      <c r="D26" s="378">
        <v>12</v>
      </c>
      <c r="E26" s="474">
        <f t="shared" si="0"/>
        <v>0.5</v>
      </c>
      <c r="F26" s="475">
        <f t="shared" si="1"/>
        <v>0.5</v>
      </c>
      <c r="G26" s="476">
        <f t="shared" si="10"/>
        <v>6000</v>
      </c>
      <c r="H26" s="477">
        <f t="shared" si="2"/>
        <v>6000</v>
      </c>
      <c r="I26" s="462">
        <f t="shared" si="12"/>
        <v>14000</v>
      </c>
      <c r="J26" s="459">
        <f t="shared" si="3"/>
        <v>14000</v>
      </c>
      <c r="K26" s="355">
        <f t="shared" si="4"/>
        <v>154813.09601673513</v>
      </c>
      <c r="L26" s="215">
        <f t="shared" si="5"/>
        <v>10805.97898759786</v>
      </c>
      <c r="M26" s="203"/>
      <c r="N26" s="116">
        <f t="shared" si="6"/>
        <v>10</v>
      </c>
      <c r="O26" s="102">
        <f t="shared" si="7"/>
        <v>0</v>
      </c>
      <c r="P26" s="184">
        <f t="shared" si="8"/>
        <v>10805.97898759786</v>
      </c>
      <c r="R26" s="7" t="str">
        <f t="shared" si="13"/>
        <v>Bought 10 Shares of State 1 at a cost of 10805.97899</v>
      </c>
      <c r="S26" s="7" t="str">
        <f t="shared" si="14"/>
        <v/>
      </c>
      <c r="T26" s="187" t="str">
        <f t="shared" si="15"/>
        <v>Bought 10 Shares of State 1 at a cost of 10805.97899</v>
      </c>
    </row>
    <row r="27" spans="2:26" s="7" customFormat="1" ht="18.75" x14ac:dyDescent="0.3">
      <c r="B27" s="25">
        <v>7</v>
      </c>
      <c r="C27" s="473">
        <v>12</v>
      </c>
      <c r="D27" s="378">
        <v>10</v>
      </c>
      <c r="E27" s="474">
        <f t="shared" si="0"/>
        <v>0.82324096688122073</v>
      </c>
      <c r="F27" s="475">
        <f t="shared" si="1"/>
        <v>0.17675903311877933</v>
      </c>
      <c r="G27" s="476">
        <f t="shared" si="10"/>
        <v>9878.8916025746494</v>
      </c>
      <c r="H27" s="477">
        <f t="shared" si="2"/>
        <v>2121.108397425352</v>
      </c>
      <c r="I27" s="462">
        <f t="shared" si="12"/>
        <v>17878.891602574651</v>
      </c>
      <c r="J27" s="459">
        <f t="shared" si="3"/>
        <v>10121.108397425352</v>
      </c>
      <c r="K27" s="355">
        <f t="shared" si="4"/>
        <v>147034.29875261395</v>
      </c>
      <c r="L27" s="215">
        <f t="shared" si="5"/>
        <v>-7778.7972641211818</v>
      </c>
      <c r="M27" s="203"/>
      <c r="N27" s="116">
        <f t="shared" si="6"/>
        <v>0</v>
      </c>
      <c r="O27" s="102">
        <f t="shared" si="7"/>
        <v>-2</v>
      </c>
      <c r="P27" s="184">
        <f t="shared" si="8"/>
        <v>-7778.7972641211818</v>
      </c>
      <c r="R27" s="7" t="str">
        <f t="shared" si="13"/>
        <v/>
      </c>
      <c r="S27" s="7" t="str">
        <f t="shared" si="14"/>
        <v>Sold 2 Shares of State 2 at a cost of -7778.79726</v>
      </c>
      <c r="T27" s="187" t="str">
        <f t="shared" si="15"/>
        <v>Sold 2 Shares of State 2 at a cost of -7778.79726</v>
      </c>
    </row>
    <row r="28" spans="2:26" s="7" customFormat="1" ht="18.75" x14ac:dyDescent="0.3">
      <c r="B28" s="25">
        <v>8</v>
      </c>
      <c r="C28" s="473">
        <v>8</v>
      </c>
      <c r="D28" s="378">
        <v>10</v>
      </c>
      <c r="E28" s="474">
        <f t="shared" si="0"/>
        <v>0.1767590331187793</v>
      </c>
      <c r="F28" s="475">
        <f t="shared" si="1"/>
        <v>0.82324096688122073</v>
      </c>
      <c r="G28" s="476">
        <f t="shared" si="10"/>
        <v>2121.1083974253515</v>
      </c>
      <c r="H28" s="477">
        <f t="shared" si="2"/>
        <v>9878.8916025746494</v>
      </c>
      <c r="I28" s="462">
        <f t="shared" si="12"/>
        <v>10121.108397425352</v>
      </c>
      <c r="J28" s="459">
        <f t="shared" si="3"/>
        <v>17878.891602574651</v>
      </c>
      <c r="K28" s="355">
        <f t="shared" si="4"/>
        <v>123034.29875261396</v>
      </c>
      <c r="L28" s="215">
        <f t="shared" si="5"/>
        <v>-23999.999999999985</v>
      </c>
      <c r="M28" s="203"/>
      <c r="N28" s="116">
        <f t="shared" si="6"/>
        <v>-4</v>
      </c>
      <c r="O28" s="102">
        <f t="shared" si="7"/>
        <v>0</v>
      </c>
      <c r="P28" s="184">
        <f t="shared" si="8"/>
        <v>-23999.999999999985</v>
      </c>
      <c r="R28" s="7" t="str">
        <f t="shared" si="13"/>
        <v>Sold 4 Shares of State 1 at a cost of -24000</v>
      </c>
      <c r="S28" s="7" t="str">
        <f t="shared" si="14"/>
        <v/>
      </c>
      <c r="T28" s="187" t="str">
        <f t="shared" si="15"/>
        <v>Sold 4 Shares of State 1 at a cost of -24000</v>
      </c>
    </row>
    <row r="29" spans="2:26" s="7" customFormat="1" ht="18.75" x14ac:dyDescent="0.3">
      <c r="B29" s="25">
        <v>9</v>
      </c>
      <c r="C29" s="473">
        <v>12</v>
      </c>
      <c r="D29" s="378">
        <v>10</v>
      </c>
      <c r="E29" s="474">
        <f t="shared" si="0"/>
        <v>0.82324096688122073</v>
      </c>
      <c r="F29" s="475">
        <f t="shared" si="1"/>
        <v>0.17675903311877933</v>
      </c>
      <c r="G29" s="476">
        <f t="shared" si="10"/>
        <v>9878.8916025746494</v>
      </c>
      <c r="H29" s="477">
        <f t="shared" si="2"/>
        <v>2121.108397425352</v>
      </c>
      <c r="I29" s="462">
        <f t="shared" si="12"/>
        <v>17878.891602574651</v>
      </c>
      <c r="J29" s="459">
        <f t="shared" si="3"/>
        <v>10121.108397425352</v>
      </c>
      <c r="K29" s="355">
        <f t="shared" si="4"/>
        <v>147034.29875261395</v>
      </c>
      <c r="L29" s="215">
        <f t="shared" si="5"/>
        <v>23999.999999999985</v>
      </c>
      <c r="M29" s="203"/>
      <c r="N29" s="116">
        <f t="shared" si="6"/>
        <v>4</v>
      </c>
      <c r="O29" s="102">
        <f t="shared" si="7"/>
        <v>0</v>
      </c>
      <c r="P29" s="184">
        <f t="shared" si="8"/>
        <v>23999.999999999985</v>
      </c>
      <c r="R29" s="7" t="str">
        <f t="shared" si="13"/>
        <v>Bought 4 Shares of State 1 at a cost of 24000</v>
      </c>
      <c r="S29" s="7" t="str">
        <f t="shared" si="14"/>
        <v/>
      </c>
      <c r="T29" s="187" t="str">
        <f t="shared" si="15"/>
        <v>Bought 4 Shares of State 1 at a cost of 24000</v>
      </c>
    </row>
    <row r="30" spans="2:26" s="7" customFormat="1" ht="19.5" thickBot="1" x14ac:dyDescent="0.35">
      <c r="B30" s="25">
        <v>10</v>
      </c>
      <c r="C30" s="261">
        <v>12</v>
      </c>
      <c r="D30" s="175">
        <v>10</v>
      </c>
      <c r="E30" s="478">
        <f>EXP(C30/$D$15)/(EXP($D30/$D$15)+EXP($C30/$D$15))</f>
        <v>0.82324096688122073</v>
      </c>
      <c r="F30" s="479">
        <f t="shared" si="1"/>
        <v>0.17675903311877933</v>
      </c>
      <c r="G30" s="480">
        <f t="shared" si="10"/>
        <v>9878.8916025746494</v>
      </c>
      <c r="H30" s="481">
        <f t="shared" si="2"/>
        <v>2121.108397425352</v>
      </c>
      <c r="I30" s="463">
        <f t="shared" si="12"/>
        <v>17878.891602574651</v>
      </c>
      <c r="J30" s="460">
        <f t="shared" si="3"/>
        <v>10121.108397425352</v>
      </c>
      <c r="K30" s="356">
        <f>$D$15*$D$16*LN(EXP($D30/$D$15)+EXP($C30/$D$15))</f>
        <v>147034.29875261395</v>
      </c>
      <c r="L30" s="449">
        <f>(K30-K29)</f>
        <v>0</v>
      </c>
      <c r="M30" s="203"/>
      <c r="N30" s="121">
        <f t="shared" si="6"/>
        <v>0</v>
      </c>
      <c r="O30" s="104">
        <f t="shared" si="7"/>
        <v>0</v>
      </c>
      <c r="P30" s="184">
        <f t="shared" si="8"/>
        <v>0</v>
      </c>
      <c r="R30" s="7" t="str">
        <f>IF(N30&gt;0,"Bought ",IF(N30&lt;0,"Sold ",""))&amp;IF(N30&lt;0,N30*-1,IF(N30&gt;0,N30,""))&amp;IF(N30&lt;&gt;0," Shares of State 1 at a cost of "&amp;ROUND($P30,5),"")</f>
        <v/>
      </c>
      <c r="S30" s="7" t="str">
        <f>IF(O30&gt;0,"Bought ",IF(O30&lt;0,"Sold ",""))&amp;IF(O30&lt;0,O30*-1,IF(O30&gt;0,O30,""))&amp;IF(O30&lt;&gt;0," Shares of State 2 at a cost of "&amp;ROUND($P30,5),"")</f>
        <v/>
      </c>
      <c r="T30" s="187" t="str">
        <f t="shared" si="11"/>
        <v/>
      </c>
    </row>
    <row r="31" spans="2:26" s="7" customFormat="1" ht="16.5" thickTop="1" thickBot="1" x14ac:dyDescent="0.3">
      <c r="B31" s="25" t="s">
        <v>97</v>
      </c>
      <c r="C31" s="394">
        <f>C30</f>
        <v>12</v>
      </c>
      <c r="D31" s="391">
        <f>D30</f>
        <v>10</v>
      </c>
      <c r="E31" s="444">
        <f>E35</f>
        <v>0.33103416666666663</v>
      </c>
      <c r="F31" s="445">
        <f>F35</f>
        <v>0.66896583333333337</v>
      </c>
      <c r="G31" s="482">
        <f t="shared" si="10"/>
        <v>3972.4099999999994</v>
      </c>
      <c r="H31" s="483">
        <f t="shared" si="2"/>
        <v>8027.59</v>
      </c>
      <c r="I31" s="464">
        <f t="shared" si="12"/>
        <v>11972.41</v>
      </c>
      <c r="J31" s="465">
        <f t="shared" si="3"/>
        <v>16027.59</v>
      </c>
      <c r="K31" s="457">
        <f>$D$15*$D$16*LN(EXP($D31/$D$15)+EXP($C31/$D$15))</f>
        <v>147034.29875261395</v>
      </c>
      <c r="L31" s="203"/>
      <c r="M31" s="8"/>
      <c r="S31" s="8"/>
      <c r="T31" s="8"/>
      <c r="U31" s="8"/>
    </row>
    <row r="32" spans="2:26" s="7" customFormat="1" ht="19.5" thickBot="1" x14ac:dyDescent="0.35">
      <c r="B32"/>
      <c r="C32" s="33"/>
      <c r="D32" s="33"/>
      <c r="E32" s="86"/>
      <c r="F32" s="86"/>
      <c r="G32" s="33"/>
      <c r="H32" s="33"/>
      <c r="I32" s="33"/>
      <c r="J32" s="33"/>
      <c r="K32" s="277">
        <f>SUMPRODUCT(C31:D31,G31:H31)</f>
        <v>127944.81999999998</v>
      </c>
      <c r="L32" t="s">
        <v>110</v>
      </c>
      <c r="S32"/>
      <c r="T32" s="187" t="str">
        <f>C31&amp;" Shares of State 1 were redeemed for "&amp;G31&amp;" each, and "&amp;D31&amp;" Shares of State 2 were redeemed for "&amp;H31&amp;" each."</f>
        <v>12 Shares of State 1 were redeemed for 3972.41 each, and 10 Shares of State 2 were redeemed for 8027.59 each.</v>
      </c>
      <c r="U32"/>
    </row>
    <row r="33" spans="2:21" s="7" customFormat="1" ht="19.5" thickBot="1" x14ac:dyDescent="0.35">
      <c r="C33" s="142"/>
      <c r="E33" s="18"/>
      <c r="F33" s="18"/>
      <c r="G33" s="17"/>
      <c r="I33" s="17"/>
      <c r="J33" s="216"/>
      <c r="K33" s="277">
        <f>K31-K32</f>
        <v>19089.47875261397</v>
      </c>
      <c r="L33" s="7" t="s">
        <v>102</v>
      </c>
      <c r="T33" s="187" t="str">
        <f>ROUND(K33,2)&amp;" from the liquidity pool was left over, it was returned to the author."</f>
        <v>19089.48 from the liquidity pool was left over, it was returned to the author.</v>
      </c>
    </row>
    <row r="34" spans="2:21" s="7" customFormat="1" ht="19.5" thickBot="1" x14ac:dyDescent="0.35">
      <c r="C34" s="1"/>
      <c r="D34" s="152"/>
      <c r="E34" s="282" t="s">
        <v>177</v>
      </c>
      <c r="F34" s="446" t="s">
        <v>157</v>
      </c>
      <c r="G34" s="17"/>
      <c r="I34" s="17"/>
      <c r="J34" s="216"/>
      <c r="K34" s="275">
        <f>K21-K33</f>
        <v>-8276.382735878824</v>
      </c>
      <c r="L34" s="54" t="s">
        <v>103</v>
      </c>
      <c r="Q34" s="8"/>
      <c r="R34" s="8"/>
      <c r="S34" s="8"/>
      <c r="T34" s="187" t="str">
        <f>"All in all, it took "&amp;ROUND(K34,2)&amp;" to make this Market."</f>
        <v>All in all, it took -8276.38 to make this Market.</v>
      </c>
      <c r="U34" s="28"/>
    </row>
    <row r="35" spans="2:21" ht="15.75" thickBot="1" x14ac:dyDescent="0.3">
      <c r="C35" s="304" t="s">
        <v>178</v>
      </c>
      <c r="D35" s="443">
        <v>16027.59</v>
      </c>
      <c r="E35" s="447">
        <f>1-F35</f>
        <v>0.33103416666666663</v>
      </c>
      <c r="F35" s="448">
        <f>(D35-D6)/D8</f>
        <v>0.66896583333333337</v>
      </c>
      <c r="H35" s="484"/>
      <c r="J35" s="216"/>
      <c r="L35" s="190"/>
      <c r="T35" s="28" t="s">
        <v>225</v>
      </c>
    </row>
    <row r="36" spans="2:21" x14ac:dyDescent="0.25">
      <c r="C36" s="33" t="s">
        <v>223</v>
      </c>
      <c r="J36" s="216"/>
      <c r="T36" t="s">
        <v>224</v>
      </c>
    </row>
    <row r="37" spans="2:21" x14ac:dyDescent="0.25">
      <c r="C37" s="33" t="s">
        <v>229</v>
      </c>
      <c r="J37" s="216"/>
    </row>
    <row r="38" spans="2:21" x14ac:dyDescent="0.25">
      <c r="J38" s="216"/>
    </row>
    <row r="39" spans="2:21" x14ac:dyDescent="0.25">
      <c r="B39" t="s">
        <v>149</v>
      </c>
    </row>
    <row r="40" spans="2:21" x14ac:dyDescent="0.25">
      <c r="B40" s="33" t="s">
        <v>105</v>
      </c>
    </row>
    <row r="41" spans="2:21" x14ac:dyDescent="0.25">
      <c r="B41" s="33" t="s">
        <v>104</v>
      </c>
    </row>
    <row r="43" spans="2:21" x14ac:dyDescent="0.25">
      <c r="B43" s="33" t="s">
        <v>220</v>
      </c>
    </row>
    <row r="45" spans="2:21" x14ac:dyDescent="0.25">
      <c r="B45" t="s">
        <v>150</v>
      </c>
    </row>
    <row r="47" spans="2:21" x14ac:dyDescent="0.25">
      <c r="B47" t="s">
        <v>228</v>
      </c>
    </row>
    <row r="49" spans="2:5" x14ac:dyDescent="0.25">
      <c r="B49" t="s">
        <v>231</v>
      </c>
    </row>
    <row r="50" spans="2:5" x14ac:dyDescent="0.25">
      <c r="B50" s="33"/>
      <c r="C50" s="190"/>
      <c r="E50" s="7"/>
    </row>
    <row r="51" spans="2:5" x14ac:dyDescent="0.25">
      <c r="C51" s="484">
        <f>SUM(G29:H29)</f>
        <v>12000.000000000002</v>
      </c>
    </row>
    <row r="52" spans="2:5" x14ac:dyDescent="0.25">
      <c r="C52" s="484">
        <f>SUM(G30:H30)</f>
        <v>12000.000000000002</v>
      </c>
    </row>
    <row r="53" spans="2:5" x14ac:dyDescent="0.25">
      <c r="C53" s="484">
        <f>SUM(G31:H31)</f>
        <v>12000</v>
      </c>
    </row>
    <row r="54" spans="2:5" x14ac:dyDescent="0.25">
      <c r="C54" s="484"/>
    </row>
    <row r="55" spans="2:5" x14ac:dyDescent="0.25">
      <c r="B55" t="s">
        <v>230</v>
      </c>
      <c r="C55" s="484"/>
    </row>
    <row r="57" spans="2:5" x14ac:dyDescent="0.25">
      <c r="C57" s="485">
        <f t="shared" ref="C57:D60" si="16">I22-I21</f>
        <v>2200.2536422533958</v>
      </c>
      <c r="D57" s="485">
        <f t="shared" si="16"/>
        <v>-2200.2536422533958</v>
      </c>
    </row>
    <row r="58" spans="2:5" x14ac:dyDescent="0.25">
      <c r="C58" s="485">
        <f t="shared" si="16"/>
        <v>-4400.5072845067916</v>
      </c>
      <c r="D58" s="485">
        <f t="shared" si="16"/>
        <v>4400.5072845067916</v>
      </c>
    </row>
    <row r="59" spans="2:5" x14ac:dyDescent="0.25">
      <c r="C59" s="485">
        <f t="shared" si="16"/>
        <v>2200.2536422533958</v>
      </c>
      <c r="D59" s="485">
        <f t="shared" si="16"/>
        <v>-2200.2536422533958</v>
      </c>
    </row>
    <row r="60" spans="2:5" x14ac:dyDescent="0.25">
      <c r="C60" s="485">
        <f t="shared" si="16"/>
        <v>-5994.5266108313226</v>
      </c>
      <c r="D60" s="485">
        <f t="shared" si="16"/>
        <v>5994.5266108313226</v>
      </c>
    </row>
    <row r="61" spans="2:5" x14ac:dyDescent="0.25">
      <c r="C61" s="485"/>
      <c r="D61" s="485"/>
    </row>
    <row r="62" spans="2:5" x14ac:dyDescent="0.25">
      <c r="C62" s="485"/>
      <c r="D62" s="485"/>
    </row>
    <row r="63" spans="2:5" x14ac:dyDescent="0.25">
      <c r="C63" s="485"/>
      <c r="D63" s="485"/>
    </row>
    <row r="64" spans="2:5" x14ac:dyDescent="0.25">
      <c r="C64" s="485"/>
      <c r="D64" s="485"/>
    </row>
    <row r="65" spans="3:4" x14ac:dyDescent="0.25">
      <c r="C65" s="485"/>
      <c r="D65" s="485"/>
    </row>
  </sheetData>
  <mergeCells count="4">
    <mergeCell ref="N19:O19"/>
    <mergeCell ref="B5:B11"/>
    <mergeCell ref="B13:B17"/>
    <mergeCell ref="G19:H19"/>
  </mergeCells>
  <hyperlinks>
    <hyperlink ref="D9" r:id="rId1"/>
    <hyperlink ref="D10" r:id="rId2"/>
    <hyperlink ref="D11" r:id="rId3"/>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71"/>
  <sheetViews>
    <sheetView zoomScale="70" zoomScaleNormal="70" workbookViewId="0">
      <selection activeCell="B3" sqref="B3"/>
    </sheetView>
  </sheetViews>
  <sheetFormatPr defaultRowHeight="15" x14ac:dyDescent="0.25"/>
  <cols>
    <col min="3" max="3" width="13.28515625" customWidth="1"/>
    <col min="5" max="19" width="11.42578125" style="33" customWidth="1"/>
    <col min="20" max="21" width="12" style="33" customWidth="1"/>
    <col min="22" max="22" width="0" hidden="1" customWidth="1"/>
    <col min="23" max="23" width="9.42578125" hidden="1" customWidth="1"/>
    <col min="24" max="24" width="12.7109375" hidden="1" customWidth="1"/>
    <col min="25" max="25" width="10.28515625" hidden="1" customWidth="1"/>
    <col min="26" max="26" width="10.7109375" hidden="1" customWidth="1"/>
    <col min="27" max="27" width="0" hidden="1" customWidth="1"/>
    <col min="28" max="28" width="9.42578125" hidden="1" customWidth="1"/>
    <col min="30" max="30" width="12.140625" customWidth="1"/>
    <col min="31" max="31" width="10.5703125" customWidth="1"/>
    <col min="34" max="34" width="11.140625" customWidth="1"/>
  </cols>
  <sheetData>
    <row r="2" spans="2:13" ht="31.5" x14ac:dyDescent="0.5">
      <c r="B2" s="188" t="s">
        <v>358</v>
      </c>
      <c r="D2" s="141"/>
    </row>
    <row r="3" spans="2:13" ht="31.5" x14ac:dyDescent="0.5">
      <c r="B3" s="188"/>
      <c r="D3" s="141"/>
    </row>
    <row r="4" spans="2:13" x14ac:dyDescent="0.25">
      <c r="C4" s="834" t="s">
        <v>166</v>
      </c>
      <c r="D4" s="152" t="s">
        <v>101</v>
      </c>
      <c r="E4" s="152" t="s">
        <v>261</v>
      </c>
      <c r="F4" s="152"/>
      <c r="G4" s="278"/>
      <c r="H4" s="278"/>
      <c r="I4" s="278"/>
      <c r="J4" s="278"/>
      <c r="K4" s="278"/>
      <c r="L4" s="278"/>
      <c r="M4" s="273"/>
    </row>
    <row r="5" spans="2:13" x14ac:dyDescent="0.25">
      <c r="C5" s="835"/>
      <c r="D5" s="17" t="s">
        <v>152</v>
      </c>
      <c r="E5" s="18">
        <v>2</v>
      </c>
      <c r="F5" s="7" t="s">
        <v>153</v>
      </c>
      <c r="G5" s="17"/>
      <c r="H5" s="17" t="s">
        <v>263</v>
      </c>
      <c r="I5" s="17"/>
      <c r="J5" s="17"/>
      <c r="K5" s="17"/>
      <c r="L5" s="17"/>
      <c r="M5" s="252"/>
    </row>
    <row r="6" spans="2:13" x14ac:dyDescent="0.25">
      <c r="C6" s="835"/>
      <c r="D6" s="17" t="s">
        <v>155</v>
      </c>
      <c r="E6" s="18">
        <v>50</v>
      </c>
      <c r="F6" s="7" t="s">
        <v>154</v>
      </c>
      <c r="G6" s="17"/>
      <c r="H6" s="17" t="s">
        <v>262</v>
      </c>
      <c r="I6" s="17"/>
      <c r="J6" s="17"/>
      <c r="K6" s="17"/>
      <c r="L6" s="17"/>
      <c r="M6" s="252"/>
    </row>
    <row r="7" spans="2:13" x14ac:dyDescent="0.25">
      <c r="C7" s="835"/>
      <c r="D7" s="142" t="s">
        <v>156</v>
      </c>
      <c r="E7" s="18">
        <f>E6-E5</f>
        <v>48</v>
      </c>
      <c r="F7" s="7" t="s">
        <v>157</v>
      </c>
      <c r="G7" s="17"/>
      <c r="H7" s="17"/>
      <c r="I7" s="17"/>
      <c r="J7" s="17"/>
      <c r="K7" s="17"/>
      <c r="L7" s="17"/>
      <c r="M7" s="252"/>
    </row>
    <row r="8" spans="2:13" x14ac:dyDescent="0.25">
      <c r="C8" s="835"/>
      <c r="D8" s="142" t="s">
        <v>160</v>
      </c>
      <c r="E8" s="192" t="s">
        <v>173</v>
      </c>
      <c r="F8" s="8" t="s">
        <v>163</v>
      </c>
      <c r="G8" s="17"/>
      <c r="H8" s="17"/>
      <c r="I8" s="17"/>
      <c r="J8" s="17"/>
      <c r="K8" s="17"/>
      <c r="L8" s="17"/>
      <c r="M8" s="252"/>
    </row>
    <row r="9" spans="2:13" x14ac:dyDescent="0.25">
      <c r="C9" s="835"/>
      <c r="D9" s="142" t="s">
        <v>161</v>
      </c>
      <c r="E9" s="192"/>
      <c r="F9" s="8" t="s">
        <v>164</v>
      </c>
      <c r="G9" s="17"/>
      <c r="H9" s="17"/>
      <c r="I9" s="17"/>
      <c r="J9" s="17"/>
      <c r="K9" s="17"/>
      <c r="L9" s="17"/>
      <c r="M9" s="252"/>
    </row>
    <row r="10" spans="2:13" x14ac:dyDescent="0.25">
      <c r="C10" s="836"/>
      <c r="D10" s="279" t="s">
        <v>162</v>
      </c>
      <c r="E10" s="280"/>
      <c r="F10" s="281" t="s">
        <v>165</v>
      </c>
      <c r="G10" s="271"/>
      <c r="H10" s="271"/>
      <c r="I10" s="271"/>
      <c r="J10" s="271"/>
      <c r="K10" s="271"/>
      <c r="L10" s="271"/>
      <c r="M10" s="274"/>
    </row>
    <row r="11" spans="2:13" x14ac:dyDescent="0.25">
      <c r="C11" s="270"/>
      <c r="D11" s="142"/>
      <c r="E11" s="192"/>
      <c r="F11" s="8"/>
      <c r="G11" s="17"/>
      <c r="H11" s="17"/>
      <c r="I11" s="17"/>
      <c r="J11" s="17"/>
      <c r="K11" s="17"/>
      <c r="L11" s="17"/>
    </row>
    <row r="12" spans="2:13" x14ac:dyDescent="0.25">
      <c r="C12" s="834" t="s">
        <v>170</v>
      </c>
      <c r="D12" s="152" t="s">
        <v>4</v>
      </c>
      <c r="E12" s="278" t="s">
        <v>174</v>
      </c>
      <c r="F12" s="152"/>
      <c r="G12" s="278"/>
      <c r="H12" s="285"/>
      <c r="I12" s="278"/>
      <c r="J12" s="273"/>
      <c r="K12" s="17"/>
      <c r="L12" s="17"/>
    </row>
    <row r="13" spans="2:13" x14ac:dyDescent="0.25">
      <c r="C13" s="835"/>
      <c r="D13" s="17" t="s">
        <v>137</v>
      </c>
      <c r="E13" s="17" t="s">
        <v>3</v>
      </c>
      <c r="F13" s="7"/>
      <c r="G13" s="17"/>
      <c r="H13" s="191"/>
      <c r="I13" s="17"/>
      <c r="J13" s="252"/>
      <c r="K13" s="17"/>
      <c r="L13" s="17"/>
    </row>
    <row r="14" spans="2:13" x14ac:dyDescent="0.25">
      <c r="C14" s="836"/>
      <c r="D14" s="271" t="s">
        <v>138</v>
      </c>
      <c r="E14" s="271" t="s">
        <v>2</v>
      </c>
      <c r="F14" s="259"/>
      <c r="G14" s="271"/>
      <c r="H14" s="286"/>
      <c r="I14" s="271"/>
      <c r="J14" s="274"/>
      <c r="K14" s="17"/>
      <c r="L14" s="17"/>
    </row>
    <row r="15" spans="2:13" ht="15.75" thickBot="1" x14ac:dyDescent="0.3">
      <c r="C15" s="270"/>
      <c r="D15" s="142"/>
      <c r="E15" s="192"/>
      <c r="F15" s="8"/>
      <c r="G15" s="17"/>
      <c r="H15" s="17"/>
      <c r="I15" s="17"/>
      <c r="J15" s="17"/>
      <c r="K15" s="17"/>
      <c r="L15" s="17"/>
    </row>
    <row r="16" spans="2:13" x14ac:dyDescent="0.25">
      <c r="C16" s="837" t="s">
        <v>155</v>
      </c>
      <c r="D16" s="287" t="s">
        <v>167</v>
      </c>
      <c r="E16" s="288" t="s">
        <v>171</v>
      </c>
      <c r="F16" s="265" t="s">
        <v>169</v>
      </c>
      <c r="G16" s="265"/>
      <c r="H16" s="265"/>
      <c r="I16" s="263"/>
    </row>
    <row r="17" spans="2:34" x14ac:dyDescent="0.25">
      <c r="C17" s="838"/>
      <c r="D17" s="17" t="s">
        <v>142</v>
      </c>
      <c r="E17" s="268">
        <v>4</v>
      </c>
      <c r="F17" s="17" t="s">
        <v>143</v>
      </c>
      <c r="G17" s="17"/>
      <c r="H17" s="17"/>
      <c r="I17" s="204"/>
    </row>
    <row r="18" spans="2:34" x14ac:dyDescent="0.25">
      <c r="C18" s="838"/>
      <c r="D18" s="17" t="s">
        <v>5</v>
      </c>
      <c r="E18" s="18">
        <v>4</v>
      </c>
      <c r="F18" s="17" t="s">
        <v>146</v>
      </c>
      <c r="G18" s="17"/>
      <c r="H18" s="17"/>
      <c r="I18" s="204"/>
    </row>
    <row r="19" spans="2:34" x14ac:dyDescent="0.25">
      <c r="C19" s="838"/>
      <c r="D19" s="142" t="s">
        <v>158</v>
      </c>
      <c r="E19" s="18">
        <f>E7</f>
        <v>48</v>
      </c>
      <c r="F19" s="142" t="s">
        <v>159</v>
      </c>
      <c r="G19" s="17"/>
      <c r="H19" s="17"/>
      <c r="I19" s="204"/>
    </row>
    <row r="20" spans="2:34" ht="15.75" thickBot="1" x14ac:dyDescent="0.3">
      <c r="C20" s="839"/>
      <c r="D20" s="168" t="s">
        <v>144</v>
      </c>
      <c r="E20" s="289">
        <f>E18*E19*LN(E17)</f>
        <v>266.16851733501898</v>
      </c>
      <c r="F20" s="168" t="s">
        <v>145</v>
      </c>
      <c r="G20" s="266"/>
      <c r="H20" s="266"/>
      <c r="I20" s="264"/>
      <c r="Q20" s="33" t="s">
        <v>182</v>
      </c>
    </row>
    <row r="21" spans="2:34" x14ac:dyDescent="0.25">
      <c r="B21" s="7"/>
    </row>
    <row r="22" spans="2:34" s="7" customFormat="1" ht="15.75" thickBot="1" x14ac:dyDescent="0.3">
      <c r="C22"/>
      <c r="D22"/>
      <c r="E22" s="33"/>
      <c r="F22" s="33"/>
      <c r="G22" s="33"/>
      <c r="H22" s="33"/>
      <c r="I22" s="33"/>
      <c r="J22" s="33"/>
      <c r="K22" s="33"/>
      <c r="L22" s="33"/>
      <c r="M22" s="33"/>
      <c r="N22" s="33"/>
      <c r="O22" s="33"/>
      <c r="P22" s="33"/>
      <c r="Q22" s="33"/>
      <c r="R22" s="33"/>
      <c r="S22" s="33"/>
      <c r="T22" s="33"/>
      <c r="U22" s="33"/>
      <c r="V22"/>
      <c r="W22"/>
      <c r="X22"/>
      <c r="Y22"/>
      <c r="Z22"/>
      <c r="AA22"/>
      <c r="AB22"/>
      <c r="AC22"/>
      <c r="AD22" s="8"/>
    </row>
    <row r="23" spans="2:34" s="7" customFormat="1" ht="24.75" customHeight="1" thickBot="1" x14ac:dyDescent="0.35">
      <c r="D23"/>
      <c r="E23" s="61" t="s">
        <v>12</v>
      </c>
      <c r="F23" s="62"/>
      <c r="G23" s="62"/>
      <c r="H23" s="63"/>
      <c r="I23" s="62" t="s">
        <v>13</v>
      </c>
      <c r="J23" s="62"/>
      <c r="K23" s="62"/>
      <c r="L23" s="62"/>
      <c r="M23" s="61" t="s">
        <v>72</v>
      </c>
      <c r="N23" s="62"/>
      <c r="O23" s="62"/>
      <c r="P23" s="250"/>
      <c r="Q23" s="62" t="s">
        <v>114</v>
      </c>
      <c r="R23" s="62"/>
      <c r="S23" s="61" t="s">
        <v>36</v>
      </c>
      <c r="T23" s="63" t="s">
        <v>35</v>
      </c>
      <c r="U23" s="202"/>
      <c r="V23" s="840" t="s">
        <v>98</v>
      </c>
      <c r="W23" s="841"/>
      <c r="X23" s="185" t="s">
        <v>99</v>
      </c>
      <c r="Z23" s="7" t="s">
        <v>100</v>
      </c>
      <c r="AA23" s="20"/>
      <c r="AB23" s="186" t="s">
        <v>100</v>
      </c>
      <c r="AC23" s="20"/>
    </row>
    <row r="24" spans="2:34"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49" t="str">
        <f>"i="&amp;$E$6&amp;", 1"</f>
        <v>i=50, 1</v>
      </c>
      <c r="M24" s="174" t="str">
        <f>"i="&amp;$E$5&amp;", 0"</f>
        <v>i=2, 0</v>
      </c>
      <c r="N24" s="178" t="str">
        <f>"i="&amp;$E$5&amp;", 1"</f>
        <v>i=2, 1</v>
      </c>
      <c r="O24" s="175" t="str">
        <f>"i="&amp;$E$6&amp;", 0"</f>
        <v>i=50, 0</v>
      </c>
      <c r="P24" s="179" t="str">
        <f>"i="&amp;$E$6&amp;", 1"</f>
        <v>i=50, 1</v>
      </c>
      <c r="Q24" s="193" t="s">
        <v>113</v>
      </c>
      <c r="R24" s="198" t="s">
        <v>112</v>
      </c>
      <c r="S24" s="42">
        <v>0</v>
      </c>
      <c r="T24" s="43"/>
      <c r="U24" s="142"/>
      <c r="V24" s="182" t="str">
        <f>E24</f>
        <v>i=2, 0</v>
      </c>
      <c r="W24" s="183" t="str">
        <f>H24</f>
        <v>i=50, 1</v>
      </c>
      <c r="AB24"/>
    </row>
    <row r="25" spans="2:34" s="7" customFormat="1" ht="18" customHeight="1" thickTop="1" x14ac:dyDescent="0.25">
      <c r="D25" s="25">
        <v>1</v>
      </c>
      <c r="E25" s="224">
        <v>0</v>
      </c>
      <c r="F25" s="223">
        <v>0</v>
      </c>
      <c r="G25" s="222">
        <v>0</v>
      </c>
      <c r="H25" s="221">
        <v>0</v>
      </c>
      <c r="I25" s="220">
        <f t="shared" ref="I25:I49" si="0">EXP(E25/$E$18)/(EXP($E25/$E$18)+EXP($F25/$E$18)+EXP($G25/$E$18)+EXP($H25/$E$18))</f>
        <v>0.25</v>
      </c>
      <c r="J25" s="219">
        <f t="shared" ref="J25:J49" si="1">EXP(F25/$E$18)/(EXP($E25/$E$18)+EXP($F25/$E$18)+EXP($G25/$E$18)+EXP($H25/$E$18))</f>
        <v>0.25</v>
      </c>
      <c r="K25" s="218">
        <f t="shared" ref="K25:K49" si="2">EXP(G25/$E$18)/(EXP($E25/$E$18)+EXP($F25/$E$18)+EXP($G25/$E$18)+EXP($H25/$E$18))</f>
        <v>0.25</v>
      </c>
      <c r="L25" s="217">
        <f t="shared" ref="L25:L49" si="3">EXP(H25/$E$18)/(EXP($E25/$E$18)+EXP($F25/$E$18)+EXP($G25/$E$18)+EXP($H25/$E$18))</f>
        <v>0.25</v>
      </c>
      <c r="M25" s="248">
        <f t="shared" ref="M25:N27" si="4">(I25*$E$19)</f>
        <v>12</v>
      </c>
      <c r="N25" s="247">
        <f t="shared" si="4"/>
        <v>12</v>
      </c>
      <c r="O25" s="246">
        <f t="shared" ref="O25:O50" si="5">(K25*$E$19)</f>
        <v>12</v>
      </c>
      <c r="P25" s="245">
        <f t="shared" ref="P25:P50" si="6">(L25*$E$19)</f>
        <v>12</v>
      </c>
      <c r="Q25" s="194">
        <f>O25+$E$5</f>
        <v>14</v>
      </c>
      <c r="R25" s="199">
        <f>P25+$E$5</f>
        <v>14</v>
      </c>
      <c r="S25" s="81">
        <f>$E$18*$E$19*LN(EXP($E25/$E$18) + EXP($F25/$E$18) + EXP($G25/$E$18) +EXP($H25/$E$18) )</f>
        <v>266.16851733501898</v>
      </c>
      <c r="T25" s="46">
        <f>(S25-S24)</f>
        <v>266.16851733501898</v>
      </c>
      <c r="U25" s="203"/>
      <c r="V25" s="116"/>
      <c r="W25" s="102"/>
      <c r="AB25"/>
      <c r="AH25" s="189"/>
    </row>
    <row r="26" spans="2:34" s="7" customFormat="1" ht="18.75" x14ac:dyDescent="0.3">
      <c r="D26" s="25">
        <v>2</v>
      </c>
      <c r="E26" s="244">
        <v>1</v>
      </c>
      <c r="F26" s="243">
        <v>1</v>
      </c>
      <c r="G26" s="242">
        <v>1</v>
      </c>
      <c r="H26" s="241">
        <v>1</v>
      </c>
      <c r="I26" s="240">
        <f t="shared" si="0"/>
        <v>0.25</v>
      </c>
      <c r="J26" s="239">
        <f t="shared" si="1"/>
        <v>0.25</v>
      </c>
      <c r="K26" s="238">
        <f t="shared" si="2"/>
        <v>0.25</v>
      </c>
      <c r="L26" s="237">
        <f t="shared" si="3"/>
        <v>0.25</v>
      </c>
      <c r="M26" s="228">
        <f t="shared" si="4"/>
        <v>12</v>
      </c>
      <c r="N26" s="227">
        <f t="shared" si="4"/>
        <v>12</v>
      </c>
      <c r="O26" s="226">
        <f>(K26*$E$19)</f>
        <v>12</v>
      </c>
      <c r="P26" s="225">
        <f>(L26*$E$19)</f>
        <v>12</v>
      </c>
      <c r="Q26" s="195">
        <f t="shared" ref="Q26:Q49" si="7">O26+$E$5</f>
        <v>14</v>
      </c>
      <c r="R26" s="200">
        <f t="shared" ref="R26:R49" si="8">P26+$E$5</f>
        <v>14</v>
      </c>
      <c r="S26" s="82">
        <f t="shared" ref="S26:S50" si="9">$E$18*$E$7*LN(EXP($E26/$E$18) + EXP($F26/$E$18) + EXP($G26/$E$18) +EXP($H26/$E$18) )</f>
        <v>314.16851733501898</v>
      </c>
      <c r="T26" s="49">
        <f t="shared" ref="T26:T27" si="10">(S26-S25)</f>
        <v>48</v>
      </c>
      <c r="U26" s="203"/>
      <c r="V26" s="116">
        <f>E26-E25</f>
        <v>1</v>
      </c>
      <c r="W26" s="102">
        <f>H26-H25</f>
        <v>1</v>
      </c>
      <c r="X26" s="184">
        <f t="shared" ref="X26:X49" si="11">T26</f>
        <v>48</v>
      </c>
      <c r="Z26" s="7" t="str">
        <f t="shared" ref="Z26:Z49" si="12">IF(V26&gt;0,"Bought ",IF(V26&lt;0,"Sold ",""))&amp;IF(V26&lt;0,V26*-1,IF(V26&gt;0,V26,""))&amp;IF(V26&lt;&gt;0," Shares of State 1 at a cost of "&amp;ROUND($X26,5),"")</f>
        <v>Bought 1 Shares of State 1 at a cost of 48</v>
      </c>
      <c r="AA26" s="7" t="str">
        <f t="shared" ref="AA26:AA49" si="13">IF(W26&gt;0,"Bought ",IF(W26&lt;0,"Sold ",""))&amp;IF(W26&lt;0,W26*-1,IF(W26&gt;0,W26,""))&amp;IF(W26&lt;&gt;0," Shares of State 2 at a cost of "&amp;ROUND($X26,5),"")</f>
        <v>Bought 1 Shares of State 2 at a cost of 48</v>
      </c>
      <c r="AB26" s="187" t="str">
        <f t="shared" ref="AB26:AB49" si="14">Z26&amp;AA26</f>
        <v>Bought 1 Shares of State 1 at a cost of 48Bought 1 Shares of State 2 at a cost of 48</v>
      </c>
    </row>
    <row r="27" spans="2:34" s="7" customFormat="1" ht="18.75" x14ac:dyDescent="0.3">
      <c r="C27" s="21" t="s">
        <v>111</v>
      </c>
      <c r="D27" s="25">
        <v>3</v>
      </c>
      <c r="E27" s="244">
        <v>1</v>
      </c>
      <c r="F27" s="243">
        <v>2</v>
      </c>
      <c r="G27" s="242">
        <v>1</v>
      </c>
      <c r="H27" s="241">
        <v>2</v>
      </c>
      <c r="I27" s="240">
        <f t="shared" si="0"/>
        <v>0.21891174955710094</v>
      </c>
      <c r="J27" s="239">
        <f t="shared" si="1"/>
        <v>0.28108825044289909</v>
      </c>
      <c r="K27" s="238">
        <f t="shared" si="2"/>
        <v>0.21891174955710094</v>
      </c>
      <c r="L27" s="237">
        <f t="shared" si="3"/>
        <v>0.28108825044289909</v>
      </c>
      <c r="M27" s="228">
        <f t="shared" si="4"/>
        <v>10.507763978740845</v>
      </c>
      <c r="N27" s="227">
        <f t="shared" si="4"/>
        <v>13.492236021259156</v>
      </c>
      <c r="O27" s="226">
        <f>(K27*$E$19)</f>
        <v>10.507763978740845</v>
      </c>
      <c r="P27" s="225">
        <f>(L27*$E$19)</f>
        <v>13.492236021259156</v>
      </c>
      <c r="Q27" s="195">
        <f>O27+$E$5</f>
        <v>12.507763978740845</v>
      </c>
      <c r="R27" s="200">
        <f t="shared" si="8"/>
        <v>15.492236021259156</v>
      </c>
      <c r="S27" s="82">
        <f t="shared" si="9"/>
        <v>339.66462728424744</v>
      </c>
      <c r="T27" s="49">
        <f t="shared" si="10"/>
        <v>25.496109949228469</v>
      </c>
      <c r="U27" s="203"/>
      <c r="V27" s="116">
        <f>E27-E26</f>
        <v>0</v>
      </c>
      <c r="W27" s="102">
        <f>H27-H26</f>
        <v>1</v>
      </c>
      <c r="X27" s="184">
        <f t="shared" si="11"/>
        <v>25.496109949228469</v>
      </c>
      <c r="Z27" s="7" t="str">
        <f t="shared" si="12"/>
        <v/>
      </c>
      <c r="AA27" s="7" t="str">
        <f t="shared" si="13"/>
        <v>Bought 1 Shares of State 2 at a cost of 25.49611</v>
      </c>
      <c r="AB27" s="187" t="str">
        <f t="shared" si="14"/>
        <v>Bought 1 Shares of State 2 at a cost of 25.49611</v>
      </c>
    </row>
    <row r="28" spans="2:34" s="7" customFormat="1" ht="18.75" x14ac:dyDescent="0.3">
      <c r="C28" s="21"/>
      <c r="D28" s="25">
        <v>4</v>
      </c>
      <c r="E28" s="244">
        <v>1.1692164012828186</v>
      </c>
      <c r="F28" s="243">
        <v>2.1692164012828186</v>
      </c>
      <c r="G28" s="242">
        <v>1.1543542860897125</v>
      </c>
      <c r="H28" s="241">
        <v>2.1543542860897125</v>
      </c>
      <c r="I28" s="240">
        <f t="shared" si="0"/>
        <v>0.21931843554411776</v>
      </c>
      <c r="J28" s="239">
        <f t="shared" si="1"/>
        <v>0.28161044558683934</v>
      </c>
      <c r="K28" s="238">
        <f t="shared" si="2"/>
        <v>0.21850506357008417</v>
      </c>
      <c r="L28" s="237">
        <f t="shared" si="3"/>
        <v>0.28056605529895873</v>
      </c>
      <c r="M28" s="228">
        <f t="shared" ref="M28:M50" si="15">(I28*$E$19)</f>
        <v>10.527284906117652</v>
      </c>
      <c r="N28" s="227">
        <f>(J28*$E$19)</f>
        <v>13.517301388168288</v>
      </c>
      <c r="O28" s="226">
        <f t="shared" si="5"/>
        <v>10.488243051364041</v>
      </c>
      <c r="P28" s="225">
        <f t="shared" si="6"/>
        <v>13.467170654350019</v>
      </c>
      <c r="Q28" s="195">
        <f t="shared" si="7"/>
        <v>12.488243051364041</v>
      </c>
      <c r="R28" s="200">
        <f t="shared" si="8"/>
        <v>15.467170654350019</v>
      </c>
      <c r="S28" s="82">
        <f t="shared" si="9"/>
        <v>347.43065510469967</v>
      </c>
      <c r="T28" s="49">
        <f>(S28-S27)</f>
        <v>7.7660278204522228</v>
      </c>
      <c r="U28" s="203"/>
      <c r="V28" s="116">
        <f>E28-E27</f>
        <v>0.16921640128281856</v>
      </c>
      <c r="W28" s="102">
        <f>H28-H27</f>
        <v>0.15435428608971247</v>
      </c>
      <c r="X28" s="184">
        <f t="shared" si="11"/>
        <v>7.7660278204522228</v>
      </c>
      <c r="Z28" s="7" t="str">
        <f t="shared" si="12"/>
        <v>Bought 0.169216401282819 Shares of State 1 at a cost of 7.76603</v>
      </c>
      <c r="AA28" s="7" t="str">
        <f t="shared" si="13"/>
        <v>Bought 0.154354286089712 Shares of State 2 at a cost of 7.76603</v>
      </c>
      <c r="AB28" s="187" t="str">
        <f t="shared" si="14"/>
        <v>Bought 0.169216401282819 Shares of State 1 at a cost of 7.76603Bought 0.154354286089712 Shares of State 2 at a cost of 7.76603</v>
      </c>
    </row>
    <row r="29" spans="2:34" s="7" customFormat="1" ht="18.75" x14ac:dyDescent="0.3">
      <c r="C29" s="21"/>
      <c r="D29" s="25">
        <v>5</v>
      </c>
      <c r="E29" s="244">
        <v>1.5104162050182035</v>
      </c>
      <c r="F29" s="243">
        <v>2.5104162050182035</v>
      </c>
      <c r="G29" s="242">
        <v>1.2782178283708414</v>
      </c>
      <c r="H29" s="241">
        <v>2.2782178283708414</v>
      </c>
      <c r="I29" s="240">
        <f t="shared" si="0"/>
        <v>0.225263835018949</v>
      </c>
      <c r="J29" s="239">
        <f t="shared" si="1"/>
        <v>0.28924448962488469</v>
      </c>
      <c r="K29" s="238">
        <f t="shared" si="2"/>
        <v>0.21255966409525284</v>
      </c>
      <c r="L29" s="237">
        <f t="shared" si="3"/>
        <v>0.27293201126091338</v>
      </c>
      <c r="M29" s="228">
        <f t="shared" si="15"/>
        <v>10.812664080909553</v>
      </c>
      <c r="N29" s="227">
        <f t="shared" ref="N29:N50" si="16">(J29*$E$19)</f>
        <v>13.883735501994465</v>
      </c>
      <c r="O29" s="226">
        <f t="shared" si="5"/>
        <v>10.202863876572136</v>
      </c>
      <c r="P29" s="225">
        <f t="shared" si="6"/>
        <v>13.100736540523842</v>
      </c>
      <c r="Q29" s="195">
        <f t="shared" si="7"/>
        <v>12.202863876572136</v>
      </c>
      <c r="R29" s="200">
        <f t="shared" si="8"/>
        <v>15.100736540523842</v>
      </c>
      <c r="S29" s="82">
        <f t="shared" si="9"/>
        <v>358.67270686206007</v>
      </c>
      <c r="T29" s="49">
        <f t="shared" ref="T29:T46" si="17">(S29-S28)</f>
        <v>11.2420517573604</v>
      </c>
      <c r="U29" s="203"/>
      <c r="V29" s="116">
        <f>E29-E28</f>
        <v>0.34119980373538494</v>
      </c>
      <c r="W29" s="102">
        <f>H29-H28</f>
        <v>0.12386354228112895</v>
      </c>
      <c r="X29" s="184">
        <f t="shared" si="11"/>
        <v>11.2420517573604</v>
      </c>
      <c r="Z29" s="7" t="str">
        <f t="shared" si="12"/>
        <v>Bought 0.341199803735385 Shares of State 1 at a cost of 11.24205</v>
      </c>
      <c r="AA29" s="7" t="str">
        <f t="shared" si="13"/>
        <v>Bought 0.123863542281129 Shares of State 2 at a cost of 11.24205</v>
      </c>
      <c r="AB29" s="187" t="str">
        <f t="shared" si="14"/>
        <v>Bought 0.341199803735385 Shares of State 1 at a cost of 11.24205Bought 0.123863542281129 Shares of State 2 at a cost of 11.24205</v>
      </c>
    </row>
    <row r="30" spans="2:34" s="7" customFormat="1" ht="18.75" x14ac:dyDescent="0.3">
      <c r="C30" s="21" t="s">
        <v>172</v>
      </c>
      <c r="D30" s="25">
        <v>6</v>
      </c>
      <c r="E30" s="244">
        <v>1.9303055462171903</v>
      </c>
      <c r="F30" s="243">
        <v>2.9303055462171903</v>
      </c>
      <c r="G30" s="242">
        <v>2.6134525019667878</v>
      </c>
      <c r="H30" s="241">
        <v>3.6134525019667878</v>
      </c>
      <c r="I30" s="240">
        <f t="shared" si="0"/>
        <v>0.20026344361279283</v>
      </c>
      <c r="J30" s="239">
        <f t="shared" si="1"/>
        <v>0.25714335163223834</v>
      </c>
      <c r="K30" s="238">
        <f t="shared" si="2"/>
        <v>0.23756005550140913</v>
      </c>
      <c r="L30" s="237">
        <f t="shared" si="3"/>
        <v>0.3050331492535599</v>
      </c>
      <c r="M30" s="228">
        <f t="shared" si="15"/>
        <v>9.6126452934140563</v>
      </c>
      <c r="N30" s="227">
        <f t="shared" si="16"/>
        <v>12.34288087834744</v>
      </c>
      <c r="O30" s="226">
        <f t="shared" si="5"/>
        <v>11.402882664067638</v>
      </c>
      <c r="P30" s="225">
        <f t="shared" si="6"/>
        <v>14.641591164170876</v>
      </c>
      <c r="Q30" s="195">
        <f t="shared" si="7"/>
        <v>13.402882664067638</v>
      </c>
      <c r="R30" s="200">
        <f t="shared" si="8"/>
        <v>16.641591164170876</v>
      </c>
      <c r="S30" s="82">
        <f t="shared" si="9"/>
        <v>401.41400595745552</v>
      </c>
      <c r="T30" s="49">
        <f t="shared" si="17"/>
        <v>42.741299095395448</v>
      </c>
      <c r="U30" s="203"/>
      <c r="V30" s="116">
        <f>E30-E27</f>
        <v>0.9303055462171903</v>
      </c>
      <c r="W30" s="102">
        <f>H30-H27</f>
        <v>1.6134525019667878</v>
      </c>
      <c r="X30" s="184">
        <f t="shared" si="11"/>
        <v>42.741299095395448</v>
      </c>
      <c r="Z30" s="7" t="str">
        <f t="shared" ref="Z30:Z33" si="18">IF(V30&gt;0,"Bought ",IF(V30&lt;0,"Sold ",""))&amp;IF(V30&lt;0,V30*-1,IF(V30&gt;0,V30,""))&amp;IF(V30&lt;&gt;0," Shares of State 1 at a cost of "&amp;ROUND($X30,5),"")</f>
        <v>Bought 0.93030554621719 Shares of State 1 at a cost of 42.7413</v>
      </c>
      <c r="AA30" s="7" t="str">
        <f t="shared" ref="AA30:AA33" si="19">IF(W30&gt;0,"Bought ",IF(W30&lt;0,"Sold ",""))&amp;IF(W30&lt;0,W30*-1,IF(W30&gt;0,W30,""))&amp;IF(W30&lt;&gt;0," Shares of State 2 at a cost of "&amp;ROUND($X30,5),"")</f>
        <v>Bought 1.61345250196679 Shares of State 2 at a cost of 42.7413</v>
      </c>
      <c r="AB30" s="187" t="str">
        <f t="shared" ref="AB30:AB33" si="20">Z30&amp;AA30</f>
        <v>Bought 0.93030554621719 Shares of State 1 at a cost of 42.7413Bought 1.61345250196679 Shares of State 2 at a cost of 42.7413</v>
      </c>
    </row>
    <row r="31" spans="2:34" s="7" customFormat="1" ht="18.75" x14ac:dyDescent="0.3">
      <c r="C31" s="21" t="s">
        <v>172</v>
      </c>
      <c r="D31" s="25">
        <v>7</v>
      </c>
      <c r="E31" s="244">
        <v>2.1501630907937965</v>
      </c>
      <c r="F31" s="243">
        <v>3.1501630907937965</v>
      </c>
      <c r="G31" s="242">
        <v>3.0125751135246941</v>
      </c>
      <c r="H31" s="241">
        <v>4.0125751135246936</v>
      </c>
      <c r="I31" s="240">
        <f t="shared" si="0"/>
        <v>0.19540372702078027</v>
      </c>
      <c r="J31" s="239">
        <f t="shared" si="1"/>
        <v>0.25090335201019509</v>
      </c>
      <c r="K31" s="238">
        <f t="shared" si="2"/>
        <v>0.24241977209342166</v>
      </c>
      <c r="L31" s="237">
        <f t="shared" si="3"/>
        <v>0.31127314887560303</v>
      </c>
      <c r="M31" s="228">
        <f t="shared" si="15"/>
        <v>9.3793788969974532</v>
      </c>
      <c r="N31" s="227">
        <f t="shared" si="16"/>
        <v>12.043360896489364</v>
      </c>
      <c r="O31" s="226">
        <f t="shared" si="5"/>
        <v>11.636149060484239</v>
      </c>
      <c r="P31" s="225">
        <f t="shared" si="6"/>
        <v>14.941111146028945</v>
      </c>
      <c r="Q31" s="195">
        <f t="shared" si="7"/>
        <v>13.636149060484239</v>
      </c>
      <c r="R31" s="200">
        <f t="shared" si="8"/>
        <v>16.941111146028945</v>
      </c>
      <c r="S31" s="82">
        <f t="shared" si="9"/>
        <v>416.6838217828751</v>
      </c>
      <c r="T31" s="49">
        <f t="shared" si="17"/>
        <v>15.269815825419585</v>
      </c>
      <c r="U31" s="203"/>
      <c r="V31" s="116">
        <f>E31-E26</f>
        <v>1.1501630907937965</v>
      </c>
      <c r="W31" s="102">
        <f>H31-H26</f>
        <v>3.0125751135246936</v>
      </c>
      <c r="X31" s="184">
        <f t="shared" si="11"/>
        <v>15.269815825419585</v>
      </c>
      <c r="Z31" s="7" t="str">
        <f t="shared" si="18"/>
        <v>Bought 1.1501630907938 Shares of State 1 at a cost of 15.26982</v>
      </c>
      <c r="AA31" s="7" t="str">
        <f t="shared" si="19"/>
        <v>Bought 3.01257511352469 Shares of State 2 at a cost of 15.26982</v>
      </c>
      <c r="AB31" s="187" t="str">
        <f t="shared" si="20"/>
        <v>Bought 1.1501630907938 Shares of State 1 at a cost of 15.26982Bought 3.01257511352469 Shares of State 2 at a cost of 15.26982</v>
      </c>
    </row>
    <row r="32" spans="2:34" s="7" customFormat="1" ht="18.75" x14ac:dyDescent="0.3">
      <c r="C32" s="21" t="s">
        <v>172</v>
      </c>
      <c r="D32" s="25">
        <v>6</v>
      </c>
      <c r="E32" s="244">
        <v>2.4510353098759161</v>
      </c>
      <c r="F32" s="243">
        <v>3.4510353098759161</v>
      </c>
      <c r="G32" s="242">
        <v>3.4765067433201708</v>
      </c>
      <c r="H32" s="241">
        <v>4.4765067433201704</v>
      </c>
      <c r="I32" s="240">
        <f t="shared" si="0"/>
        <v>0.19100346894480086</v>
      </c>
      <c r="J32" s="239">
        <f t="shared" si="1"/>
        <v>0.24525330880065202</v>
      </c>
      <c r="K32" s="238">
        <f t="shared" si="2"/>
        <v>0.24682003016940104</v>
      </c>
      <c r="L32" s="237">
        <f t="shared" si="3"/>
        <v>0.31692319208514613</v>
      </c>
      <c r="M32" s="228">
        <f t="shared" si="15"/>
        <v>9.1681665093504421</v>
      </c>
      <c r="N32" s="227">
        <f t="shared" si="16"/>
        <v>11.772158822431297</v>
      </c>
      <c r="O32" s="226">
        <f t="shared" si="5"/>
        <v>11.847361448131251</v>
      </c>
      <c r="P32" s="225">
        <f t="shared" si="6"/>
        <v>15.212313220087015</v>
      </c>
      <c r="Q32" s="195">
        <f t="shared" si="7"/>
        <v>13.847361448131251</v>
      </c>
      <c r="R32" s="200">
        <f t="shared" si="8"/>
        <v>17.212313220087015</v>
      </c>
      <c r="S32" s="82">
        <f t="shared" si="9"/>
        <v>435.49872317851191</v>
      </c>
      <c r="T32" s="49">
        <f t="shared" si="17"/>
        <v>18.814901395636809</v>
      </c>
      <c r="U32" s="203"/>
      <c r="V32" s="116">
        <f>E32-E27</f>
        <v>1.4510353098759161</v>
      </c>
      <c r="W32" s="102">
        <f>H32-H27</f>
        <v>2.4765067433201704</v>
      </c>
      <c r="X32" s="184">
        <f t="shared" si="11"/>
        <v>18.814901395636809</v>
      </c>
      <c r="Z32" s="7" t="str">
        <f t="shared" si="18"/>
        <v>Bought 1.45103530987592 Shares of State 1 at a cost of 18.8149</v>
      </c>
      <c r="AA32" s="7" t="str">
        <f t="shared" si="19"/>
        <v>Bought 2.47650674332017 Shares of State 2 at a cost of 18.8149</v>
      </c>
      <c r="AB32" s="187" t="str">
        <f t="shared" si="20"/>
        <v>Bought 1.45103530987592 Shares of State 1 at a cost of 18.8149Bought 2.47650674332017 Shares of State 2 at a cost of 18.8149</v>
      </c>
    </row>
    <row r="33" spans="3:28" s="7" customFormat="1" ht="18.75" x14ac:dyDescent="0.3">
      <c r="C33" s="21" t="s">
        <v>172</v>
      </c>
      <c r="D33" s="25">
        <v>7</v>
      </c>
      <c r="E33" s="244">
        <v>3.0740485134702338</v>
      </c>
      <c r="F33" s="243">
        <v>4.0740485134702338</v>
      </c>
      <c r="G33" s="242">
        <v>4.0660098634360837</v>
      </c>
      <c r="H33" s="241">
        <v>5.0660098634360837</v>
      </c>
      <c r="I33" s="240">
        <f t="shared" si="0"/>
        <v>0.19190601120242443</v>
      </c>
      <c r="J33" s="239">
        <f t="shared" si="1"/>
        <v>0.24641219599907538</v>
      </c>
      <c r="K33" s="238">
        <f t="shared" si="2"/>
        <v>0.24591748791177745</v>
      </c>
      <c r="L33" s="237">
        <f t="shared" si="3"/>
        <v>0.31576430488672264</v>
      </c>
      <c r="M33" s="228">
        <f t="shared" si="15"/>
        <v>9.211488537716372</v>
      </c>
      <c r="N33" s="227">
        <f t="shared" si="16"/>
        <v>11.827785407955618</v>
      </c>
      <c r="O33" s="226">
        <f t="shared" si="5"/>
        <v>11.804039419765317</v>
      </c>
      <c r="P33" s="225">
        <f t="shared" si="6"/>
        <v>15.156686634562686</v>
      </c>
      <c r="Q33" s="195">
        <f t="shared" si="7"/>
        <v>13.804039419765317</v>
      </c>
      <c r="R33" s="200">
        <f t="shared" si="8"/>
        <v>17.156686634562686</v>
      </c>
      <c r="S33" s="82">
        <f t="shared" si="9"/>
        <v>464.49824259182594</v>
      </c>
      <c r="T33" s="49">
        <f t="shared" si="17"/>
        <v>28.999519413314033</v>
      </c>
      <c r="U33" s="203"/>
      <c r="V33" s="116">
        <f>E33-E26</f>
        <v>2.0740485134702338</v>
      </c>
      <c r="W33" s="102">
        <f>H33-H26</f>
        <v>4.0660098634360837</v>
      </c>
      <c r="X33" s="184">
        <f t="shared" si="11"/>
        <v>28.999519413314033</v>
      </c>
      <c r="Z33" s="7" t="str">
        <f t="shared" si="18"/>
        <v>Bought 2.07404851347023 Shares of State 1 at a cost of 28.99952</v>
      </c>
      <c r="AA33" s="7" t="str">
        <f t="shared" si="19"/>
        <v>Bought 4.06600986343608 Shares of State 2 at a cost of 28.99952</v>
      </c>
      <c r="AB33" s="187" t="str">
        <f t="shared" si="20"/>
        <v>Bought 2.07404851347023 Shares of State 1 at a cost of 28.99952Bought 4.06600986343608 Shares of State 2 at a cost of 28.99952</v>
      </c>
    </row>
    <row r="34" spans="3:28" s="7" customFormat="1" ht="18.75" x14ac:dyDescent="0.3">
      <c r="C34" s="21" t="s">
        <v>172</v>
      </c>
      <c r="D34" s="25">
        <v>6</v>
      </c>
      <c r="E34" s="244">
        <v>3.3998650712957863</v>
      </c>
      <c r="F34" s="243">
        <v>4.3998650712957863</v>
      </c>
      <c r="G34" s="242">
        <v>4.4137336305758117</v>
      </c>
      <c r="H34" s="241">
        <v>5.4137336305758117</v>
      </c>
      <c r="I34" s="240">
        <f t="shared" si="0"/>
        <v>0.19131586690080502</v>
      </c>
      <c r="J34" s="239">
        <f t="shared" si="1"/>
        <v>0.24565443571628268</v>
      </c>
      <c r="K34" s="238">
        <f t="shared" si="2"/>
        <v>0.24650763221339692</v>
      </c>
      <c r="L34" s="237">
        <f t="shared" si="3"/>
        <v>0.31652206516951548</v>
      </c>
      <c r="M34" s="228">
        <f t="shared" si="15"/>
        <v>9.1831616112386403</v>
      </c>
      <c r="N34" s="227">
        <f t="shared" si="16"/>
        <v>11.791412914381569</v>
      </c>
      <c r="O34" s="226">
        <f t="shared" si="5"/>
        <v>11.832366346243052</v>
      </c>
      <c r="P34" s="225">
        <f t="shared" si="6"/>
        <v>15.193059128136742</v>
      </c>
      <c r="Q34" s="195">
        <f t="shared" si="7"/>
        <v>13.832366346243052</v>
      </c>
      <c r="R34" s="200">
        <f t="shared" si="8"/>
        <v>17.193059128136742</v>
      </c>
      <c r="S34" s="82">
        <f t="shared" si="9"/>
        <v>480.72878040893073</v>
      </c>
      <c r="T34" s="49">
        <f t="shared" si="17"/>
        <v>16.230537817104789</v>
      </c>
      <c r="U34" s="203"/>
      <c r="V34" s="116">
        <f>E34-E29</f>
        <v>1.8894488662775828</v>
      </c>
      <c r="W34" s="102">
        <f>H34-H29</f>
        <v>3.1355158022049703</v>
      </c>
      <c r="X34" s="184">
        <f t="shared" si="11"/>
        <v>16.230537817104789</v>
      </c>
      <c r="Z34" s="7" t="str">
        <f t="shared" si="12"/>
        <v>Bought 1.88944886627758 Shares of State 1 at a cost of 16.23054</v>
      </c>
      <c r="AA34" s="7" t="str">
        <f t="shared" si="13"/>
        <v>Bought 3.13551580220497 Shares of State 2 at a cost of 16.23054</v>
      </c>
      <c r="AB34" s="187" t="str">
        <f t="shared" si="14"/>
        <v>Bought 1.88944886627758 Shares of State 1 at a cost of 16.23054Bought 3.13551580220497 Shares of State 2 at a cost of 16.23054</v>
      </c>
    </row>
    <row r="35" spans="3:28" s="7" customFormat="1" ht="18.75" x14ac:dyDescent="0.3">
      <c r="C35" s="21" t="s">
        <v>172</v>
      </c>
      <c r="D35" s="25">
        <v>7</v>
      </c>
      <c r="E35" s="244">
        <v>3.8469135712387743</v>
      </c>
      <c r="F35" s="243">
        <v>4.8469135712387743</v>
      </c>
      <c r="G35" s="242">
        <v>5.0586155449840549</v>
      </c>
      <c r="H35" s="241">
        <v>6.0586155449840549</v>
      </c>
      <c r="I35" s="240">
        <f t="shared" si="0"/>
        <v>0.18600602038949593</v>
      </c>
      <c r="J35" s="239">
        <f t="shared" si="1"/>
        <v>0.23883645783705104</v>
      </c>
      <c r="K35" s="238">
        <f t="shared" si="2"/>
        <v>0.25181747872470595</v>
      </c>
      <c r="L35" s="237">
        <f t="shared" si="3"/>
        <v>0.32334004304874703</v>
      </c>
      <c r="M35" s="228">
        <f t="shared" si="15"/>
        <v>8.9282889786958037</v>
      </c>
      <c r="N35" s="227">
        <f t="shared" si="16"/>
        <v>11.464149976178451</v>
      </c>
      <c r="O35" s="226">
        <f t="shared" si="5"/>
        <v>12.087238978785885</v>
      </c>
      <c r="P35" s="225">
        <f t="shared" si="6"/>
        <v>15.520322066339858</v>
      </c>
      <c r="Q35" s="195">
        <f t="shared" si="7"/>
        <v>14.087238978785885</v>
      </c>
      <c r="R35" s="200">
        <f t="shared" si="8"/>
        <v>17.520322066339858</v>
      </c>
      <c r="S35" s="82">
        <f t="shared" si="9"/>
        <v>507.59128913606207</v>
      </c>
      <c r="T35" s="49">
        <f t="shared" si="17"/>
        <v>26.862508727131342</v>
      </c>
      <c r="U35" s="203"/>
      <c r="V35" s="116">
        <f>E35-E28</f>
        <v>2.6776971699559557</v>
      </c>
      <c r="W35" s="102">
        <f>H35-H28</f>
        <v>3.9042612588943424</v>
      </c>
      <c r="X35" s="184">
        <f t="shared" si="11"/>
        <v>26.862508727131342</v>
      </c>
      <c r="Z35" s="7" t="str">
        <f t="shared" ref="Z35:Z41" si="21">IF(V35&gt;0,"Bought ",IF(V35&lt;0,"Sold ",""))&amp;IF(V35&lt;0,V35*-1,IF(V35&gt;0,V35,""))&amp;IF(V35&lt;&gt;0," Shares of State 1 at a cost of "&amp;ROUND($X35,5),"")</f>
        <v>Bought 2.67769716995596 Shares of State 1 at a cost of 26.86251</v>
      </c>
      <c r="AA35" s="7" t="str">
        <f t="shared" ref="AA35:AA41" si="22">IF(W35&gt;0,"Bought ",IF(W35&lt;0,"Sold ",""))&amp;IF(W35&lt;0,W35*-1,IF(W35&gt;0,W35,""))&amp;IF(W35&lt;&gt;0," Shares of State 2 at a cost of "&amp;ROUND($X35,5),"")</f>
        <v>Bought 3.90426125889434 Shares of State 2 at a cost of 26.86251</v>
      </c>
      <c r="AB35" s="187" t="str">
        <f t="shared" ref="AB35:AB41" si="23">Z35&amp;AA35</f>
        <v>Bought 2.67769716995596 Shares of State 1 at a cost of 26.86251Bought 3.90426125889434 Shares of State 2 at a cost of 26.86251</v>
      </c>
    </row>
    <row r="36" spans="3:28" s="7" customFormat="1" ht="18.75" x14ac:dyDescent="0.3">
      <c r="C36" s="21" t="s">
        <v>172</v>
      </c>
      <c r="D36" s="25">
        <v>8</v>
      </c>
      <c r="E36" s="244">
        <v>4.2309480985953387</v>
      </c>
      <c r="F36" s="243">
        <v>5.2309480985953387</v>
      </c>
      <c r="G36" s="242">
        <v>5.6383161053180268</v>
      </c>
      <c r="H36" s="241">
        <v>6.6383161053180268</v>
      </c>
      <c r="I36" s="240">
        <f t="shared" si="0"/>
        <v>0.18079300205641774</v>
      </c>
      <c r="J36" s="239">
        <f t="shared" si="1"/>
        <v>0.23214280979971949</v>
      </c>
      <c r="K36" s="238">
        <f t="shared" si="2"/>
        <v>0.25703049705778414</v>
      </c>
      <c r="L36" s="237">
        <f t="shared" si="3"/>
        <v>0.33003369108607861</v>
      </c>
      <c r="M36" s="228">
        <f t="shared" si="15"/>
        <v>8.6780640987080524</v>
      </c>
      <c r="N36" s="227">
        <f t="shared" si="16"/>
        <v>11.142854870386536</v>
      </c>
      <c r="O36" s="226">
        <f t="shared" si="5"/>
        <v>12.337463858773638</v>
      </c>
      <c r="P36" s="225">
        <f t="shared" si="6"/>
        <v>15.841617172131773</v>
      </c>
      <c r="Q36" s="195">
        <f t="shared" si="7"/>
        <v>14.337463858773638</v>
      </c>
      <c r="R36" s="200">
        <f t="shared" si="8"/>
        <v>17.841617172131773</v>
      </c>
      <c r="S36" s="82">
        <f t="shared" si="9"/>
        <v>531.48279587753041</v>
      </c>
      <c r="T36" s="49">
        <f t="shared" si="17"/>
        <v>23.891506741468334</v>
      </c>
      <c r="U36" s="203"/>
      <c r="V36" s="116">
        <f>E36-E27</f>
        <v>3.2309480985953387</v>
      </c>
      <c r="W36" s="102">
        <f>H36-H27</f>
        <v>4.6383161053180268</v>
      </c>
      <c r="X36" s="184">
        <f t="shared" si="11"/>
        <v>23.891506741468334</v>
      </c>
      <c r="Z36" s="7" t="str">
        <f t="shared" si="21"/>
        <v>Bought 3.23094809859534 Shares of State 1 at a cost of 23.89151</v>
      </c>
      <c r="AA36" s="7" t="str">
        <f t="shared" si="22"/>
        <v>Bought 4.63831610531803 Shares of State 2 at a cost of 23.89151</v>
      </c>
      <c r="AB36" s="187" t="str">
        <f t="shared" si="23"/>
        <v>Bought 3.23094809859534 Shares of State 1 at a cost of 23.89151Bought 4.63831610531803 Shares of State 2 at a cost of 23.89151</v>
      </c>
    </row>
    <row r="37" spans="3:28" s="7" customFormat="1" ht="18.75" x14ac:dyDescent="0.3">
      <c r="C37" s="21" t="s">
        <v>172</v>
      </c>
      <c r="D37" s="25">
        <v>9</v>
      </c>
      <c r="E37" s="244">
        <v>5.104173288991448</v>
      </c>
      <c r="F37" s="243">
        <v>6.104173288991448</v>
      </c>
      <c r="G37" s="242">
        <v>6.0780072464130077</v>
      </c>
      <c r="H37" s="241">
        <v>7.0780072464130077</v>
      </c>
      <c r="I37" s="240">
        <f t="shared" si="0"/>
        <v>0.1923946353725654</v>
      </c>
      <c r="J37" s="239">
        <f t="shared" si="1"/>
        <v>0.24703960185274434</v>
      </c>
      <c r="K37" s="238">
        <f t="shared" si="2"/>
        <v>0.24542886374163644</v>
      </c>
      <c r="L37" s="237">
        <f t="shared" si="3"/>
        <v>0.31513689903305364</v>
      </c>
      <c r="M37" s="228">
        <f t="shared" si="15"/>
        <v>9.2349424978831394</v>
      </c>
      <c r="N37" s="227">
        <f t="shared" si="16"/>
        <v>11.857900888931729</v>
      </c>
      <c r="O37" s="226">
        <f t="shared" si="5"/>
        <v>11.78058545959855</v>
      </c>
      <c r="P37" s="225">
        <f t="shared" si="6"/>
        <v>15.126571153586575</v>
      </c>
      <c r="Q37" s="195">
        <f t="shared" si="7"/>
        <v>13.78058545959855</v>
      </c>
      <c r="R37" s="200">
        <f t="shared" si="8"/>
        <v>17.126571153586575</v>
      </c>
      <c r="S37" s="82">
        <f t="shared" si="9"/>
        <v>561.45598964469048</v>
      </c>
      <c r="T37" s="49">
        <f t="shared" si="17"/>
        <v>29.973193767160069</v>
      </c>
      <c r="U37" s="203"/>
      <c r="V37" s="116">
        <f>E37-E29</f>
        <v>3.5937570839732444</v>
      </c>
      <c r="W37" s="102">
        <f>H37-H29</f>
        <v>4.7997894180421667</v>
      </c>
      <c r="X37" s="184">
        <f t="shared" si="11"/>
        <v>29.973193767160069</v>
      </c>
      <c r="Z37" s="7" t="str">
        <f t="shared" ref="Z37:Z39" si="24">IF(V37&gt;0,"Bought ",IF(V37&lt;0,"Sold ",""))&amp;IF(V37&lt;0,V37*-1,IF(V37&gt;0,V37,""))&amp;IF(V37&lt;&gt;0," Shares of State 1 at a cost of "&amp;ROUND($X37,5),"")</f>
        <v>Bought 3.59375708397324 Shares of State 1 at a cost of 29.97319</v>
      </c>
      <c r="AA37" s="7" t="str">
        <f t="shared" ref="AA37:AA39" si="25">IF(W37&gt;0,"Bought ",IF(W37&lt;0,"Sold ",""))&amp;IF(W37&lt;0,W37*-1,IF(W37&gt;0,W37,""))&amp;IF(W37&lt;&gt;0," Shares of State 2 at a cost of "&amp;ROUND($X37,5),"")</f>
        <v>Bought 4.79978941804217 Shares of State 2 at a cost of 29.97319</v>
      </c>
      <c r="AB37" s="187" t="str">
        <f t="shared" ref="AB37:AB39" si="26">Z37&amp;AA37</f>
        <v>Bought 3.59375708397324 Shares of State 1 at a cost of 29.97319Bought 4.79978941804217 Shares of State 2 at a cost of 29.97319</v>
      </c>
    </row>
    <row r="38" spans="3:28" s="7" customFormat="1" ht="18.75" x14ac:dyDescent="0.3">
      <c r="C38" s="21" t="s">
        <v>172</v>
      </c>
      <c r="D38" s="25">
        <v>10</v>
      </c>
      <c r="E38" s="244">
        <v>5.987108250167636</v>
      </c>
      <c r="F38" s="243">
        <v>6.987108250167636</v>
      </c>
      <c r="G38" s="242">
        <v>6.3196156547653608</v>
      </c>
      <c r="H38" s="241">
        <v>7.3196156547653608</v>
      </c>
      <c r="I38" s="240">
        <f t="shared" si="0"/>
        <v>0.20981826313219692</v>
      </c>
      <c r="J38" s="239">
        <f t="shared" si="1"/>
        <v>0.26941198274701733</v>
      </c>
      <c r="K38" s="238">
        <f t="shared" si="2"/>
        <v>0.22800523598200501</v>
      </c>
      <c r="L38" s="237">
        <f t="shared" si="3"/>
        <v>0.29276451813878085</v>
      </c>
      <c r="M38" s="228">
        <f t="shared" si="15"/>
        <v>10.071276630345452</v>
      </c>
      <c r="N38" s="227">
        <f t="shared" si="16"/>
        <v>12.931775171856831</v>
      </c>
      <c r="O38" s="226">
        <f t="shared" si="5"/>
        <v>10.944251327136239</v>
      </c>
      <c r="P38" s="225">
        <f t="shared" si="6"/>
        <v>14.052696870661482</v>
      </c>
      <c r="Q38" s="195">
        <f t="shared" si="7"/>
        <v>12.944251327136239</v>
      </c>
      <c r="R38" s="200">
        <f t="shared" si="8"/>
        <v>16.052696870661482</v>
      </c>
      <c r="S38" s="82">
        <f t="shared" si="9"/>
        <v>587.19179503667874</v>
      </c>
      <c r="T38" s="49">
        <f t="shared" si="17"/>
        <v>25.735805391988265</v>
      </c>
      <c r="U38" s="203"/>
      <c r="V38" s="116">
        <f>E38-E28</f>
        <v>4.8178918488848179</v>
      </c>
      <c r="W38" s="102">
        <f>H38-H28</f>
        <v>5.1652613686756483</v>
      </c>
      <c r="X38" s="184">
        <f t="shared" si="11"/>
        <v>25.735805391988265</v>
      </c>
      <c r="Z38" s="7" t="str">
        <f t="shared" si="24"/>
        <v>Bought 4.81789184888482 Shares of State 1 at a cost of 25.73581</v>
      </c>
      <c r="AA38" s="7" t="str">
        <f t="shared" si="25"/>
        <v>Bought 5.16526136867565 Shares of State 2 at a cost of 25.73581</v>
      </c>
      <c r="AB38" s="187" t="str">
        <f t="shared" si="26"/>
        <v>Bought 4.81789184888482 Shares of State 1 at a cost of 25.73581Bought 5.16526136867565 Shares of State 2 at a cost of 25.73581</v>
      </c>
    </row>
    <row r="39" spans="3:28" s="7" customFormat="1" ht="18.75" x14ac:dyDescent="0.3">
      <c r="C39" s="21" t="s">
        <v>172</v>
      </c>
      <c r="D39" s="25">
        <v>11</v>
      </c>
      <c r="E39" s="244">
        <v>6.0564533420657778</v>
      </c>
      <c r="F39" s="243">
        <v>7.0564533420657778</v>
      </c>
      <c r="G39" s="242">
        <v>6.7440710564593589</v>
      </c>
      <c r="H39" s="241">
        <v>7.7440710564593589</v>
      </c>
      <c r="I39" s="240">
        <f t="shared" si="0"/>
        <v>0.20014199947829309</v>
      </c>
      <c r="J39" s="239">
        <f t="shared" si="1"/>
        <v>0.25698741427683297</v>
      </c>
      <c r="K39" s="238">
        <f t="shared" si="2"/>
        <v>0.23768149963590884</v>
      </c>
      <c r="L39" s="237">
        <f t="shared" si="3"/>
        <v>0.3051890866089651</v>
      </c>
      <c r="M39" s="228">
        <f t="shared" si="15"/>
        <v>9.6068159749580673</v>
      </c>
      <c r="N39" s="227">
        <f t="shared" si="16"/>
        <v>12.335395885287983</v>
      </c>
      <c r="O39" s="226">
        <f t="shared" si="5"/>
        <v>11.408711982523624</v>
      </c>
      <c r="P39" s="225">
        <f t="shared" si="6"/>
        <v>14.649076157230326</v>
      </c>
      <c r="Q39" s="195">
        <f t="shared" si="7"/>
        <v>13.408711982523624</v>
      </c>
      <c r="R39" s="200">
        <f t="shared" si="8"/>
        <v>16.649076157230326</v>
      </c>
      <c r="S39" s="82">
        <f t="shared" si="9"/>
        <v>599.58556847769387</v>
      </c>
      <c r="T39" s="49">
        <f t="shared" si="17"/>
        <v>12.393773441015128</v>
      </c>
      <c r="U39" s="203"/>
      <c r="V39" s="116">
        <f>E39-E27</f>
        <v>5.0564533420657778</v>
      </c>
      <c r="W39" s="102">
        <f>H39-H27</f>
        <v>5.7440710564593589</v>
      </c>
      <c r="X39" s="184">
        <f t="shared" si="11"/>
        <v>12.393773441015128</v>
      </c>
      <c r="Z39" s="7" t="str">
        <f t="shared" si="24"/>
        <v>Bought 5.05645334206578 Shares of State 1 at a cost of 12.39377</v>
      </c>
      <c r="AA39" s="7" t="str">
        <f t="shared" si="25"/>
        <v>Bought 5.74407105645936 Shares of State 2 at a cost of 12.39377</v>
      </c>
      <c r="AB39" s="187" t="str">
        <f t="shared" si="26"/>
        <v>Bought 5.05645334206578 Shares of State 1 at a cost of 12.39377Bought 5.74407105645936 Shares of State 2 at a cost of 12.39377</v>
      </c>
    </row>
    <row r="40" spans="3:28" s="7" customFormat="1" ht="18.75" x14ac:dyDescent="0.3">
      <c r="C40" s="21" t="s">
        <v>172</v>
      </c>
      <c r="D40" s="25">
        <v>9</v>
      </c>
      <c r="E40" s="244">
        <v>6.3154640072960584</v>
      </c>
      <c r="F40" s="243">
        <v>7.3154640072960584</v>
      </c>
      <c r="G40" s="242">
        <v>7.8017005353667326</v>
      </c>
      <c r="H40" s="241">
        <v>8.8017005353667326</v>
      </c>
      <c r="I40" s="240">
        <f t="shared" si="0"/>
        <v>0.17870393696700715</v>
      </c>
      <c r="J40" s="239">
        <f t="shared" si="1"/>
        <v>0.22946039712780128</v>
      </c>
      <c r="K40" s="238">
        <f t="shared" si="2"/>
        <v>0.25911956214719473</v>
      </c>
      <c r="L40" s="237">
        <f t="shared" si="3"/>
        <v>0.33271610375799682</v>
      </c>
      <c r="M40" s="228">
        <f t="shared" si="15"/>
        <v>8.5777889744163431</v>
      </c>
      <c r="N40" s="227">
        <f t="shared" si="16"/>
        <v>11.014099062134461</v>
      </c>
      <c r="O40" s="226">
        <f t="shared" si="5"/>
        <v>12.437738983065348</v>
      </c>
      <c r="P40" s="225">
        <f t="shared" si="6"/>
        <v>15.970372980383846</v>
      </c>
      <c r="Q40" s="195">
        <f t="shared" si="7"/>
        <v>14.437738983065348</v>
      </c>
      <c r="R40" s="200">
        <f t="shared" si="8"/>
        <v>17.970372980383846</v>
      </c>
      <c r="S40" s="82">
        <f t="shared" si="9"/>
        <v>633.77103892428318</v>
      </c>
      <c r="T40" s="49">
        <f t="shared" si="17"/>
        <v>34.185470446589306</v>
      </c>
      <c r="U40" s="203"/>
      <c r="V40" s="116">
        <f>E40-E36</f>
        <v>2.0845159087007197</v>
      </c>
      <c r="W40" s="102">
        <f>H40-H36</f>
        <v>2.1633844300487057</v>
      </c>
      <c r="X40" s="184">
        <f t="shared" si="11"/>
        <v>34.185470446589306</v>
      </c>
      <c r="Z40" s="7" t="str">
        <f t="shared" si="21"/>
        <v>Bought 2.08451590870072 Shares of State 1 at a cost of 34.18547</v>
      </c>
      <c r="AA40" s="7" t="str">
        <f t="shared" si="22"/>
        <v>Bought 2.16338443004871 Shares of State 2 at a cost of 34.18547</v>
      </c>
      <c r="AB40" s="187" t="str">
        <f t="shared" si="23"/>
        <v>Bought 2.08451590870072 Shares of State 1 at a cost of 34.18547Bought 2.16338443004871 Shares of State 2 at a cost of 34.18547</v>
      </c>
    </row>
    <row r="41" spans="3:28" s="7" customFormat="1" ht="18.75" x14ac:dyDescent="0.3">
      <c r="C41" s="21" t="s">
        <v>172</v>
      </c>
      <c r="D41" s="25">
        <v>10</v>
      </c>
      <c r="E41" s="244">
        <v>7.3968440818678882</v>
      </c>
      <c r="F41" s="243">
        <v>8.3968440818678882</v>
      </c>
      <c r="G41" s="242">
        <v>13.022131281540727</v>
      </c>
      <c r="H41" s="241">
        <v>14.022131281540727</v>
      </c>
      <c r="I41" s="240">
        <f t="shared" si="0"/>
        <v>8.6170167772874354E-2</v>
      </c>
      <c r="J41" s="239">
        <f t="shared" si="1"/>
        <v>0.11064468558061759</v>
      </c>
      <c r="K41" s="238">
        <f t="shared" si="2"/>
        <v>0.35165333134132748</v>
      </c>
      <c r="L41" s="237">
        <f t="shared" si="3"/>
        <v>0.4515318153051805</v>
      </c>
      <c r="M41" s="228">
        <f t="shared" si="15"/>
        <v>4.1361680530979692</v>
      </c>
      <c r="N41" s="227">
        <f t="shared" si="16"/>
        <v>5.3109449078696445</v>
      </c>
      <c r="O41" s="226">
        <f t="shared" si="5"/>
        <v>16.879359904383719</v>
      </c>
      <c r="P41" s="225">
        <f t="shared" si="6"/>
        <v>21.673527134648666</v>
      </c>
      <c r="Q41" s="195">
        <f t="shared" si="7"/>
        <v>18.879359904383719</v>
      </c>
      <c r="R41" s="200">
        <f t="shared" si="8"/>
        <v>23.673527134648666</v>
      </c>
      <c r="S41" s="82">
        <f t="shared" si="9"/>
        <v>825.72331453452875</v>
      </c>
      <c r="T41" s="49">
        <f t="shared" si="17"/>
        <v>191.95227561024558</v>
      </c>
      <c r="U41" s="203"/>
      <c r="V41" s="116">
        <f>E41-E35</f>
        <v>3.5499305106291139</v>
      </c>
      <c r="W41" s="102">
        <f>H41-H35</f>
        <v>7.9635157365566718</v>
      </c>
      <c r="X41" s="184">
        <f t="shared" si="11"/>
        <v>191.95227561024558</v>
      </c>
      <c r="Z41" s="7" t="str">
        <f t="shared" si="21"/>
        <v>Bought 3.54993051062911 Shares of State 1 at a cost of 191.95228</v>
      </c>
      <c r="AA41" s="7" t="str">
        <f t="shared" si="22"/>
        <v>Bought 7.96351573655667 Shares of State 2 at a cost of 191.95228</v>
      </c>
      <c r="AB41" s="187" t="str">
        <f t="shared" si="23"/>
        <v>Bought 3.54993051062911 Shares of State 1 at a cost of 191.95228Bought 7.96351573655667 Shares of State 2 at a cost of 191.95228</v>
      </c>
    </row>
    <row r="42" spans="3:28" s="7" customFormat="1" ht="18.75" x14ac:dyDescent="0.3">
      <c r="C42" s="21" t="s">
        <v>172</v>
      </c>
      <c r="D42" s="25">
        <v>11</v>
      </c>
      <c r="E42" s="244">
        <v>8.7852155419080447</v>
      </c>
      <c r="F42" s="243">
        <v>9.7852155419080447</v>
      </c>
      <c r="G42" s="242">
        <v>13.154740372352904</v>
      </c>
      <c r="H42" s="241">
        <v>14.154740372352904</v>
      </c>
      <c r="I42" s="240">
        <f t="shared" si="0"/>
        <v>0.10996819251519151</v>
      </c>
      <c r="J42" s="239">
        <f t="shared" si="1"/>
        <v>0.14120195421671652</v>
      </c>
      <c r="K42" s="238">
        <f t="shared" si="2"/>
        <v>0.32785530659901041</v>
      </c>
      <c r="L42" s="237">
        <f t="shared" si="3"/>
        <v>0.42097454666908157</v>
      </c>
      <c r="M42" s="228">
        <f t="shared" si="15"/>
        <v>5.2784732407291921</v>
      </c>
      <c r="N42" s="227">
        <f t="shared" si="16"/>
        <v>6.7776938024023927</v>
      </c>
      <c r="O42" s="226">
        <f t="shared" si="5"/>
        <v>15.7370547167525</v>
      </c>
      <c r="P42" s="225">
        <f t="shared" si="6"/>
        <v>20.206778240115916</v>
      </c>
      <c r="Q42" s="195">
        <f t="shared" si="7"/>
        <v>17.7370547167525</v>
      </c>
      <c r="R42" s="200">
        <f t="shared" si="8"/>
        <v>22.206778240115916</v>
      </c>
      <c r="S42" s="82">
        <f t="shared" si="9"/>
        <v>845.54265589133706</v>
      </c>
      <c r="T42" s="49">
        <f t="shared" si="17"/>
        <v>19.819341356808309</v>
      </c>
      <c r="U42" s="203"/>
      <c r="V42" s="116">
        <f>E42-E34</f>
        <v>5.3853504706122584</v>
      </c>
      <c r="W42" s="102">
        <f>H42-H34</f>
        <v>8.7410067417770918</v>
      </c>
      <c r="X42" s="184">
        <f t="shared" si="11"/>
        <v>19.819341356808309</v>
      </c>
      <c r="Z42" s="7" t="str">
        <f t="shared" si="12"/>
        <v>Bought 5.38535047061226 Shares of State 1 at a cost of 19.81934</v>
      </c>
      <c r="AA42" s="7" t="str">
        <f t="shared" si="13"/>
        <v>Bought 8.74100674177709 Shares of State 2 at a cost of 19.81934</v>
      </c>
      <c r="AB42" s="187" t="str">
        <f t="shared" si="14"/>
        <v>Bought 5.38535047061226 Shares of State 1 at a cost of 19.81934Bought 8.74100674177709 Shares of State 2 at a cost of 19.81934</v>
      </c>
    </row>
    <row r="43" spans="3:28" s="7" customFormat="1" ht="18.75" x14ac:dyDescent="0.3">
      <c r="C43" s="21" t="s">
        <v>172</v>
      </c>
      <c r="D43" s="25">
        <v>12</v>
      </c>
      <c r="E43" s="244">
        <v>9.3858670428309061</v>
      </c>
      <c r="F43" s="243">
        <v>10.385867042830906</v>
      </c>
      <c r="G43" s="242">
        <v>13.868111047852677</v>
      </c>
      <c r="H43" s="241">
        <v>14.868111047852677</v>
      </c>
      <c r="I43" s="240">
        <f t="shared" si="0"/>
        <v>0.10766396757663846</v>
      </c>
      <c r="J43" s="239">
        <f t="shared" si="1"/>
        <v>0.13824327082984866</v>
      </c>
      <c r="K43" s="238">
        <f t="shared" si="2"/>
        <v>0.33015953153756339</v>
      </c>
      <c r="L43" s="237">
        <f t="shared" si="3"/>
        <v>0.42393323005594946</v>
      </c>
      <c r="M43" s="228">
        <f t="shared" si="15"/>
        <v>5.1678704436786465</v>
      </c>
      <c r="N43" s="227">
        <f t="shared" si="16"/>
        <v>6.6356769998327358</v>
      </c>
      <c r="O43" s="226">
        <f t="shared" si="5"/>
        <v>15.847657513803043</v>
      </c>
      <c r="P43" s="225">
        <f t="shared" si="6"/>
        <v>20.348795042685573</v>
      </c>
      <c r="Q43" s="195">
        <f t="shared" si="7"/>
        <v>17.847657513803043</v>
      </c>
      <c r="R43" s="200">
        <f t="shared" si="8"/>
        <v>22.348795042685573</v>
      </c>
      <c r="S43" s="82">
        <f t="shared" si="9"/>
        <v>878.43975828425835</v>
      </c>
      <c r="T43" s="49">
        <f t="shared" si="17"/>
        <v>32.897102392921283</v>
      </c>
      <c r="U43" s="203"/>
      <c r="V43" s="116">
        <f>E43-E42</f>
        <v>0.60065150092286146</v>
      </c>
      <c r="W43" s="102">
        <f>H43-H42</f>
        <v>0.71337067549977284</v>
      </c>
      <c r="X43" s="184">
        <f t="shared" si="11"/>
        <v>32.897102392921283</v>
      </c>
      <c r="Z43" s="7" t="str">
        <f t="shared" ref="Z43:Z44" si="27">IF(V43&gt;0,"Bought ",IF(V43&lt;0,"Sold ",""))&amp;IF(V43&lt;0,V43*-1,IF(V43&gt;0,V43,""))&amp;IF(V43&lt;&gt;0," Shares of State 1 at a cost of "&amp;ROUND($X43,5),"")</f>
        <v>Bought 0.600651500922861 Shares of State 1 at a cost of 32.8971</v>
      </c>
      <c r="AA43" s="7" t="str">
        <f t="shared" ref="AA43:AA44" si="28">IF(W43&gt;0,"Bought ",IF(W43&lt;0,"Sold ",""))&amp;IF(W43&lt;0,W43*-1,IF(W43&gt;0,W43,""))&amp;IF(W43&lt;&gt;0," Shares of State 2 at a cost of "&amp;ROUND($X43,5),"")</f>
        <v>Bought 0.713370675499773 Shares of State 2 at a cost of 32.8971</v>
      </c>
      <c r="AB43" s="187" t="str">
        <f t="shared" ref="AB43:AB44" si="29">Z43&amp;AA43</f>
        <v>Bought 0.600651500922861 Shares of State 1 at a cost of 32.8971Bought 0.713370675499773 Shares of State 2 at a cost of 32.8971</v>
      </c>
    </row>
    <row r="44" spans="3:28" s="7" customFormat="1" ht="18.75" x14ac:dyDescent="0.3">
      <c r="C44" s="21" t="s">
        <v>172</v>
      </c>
      <c r="D44" s="25">
        <v>13</v>
      </c>
      <c r="E44" s="244">
        <v>9.4936986411330846</v>
      </c>
      <c r="F44" s="243">
        <v>10.493698641133085</v>
      </c>
      <c r="G44" s="242">
        <v>15.604490705269127</v>
      </c>
      <c r="H44" s="241">
        <v>16.604490705269129</v>
      </c>
      <c r="I44" s="240">
        <f t="shared" si="0"/>
        <v>7.8077389990765328E-2</v>
      </c>
      <c r="J44" s="239">
        <f t="shared" si="1"/>
        <v>0.10025335321678375</v>
      </c>
      <c r="K44" s="238">
        <f t="shared" si="2"/>
        <v>0.35974610912343652</v>
      </c>
      <c r="L44" s="237">
        <f t="shared" si="3"/>
        <v>0.46192314766901443</v>
      </c>
      <c r="M44" s="228">
        <f t="shared" si="15"/>
        <v>3.7477147195567357</v>
      </c>
      <c r="N44" s="227">
        <f t="shared" si="16"/>
        <v>4.8121609544056199</v>
      </c>
      <c r="O44" s="226">
        <f t="shared" si="5"/>
        <v>17.267813237924955</v>
      </c>
      <c r="P44" s="225">
        <f t="shared" si="6"/>
        <v>22.172311088112693</v>
      </c>
      <c r="Q44" s="195">
        <f t="shared" si="7"/>
        <v>19.267813237924955</v>
      </c>
      <c r="R44" s="200">
        <f t="shared" si="8"/>
        <v>24.172311088112693</v>
      </c>
      <c r="S44" s="82">
        <f t="shared" si="9"/>
        <v>945.30804961759645</v>
      </c>
      <c r="T44" s="49">
        <f t="shared" si="17"/>
        <v>66.868291333338107</v>
      </c>
      <c r="U44" s="203"/>
      <c r="V44" s="116">
        <f>E44-E43</f>
        <v>0.10783159830217848</v>
      </c>
      <c r="W44" s="102">
        <f>H44-H43</f>
        <v>1.7363796574164514</v>
      </c>
      <c r="X44" s="184">
        <f t="shared" si="11"/>
        <v>66.868291333338107</v>
      </c>
      <c r="Z44" s="7" t="str">
        <f t="shared" si="27"/>
        <v>Bought 0.107831598302178 Shares of State 1 at a cost of 66.86829</v>
      </c>
      <c r="AA44" s="7" t="str">
        <f t="shared" si="28"/>
        <v>Bought 1.73637965741645 Shares of State 2 at a cost of 66.86829</v>
      </c>
      <c r="AB44" s="187" t="str">
        <f t="shared" si="29"/>
        <v>Bought 0.107831598302178 Shares of State 1 at a cost of 66.86829Bought 1.73637965741645 Shares of State 2 at a cost of 66.86829</v>
      </c>
    </row>
    <row r="45" spans="3:28" s="7" customFormat="1" ht="18.75" x14ac:dyDescent="0.3">
      <c r="C45" s="21" t="s">
        <v>172</v>
      </c>
      <c r="D45" s="25">
        <v>14</v>
      </c>
      <c r="E45" s="244">
        <v>9.8817463876862526</v>
      </c>
      <c r="F45" s="243">
        <v>10.881746387686253</v>
      </c>
      <c r="G45" s="242">
        <v>15.604490705269127</v>
      </c>
      <c r="H45" s="241">
        <v>16.6044907052691</v>
      </c>
      <c r="I45" s="240">
        <f t="shared" si="0"/>
        <v>8.4496348514717406E-2</v>
      </c>
      <c r="J45" s="239">
        <f t="shared" si="1"/>
        <v>0.10849545911020265</v>
      </c>
      <c r="K45" s="238">
        <f t="shared" si="2"/>
        <v>0.35332715059948583</v>
      </c>
      <c r="L45" s="237">
        <f t="shared" si="3"/>
        <v>0.45368104177559415</v>
      </c>
      <c r="M45" s="228">
        <f t="shared" si="15"/>
        <v>4.0558247287064351</v>
      </c>
      <c r="N45" s="227">
        <f t="shared" si="16"/>
        <v>5.2077820372897277</v>
      </c>
      <c r="O45" s="226">
        <f t="shared" si="5"/>
        <v>16.959703228775318</v>
      </c>
      <c r="P45" s="225">
        <f t="shared" si="6"/>
        <v>21.77669000522852</v>
      </c>
      <c r="Q45" s="195">
        <f t="shared" si="7"/>
        <v>18.959703228775318</v>
      </c>
      <c r="R45" s="200">
        <f t="shared" si="8"/>
        <v>23.77669000522852</v>
      </c>
      <c r="S45" s="82">
        <f t="shared" si="9"/>
        <v>948.76484262102804</v>
      </c>
      <c r="T45" s="49">
        <f t="shared" si="17"/>
        <v>3.456793003431585</v>
      </c>
      <c r="U45" s="203"/>
      <c r="V45" s="116">
        <f>E45-E42</f>
        <v>1.0965308457782079</v>
      </c>
      <c r="W45" s="102">
        <f>H45-H42</f>
        <v>2.4497503329161958</v>
      </c>
      <c r="X45" s="184">
        <f t="shared" si="11"/>
        <v>3.456793003431585</v>
      </c>
      <c r="Z45" s="7" t="str">
        <f t="shared" ref="Z45:Z46" si="30">IF(V45&gt;0,"Bought ",IF(V45&lt;0,"Sold ",""))&amp;IF(V45&lt;0,V45*-1,IF(V45&gt;0,V45,""))&amp;IF(V45&lt;&gt;0," Shares of State 1 at a cost of "&amp;ROUND($X45,5),"")</f>
        <v>Bought 1.09653084577821 Shares of State 1 at a cost of 3.45679</v>
      </c>
      <c r="AA45" s="7" t="str">
        <f t="shared" ref="AA45:AA46" si="31">IF(W45&gt;0,"Bought ",IF(W45&lt;0,"Sold ",""))&amp;IF(W45&lt;0,W45*-1,IF(W45&gt;0,W45,""))&amp;IF(W45&lt;&gt;0," Shares of State 2 at a cost of "&amp;ROUND($X45,5),"")</f>
        <v>Bought 2.4497503329162 Shares of State 2 at a cost of 3.45679</v>
      </c>
      <c r="AB45" s="187" t="str">
        <f t="shared" ref="AB45:AB46" si="32">Z45&amp;AA45</f>
        <v>Bought 1.09653084577821 Shares of State 1 at a cost of 3.45679Bought 2.4497503329162 Shares of State 2 at a cost of 3.45679</v>
      </c>
    </row>
    <row r="46" spans="3:28" s="7" customFormat="1" ht="18.75" x14ac:dyDescent="0.3">
      <c r="C46" s="21" t="s">
        <v>181</v>
      </c>
      <c r="D46" s="25">
        <v>15</v>
      </c>
      <c r="E46" s="244">
        <v>0</v>
      </c>
      <c r="F46" s="243">
        <v>70.92</v>
      </c>
      <c r="G46" s="242">
        <v>0</v>
      </c>
      <c r="H46" s="241">
        <v>68</v>
      </c>
      <c r="I46" s="240">
        <f t="shared" si="0"/>
        <v>1.3462858817368261E-8</v>
      </c>
      <c r="J46" s="239">
        <f t="shared" si="1"/>
        <v>0.67480525441269734</v>
      </c>
      <c r="K46" s="238">
        <f t="shared" si="2"/>
        <v>1.3462858817368261E-8</v>
      </c>
      <c r="L46" s="237">
        <f t="shared" si="3"/>
        <v>0.32519471866158495</v>
      </c>
      <c r="M46" s="228">
        <f t="shared" si="15"/>
        <v>6.4621722323367655E-7</v>
      </c>
      <c r="N46" s="227">
        <f t="shared" si="16"/>
        <v>32.390652211809474</v>
      </c>
      <c r="O46" s="226">
        <f t="shared" si="5"/>
        <v>6.4621722323367655E-7</v>
      </c>
      <c r="P46" s="225">
        <f t="shared" si="6"/>
        <v>15.609346495756078</v>
      </c>
      <c r="Q46" s="195">
        <f t="shared" si="7"/>
        <v>2.0000006462172233</v>
      </c>
      <c r="R46" s="200">
        <f t="shared" si="8"/>
        <v>17.609346495756078</v>
      </c>
      <c r="S46" s="82">
        <f t="shared" si="9"/>
        <v>3479.6795792099301</v>
      </c>
      <c r="T46" s="49">
        <f t="shared" si="17"/>
        <v>2530.9147365889021</v>
      </c>
      <c r="U46" s="203"/>
      <c r="V46" s="116">
        <f>E46-E45</f>
        <v>-9.8817463876862526</v>
      </c>
      <c r="W46" s="102">
        <f>H46-H45</f>
        <v>51.3955092947309</v>
      </c>
      <c r="X46" s="184">
        <f t="shared" si="11"/>
        <v>2530.9147365889021</v>
      </c>
      <c r="Z46" s="7" t="str">
        <f t="shared" si="30"/>
        <v>Sold 9.88174638768625 Shares of State 1 at a cost of 2530.91474</v>
      </c>
      <c r="AA46" s="7" t="str">
        <f t="shared" si="31"/>
        <v>Bought 51.3955092947309 Shares of State 2 at a cost of 2530.91474</v>
      </c>
      <c r="AB46" s="187" t="str">
        <f t="shared" si="32"/>
        <v>Sold 9.88174638768625 Shares of State 1 at a cost of 2530.91474Bought 51.3955092947309 Shares of State 2 at a cost of 2530.91474</v>
      </c>
    </row>
    <row r="47" spans="3:28" s="7" customFormat="1" ht="18.75" x14ac:dyDescent="0.3">
      <c r="C47" s="21" t="s">
        <v>172</v>
      </c>
      <c r="D47" s="25">
        <v>16</v>
      </c>
      <c r="E47" s="244">
        <v>0</v>
      </c>
      <c r="F47" s="243">
        <f>F46*1.01</f>
        <v>71.629199999999997</v>
      </c>
      <c r="G47" s="242">
        <v>0</v>
      </c>
      <c r="H47" s="241">
        <v>70</v>
      </c>
      <c r="I47" s="240">
        <f t="shared" si="0"/>
        <v>1.003294066459086E-8</v>
      </c>
      <c r="J47" s="239">
        <f t="shared" si="1"/>
        <v>0.60044028109311265</v>
      </c>
      <c r="K47" s="238">
        <f t="shared" si="2"/>
        <v>1.003294066459086E-8</v>
      </c>
      <c r="L47" s="237">
        <f t="shared" si="3"/>
        <v>0.39955969884100612</v>
      </c>
      <c r="M47" s="228">
        <f t="shared" si="15"/>
        <v>4.8158115190036129E-7</v>
      </c>
      <c r="N47" s="227">
        <f t="shared" si="16"/>
        <v>28.821133492469407</v>
      </c>
      <c r="O47" s="226">
        <f t="shared" si="5"/>
        <v>4.8158115190036129E-7</v>
      </c>
      <c r="P47" s="225">
        <f t="shared" si="6"/>
        <v>19.178865544368293</v>
      </c>
      <c r="Q47" s="195">
        <f t="shared" si="7"/>
        <v>2.0000004815811518</v>
      </c>
      <c r="R47" s="200">
        <f t="shared" si="8"/>
        <v>21.178865544368293</v>
      </c>
      <c r="S47" s="82">
        <f t="shared" si="9"/>
        <v>3536.1392814806504</v>
      </c>
      <c r="T47" s="49">
        <f t="shared" ref="T47:T49" si="33">(S47-S46)</f>
        <v>56.4597022707203</v>
      </c>
      <c r="U47" s="203"/>
      <c r="V47" s="116">
        <f>E47-E42</f>
        <v>-8.7852155419080447</v>
      </c>
      <c r="W47" s="102">
        <f>H47-H42</f>
        <v>55.845259627647096</v>
      </c>
      <c r="X47" s="184">
        <f t="shared" si="11"/>
        <v>56.4597022707203</v>
      </c>
      <c r="Z47" s="7" t="str">
        <f t="shared" si="12"/>
        <v>Sold 8.78521554190804 Shares of State 1 at a cost of 56.4597</v>
      </c>
      <c r="AA47" s="7" t="str">
        <f t="shared" si="13"/>
        <v>Bought 55.8452596276471 Shares of State 2 at a cost of 56.4597</v>
      </c>
      <c r="AB47" s="187" t="str">
        <f t="shared" si="14"/>
        <v>Sold 8.78521554190804 Shares of State 1 at a cost of 56.4597Bought 55.8452596276471 Shares of State 2 at a cost of 56.4597</v>
      </c>
    </row>
    <row r="48" spans="3:28" s="7" customFormat="1" ht="18.75" x14ac:dyDescent="0.3">
      <c r="C48" s="21" t="s">
        <v>172</v>
      </c>
      <c r="D48" s="25">
        <v>17</v>
      </c>
      <c r="E48" s="244">
        <v>0</v>
      </c>
      <c r="F48" s="243">
        <f t="shared" ref="F48:F49" si="34">F47*1.01</f>
        <v>72.345491999999993</v>
      </c>
      <c r="G48" s="242">
        <v>0</v>
      </c>
      <c r="H48" s="241">
        <v>72</v>
      </c>
      <c r="I48" s="240">
        <f t="shared" si="0"/>
        <v>7.2863293059875227E-9</v>
      </c>
      <c r="J48" s="239">
        <f t="shared" si="1"/>
        <v>0.52157982807177372</v>
      </c>
      <c r="K48" s="238">
        <f t="shared" si="2"/>
        <v>7.2863293059875227E-9</v>
      </c>
      <c r="L48" s="237">
        <f t="shared" si="3"/>
        <v>0.47842015735556759</v>
      </c>
      <c r="M48" s="228">
        <f t="shared" si="15"/>
        <v>3.4974380668740111E-7</v>
      </c>
      <c r="N48" s="227">
        <f t="shared" si="16"/>
        <v>25.035831747445137</v>
      </c>
      <c r="O48" s="226">
        <f t="shared" si="5"/>
        <v>3.4974380668740111E-7</v>
      </c>
      <c r="P48" s="225">
        <f t="shared" si="6"/>
        <v>22.964167553067245</v>
      </c>
      <c r="Q48" s="195">
        <f t="shared" si="7"/>
        <v>2.0000003497438068</v>
      </c>
      <c r="R48" s="200">
        <f t="shared" si="8"/>
        <v>24.964167553067245</v>
      </c>
      <c r="S48" s="82">
        <f t="shared" si="9"/>
        <v>3597.5550609202173</v>
      </c>
      <c r="T48" s="49">
        <f t="shared" si="33"/>
        <v>61.415779439566904</v>
      </c>
      <c r="U48" s="203"/>
      <c r="V48" s="116">
        <f>E48-E47</f>
        <v>0</v>
      </c>
      <c r="W48" s="102">
        <f>H48-H47</f>
        <v>2</v>
      </c>
      <c r="X48" s="184">
        <f t="shared" si="11"/>
        <v>61.415779439566904</v>
      </c>
      <c r="Z48" s="7" t="str">
        <f t="shared" si="12"/>
        <v/>
      </c>
      <c r="AA48" s="7" t="str">
        <f t="shared" si="13"/>
        <v>Bought 2 Shares of State 2 at a cost of 61.41578</v>
      </c>
      <c r="AB48" s="187" t="str">
        <f t="shared" si="14"/>
        <v>Bought 2 Shares of State 2 at a cost of 61.41578</v>
      </c>
    </row>
    <row r="49" spans="3:29" s="7" customFormat="1" ht="19.5" thickBot="1" x14ac:dyDescent="0.35">
      <c r="C49" s="21" t="s">
        <v>172</v>
      </c>
      <c r="D49" s="25">
        <v>18</v>
      </c>
      <c r="E49" s="236">
        <v>0</v>
      </c>
      <c r="F49" s="235">
        <f t="shared" si="34"/>
        <v>73.068946919999988</v>
      </c>
      <c r="G49" s="234">
        <v>0</v>
      </c>
      <c r="H49" s="233">
        <v>74</v>
      </c>
      <c r="I49" s="232">
        <f t="shared" si="0"/>
        <v>5.1538456893847273E-9</v>
      </c>
      <c r="J49" s="231">
        <f t="shared" si="1"/>
        <v>0.4420704877213853</v>
      </c>
      <c r="K49" s="230">
        <f t="shared" si="2"/>
        <v>5.1538456893847273E-9</v>
      </c>
      <c r="L49" s="229">
        <f t="shared" si="3"/>
        <v>0.55792950197092328</v>
      </c>
      <c r="M49" s="297">
        <f t="shared" si="15"/>
        <v>2.473845930904669E-7</v>
      </c>
      <c r="N49" s="298">
        <f t="shared" si="16"/>
        <v>21.219383410626495</v>
      </c>
      <c r="O49" s="299">
        <f t="shared" si="5"/>
        <v>2.473845930904669E-7</v>
      </c>
      <c r="P49" s="300">
        <f t="shared" si="6"/>
        <v>26.780616094604319</v>
      </c>
      <c r="Q49" s="196">
        <f t="shared" si="7"/>
        <v>2.0000002473845933</v>
      </c>
      <c r="R49" s="201">
        <f t="shared" si="8"/>
        <v>28.780616094604319</v>
      </c>
      <c r="S49" s="114">
        <f t="shared" si="9"/>
        <v>3664.0363517061824</v>
      </c>
      <c r="T49" s="115">
        <f t="shared" si="33"/>
        <v>66.481290785965029</v>
      </c>
      <c r="U49" s="203"/>
      <c r="V49" s="121">
        <f>E49-E48</f>
        <v>0</v>
      </c>
      <c r="W49" s="104">
        <f>H49-H48</f>
        <v>2</v>
      </c>
      <c r="X49" s="184">
        <f t="shared" si="11"/>
        <v>66.481290785965029</v>
      </c>
      <c r="Z49" s="7" t="str">
        <f t="shared" si="12"/>
        <v/>
      </c>
      <c r="AA49" s="7" t="str">
        <f t="shared" si="13"/>
        <v>Bought 2 Shares of State 2 at a cost of 66.48129</v>
      </c>
      <c r="AB49" s="187" t="str">
        <f t="shared" si="14"/>
        <v>Bought 2 Shares of State 2 at a cost of 66.48129</v>
      </c>
    </row>
    <row r="50" spans="3:29" s="7" customFormat="1" ht="16.5" thickTop="1" thickBot="1" x14ac:dyDescent="0.3">
      <c r="D50" s="25" t="s">
        <v>97</v>
      </c>
      <c r="E50" s="224">
        <f>E49</f>
        <v>0</v>
      </c>
      <c r="F50" s="223">
        <f t="shared" ref="F50:H50" si="35">F49</f>
        <v>73.068946919999988</v>
      </c>
      <c r="G50" s="222">
        <f t="shared" si="35"/>
        <v>0</v>
      </c>
      <c r="H50" s="221">
        <f t="shared" si="35"/>
        <v>74</v>
      </c>
      <c r="I50" s="447">
        <f>F54*F53</f>
        <v>0</v>
      </c>
      <c r="J50" s="447">
        <f>F53*E54</f>
        <v>0.48531250000000004</v>
      </c>
      <c r="K50" s="447">
        <f>E53*F54</f>
        <v>0</v>
      </c>
      <c r="L50" s="447">
        <f>E53*E54</f>
        <v>0.51468749999999996</v>
      </c>
      <c r="M50" s="293">
        <f t="shared" si="15"/>
        <v>0</v>
      </c>
      <c r="N50" s="294">
        <f t="shared" si="16"/>
        <v>23.295000000000002</v>
      </c>
      <c r="O50" s="295">
        <f t="shared" si="5"/>
        <v>0</v>
      </c>
      <c r="P50" s="296">
        <f t="shared" si="6"/>
        <v>24.704999999999998</v>
      </c>
      <c r="Q50" s="197">
        <f>O50+$E$5</f>
        <v>2</v>
      </c>
      <c r="R50" s="258">
        <f>P50+E5</f>
        <v>26.704999999999998</v>
      </c>
      <c r="S50" s="82">
        <f t="shared" si="9"/>
        <v>3664.0363517061824</v>
      </c>
      <c r="T50" s="8" t="s">
        <v>109</v>
      </c>
      <c r="AA50" s="8"/>
      <c r="AB50" s="8"/>
      <c r="AC50" s="8"/>
    </row>
    <row r="51" spans="3:29" s="7" customFormat="1" ht="15.75" thickBot="1" x14ac:dyDescent="0.3">
      <c r="C51"/>
      <c r="D51"/>
      <c r="E51" s="33"/>
      <c r="F51" s="33"/>
      <c r="G51" s="33"/>
      <c r="H51" s="33"/>
      <c r="I51" s="33"/>
      <c r="J51" s="33"/>
      <c r="K51" s="33"/>
      <c r="L51" s="33"/>
      <c r="M51" s="33"/>
      <c r="N51" s="33"/>
      <c r="O51" s="33"/>
      <c r="P51" s="33"/>
      <c r="Q51" s="33"/>
      <c r="R51" s="33"/>
      <c r="S51" s="257">
        <f>SUMPRODUCT(E50:H50,M50:P50)</f>
        <v>3530.3111185013995</v>
      </c>
      <c r="T51" t="s">
        <v>110</v>
      </c>
      <c r="AA51"/>
      <c r="AB51"/>
      <c r="AC51"/>
    </row>
    <row r="52" spans="3:29" s="7" customFormat="1" ht="15.75" thickBot="1" x14ac:dyDescent="0.3">
      <c r="C52" s="1"/>
      <c r="D52" s="152" t="s">
        <v>180</v>
      </c>
      <c r="E52" s="303" t="s">
        <v>157</v>
      </c>
      <c r="F52" s="250" t="s">
        <v>177</v>
      </c>
      <c r="G52" s="142"/>
      <c r="H52" s="17"/>
      <c r="I52" s="490">
        <f>F53*F54</f>
        <v>0</v>
      </c>
      <c r="J52" s="490">
        <f>F53*E54</f>
        <v>0.48531250000000004</v>
      </c>
      <c r="K52" s="490">
        <f>E53*F54</f>
        <v>0</v>
      </c>
      <c r="L52" s="490">
        <f>E53*E54</f>
        <v>0.51468749999999996</v>
      </c>
      <c r="M52" s="17"/>
      <c r="N52" s="17"/>
      <c r="O52" s="17" t="s">
        <v>133</v>
      </c>
      <c r="P52" s="216">
        <f>SUM(M48:P48)</f>
        <v>48</v>
      </c>
      <c r="Q52" s="17"/>
      <c r="R52" s="17"/>
      <c r="S52" s="257">
        <f>S50-S51</f>
        <v>133.72523320478285</v>
      </c>
      <c r="T52" s="7" t="s">
        <v>102</v>
      </c>
    </row>
    <row r="53" spans="3:29" s="7" customFormat="1" ht="15.75" thickBot="1" x14ac:dyDescent="0.3">
      <c r="C53" s="5" t="s">
        <v>178</v>
      </c>
      <c r="D53" s="488">
        <v>26.704999999999998</v>
      </c>
      <c r="E53" s="532">
        <f>(D53-E5)/(E6-E5)</f>
        <v>0.51468749999999996</v>
      </c>
      <c r="F53" s="533">
        <f>1-E53</f>
        <v>0.48531250000000004</v>
      </c>
      <c r="H53" s="33"/>
      <c r="J53" s="33"/>
      <c r="K53" s="33"/>
      <c r="L53" s="33"/>
      <c r="M53" s="17"/>
      <c r="N53" s="17"/>
      <c r="O53" s="17"/>
      <c r="P53" s="216">
        <f>SUM(M49:P49)</f>
        <v>48</v>
      </c>
      <c r="Q53" s="17"/>
      <c r="R53" s="17"/>
      <c r="S53" s="260">
        <f>S25-S52</f>
        <v>132.44328413023612</v>
      </c>
      <c r="T53" s="54" t="s">
        <v>103</v>
      </c>
      <c r="Y53" s="8"/>
      <c r="Z53" s="8"/>
      <c r="AA53" s="8"/>
      <c r="AB53" s="28"/>
      <c r="AC53" s="28"/>
    </row>
    <row r="54" spans="3:29" ht="15.75" thickBot="1" x14ac:dyDescent="0.3">
      <c r="C54" s="304" t="s">
        <v>179</v>
      </c>
      <c r="D54" s="489">
        <v>1</v>
      </c>
      <c r="E54" s="534">
        <v>1</v>
      </c>
      <c r="F54" s="535">
        <v>0</v>
      </c>
      <c r="G54" s="17"/>
      <c r="P54" s="216">
        <f>SUM(M50:P50)</f>
        <v>48</v>
      </c>
      <c r="T54" s="190"/>
    </row>
    <row r="55" spans="3:29" x14ac:dyDescent="0.25">
      <c r="C55" s="17"/>
      <c r="D55" s="216"/>
      <c r="E55" s="17"/>
      <c r="F55" s="7"/>
      <c r="G55" s="17"/>
    </row>
    <row r="56" spans="3:29" x14ac:dyDescent="0.25">
      <c r="G56" s="190"/>
      <c r="H56" s="190"/>
      <c r="Q56" s="190"/>
    </row>
    <row r="57" spans="3:29" x14ac:dyDescent="0.25">
      <c r="G57" s="190"/>
      <c r="H57" s="190"/>
      <c r="Q57" s="190"/>
    </row>
    <row r="58" spans="3:29" x14ac:dyDescent="0.25">
      <c r="G58" s="190"/>
      <c r="H58" s="190"/>
      <c r="Q58" s="190"/>
    </row>
    <row r="59" spans="3:29" x14ac:dyDescent="0.25">
      <c r="G59" s="190"/>
      <c r="H59" s="190"/>
      <c r="Q59" s="190"/>
    </row>
    <row r="60" spans="3:29" x14ac:dyDescent="0.25">
      <c r="G60" s="190"/>
      <c r="H60" s="190"/>
      <c r="Q60" s="190"/>
    </row>
    <row r="61" spans="3:29" x14ac:dyDescent="0.25">
      <c r="G61" s="190"/>
      <c r="H61" s="190"/>
    </row>
    <row r="62" spans="3:29" x14ac:dyDescent="0.25">
      <c r="G62" s="190"/>
      <c r="H62" s="190"/>
    </row>
    <row r="63" spans="3:29" x14ac:dyDescent="0.25">
      <c r="G63" s="190"/>
      <c r="H63" s="190"/>
    </row>
    <row r="64" spans="3:29" x14ac:dyDescent="0.25">
      <c r="G64" s="190"/>
      <c r="H64" s="190"/>
    </row>
    <row r="65" spans="7:8" x14ac:dyDescent="0.25">
      <c r="G65" s="190"/>
      <c r="H65" s="190"/>
    </row>
    <row r="66" spans="7:8" x14ac:dyDescent="0.25">
      <c r="G66" s="190"/>
      <c r="H66" s="190"/>
    </row>
    <row r="68" spans="7:8" x14ac:dyDescent="0.25">
      <c r="G68" s="190"/>
      <c r="H68" s="190"/>
    </row>
    <row r="69" spans="7:8" x14ac:dyDescent="0.25">
      <c r="G69" s="190"/>
      <c r="H69" s="190"/>
    </row>
    <row r="70" spans="7:8" x14ac:dyDescent="0.25">
      <c r="G70" s="190"/>
      <c r="H70" s="190"/>
    </row>
    <row r="71" spans="7:8" x14ac:dyDescent="0.25">
      <c r="G71" s="190"/>
      <c r="H71" s="190"/>
    </row>
  </sheetData>
  <mergeCells count="4">
    <mergeCell ref="V23:W23"/>
    <mergeCell ref="C4:C10"/>
    <mergeCell ref="C16:C20"/>
    <mergeCell ref="C12:C1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V49"/>
  <sheetViews>
    <sheetView zoomScale="85" zoomScaleNormal="85" workbookViewId="0">
      <selection activeCell="B3" sqref="B3"/>
    </sheetView>
  </sheetViews>
  <sheetFormatPr defaultRowHeight="15" x14ac:dyDescent="0.25"/>
  <cols>
    <col min="3" max="3" width="13.28515625" customWidth="1"/>
    <col min="5" max="21" width="11.42578125" style="33" customWidth="1"/>
    <col min="22" max="23" width="12" style="33" customWidth="1"/>
    <col min="24" max="24" width="14.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357</v>
      </c>
      <c r="D2" s="141"/>
    </row>
    <row r="3" spans="2:36" ht="31.5" x14ac:dyDescent="0.5">
      <c r="B3" s="188"/>
      <c r="D3" s="141"/>
    </row>
    <row r="4" spans="2:36" x14ac:dyDescent="0.25">
      <c r="C4" s="834" t="s">
        <v>166</v>
      </c>
      <c r="D4" s="152" t="s">
        <v>101</v>
      </c>
      <c r="E4" s="152" t="s">
        <v>175</v>
      </c>
      <c r="F4" s="152"/>
      <c r="G4" s="278"/>
      <c r="H4" s="278"/>
      <c r="I4" s="278"/>
      <c r="J4" s="278"/>
      <c r="K4" s="278"/>
      <c r="L4" s="278"/>
      <c r="M4" s="273"/>
    </row>
    <row r="5" spans="2:36" x14ac:dyDescent="0.25">
      <c r="C5" s="835"/>
      <c r="D5" s="17" t="s">
        <v>152</v>
      </c>
      <c r="E5" s="18">
        <v>2</v>
      </c>
      <c r="F5" s="7" t="s">
        <v>153</v>
      </c>
      <c r="G5" s="17"/>
      <c r="H5" s="17" t="s">
        <v>264</v>
      </c>
      <c r="I5" s="17"/>
      <c r="J5" s="17"/>
      <c r="K5" s="17"/>
      <c r="L5" s="17"/>
      <c r="M5" s="252"/>
    </row>
    <row r="6" spans="2:36" x14ac:dyDescent="0.25">
      <c r="C6" s="835"/>
      <c r="D6" s="17" t="s">
        <v>155</v>
      </c>
      <c r="E6" s="18">
        <v>50</v>
      </c>
      <c r="F6" s="7" t="s">
        <v>154</v>
      </c>
      <c r="G6" s="17"/>
      <c r="H6" s="17" t="s">
        <v>265</v>
      </c>
      <c r="I6" s="17"/>
      <c r="J6" s="17"/>
      <c r="K6" s="17"/>
      <c r="L6" s="17"/>
      <c r="M6" s="252"/>
    </row>
    <row r="7" spans="2:36" x14ac:dyDescent="0.25">
      <c r="C7" s="835"/>
      <c r="D7" s="142" t="s">
        <v>156</v>
      </c>
      <c r="E7" s="18">
        <f>E6-E5</f>
        <v>48</v>
      </c>
      <c r="F7" s="7" t="s">
        <v>157</v>
      </c>
      <c r="G7" s="17"/>
      <c r="H7" s="17"/>
      <c r="I7" s="17"/>
      <c r="J7" s="17"/>
      <c r="K7" s="17"/>
      <c r="L7" s="17"/>
      <c r="M7" s="252"/>
    </row>
    <row r="8" spans="2:36" x14ac:dyDescent="0.25">
      <c r="C8" s="835"/>
      <c r="D8" s="142" t="s">
        <v>160</v>
      </c>
      <c r="E8" s="192"/>
      <c r="F8" s="8" t="s">
        <v>163</v>
      </c>
      <c r="G8" s="17"/>
      <c r="H8" s="17"/>
      <c r="I8" s="17"/>
      <c r="J8" s="17"/>
      <c r="K8" s="17"/>
      <c r="L8" s="17"/>
      <c r="M8" s="252"/>
    </row>
    <row r="9" spans="2:36" x14ac:dyDescent="0.25">
      <c r="C9" s="835"/>
      <c r="D9" s="142" t="s">
        <v>161</v>
      </c>
      <c r="E9" s="192"/>
      <c r="F9" s="8" t="s">
        <v>164</v>
      </c>
      <c r="G9" s="17"/>
      <c r="H9" s="17"/>
      <c r="I9" s="17"/>
      <c r="J9" s="17"/>
      <c r="K9" s="17"/>
      <c r="L9" s="17"/>
      <c r="M9" s="252"/>
    </row>
    <row r="10" spans="2:36" x14ac:dyDescent="0.25">
      <c r="C10" s="836"/>
      <c r="D10" s="279" t="s">
        <v>162</v>
      </c>
      <c r="E10" s="280"/>
      <c r="F10" s="281" t="s">
        <v>165</v>
      </c>
      <c r="G10" s="271"/>
      <c r="H10" s="271"/>
      <c r="I10" s="271"/>
      <c r="J10" s="271"/>
      <c r="K10" s="271"/>
      <c r="L10" s="271"/>
      <c r="M10" s="274"/>
    </row>
    <row r="11" spans="2:36" x14ac:dyDescent="0.25">
      <c r="C11" s="270"/>
      <c r="D11" s="142"/>
      <c r="E11" s="192"/>
      <c r="F11" s="8"/>
      <c r="G11" s="17"/>
      <c r="H11" s="17"/>
      <c r="I11" s="17"/>
      <c r="J11" s="17"/>
      <c r="K11" s="17"/>
      <c r="L11" s="17"/>
    </row>
    <row r="12" spans="2:36" x14ac:dyDescent="0.25">
      <c r="C12" s="834" t="s">
        <v>170</v>
      </c>
      <c r="D12" s="152" t="s">
        <v>101</v>
      </c>
      <c r="E12" s="152" t="s">
        <v>176</v>
      </c>
      <c r="F12" s="152"/>
      <c r="G12" s="278"/>
      <c r="H12" s="278"/>
      <c r="I12" s="278"/>
      <c r="J12" s="278"/>
      <c r="K12" s="278"/>
      <c r="L12" s="278"/>
      <c r="M12" s="273"/>
    </row>
    <row r="13" spans="2:36" x14ac:dyDescent="0.25">
      <c r="C13" s="835"/>
      <c r="D13" s="17" t="s">
        <v>152</v>
      </c>
      <c r="E13" s="18">
        <v>5</v>
      </c>
      <c r="F13" s="7" t="s">
        <v>153</v>
      </c>
      <c r="G13" s="17"/>
      <c r="H13" s="17" t="s">
        <v>267</v>
      </c>
      <c r="I13" s="17"/>
      <c r="J13" s="17"/>
      <c r="K13" s="17"/>
      <c r="L13" s="17"/>
      <c r="M13" s="252"/>
    </row>
    <row r="14" spans="2:36" s="33" customFormat="1" x14ac:dyDescent="0.25">
      <c r="B14"/>
      <c r="C14" s="835"/>
      <c r="D14" s="17" t="s">
        <v>155</v>
      </c>
      <c r="E14" s="18">
        <v>255</v>
      </c>
      <c r="F14" s="7" t="s">
        <v>154</v>
      </c>
      <c r="G14" s="17"/>
      <c r="H14" s="17" t="s">
        <v>266</v>
      </c>
      <c r="I14" s="17"/>
      <c r="J14" s="17"/>
      <c r="K14" s="17"/>
      <c r="L14" s="17"/>
      <c r="M14" s="252"/>
      <c r="X14"/>
      <c r="Y14"/>
      <c r="Z14"/>
      <c r="AA14"/>
      <c r="AB14"/>
      <c r="AC14"/>
      <c r="AD14"/>
      <c r="AE14"/>
      <c r="AF14"/>
      <c r="AG14"/>
      <c r="AH14"/>
      <c r="AI14"/>
      <c r="AJ14"/>
    </row>
    <row r="15" spans="2:36" s="33" customFormat="1" x14ac:dyDescent="0.25">
      <c r="B15"/>
      <c r="C15" s="835"/>
      <c r="D15" s="142" t="s">
        <v>156</v>
      </c>
      <c r="E15" s="18">
        <f>E14-E13</f>
        <v>250</v>
      </c>
      <c r="F15" s="7" t="s">
        <v>157</v>
      </c>
      <c r="G15" s="17"/>
      <c r="H15" s="17"/>
      <c r="I15" s="17"/>
      <c r="J15" s="17"/>
      <c r="K15" s="17"/>
      <c r="L15" s="17"/>
      <c r="M15" s="252"/>
      <c r="X15"/>
      <c r="Y15"/>
      <c r="Z15"/>
      <c r="AA15"/>
      <c r="AB15"/>
      <c r="AC15"/>
      <c r="AD15"/>
      <c r="AE15"/>
      <c r="AF15"/>
      <c r="AG15"/>
      <c r="AH15"/>
      <c r="AI15"/>
      <c r="AJ15"/>
    </row>
    <row r="16" spans="2:36" s="33" customFormat="1" x14ac:dyDescent="0.25">
      <c r="B16"/>
      <c r="C16" s="835"/>
      <c r="D16" s="142" t="s">
        <v>160</v>
      </c>
      <c r="E16" s="192"/>
      <c r="F16" s="8" t="s">
        <v>163</v>
      </c>
      <c r="G16" s="17"/>
      <c r="H16" s="17"/>
      <c r="I16" s="17"/>
      <c r="J16" s="17"/>
      <c r="K16" s="17"/>
      <c r="L16" s="17"/>
      <c r="M16" s="252"/>
      <c r="X16"/>
      <c r="Y16"/>
      <c r="Z16"/>
      <c r="AA16"/>
      <c r="AB16"/>
      <c r="AC16"/>
      <c r="AD16"/>
      <c r="AE16"/>
      <c r="AF16"/>
      <c r="AG16"/>
      <c r="AH16"/>
      <c r="AI16"/>
      <c r="AJ16"/>
    </row>
    <row r="17" spans="2:48" s="33" customFormat="1" x14ac:dyDescent="0.25">
      <c r="B17"/>
      <c r="C17" s="835"/>
      <c r="D17" s="142" t="s">
        <v>161</v>
      </c>
      <c r="E17" s="192"/>
      <c r="F17" s="8" t="s">
        <v>164</v>
      </c>
      <c r="G17" s="17"/>
      <c r="H17" s="17"/>
      <c r="I17" s="17"/>
      <c r="J17" s="17"/>
      <c r="K17" s="17"/>
      <c r="L17" s="17"/>
      <c r="M17" s="252"/>
      <c r="X17"/>
      <c r="Y17"/>
      <c r="Z17"/>
      <c r="AA17"/>
      <c r="AB17"/>
      <c r="AC17"/>
      <c r="AD17"/>
      <c r="AE17"/>
      <c r="AF17"/>
      <c r="AG17"/>
      <c r="AH17"/>
      <c r="AI17"/>
      <c r="AJ17"/>
    </row>
    <row r="18" spans="2:48" s="33" customFormat="1" x14ac:dyDescent="0.25">
      <c r="B18"/>
      <c r="C18" s="836"/>
      <c r="D18" s="279" t="s">
        <v>162</v>
      </c>
      <c r="E18" s="280"/>
      <c r="F18" s="281" t="s">
        <v>165</v>
      </c>
      <c r="G18" s="271"/>
      <c r="H18" s="271"/>
      <c r="I18" s="271"/>
      <c r="J18" s="271"/>
      <c r="K18" s="271"/>
      <c r="L18" s="271"/>
      <c r="M18" s="274"/>
      <c r="X18"/>
      <c r="Y18"/>
      <c r="Z18"/>
      <c r="AA18"/>
      <c r="AB18"/>
      <c r="AC18"/>
      <c r="AD18"/>
      <c r="AE18"/>
      <c r="AF18"/>
      <c r="AG18"/>
      <c r="AH18"/>
      <c r="AI18"/>
      <c r="AJ18"/>
    </row>
    <row r="19" spans="2:48" s="33" customFormat="1" ht="15.75" thickBot="1" x14ac:dyDescent="0.3">
      <c r="B19"/>
      <c r="C19" s="270"/>
      <c r="D19" s="142"/>
      <c r="E19" s="192"/>
      <c r="F19" s="8"/>
      <c r="G19" s="17"/>
      <c r="H19" s="17"/>
      <c r="I19" s="17"/>
      <c r="J19" s="17"/>
      <c r="K19" s="17"/>
      <c r="L19" s="17"/>
      <c r="X19"/>
      <c r="Y19"/>
      <c r="Z19"/>
      <c r="AA19"/>
      <c r="AB19"/>
      <c r="AC19"/>
      <c r="AD19"/>
      <c r="AE19"/>
      <c r="AF19"/>
      <c r="AG19"/>
      <c r="AH19"/>
      <c r="AI19"/>
      <c r="AJ19"/>
    </row>
    <row r="20" spans="2:48" s="33" customFormat="1" x14ac:dyDescent="0.25">
      <c r="B20"/>
      <c r="C20" s="837" t="s">
        <v>155</v>
      </c>
      <c r="D20" s="287" t="s">
        <v>167</v>
      </c>
      <c r="E20" s="288" t="s">
        <v>171</v>
      </c>
      <c r="F20" s="265" t="s">
        <v>169</v>
      </c>
      <c r="G20" s="265"/>
      <c r="H20" s="265"/>
      <c r="I20" s="263"/>
      <c r="X20"/>
      <c r="Y20"/>
      <c r="Z20"/>
      <c r="AA20"/>
      <c r="AB20"/>
      <c r="AC20"/>
      <c r="AD20"/>
      <c r="AE20"/>
      <c r="AF20"/>
      <c r="AG20"/>
      <c r="AH20"/>
      <c r="AI20"/>
      <c r="AJ20"/>
    </row>
    <row r="21" spans="2:48" x14ac:dyDescent="0.25">
      <c r="C21" s="838"/>
      <c r="D21" s="17" t="s">
        <v>142</v>
      </c>
      <c r="E21" s="268">
        <v>4</v>
      </c>
      <c r="F21" s="17" t="s">
        <v>143</v>
      </c>
      <c r="G21" s="17"/>
      <c r="H21" s="17"/>
      <c r="I21" s="204"/>
    </row>
    <row r="22" spans="2:48" x14ac:dyDescent="0.25">
      <c r="C22" s="838"/>
      <c r="D22" s="17" t="s">
        <v>5</v>
      </c>
      <c r="E22" s="18">
        <v>1</v>
      </c>
      <c r="F22" s="17" t="s">
        <v>146</v>
      </c>
      <c r="G22" s="17"/>
      <c r="H22" s="17"/>
      <c r="I22" s="204"/>
    </row>
    <row r="23" spans="2:48" x14ac:dyDescent="0.25">
      <c r="C23" s="838"/>
      <c r="D23" s="142" t="s">
        <v>158</v>
      </c>
      <c r="E23" s="18">
        <f>SUM(E7,E15)</f>
        <v>298</v>
      </c>
      <c r="F23" s="142" t="s">
        <v>235</v>
      </c>
      <c r="G23" s="17"/>
      <c r="H23" s="17"/>
      <c r="I23" s="204"/>
    </row>
    <row r="24" spans="2:48" ht="15.75" thickBot="1" x14ac:dyDescent="0.3">
      <c r="C24" s="839"/>
      <c r="D24" s="168" t="s">
        <v>144</v>
      </c>
      <c r="E24" s="289">
        <f>E22*E23*LN(E21)</f>
        <v>413.11571961372738</v>
      </c>
      <c r="F24" s="168" t="s">
        <v>145</v>
      </c>
      <c r="G24" s="266"/>
      <c r="H24" s="266"/>
      <c r="I24" s="264"/>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8" t="s">
        <v>12</v>
      </c>
      <c r="F27" s="209"/>
      <c r="G27" s="209"/>
      <c r="H27" s="210"/>
      <c r="I27" s="208" t="s">
        <v>238</v>
      </c>
      <c r="J27" s="209"/>
      <c r="K27" s="209"/>
      <c r="L27" s="210"/>
      <c r="M27" s="208" t="s">
        <v>237</v>
      </c>
      <c r="N27" s="209"/>
      <c r="O27" s="209"/>
      <c r="P27" s="210"/>
      <c r="Q27" s="208" t="s">
        <v>236</v>
      </c>
      <c r="R27" s="209"/>
      <c r="S27" s="209"/>
      <c r="T27" s="210"/>
      <c r="U27" s="208" t="s">
        <v>240</v>
      </c>
      <c r="V27" s="209"/>
      <c r="W27" s="209"/>
      <c r="X27" s="210"/>
      <c r="Y27" s="208" t="s">
        <v>239</v>
      </c>
      <c r="Z27" s="209"/>
      <c r="AA27" s="209"/>
      <c r="AB27" s="210"/>
      <c r="AC27" s="208" t="s">
        <v>36</v>
      </c>
      <c r="AD27" s="210" t="s">
        <v>35</v>
      </c>
      <c r="AE27" s="202"/>
      <c r="AF27" s="486" t="s">
        <v>98</v>
      </c>
      <c r="AG27" s="487"/>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61" t="str">
        <f>"S("&amp;$E$5&amp;", "&amp;$E$13&amp;")"</f>
        <v>S(2, 5)</v>
      </c>
      <c r="F28" s="178" t="str">
        <f>"S("&amp;$E$5&amp;", "&amp;$E$14&amp;")"</f>
        <v>S(2, 255)</v>
      </c>
      <c r="G28" s="175" t="str">
        <f>"S("&amp;$E$6&amp;", "&amp;$E$13&amp;")"</f>
        <v>S(50, 5)</v>
      </c>
      <c r="H28" s="331" t="str">
        <f>"S("&amp;$E$6&amp;", "&amp;$E$14&amp;")"</f>
        <v>S(50, 255)</v>
      </c>
      <c r="I28" s="261" t="str">
        <f>"P"&amp;(RIGHT(E28,LEN(E28)-1))</f>
        <v>P(2, 5)</v>
      </c>
      <c r="J28" s="178" t="str">
        <f t="shared" ref="J28:K28" si="0">"P"&amp;(RIGHT(F28,LEN(F28)-1))</f>
        <v>P(2, 255)</v>
      </c>
      <c r="K28" s="175" t="str">
        <f t="shared" si="0"/>
        <v>P(50, 5)</v>
      </c>
      <c r="L28" s="331" t="str">
        <f>"P"&amp;(RIGHT(H28,LEN(H28)-1))</f>
        <v>P(50, 255)</v>
      </c>
      <c r="M28" s="511" t="str">
        <f>"P("&amp;$E$5&amp;",:)"</f>
        <v>P(2,:)</v>
      </c>
      <c r="N28" s="506" t="str">
        <f>"P("&amp;$E$6&amp;",:)"</f>
        <v>P(50,:)</v>
      </c>
      <c r="O28" s="516" t="str">
        <f>"P(:,"&amp;$E$13&amp;")"</f>
        <v>P(:,5)</v>
      </c>
      <c r="P28" s="417" t="str">
        <f>"P(:,"&amp;$E$14&amp;")"</f>
        <v>P(:,255)</v>
      </c>
      <c r="Q28" s="511" t="str">
        <f>"V"&amp;RIGHT(M28,LEN(M28)-1)</f>
        <v>V(2,:)</v>
      </c>
      <c r="R28" s="506" t="str">
        <f t="shared" ref="R28:T28" si="1">"V"&amp;RIGHT(N28,LEN(N28)-1)</f>
        <v>V(50,:)</v>
      </c>
      <c r="S28" s="516" t="str">
        <f t="shared" si="1"/>
        <v>V(:,5)</v>
      </c>
      <c r="T28" s="417" t="str">
        <f t="shared" si="1"/>
        <v>V(:,255)</v>
      </c>
      <c r="U28" s="511" t="str">
        <f>Q28</f>
        <v>V(2,:)</v>
      </c>
      <c r="V28" s="506" t="str">
        <f t="shared" ref="V28:X28" si="2">R28</f>
        <v>V(50,:)</v>
      </c>
      <c r="W28" s="516" t="str">
        <f t="shared" si="2"/>
        <v>V(:,5)</v>
      </c>
      <c r="X28" s="417" t="str">
        <f t="shared" si="2"/>
        <v>V(:,255)</v>
      </c>
      <c r="Y28" s="261" t="str">
        <f>I28</f>
        <v>P(2, 5)</v>
      </c>
      <c r="Z28" s="178" t="str">
        <f>J28</f>
        <v>P(2, 255)</v>
      </c>
      <c r="AA28" s="175" t="str">
        <f>K28</f>
        <v>P(50, 5)</v>
      </c>
      <c r="AB28" s="331" t="str">
        <f>L28</f>
        <v>P(50, 255)</v>
      </c>
      <c r="AC28" s="530">
        <v>0</v>
      </c>
      <c r="AD28" s="212"/>
      <c r="AE28" s="142"/>
      <c r="AF28" s="182" t="str">
        <f>I28</f>
        <v>P(2, 5)</v>
      </c>
      <c r="AG28" s="183" t="str">
        <f>L28</f>
        <v>P(50, 255)</v>
      </c>
      <c r="AH28" s="7"/>
      <c r="AI28" s="7"/>
      <c r="AJ28" s="7"/>
      <c r="AK28" s="7"/>
      <c r="AM28" s="7" t="s">
        <v>187</v>
      </c>
      <c r="AN28" s="7"/>
      <c r="AO28" s="7"/>
      <c r="AP28" s="7"/>
      <c r="AQ28" s="7"/>
      <c r="AR28" s="7"/>
      <c r="AS28" s="7"/>
      <c r="AT28" s="7"/>
      <c r="AU28" s="7"/>
      <c r="AV28" s="7"/>
    </row>
    <row r="29" spans="2:48" ht="15.75" thickTop="1" x14ac:dyDescent="0.25">
      <c r="C29" s="7"/>
      <c r="D29" s="25">
        <v>1</v>
      </c>
      <c r="E29" s="332">
        <v>0</v>
      </c>
      <c r="F29" s="223">
        <v>0</v>
      </c>
      <c r="G29" s="222">
        <v>0</v>
      </c>
      <c r="H29" s="333">
        <v>0</v>
      </c>
      <c r="I29" s="342">
        <f t="shared" ref="I29:I37" si="3">EXP(E29/$E$22)/(EXP($E29/$E$22)+EXP($F29/$E$22)+EXP($G29/$E$22)+EXP($H29/$E$22))</f>
        <v>0.25</v>
      </c>
      <c r="J29" s="219">
        <f t="shared" ref="J29:J37" si="4">EXP(F29/$E$22)/(EXP($E29/$E$22)+EXP($F29/$E$22)+EXP($G29/$E$22)+EXP($H29/$E$22))</f>
        <v>0.25</v>
      </c>
      <c r="K29" s="218">
        <f t="shared" ref="K29:K37" si="5">EXP(G29/$E$22)/(EXP($E29/$E$22)+EXP($F29/$E$22)+EXP($G29/$E$22)+EXP($H29/$E$22))</f>
        <v>0.25</v>
      </c>
      <c r="L29" s="343">
        <f t="shared" ref="L29:L37" si="6">EXP(H29/$E$22)/(EXP($E29/$E$22)+EXP($F29/$E$22)+EXP($G29/$E$22)+EXP($H29/$E$22))</f>
        <v>0.25</v>
      </c>
      <c r="M29" s="512">
        <f>SUM(I29:J29)</f>
        <v>0.5</v>
      </c>
      <c r="N29" s="507">
        <f>SUM(K29,L29)</f>
        <v>0.5</v>
      </c>
      <c r="O29" s="517">
        <f>SUM(K29,I29)</f>
        <v>0.5</v>
      </c>
      <c r="P29" s="498">
        <f>SUM(J29,L29)</f>
        <v>0.5</v>
      </c>
      <c r="Q29" s="512">
        <f>M29*$E$7</f>
        <v>24</v>
      </c>
      <c r="R29" s="507">
        <f>N29*$E$7</f>
        <v>24</v>
      </c>
      <c r="S29" s="517">
        <f>O29*$E$15</f>
        <v>125</v>
      </c>
      <c r="T29" s="498">
        <f>P29*$E$15</f>
        <v>125</v>
      </c>
      <c r="U29" s="512">
        <f>Q29+$E$5</f>
        <v>26</v>
      </c>
      <c r="V29" s="507">
        <f>R29+$E$5</f>
        <v>26</v>
      </c>
      <c r="W29" s="517">
        <f>S29+$E$13</f>
        <v>130</v>
      </c>
      <c r="X29" s="498">
        <f>T29+$E$13</f>
        <v>130</v>
      </c>
      <c r="Y29" s="332">
        <f t="shared" ref="Y29:Y38" si="7">SUM(Q29,S29)</f>
        <v>149</v>
      </c>
      <c r="Z29" s="223">
        <f t="shared" ref="Z29:Z38" si="8">SUM(Q29,T29)</f>
        <v>149</v>
      </c>
      <c r="AA29" s="222">
        <f t="shared" ref="AA29:AA38" si="9">SUM(R29,S29)</f>
        <v>149</v>
      </c>
      <c r="AB29" s="333">
        <f t="shared" ref="AB29:AB38" si="10">SUM(R29,T29)</f>
        <v>149</v>
      </c>
      <c r="AC29" s="81">
        <f>$E$23*$E$22*LN(EXP($E29/$E$22) + EXP($F29/$E$22) + EXP($G29/$E$22) +EXP($H29/$E$22) )</f>
        <v>413.11571961372738</v>
      </c>
      <c r="AD29" s="213">
        <f>(AC29-AC28)</f>
        <v>413.11571961372738</v>
      </c>
      <c r="AE29" s="203"/>
      <c r="AF29" s="116"/>
      <c r="AG29" s="102"/>
      <c r="AH29" s="7"/>
      <c r="AI29" s="7"/>
      <c r="AJ29" s="7"/>
      <c r="AK29" s="7"/>
      <c r="AM29" s="329" t="s">
        <v>219</v>
      </c>
      <c r="AN29" s="7"/>
      <c r="AO29" s="7"/>
      <c r="AP29" s="7"/>
      <c r="AQ29" s="7"/>
      <c r="AR29" s="7"/>
      <c r="AS29" s="7"/>
      <c r="AT29" s="189"/>
      <c r="AU29" s="7"/>
      <c r="AV29" s="7"/>
    </row>
    <row r="30" spans="2:48" ht="18.75" x14ac:dyDescent="0.3">
      <c r="C30" s="7"/>
      <c r="D30" s="25">
        <v>2</v>
      </c>
      <c r="E30" s="334">
        <v>0</v>
      </c>
      <c r="F30" s="243">
        <v>0</v>
      </c>
      <c r="G30" s="242">
        <v>1</v>
      </c>
      <c r="H30" s="335">
        <v>1</v>
      </c>
      <c r="I30" s="344">
        <f t="shared" si="3"/>
        <v>0.13447071068499758</v>
      </c>
      <c r="J30" s="239">
        <f t="shared" si="4"/>
        <v>0.13447071068499758</v>
      </c>
      <c r="K30" s="238">
        <f t="shared" si="5"/>
        <v>0.3655292893150025</v>
      </c>
      <c r="L30" s="345">
        <f t="shared" si="6"/>
        <v>0.3655292893150025</v>
      </c>
      <c r="M30" s="513">
        <f t="shared" ref="M30:M37" si="11">SUM(I30:J30)</f>
        <v>0.26894142136999516</v>
      </c>
      <c r="N30" s="508">
        <f t="shared" ref="N30:N38" si="12">SUM(K30,L30)</f>
        <v>0.73105857863000501</v>
      </c>
      <c r="O30" s="518">
        <f t="shared" ref="O30:O38" si="13">SUM(K30,I30)</f>
        <v>0.50000000000000011</v>
      </c>
      <c r="P30" s="499">
        <f t="shared" ref="P30:P38" si="14">SUM(J30,L30)</f>
        <v>0.50000000000000011</v>
      </c>
      <c r="Q30" s="513">
        <f t="shared" ref="Q30:Q38" si="15">M30*$E$7</f>
        <v>12.909188225759767</v>
      </c>
      <c r="R30" s="508">
        <f t="shared" ref="R30:R38" si="16">N30*$E$7</f>
        <v>35.090811774240237</v>
      </c>
      <c r="S30" s="518">
        <f t="shared" ref="S30:S38" si="17">O30*$E$15</f>
        <v>125.00000000000003</v>
      </c>
      <c r="T30" s="499">
        <f t="shared" ref="T30:T37" si="18">P30*$E$15</f>
        <v>125.00000000000003</v>
      </c>
      <c r="U30" s="513">
        <f t="shared" ref="U30:U38" si="19">Q30+$E$5</f>
        <v>14.909188225759767</v>
      </c>
      <c r="V30" s="508">
        <f t="shared" ref="V30:V38" si="20">R30+$E$5</f>
        <v>37.090811774240237</v>
      </c>
      <c r="W30" s="518">
        <f t="shared" ref="W30:W38" si="21">S30+$E$13</f>
        <v>130.00000000000003</v>
      </c>
      <c r="X30" s="499">
        <f>T30+$E$13</f>
        <v>130.00000000000003</v>
      </c>
      <c r="Y30" s="334">
        <f t="shared" si="7"/>
        <v>137.90918822575981</v>
      </c>
      <c r="Z30" s="243">
        <f t="shared" si="8"/>
        <v>137.90918822575981</v>
      </c>
      <c r="AA30" s="242">
        <f t="shared" si="9"/>
        <v>160.09081177424025</v>
      </c>
      <c r="AB30" s="335">
        <f t="shared" si="10"/>
        <v>160.09081177424025</v>
      </c>
      <c r="AC30" s="82">
        <f t="shared" ref="AC30:AC38" si="22">$E$23*$E$22*LN(EXP($E30/$E$22) + EXP($F30/$E$22) + EXP($G30/$E$22) +EXP($H30/$E$22) )</f>
        <v>597.90984268729403</v>
      </c>
      <c r="AD30" s="215">
        <f>(AC30-AC29)</f>
        <v>184.79412307356665</v>
      </c>
      <c r="AE30" s="203"/>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242</v>
      </c>
      <c r="AN30" s="521">
        <f>R38/R29</f>
        <v>1.0325</v>
      </c>
      <c r="AO30" s="7"/>
      <c r="AP30" s="7"/>
      <c r="AQ30" s="7"/>
      <c r="AR30" s="7"/>
      <c r="AS30" s="7"/>
      <c r="AT30" s="7"/>
      <c r="AU30" s="7"/>
      <c r="AV30" s="7"/>
    </row>
    <row r="31" spans="2:48" ht="18.75" x14ac:dyDescent="0.3">
      <c r="C31" s="21"/>
      <c r="D31" s="25">
        <v>3</v>
      </c>
      <c r="E31" s="334">
        <v>6</v>
      </c>
      <c r="F31" s="243">
        <v>8</v>
      </c>
      <c r="G31" s="242">
        <v>6</v>
      </c>
      <c r="H31" s="335">
        <v>8</v>
      </c>
      <c r="I31" s="344">
        <f t="shared" si="3"/>
        <v>5.9601461011058773E-2</v>
      </c>
      <c r="J31" s="239">
        <f t="shared" si="4"/>
        <v>0.44039853898894121</v>
      </c>
      <c r="K31" s="238">
        <f t="shared" si="5"/>
        <v>5.9601461011058773E-2</v>
      </c>
      <c r="L31" s="345">
        <f t="shared" si="6"/>
        <v>0.44039853898894121</v>
      </c>
      <c r="M31" s="513">
        <f t="shared" si="11"/>
        <v>0.5</v>
      </c>
      <c r="N31" s="508">
        <f t="shared" si="12"/>
        <v>0.5</v>
      </c>
      <c r="O31" s="518">
        <f t="shared" si="13"/>
        <v>0.11920292202211755</v>
      </c>
      <c r="P31" s="499">
        <f t="shared" si="14"/>
        <v>0.88079707797788243</v>
      </c>
      <c r="Q31" s="513">
        <f t="shared" si="15"/>
        <v>24</v>
      </c>
      <c r="R31" s="508">
        <f t="shared" si="16"/>
        <v>24</v>
      </c>
      <c r="S31" s="518">
        <f t="shared" si="17"/>
        <v>29.800730505529387</v>
      </c>
      <c r="T31" s="499">
        <f t="shared" si="18"/>
        <v>220.1992694944706</v>
      </c>
      <c r="U31" s="513">
        <f t="shared" si="19"/>
        <v>26</v>
      </c>
      <c r="V31" s="508">
        <f t="shared" si="20"/>
        <v>26</v>
      </c>
      <c r="W31" s="518">
        <f t="shared" si="21"/>
        <v>34.800730505529387</v>
      </c>
      <c r="X31" s="499">
        <f t="shared" ref="X31:X38" si="27">T31+$E$13</f>
        <v>225.1992694944706</v>
      </c>
      <c r="Y31" s="334">
        <f t="shared" si="7"/>
        <v>53.800730505529387</v>
      </c>
      <c r="Z31" s="243">
        <f t="shared" si="8"/>
        <v>244.1992694944706</v>
      </c>
      <c r="AA31" s="242">
        <f t="shared" si="9"/>
        <v>53.800730505529387</v>
      </c>
      <c r="AB31" s="335">
        <f t="shared" si="10"/>
        <v>244.1992694944706</v>
      </c>
      <c r="AC31" s="82">
        <f>$E$23*$E$22*LN(EXP($E31/$E$22) + EXP($F31/$E$22) + EXP($G31/$E$22) +EXP($H31/$E$22) )</f>
        <v>2628.3824070976693</v>
      </c>
      <c r="AD31" s="215">
        <f t="shared" ref="AD31" si="28">(AC31-AC30)</f>
        <v>2030.4725644103753</v>
      </c>
      <c r="AE31" s="203"/>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184</v>
      </c>
      <c r="AO31" s="7" t="s">
        <v>185</v>
      </c>
      <c r="AP31" t="s">
        <v>245</v>
      </c>
      <c r="AU31" s="7"/>
      <c r="AV31" s="7"/>
    </row>
    <row r="32" spans="2:48" ht="18.75" x14ac:dyDescent="0.3">
      <c r="C32" s="21"/>
      <c r="D32" s="25">
        <v>4</v>
      </c>
      <c r="E32" s="334">
        <v>6</v>
      </c>
      <c r="F32" s="243">
        <v>8</v>
      </c>
      <c r="G32" s="242">
        <v>5</v>
      </c>
      <c r="H32" s="335">
        <v>7</v>
      </c>
      <c r="I32" s="344">
        <f t="shared" si="3"/>
        <v>8.7144318742032559E-2</v>
      </c>
      <c r="J32" s="239">
        <f t="shared" si="4"/>
        <v>0.64391425988797235</v>
      </c>
      <c r="K32" s="238">
        <f t="shared" si="5"/>
        <v>3.2058603280084988E-2</v>
      </c>
      <c r="L32" s="345">
        <f t="shared" si="6"/>
        <v>0.2368828180899101</v>
      </c>
      <c r="M32" s="513">
        <f t="shared" si="11"/>
        <v>0.7310585786300049</v>
      </c>
      <c r="N32" s="508">
        <f t="shared" si="12"/>
        <v>0.2689414213699951</v>
      </c>
      <c r="O32" s="518">
        <f t="shared" si="13"/>
        <v>0.11920292202211755</v>
      </c>
      <c r="P32" s="499">
        <f t="shared" si="14"/>
        <v>0.88079707797788243</v>
      </c>
      <c r="Q32" s="513">
        <f t="shared" si="15"/>
        <v>35.090811774240237</v>
      </c>
      <c r="R32" s="508">
        <f t="shared" si="16"/>
        <v>12.909188225759765</v>
      </c>
      <c r="S32" s="518">
        <f t="shared" si="17"/>
        <v>29.800730505529387</v>
      </c>
      <c r="T32" s="499">
        <f t="shared" si="18"/>
        <v>220.1992694944706</v>
      </c>
      <c r="U32" s="513">
        <f t="shared" si="19"/>
        <v>37.090811774240237</v>
      </c>
      <c r="V32" s="508">
        <f t="shared" si="20"/>
        <v>14.909188225759765</v>
      </c>
      <c r="W32" s="518">
        <f t="shared" si="21"/>
        <v>34.800730505529387</v>
      </c>
      <c r="X32" s="499">
        <f t="shared" si="27"/>
        <v>225.1992694944706</v>
      </c>
      <c r="Y32" s="334">
        <f t="shared" si="7"/>
        <v>64.891542279769624</v>
      </c>
      <c r="Z32" s="243">
        <f t="shared" si="8"/>
        <v>255.29008126871082</v>
      </c>
      <c r="AA32" s="242">
        <f t="shared" si="9"/>
        <v>42.70991873128915</v>
      </c>
      <c r="AB32" s="335">
        <f t="shared" si="10"/>
        <v>233.10845772023038</v>
      </c>
      <c r="AC32" s="82">
        <f t="shared" si="22"/>
        <v>2515.1765301712362</v>
      </c>
      <c r="AD32" s="215">
        <f>(AC32-AC31)</f>
        <v>-113.20587692643312</v>
      </c>
      <c r="AE32" s="203"/>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183</v>
      </c>
      <c r="AN32" s="522">
        <f>AD30</f>
        <v>184.79412307356665</v>
      </c>
      <c r="AO32" s="523">
        <f>SUM(AA38:AB38)</f>
        <v>299.55999999999995</v>
      </c>
      <c r="AP32" s="524">
        <f>AO32/AN32</f>
        <v>1.6210472228099209</v>
      </c>
      <c r="AQ32" s="7" t="s">
        <v>246</v>
      </c>
      <c r="AU32" s="7"/>
      <c r="AV32" s="7"/>
    </row>
    <row r="33" spans="3:48" ht="18.75" x14ac:dyDescent="0.3">
      <c r="C33" s="21"/>
      <c r="D33" s="25">
        <v>5</v>
      </c>
      <c r="E33" s="334">
        <v>6</v>
      </c>
      <c r="F33" s="243">
        <v>8</v>
      </c>
      <c r="G33" s="242">
        <v>5</v>
      </c>
      <c r="H33" s="335">
        <v>7</v>
      </c>
      <c r="I33" s="344">
        <f t="shared" si="3"/>
        <v>8.7144318742032559E-2</v>
      </c>
      <c r="J33" s="239">
        <f t="shared" si="4"/>
        <v>0.64391425988797235</v>
      </c>
      <c r="K33" s="238">
        <f t="shared" si="5"/>
        <v>3.2058603280084988E-2</v>
      </c>
      <c r="L33" s="345">
        <f t="shared" si="6"/>
        <v>0.2368828180899101</v>
      </c>
      <c r="M33" s="513">
        <f t="shared" si="11"/>
        <v>0.7310585786300049</v>
      </c>
      <c r="N33" s="508">
        <f t="shared" si="12"/>
        <v>0.2689414213699951</v>
      </c>
      <c r="O33" s="518">
        <f t="shared" si="13"/>
        <v>0.11920292202211755</v>
      </c>
      <c r="P33" s="499">
        <f t="shared" si="14"/>
        <v>0.88079707797788243</v>
      </c>
      <c r="Q33" s="513">
        <f t="shared" si="15"/>
        <v>35.090811774240237</v>
      </c>
      <c r="R33" s="508">
        <f t="shared" si="16"/>
        <v>12.909188225759765</v>
      </c>
      <c r="S33" s="518">
        <f t="shared" si="17"/>
        <v>29.800730505529387</v>
      </c>
      <c r="T33" s="499">
        <f t="shared" si="18"/>
        <v>220.1992694944706</v>
      </c>
      <c r="U33" s="513">
        <f t="shared" si="19"/>
        <v>37.090811774240237</v>
      </c>
      <c r="V33" s="508">
        <f t="shared" si="20"/>
        <v>14.909188225759765</v>
      </c>
      <c r="W33" s="518">
        <f t="shared" si="21"/>
        <v>34.800730505529387</v>
      </c>
      <c r="X33" s="499">
        <f t="shared" si="27"/>
        <v>225.1992694944706</v>
      </c>
      <c r="Y33" s="334">
        <f t="shared" si="7"/>
        <v>64.891542279769624</v>
      </c>
      <c r="Z33" s="243">
        <f t="shared" si="8"/>
        <v>255.29008126871082</v>
      </c>
      <c r="AA33" s="242">
        <f t="shared" si="9"/>
        <v>42.70991873128915</v>
      </c>
      <c r="AB33" s="335">
        <f t="shared" si="10"/>
        <v>233.10845772023038</v>
      </c>
      <c r="AC33" s="82">
        <f t="shared" si="22"/>
        <v>2515.1765301712362</v>
      </c>
      <c r="AD33" s="215">
        <f t="shared" ref="AD33:AD37" si="29">(AC33-AC32)</f>
        <v>0</v>
      </c>
      <c r="AE33" s="203"/>
      <c r="AF33" s="116">
        <f>I33-I32</f>
        <v>0</v>
      </c>
      <c r="AG33" s="102">
        <f>L33-L32</f>
        <v>0</v>
      </c>
      <c r="AH33" s="184">
        <f t="shared" si="23"/>
        <v>0</v>
      </c>
      <c r="AI33" s="7"/>
      <c r="AJ33" s="7" t="str">
        <f t="shared" si="24"/>
        <v/>
      </c>
      <c r="AK33" s="7" t="str">
        <f t="shared" si="25"/>
        <v/>
      </c>
      <c r="AL33" s="187" t="str">
        <f t="shared" si="26"/>
        <v/>
      </c>
      <c r="AM33" s="8" t="s">
        <v>186</v>
      </c>
      <c r="AN33" s="525">
        <f>SUM(AA29:AB29)</f>
        <v>298</v>
      </c>
      <c r="AO33" s="162">
        <f>SUM(AA38:AB38)</f>
        <v>299.55999999999995</v>
      </c>
      <c r="AP33" s="526">
        <f>AO33/AN33</f>
        <v>1.0052348993288589</v>
      </c>
      <c r="AQ33" s="7" t="s">
        <v>244</v>
      </c>
      <c r="AU33" s="7"/>
      <c r="AV33" s="7"/>
    </row>
    <row r="34" spans="3:48" ht="18.75" x14ac:dyDescent="0.3">
      <c r="C34" s="21"/>
      <c r="D34" s="25">
        <v>6</v>
      </c>
      <c r="E34" s="334">
        <v>6</v>
      </c>
      <c r="F34" s="243">
        <v>8</v>
      </c>
      <c r="G34" s="242">
        <v>5</v>
      </c>
      <c r="H34" s="335">
        <v>7</v>
      </c>
      <c r="I34" s="344">
        <f t="shared" si="3"/>
        <v>8.7144318742032559E-2</v>
      </c>
      <c r="J34" s="239">
        <f t="shared" si="4"/>
        <v>0.64391425988797235</v>
      </c>
      <c r="K34" s="238">
        <f t="shared" si="5"/>
        <v>3.2058603280084988E-2</v>
      </c>
      <c r="L34" s="345">
        <f t="shared" si="6"/>
        <v>0.2368828180899101</v>
      </c>
      <c r="M34" s="513">
        <f t="shared" si="11"/>
        <v>0.7310585786300049</v>
      </c>
      <c r="N34" s="508">
        <f t="shared" si="12"/>
        <v>0.2689414213699951</v>
      </c>
      <c r="O34" s="518">
        <f t="shared" si="13"/>
        <v>0.11920292202211755</v>
      </c>
      <c r="P34" s="499">
        <f t="shared" si="14"/>
        <v>0.88079707797788243</v>
      </c>
      <c r="Q34" s="513">
        <f t="shared" si="15"/>
        <v>35.090811774240237</v>
      </c>
      <c r="R34" s="508">
        <f t="shared" si="16"/>
        <v>12.909188225759765</v>
      </c>
      <c r="S34" s="518">
        <f t="shared" si="17"/>
        <v>29.800730505529387</v>
      </c>
      <c r="T34" s="499">
        <f t="shared" si="18"/>
        <v>220.1992694944706</v>
      </c>
      <c r="U34" s="513">
        <f t="shared" si="19"/>
        <v>37.090811774240237</v>
      </c>
      <c r="V34" s="508">
        <f t="shared" si="20"/>
        <v>14.909188225759765</v>
      </c>
      <c r="W34" s="518">
        <f t="shared" si="21"/>
        <v>34.800730505529387</v>
      </c>
      <c r="X34" s="499">
        <f t="shared" si="27"/>
        <v>225.1992694944706</v>
      </c>
      <c r="Y34" s="334">
        <f t="shared" si="7"/>
        <v>64.891542279769624</v>
      </c>
      <c r="Z34" s="243">
        <f t="shared" si="8"/>
        <v>255.29008126871082</v>
      </c>
      <c r="AA34" s="242">
        <f t="shared" si="9"/>
        <v>42.70991873128915</v>
      </c>
      <c r="AB34" s="335">
        <f t="shared" si="10"/>
        <v>233.10845772023038</v>
      </c>
      <c r="AC34" s="82">
        <f t="shared" si="22"/>
        <v>2515.1765301712362</v>
      </c>
      <c r="AD34" s="215">
        <f t="shared" si="29"/>
        <v>0</v>
      </c>
      <c r="AE34" s="203"/>
      <c r="AF34" s="116">
        <f>I34-I31</f>
        <v>2.7542857730973785E-2</v>
      </c>
      <c r="AG34" s="102">
        <f>L34-L31</f>
        <v>-0.20351572089903111</v>
      </c>
      <c r="AH34" s="184">
        <f t="shared" si="23"/>
        <v>0</v>
      </c>
      <c r="AI34" s="7"/>
      <c r="AJ34" s="7" t="str">
        <f t="shared" si="24"/>
        <v>Bought 0.0275428577309738 Shares of State 1 at a cost of 0</v>
      </c>
      <c r="AK34" s="7" t="str">
        <f t="shared" si="25"/>
        <v>Sold 0.203515720899031 Shares of State 2 at a cost of 0</v>
      </c>
      <c r="AL34" s="187" t="str">
        <f t="shared" si="26"/>
        <v>Bought 0.0275428577309738 Shares of State 1 at a cost of 0Sold 0.203515720899031 Shares of State 2 at a cost of 0</v>
      </c>
      <c r="AM34" s="8" t="s">
        <v>88</v>
      </c>
      <c r="AN34" s="525">
        <f>AN32-$E$15</f>
        <v>-65.205876926433348</v>
      </c>
      <c r="AO34" s="162">
        <f>AO32-$E$15</f>
        <v>49.559999999999945</v>
      </c>
      <c r="AP34" s="526">
        <f>AO34/AN34</f>
        <v>-0.76005419045149236</v>
      </c>
      <c r="AQ34" s="7" t="s">
        <v>241</v>
      </c>
      <c r="AU34" s="7"/>
      <c r="AV34" s="7"/>
    </row>
    <row r="35" spans="3:48" ht="18.75" x14ac:dyDescent="0.3">
      <c r="C35" s="21"/>
      <c r="D35" s="25">
        <v>16</v>
      </c>
      <c r="E35" s="334">
        <v>1</v>
      </c>
      <c r="F35" s="243">
        <v>99</v>
      </c>
      <c r="G35" s="242">
        <v>1</v>
      </c>
      <c r="H35" s="335">
        <v>1</v>
      </c>
      <c r="I35" s="344">
        <f t="shared" si="3"/>
        <v>2.7487850079102147E-43</v>
      </c>
      <c r="J35" s="239">
        <f t="shared" si="4"/>
        <v>1</v>
      </c>
      <c r="K35" s="238">
        <f t="shared" si="5"/>
        <v>2.7487850079102147E-43</v>
      </c>
      <c r="L35" s="345">
        <f t="shared" si="6"/>
        <v>2.7487850079102147E-43</v>
      </c>
      <c r="M35" s="513">
        <f t="shared" si="11"/>
        <v>1</v>
      </c>
      <c r="N35" s="508">
        <f t="shared" si="12"/>
        <v>5.4975700158204295E-43</v>
      </c>
      <c r="O35" s="518">
        <f t="shared" si="13"/>
        <v>5.4975700158204295E-43</v>
      </c>
      <c r="P35" s="499">
        <f>SUM(J35,L35)</f>
        <v>1</v>
      </c>
      <c r="Q35" s="513">
        <f t="shared" si="15"/>
        <v>48</v>
      </c>
      <c r="R35" s="508">
        <f t="shared" si="16"/>
        <v>2.6388336075938062E-41</v>
      </c>
      <c r="S35" s="518">
        <f t="shared" si="17"/>
        <v>1.3743925039551074E-40</v>
      </c>
      <c r="T35" s="499">
        <f t="shared" si="18"/>
        <v>250</v>
      </c>
      <c r="U35" s="513">
        <f t="shared" si="19"/>
        <v>50</v>
      </c>
      <c r="V35" s="508">
        <f t="shared" si="20"/>
        <v>2</v>
      </c>
      <c r="W35" s="518">
        <f t="shared" si="21"/>
        <v>5</v>
      </c>
      <c r="X35" s="499">
        <f t="shared" si="27"/>
        <v>255</v>
      </c>
      <c r="Y35" s="334">
        <f t="shared" si="7"/>
        <v>48</v>
      </c>
      <c r="Z35" s="243">
        <f t="shared" si="8"/>
        <v>298</v>
      </c>
      <c r="AA35" s="242">
        <f t="shared" si="9"/>
        <v>1.6382758647144881E-40</v>
      </c>
      <c r="AB35" s="335">
        <f t="shared" si="10"/>
        <v>250</v>
      </c>
      <c r="AC35" s="82">
        <f t="shared" si="22"/>
        <v>29502</v>
      </c>
      <c r="AD35" s="215">
        <f t="shared" si="29"/>
        <v>26986.823469828763</v>
      </c>
      <c r="AE35" s="203"/>
      <c r="AF35" s="502">
        <f>I35-I32</f>
        <v>-8.7144318742032559E-2</v>
      </c>
      <c r="AG35" s="102">
        <f>L35-L32</f>
        <v>-0.2368828180899101</v>
      </c>
      <c r="AH35" s="184">
        <f t="shared" si="23"/>
        <v>26986.823469828763</v>
      </c>
      <c r="AI35" s="7"/>
      <c r="AJ35" s="7" t="str">
        <f t="shared" si="24"/>
        <v>Sold 0.0871443187420326 Shares of State 1 at a cost of 26986.82347</v>
      </c>
      <c r="AK35" s="7" t="str">
        <f t="shared" si="25"/>
        <v>Sold 0.23688281808991 Shares of State 2 at a cost of 26986.82347</v>
      </c>
      <c r="AL35" s="187" t="str">
        <f t="shared" si="26"/>
        <v>Sold 0.0871443187420326 Shares of State 1 at a cost of 26986.82347Sold 0.23688281808991 Shares of State 2 at a cost of 26986.82347</v>
      </c>
      <c r="AM35" s="8" t="s">
        <v>189</v>
      </c>
      <c r="AN35" s="527">
        <f>AN33-$E$15</f>
        <v>48</v>
      </c>
      <c r="AO35" s="528">
        <f>AO33-$E$15</f>
        <v>49.559999999999945</v>
      </c>
      <c r="AP35" s="529">
        <f>AO35/AN35</f>
        <v>1.0324999999999989</v>
      </c>
      <c r="AQ35" s="7" t="s">
        <v>243</v>
      </c>
      <c r="AU35" s="7"/>
      <c r="AV35" s="7"/>
    </row>
    <row r="36" spans="3:48" ht="18.75" x14ac:dyDescent="0.3">
      <c r="C36" s="21"/>
      <c r="D36" s="25">
        <v>17</v>
      </c>
      <c r="E36" s="334">
        <v>6</v>
      </c>
      <c r="F36" s="243">
        <v>8</v>
      </c>
      <c r="G36" s="242">
        <v>5</v>
      </c>
      <c r="H36" s="335">
        <v>7</v>
      </c>
      <c r="I36" s="344">
        <f t="shared" si="3"/>
        <v>8.7144318742032559E-2</v>
      </c>
      <c r="J36" s="239">
        <f t="shared" si="4"/>
        <v>0.64391425988797235</v>
      </c>
      <c r="K36" s="238">
        <f t="shared" si="5"/>
        <v>3.2058603280084988E-2</v>
      </c>
      <c r="L36" s="345">
        <f t="shared" si="6"/>
        <v>0.2368828180899101</v>
      </c>
      <c r="M36" s="513">
        <f t="shared" si="11"/>
        <v>0.7310585786300049</v>
      </c>
      <c r="N36" s="508">
        <f t="shared" si="12"/>
        <v>0.2689414213699951</v>
      </c>
      <c r="O36" s="518">
        <f t="shared" si="13"/>
        <v>0.11920292202211755</v>
      </c>
      <c r="P36" s="499">
        <f t="shared" si="14"/>
        <v>0.88079707797788243</v>
      </c>
      <c r="Q36" s="513">
        <f t="shared" si="15"/>
        <v>35.090811774240237</v>
      </c>
      <c r="R36" s="508">
        <f t="shared" si="16"/>
        <v>12.909188225759765</v>
      </c>
      <c r="S36" s="518">
        <f t="shared" si="17"/>
        <v>29.800730505529387</v>
      </c>
      <c r="T36" s="499">
        <f t="shared" si="18"/>
        <v>220.1992694944706</v>
      </c>
      <c r="U36" s="513">
        <f t="shared" si="19"/>
        <v>37.090811774240237</v>
      </c>
      <c r="V36" s="508">
        <f t="shared" si="20"/>
        <v>14.909188225759765</v>
      </c>
      <c r="W36" s="518">
        <f t="shared" si="21"/>
        <v>34.800730505529387</v>
      </c>
      <c r="X36" s="499">
        <f t="shared" si="27"/>
        <v>225.1992694944706</v>
      </c>
      <c r="Y36" s="334">
        <f t="shared" si="7"/>
        <v>64.891542279769624</v>
      </c>
      <c r="Z36" s="243">
        <f t="shared" si="8"/>
        <v>255.29008126871082</v>
      </c>
      <c r="AA36" s="242">
        <f t="shared" si="9"/>
        <v>42.70991873128915</v>
      </c>
      <c r="AB36" s="335">
        <f t="shared" si="10"/>
        <v>233.10845772023038</v>
      </c>
      <c r="AC36" s="82">
        <f t="shared" si="22"/>
        <v>2515.1765301712362</v>
      </c>
      <c r="AD36" s="215">
        <f t="shared" si="29"/>
        <v>-26986.823469828763</v>
      </c>
      <c r="AE36" s="203"/>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3:48" ht="19.5" thickBot="1" x14ac:dyDescent="0.35">
      <c r="C37" s="21"/>
      <c r="D37" s="25">
        <v>18</v>
      </c>
      <c r="E37" s="336">
        <v>8</v>
      </c>
      <c r="F37" s="235">
        <v>7</v>
      </c>
      <c r="G37" s="234">
        <v>8</v>
      </c>
      <c r="H37" s="337">
        <v>7</v>
      </c>
      <c r="I37" s="346">
        <f t="shared" si="3"/>
        <v>0.3655292893150025</v>
      </c>
      <c r="J37" s="231">
        <f t="shared" si="4"/>
        <v>0.13447071068499755</v>
      </c>
      <c r="K37" s="230">
        <f t="shared" si="5"/>
        <v>0.3655292893150025</v>
      </c>
      <c r="L37" s="347">
        <f t="shared" si="6"/>
        <v>0.13447071068499755</v>
      </c>
      <c r="M37" s="514">
        <f t="shared" si="11"/>
        <v>0.5</v>
      </c>
      <c r="N37" s="509">
        <f t="shared" si="12"/>
        <v>0.5</v>
      </c>
      <c r="O37" s="519">
        <f t="shared" si="13"/>
        <v>0.73105857863000501</v>
      </c>
      <c r="P37" s="500">
        <f t="shared" si="14"/>
        <v>0.2689414213699951</v>
      </c>
      <c r="Q37" s="514">
        <f t="shared" si="15"/>
        <v>24</v>
      </c>
      <c r="R37" s="509">
        <f t="shared" si="16"/>
        <v>24</v>
      </c>
      <c r="S37" s="519">
        <f t="shared" si="17"/>
        <v>182.76464465750126</v>
      </c>
      <c r="T37" s="500">
        <f t="shared" si="18"/>
        <v>67.235355342498778</v>
      </c>
      <c r="U37" s="514">
        <f t="shared" si="19"/>
        <v>26</v>
      </c>
      <c r="V37" s="509">
        <f t="shared" si="20"/>
        <v>26</v>
      </c>
      <c r="W37" s="519">
        <f t="shared" si="21"/>
        <v>187.76464465750126</v>
      </c>
      <c r="X37" s="500">
        <f t="shared" si="27"/>
        <v>72.235355342498778</v>
      </c>
      <c r="Y37" s="336">
        <f t="shared" si="7"/>
        <v>206.76464465750126</v>
      </c>
      <c r="Z37" s="235">
        <f t="shared" si="8"/>
        <v>91.235355342498778</v>
      </c>
      <c r="AA37" s="234">
        <f t="shared" si="9"/>
        <v>206.76464465750126</v>
      </c>
      <c r="AB37" s="337">
        <f t="shared" si="10"/>
        <v>91.235355342498778</v>
      </c>
      <c r="AC37" s="114">
        <f t="shared" si="22"/>
        <v>2683.9098426872943</v>
      </c>
      <c r="AD37" s="531">
        <f t="shared" si="29"/>
        <v>168.73331251605805</v>
      </c>
      <c r="AE37" s="203"/>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3:48" ht="16.5" thickTop="1" thickBot="1" x14ac:dyDescent="0.3">
      <c r="C38" s="7"/>
      <c r="D38" s="25" t="s">
        <v>97</v>
      </c>
      <c r="E38" s="338">
        <f>E37</f>
        <v>8</v>
      </c>
      <c r="F38" s="339">
        <f t="shared" ref="F38:H38" si="30">F37</f>
        <v>7</v>
      </c>
      <c r="G38" s="340">
        <f t="shared" si="30"/>
        <v>8</v>
      </c>
      <c r="H38" s="341">
        <f t="shared" si="30"/>
        <v>7</v>
      </c>
      <c r="I38" s="495">
        <f>F41*F42</f>
        <v>0.31927499999999998</v>
      </c>
      <c r="J38" s="496">
        <f>E42*F41</f>
        <v>0.16447500000000001</v>
      </c>
      <c r="K38" s="496">
        <f>E41*F42</f>
        <v>0.34072499999999994</v>
      </c>
      <c r="L38" s="497">
        <f>E41*E42</f>
        <v>0.17552500000000001</v>
      </c>
      <c r="M38" s="515">
        <f>SUM(I38:J38)</f>
        <v>0.48375000000000001</v>
      </c>
      <c r="N38" s="510">
        <f t="shared" si="12"/>
        <v>0.51624999999999999</v>
      </c>
      <c r="O38" s="520">
        <f t="shared" si="13"/>
        <v>0.65999999999999992</v>
      </c>
      <c r="P38" s="501">
        <f t="shared" si="14"/>
        <v>0.34</v>
      </c>
      <c r="Q38" s="515">
        <f t="shared" si="15"/>
        <v>23.22</v>
      </c>
      <c r="R38" s="510">
        <f t="shared" si="16"/>
        <v>24.78</v>
      </c>
      <c r="S38" s="520">
        <f t="shared" si="17"/>
        <v>164.99999999999997</v>
      </c>
      <c r="T38" s="501">
        <f>P38*$E$15</f>
        <v>85</v>
      </c>
      <c r="U38" s="515">
        <f t="shared" si="19"/>
        <v>25.22</v>
      </c>
      <c r="V38" s="510">
        <f t="shared" si="20"/>
        <v>26.78</v>
      </c>
      <c r="W38" s="520">
        <f t="shared" si="21"/>
        <v>169.99999999999997</v>
      </c>
      <c r="X38" s="501">
        <f t="shared" si="27"/>
        <v>90</v>
      </c>
      <c r="Y38" s="338">
        <f t="shared" si="7"/>
        <v>188.21999999999997</v>
      </c>
      <c r="Z38" s="339">
        <f t="shared" si="8"/>
        <v>108.22</v>
      </c>
      <c r="AA38" s="340">
        <f t="shared" si="9"/>
        <v>189.77999999999997</v>
      </c>
      <c r="AB38" s="341">
        <f t="shared" si="10"/>
        <v>109.78</v>
      </c>
      <c r="AC38" s="355">
        <f t="shared" si="22"/>
        <v>2683.9098426872943</v>
      </c>
      <c r="AD38" s="8" t="s">
        <v>247</v>
      </c>
      <c r="AE38" s="7"/>
      <c r="AF38" s="7"/>
      <c r="AG38" s="7"/>
      <c r="AH38" s="7"/>
      <c r="AI38" s="7"/>
      <c r="AJ38" s="7"/>
      <c r="AK38" s="8"/>
      <c r="AL38" s="8"/>
      <c r="AM38" s="8"/>
      <c r="AN38" s="8"/>
      <c r="AO38" s="8"/>
      <c r="AP38" s="7"/>
      <c r="AQ38" s="7"/>
      <c r="AR38" s="7"/>
      <c r="AS38" s="7"/>
      <c r="AT38" s="7"/>
      <c r="AU38" s="7"/>
      <c r="AV38" s="7"/>
    </row>
    <row r="39" spans="3:48" ht="15.75" thickBot="1" x14ac:dyDescent="0.3">
      <c r="Y39" s="33"/>
      <c r="Z39" s="33"/>
      <c r="AA39" s="142"/>
      <c r="AB39" s="142"/>
      <c r="AC39" s="257">
        <f>SUMPRODUCT(I38:L38,Y38:AB38)</f>
        <v>161.82534999999999</v>
      </c>
      <c r="AD39" t="s">
        <v>110</v>
      </c>
      <c r="AE39" s="7"/>
      <c r="AF39" s="7"/>
      <c r="AG39" s="7"/>
      <c r="AH39" s="7"/>
      <c r="AI39" s="7"/>
      <c r="AJ39" s="7"/>
      <c r="AP39" s="7"/>
      <c r="AQ39" s="7"/>
      <c r="AR39" s="7"/>
      <c r="AS39" s="184"/>
      <c r="AT39" s="7"/>
      <c r="AU39" s="7"/>
      <c r="AV39" s="7"/>
    </row>
    <row r="40" spans="3:48" ht="15.75" thickBot="1" x14ac:dyDescent="0.3">
      <c r="C40" s="1"/>
      <c r="D40" s="152" t="s">
        <v>180</v>
      </c>
      <c r="E40" s="303" t="s">
        <v>157</v>
      </c>
      <c r="F40" s="250" t="s">
        <v>177</v>
      </c>
      <c r="G40" s="142"/>
      <c r="H40" s="17"/>
      <c r="I40" s="17"/>
      <c r="J40" s="292"/>
      <c r="K40" s="17"/>
      <c r="L40" s="292"/>
      <c r="Q40" s="17"/>
      <c r="R40" s="17"/>
      <c r="S40" s="17"/>
      <c r="T40" s="162"/>
      <c r="Y40" s="216"/>
      <c r="Z40" s="7"/>
      <c r="AA40" s="8"/>
      <c r="AB40" s="142"/>
      <c r="AC40" s="257">
        <f>AC38-AC39</f>
        <v>2522.0844926872942</v>
      </c>
      <c r="AD40" s="7" t="s">
        <v>102</v>
      </c>
      <c r="AE40" s="7"/>
      <c r="AF40" s="7"/>
      <c r="AG40" s="7"/>
      <c r="AH40" s="7"/>
      <c r="AI40" s="7"/>
      <c r="AJ40" s="7"/>
      <c r="AK40" s="7"/>
      <c r="AL40" s="7"/>
      <c r="AM40" s="7"/>
      <c r="AN40" s="7"/>
      <c r="AO40" s="7"/>
      <c r="AP40" s="7"/>
      <c r="AQ40" s="7"/>
      <c r="AR40" s="7"/>
      <c r="AS40" s="7"/>
      <c r="AT40" s="7"/>
      <c r="AU40" s="7"/>
      <c r="AV40" s="7"/>
    </row>
    <row r="41" spans="3:48" ht="15.75" thickBot="1" x14ac:dyDescent="0.3">
      <c r="C41" s="306" t="s">
        <v>178</v>
      </c>
      <c r="D41" s="488">
        <f>V29*1.03</f>
        <v>26.78</v>
      </c>
      <c r="E41" s="490">
        <f>(D41-$E$5)/$E$7</f>
        <v>0.51624999999999999</v>
      </c>
      <c r="F41" s="491">
        <f>1-E41</f>
        <v>0.48375000000000001</v>
      </c>
      <c r="G41" s="2"/>
      <c r="H41" s="274"/>
      <c r="I41" s="492">
        <f>F41*F42</f>
        <v>0.31927499999999998</v>
      </c>
      <c r="J41" s="493">
        <f>E42*F41</f>
        <v>0.16447500000000001</v>
      </c>
      <c r="K41" s="493">
        <f>E41*F42</f>
        <v>0.34072499999999994</v>
      </c>
      <c r="L41" s="494">
        <f>E41*E42</f>
        <v>0.17552500000000001</v>
      </c>
      <c r="P41" s="190">
        <f>SUM(M35:P35)</f>
        <v>2</v>
      </c>
      <c r="Q41" s="190"/>
      <c r="R41" s="190"/>
      <c r="S41" s="190"/>
      <c r="T41" s="190">
        <f t="shared" ref="T41" si="31">SUM(Q35:T35)</f>
        <v>298</v>
      </c>
      <c r="U41" s="190"/>
      <c r="V41" s="190"/>
      <c r="W41" s="190"/>
      <c r="X41" s="190">
        <f t="shared" ref="X41:X44" si="32">SUM(U35:X35)</f>
        <v>312</v>
      </c>
      <c r="Y41" s="190">
        <f>SUM(Y35:AB35)</f>
        <v>596</v>
      </c>
      <c r="Z41" s="190"/>
      <c r="AA41" s="190"/>
      <c r="AB41" s="190"/>
      <c r="AC41" s="260">
        <f>AC29-AC40</f>
        <v>-2108.9687730735668</v>
      </c>
      <c r="AD41" s="54" t="s">
        <v>103</v>
      </c>
      <c r="AE41" s="7"/>
      <c r="AF41" s="7"/>
      <c r="AG41" s="7"/>
      <c r="AH41" s="7"/>
      <c r="AI41" s="8"/>
      <c r="AJ41" s="8"/>
      <c r="AK41" s="8"/>
      <c r="AL41" s="28"/>
      <c r="AM41" s="28"/>
      <c r="AN41" s="28"/>
      <c r="AO41" s="28"/>
      <c r="AP41" s="7"/>
      <c r="AQ41" s="7"/>
      <c r="AR41" s="7"/>
      <c r="AS41" s="7"/>
      <c r="AT41" s="7"/>
      <c r="AU41" s="7"/>
      <c r="AV41" s="7"/>
    </row>
    <row r="42" spans="3:48" ht="15.75" thickBot="1" x14ac:dyDescent="0.3">
      <c r="C42" s="304" t="s">
        <v>179</v>
      </c>
      <c r="D42" s="489">
        <v>90</v>
      </c>
      <c r="E42" s="447">
        <f>(D42-$E$13)/$E$15</f>
        <v>0.34</v>
      </c>
      <c r="F42" s="448">
        <f>1-E42</f>
        <v>0.65999999999999992</v>
      </c>
      <c r="P42" s="190">
        <f t="shared" ref="P42:P44" si="33">SUM(M36:P36)</f>
        <v>2</v>
      </c>
      <c r="Q42" s="190"/>
      <c r="R42" s="190"/>
      <c r="S42" s="190"/>
      <c r="T42" s="190">
        <f t="shared" ref="T42:T43" si="34">SUM(Q36:T36)</f>
        <v>298</v>
      </c>
      <c r="X42" s="190">
        <f t="shared" si="32"/>
        <v>312</v>
      </c>
      <c r="Y42" s="190">
        <f t="shared" ref="Y42:Y44" si="35">SUM(Y36:AB36)</f>
        <v>596</v>
      </c>
      <c r="Z42" s="190"/>
      <c r="AA42" s="190"/>
      <c r="AB42" s="190"/>
      <c r="AC42" s="142"/>
      <c r="AD42" s="505"/>
      <c r="AE42" s="142"/>
      <c r="AF42" s="8"/>
      <c r="AG42" s="8"/>
      <c r="AH42" s="8"/>
      <c r="AT42" s="328"/>
    </row>
    <row r="43" spans="3:48" x14ac:dyDescent="0.25">
      <c r="P43" s="190">
        <f t="shared" si="33"/>
        <v>2</v>
      </c>
      <c r="Q43" s="190"/>
      <c r="R43" s="190"/>
      <c r="S43" s="190"/>
      <c r="T43" s="190">
        <f t="shared" si="34"/>
        <v>298.00000000000006</v>
      </c>
      <c r="X43" s="190">
        <f>SUM(U37:X37)</f>
        <v>312.00000000000006</v>
      </c>
      <c r="Y43" s="190">
        <f t="shared" si="35"/>
        <v>596.00000000000011</v>
      </c>
      <c r="Z43" s="190"/>
      <c r="AA43" s="190"/>
      <c r="AB43" s="190"/>
      <c r="AC43" s="142"/>
      <c r="AD43" s="142"/>
      <c r="AE43" s="142"/>
      <c r="AF43" s="8"/>
      <c r="AG43" s="8"/>
      <c r="AH43" s="8"/>
    </row>
    <row r="44" spans="3:48" x14ac:dyDescent="0.25">
      <c r="P44" s="190">
        <f t="shared" si="33"/>
        <v>2</v>
      </c>
      <c r="Q44" s="190"/>
      <c r="R44" s="190"/>
      <c r="S44" s="190"/>
      <c r="T44" s="190">
        <f>SUM(Q38:T38)</f>
        <v>298</v>
      </c>
      <c r="X44" s="190">
        <f t="shared" si="32"/>
        <v>312</v>
      </c>
      <c r="Y44" s="190">
        <f t="shared" si="35"/>
        <v>595.99999999999989</v>
      </c>
      <c r="Z44" s="190"/>
      <c r="AA44" s="190"/>
      <c r="AB44" s="190"/>
      <c r="AC44" s="142"/>
      <c r="AD44" s="142"/>
      <c r="AE44" s="142"/>
      <c r="AF44" s="8"/>
      <c r="AG44" s="8"/>
      <c r="AH44" s="8"/>
    </row>
    <row r="45" spans="3:48" x14ac:dyDescent="0.25">
      <c r="P45" s="190"/>
      <c r="Q45" s="190"/>
      <c r="R45" s="190"/>
      <c r="S45" s="190"/>
      <c r="T45" s="190"/>
      <c r="U45" s="190"/>
      <c r="V45" s="190"/>
      <c r="W45" s="190"/>
      <c r="X45" s="190"/>
      <c r="Y45" s="8"/>
      <c r="Z45" s="8"/>
      <c r="AA45" s="8"/>
      <c r="AB45" s="8"/>
      <c r="AC45" s="8"/>
      <c r="AD45" s="8"/>
    </row>
    <row r="46" spans="3:48" x14ac:dyDescent="0.25">
      <c r="P46" s="190"/>
      <c r="Q46" s="190"/>
      <c r="R46" s="190"/>
      <c r="S46" s="190"/>
      <c r="T46" s="190"/>
      <c r="U46" s="190"/>
      <c r="V46" s="190"/>
      <c r="W46" s="190"/>
      <c r="X46" s="190"/>
      <c r="Y46" s="8"/>
      <c r="Z46" s="8"/>
      <c r="AA46" s="8"/>
      <c r="AB46" s="8"/>
      <c r="AC46" s="8"/>
      <c r="AD46" s="8"/>
    </row>
    <row r="47" spans="3:48" x14ac:dyDescent="0.25">
      <c r="P47" s="190"/>
      <c r="Q47" s="190"/>
      <c r="R47" s="190"/>
      <c r="S47" s="190"/>
      <c r="T47" s="190"/>
      <c r="U47" s="190"/>
      <c r="V47" s="190"/>
      <c r="W47" s="190"/>
      <c r="X47" s="190"/>
    </row>
    <row r="48" spans="3: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3">
    <mergeCell ref="C4:C10"/>
    <mergeCell ref="C20:C24"/>
    <mergeCell ref="C12:C1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D92"/>
  <sheetViews>
    <sheetView topLeftCell="A64" zoomScale="85" zoomScaleNormal="85" workbookViewId="0">
      <selection activeCell="B3" sqref="B3"/>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5" width="10.28515625" customWidth="1"/>
    <col min="36" max="36" width="10.7109375" customWidth="1"/>
    <col min="37" max="37" width="11.7109375" customWidth="1"/>
    <col min="38" max="38" width="13.140625" customWidth="1"/>
    <col min="39" max="39" width="12.85546875" customWidth="1"/>
    <col min="40" max="40" width="12.140625" hidden="1" customWidth="1"/>
    <col min="41" max="41" width="10.5703125" hidden="1" customWidth="1"/>
    <col min="42" max="43" width="0" hidden="1" customWidth="1"/>
    <col min="44" max="44" width="11.140625" hidden="1" customWidth="1"/>
    <col min="45" max="46" width="0" hidden="1" customWidth="1"/>
    <col min="47" max="47" width="20" customWidth="1"/>
    <col min="50" max="50" width="10" customWidth="1"/>
    <col min="51" max="51" width="13" customWidth="1"/>
    <col min="53" max="54" width="10.42578125" customWidth="1"/>
  </cols>
  <sheetData>
    <row r="2" spans="2:31" ht="31.5" x14ac:dyDescent="0.5">
      <c r="B2" s="188" t="s">
        <v>356</v>
      </c>
    </row>
    <row r="3" spans="2:31" ht="21" x14ac:dyDescent="0.35">
      <c r="L3" s="141"/>
    </row>
    <row r="4" spans="2:31" ht="21" x14ac:dyDescent="0.35">
      <c r="L4" s="141"/>
    </row>
    <row r="5" spans="2:31" ht="15.75" thickBot="1" x14ac:dyDescent="0.3">
      <c r="L5" s="834" t="s">
        <v>166</v>
      </c>
      <c r="M5" s="1" t="s">
        <v>101</v>
      </c>
      <c r="N5" s="152" t="s">
        <v>306</v>
      </c>
      <c r="O5" s="152"/>
      <c r="P5" s="278"/>
      <c r="Q5" s="278"/>
      <c r="R5" s="278"/>
      <c r="S5" s="273"/>
      <c r="T5" s="17"/>
      <c r="U5" s="17"/>
    </row>
    <row r="6" spans="2:31" x14ac:dyDescent="0.25">
      <c r="L6" s="835"/>
      <c r="M6" s="306" t="s">
        <v>152</v>
      </c>
      <c r="N6" s="691">
        <v>60</v>
      </c>
      <c r="O6" s="7" t="s">
        <v>153</v>
      </c>
      <c r="P6" s="17"/>
      <c r="Q6" s="17"/>
      <c r="R6" s="17"/>
      <c r="S6" s="252"/>
      <c r="T6" s="17"/>
      <c r="U6" s="17"/>
    </row>
    <row r="7" spans="2:31" ht="15.75" thickBot="1" x14ac:dyDescent="0.3">
      <c r="L7" s="835"/>
      <c r="M7" s="306" t="s">
        <v>155</v>
      </c>
      <c r="N7" s="692">
        <v>150</v>
      </c>
      <c r="O7" s="7" t="s">
        <v>154</v>
      </c>
      <c r="P7" s="17"/>
      <c r="Q7" s="17"/>
      <c r="R7" s="17"/>
      <c r="S7" s="252"/>
      <c r="T7" s="17"/>
      <c r="U7" s="17"/>
    </row>
    <row r="8" spans="2:31" x14ac:dyDescent="0.25">
      <c r="L8" s="835"/>
      <c r="M8" s="693" t="s">
        <v>156</v>
      </c>
      <c r="N8" s="18">
        <f>N7-N6</f>
        <v>90</v>
      </c>
      <c r="O8" s="7" t="s">
        <v>157</v>
      </c>
      <c r="P8" s="17"/>
      <c r="Q8" s="17"/>
      <c r="R8" s="17"/>
      <c r="S8" s="252"/>
      <c r="T8" s="17"/>
      <c r="U8" s="17"/>
    </row>
    <row r="9" spans="2:31" x14ac:dyDescent="0.25">
      <c r="L9" s="835"/>
      <c r="M9" s="693" t="s">
        <v>160</v>
      </c>
      <c r="N9" s="192"/>
      <c r="O9" s="8" t="s">
        <v>163</v>
      </c>
      <c r="P9" s="17"/>
      <c r="Q9" s="17"/>
      <c r="R9" s="17"/>
      <c r="S9" s="252"/>
      <c r="T9" s="17"/>
      <c r="U9" s="17"/>
      <c r="V9"/>
      <c r="W9"/>
      <c r="X9"/>
    </row>
    <row r="10" spans="2:31" x14ac:dyDescent="0.25">
      <c r="L10" s="835"/>
      <c r="M10" s="693" t="s">
        <v>161</v>
      </c>
      <c r="N10" s="192"/>
      <c r="O10" s="8" t="s">
        <v>164</v>
      </c>
      <c r="P10" s="17"/>
      <c r="Q10" s="17"/>
      <c r="R10" s="17"/>
      <c r="S10" s="252"/>
      <c r="T10" s="17"/>
      <c r="U10" s="17"/>
      <c r="V10"/>
      <c r="W10"/>
      <c r="X10"/>
      <c r="Y10"/>
      <c r="Z10"/>
      <c r="AA10"/>
      <c r="AB10"/>
      <c r="AC10"/>
      <c r="AD10"/>
      <c r="AE10"/>
    </row>
    <row r="11" spans="2:31" x14ac:dyDescent="0.25">
      <c r="L11" s="836"/>
      <c r="M11" s="694" t="s">
        <v>162</v>
      </c>
      <c r="N11" s="280"/>
      <c r="O11" s="281" t="s">
        <v>165</v>
      </c>
      <c r="P11" s="271"/>
      <c r="Q11" s="271"/>
      <c r="R11" s="271"/>
      <c r="S11" s="274"/>
      <c r="T11" s="17"/>
      <c r="U11" s="17"/>
      <c r="V11"/>
      <c r="W11"/>
      <c r="X11"/>
      <c r="Y11"/>
      <c r="Z11"/>
      <c r="AA11"/>
      <c r="AB11"/>
      <c r="AC11"/>
    </row>
    <row r="12" spans="2:31" x14ac:dyDescent="0.25">
      <c r="L12" s="270"/>
      <c r="M12" s="142"/>
      <c r="N12" s="192"/>
      <c r="O12" s="8"/>
      <c r="P12" s="17"/>
      <c r="Q12" s="17"/>
      <c r="R12" s="17"/>
      <c r="S12" s="17"/>
      <c r="T12" s="17"/>
      <c r="U12" s="17"/>
      <c r="V12"/>
      <c r="AA12"/>
      <c r="AB12"/>
      <c r="AC12"/>
    </row>
    <row r="13" spans="2:31" ht="15.75" thickBot="1" x14ac:dyDescent="0.3">
      <c r="L13" s="834" t="s">
        <v>307</v>
      </c>
      <c r="M13" s="1" t="s">
        <v>101</v>
      </c>
      <c r="N13" s="152" t="s">
        <v>308</v>
      </c>
      <c r="O13" s="152"/>
      <c r="P13" s="278"/>
      <c r="Q13" s="278"/>
      <c r="R13" s="278"/>
      <c r="S13" s="273"/>
      <c r="T13" s="17"/>
      <c r="U13" s="17"/>
      <c r="V13"/>
      <c r="AA13"/>
      <c r="AB13"/>
      <c r="AC13"/>
    </row>
    <row r="14" spans="2:31" x14ac:dyDescent="0.25">
      <c r="L14" s="835"/>
      <c r="M14" s="306" t="s">
        <v>152</v>
      </c>
      <c r="N14" s="691">
        <f>N6^2</f>
        <v>3600</v>
      </c>
      <c r="O14" s="7" t="s">
        <v>153</v>
      </c>
      <c r="P14" s="17"/>
      <c r="Q14" s="17"/>
      <c r="R14" s="17"/>
      <c r="S14" s="252"/>
      <c r="T14" s="17"/>
      <c r="U14" s="17"/>
      <c r="V14"/>
      <c r="AA14"/>
      <c r="AB14"/>
      <c r="AC14"/>
    </row>
    <row r="15" spans="2:31" s="33" customFormat="1" ht="15.75" thickBot="1" x14ac:dyDescent="0.3">
      <c r="L15" s="835"/>
      <c r="M15" s="306" t="s">
        <v>155</v>
      </c>
      <c r="N15" s="692">
        <f>N7^2</f>
        <v>22500</v>
      </c>
      <c r="O15" s="7" t="s">
        <v>154</v>
      </c>
      <c r="P15" s="17"/>
      <c r="Q15" s="17"/>
      <c r="R15" s="17"/>
      <c r="S15" s="252"/>
      <c r="T15" s="17"/>
      <c r="U15" s="17"/>
      <c r="V15"/>
      <c r="AA15"/>
      <c r="AB15"/>
      <c r="AC15"/>
    </row>
    <row r="16" spans="2:31" s="33" customFormat="1" x14ac:dyDescent="0.25">
      <c r="L16" s="835"/>
      <c r="M16" s="693" t="s">
        <v>156</v>
      </c>
      <c r="N16" s="18">
        <f>N15-N14</f>
        <v>18900</v>
      </c>
      <c r="O16" s="7" t="s">
        <v>157</v>
      </c>
      <c r="P16" s="17"/>
      <c r="Q16" s="17"/>
      <c r="R16" s="17"/>
      <c r="S16" s="252"/>
      <c r="T16" s="17"/>
      <c r="U16" s="17"/>
      <c r="V16"/>
      <c r="AA16"/>
      <c r="AB16"/>
      <c r="AC16"/>
    </row>
    <row r="17" spans="1:56" s="33" customFormat="1" x14ac:dyDescent="0.25">
      <c r="L17" s="835"/>
      <c r="M17" s="693" t="s">
        <v>160</v>
      </c>
      <c r="N17" s="192"/>
      <c r="O17" s="8" t="s">
        <v>163</v>
      </c>
      <c r="P17" s="17"/>
      <c r="Q17" s="17"/>
      <c r="R17" s="17"/>
      <c r="S17" s="252"/>
      <c r="T17" s="17"/>
      <c r="U17" s="17"/>
      <c r="V17"/>
      <c r="AA17"/>
      <c r="AB17"/>
      <c r="AC17"/>
    </row>
    <row r="18" spans="1:56" s="33" customFormat="1" x14ac:dyDescent="0.25">
      <c r="L18" s="835"/>
      <c r="M18" s="693" t="s">
        <v>161</v>
      </c>
      <c r="N18" s="192"/>
      <c r="O18" s="8" t="s">
        <v>164</v>
      </c>
      <c r="P18" s="17"/>
      <c r="Q18" s="17"/>
      <c r="R18" s="17"/>
      <c r="S18" s="252"/>
      <c r="T18" s="17"/>
      <c r="U18" s="17"/>
      <c r="V18"/>
      <c r="AA18"/>
      <c r="AB18"/>
      <c r="AC18"/>
    </row>
    <row r="19" spans="1:56" s="33" customFormat="1" x14ac:dyDescent="0.25">
      <c r="L19" s="836"/>
      <c r="M19" s="694" t="s">
        <v>162</v>
      </c>
      <c r="N19" s="280"/>
      <c r="O19" s="281" t="s">
        <v>165</v>
      </c>
      <c r="P19" s="271"/>
      <c r="Q19" s="271"/>
      <c r="R19" s="271"/>
      <c r="S19" s="274"/>
      <c r="T19" s="17"/>
      <c r="U19" s="17"/>
      <c r="V19"/>
      <c r="AA19"/>
      <c r="AB19"/>
      <c r="AC19"/>
    </row>
    <row r="20" spans="1:56" s="33" customFormat="1" ht="15.75" thickBot="1" x14ac:dyDescent="0.3">
      <c r="L20" s="270"/>
      <c r="M20" s="142"/>
      <c r="N20" s="192"/>
      <c r="O20" s="8"/>
      <c r="P20" s="17"/>
      <c r="Q20" s="17"/>
      <c r="R20" s="17"/>
      <c r="S20" s="17"/>
      <c r="T20" s="17"/>
      <c r="V20"/>
      <c r="AA20"/>
      <c r="AB20"/>
      <c r="AC20"/>
    </row>
    <row r="21" spans="1:56" s="33" customFormat="1" x14ac:dyDescent="0.25">
      <c r="L21" s="837" t="s">
        <v>155</v>
      </c>
      <c r="M21" s="287" t="s">
        <v>167</v>
      </c>
      <c r="N21" s="288" t="s">
        <v>171</v>
      </c>
      <c r="O21" s="265" t="s">
        <v>169</v>
      </c>
      <c r="P21" s="265"/>
      <c r="Q21" s="265"/>
      <c r="R21" s="263"/>
      <c r="V21"/>
      <c r="AA21"/>
      <c r="AB21"/>
      <c r="AC21"/>
    </row>
    <row r="22" spans="1:56" ht="15.75" thickBot="1" x14ac:dyDescent="0.3">
      <c r="L22" s="838"/>
      <c r="M22" s="17" t="s">
        <v>142</v>
      </c>
      <c r="N22" s="268">
        <v>4</v>
      </c>
      <c r="O22" s="17" t="s">
        <v>143</v>
      </c>
      <c r="P22" s="17"/>
      <c r="Q22" s="17"/>
      <c r="R22" s="204"/>
      <c r="V22"/>
      <c r="AA22"/>
      <c r="AB22"/>
      <c r="AC22"/>
    </row>
    <row r="23" spans="1:56" ht="15.75" thickBot="1" x14ac:dyDescent="0.3">
      <c r="L23" s="838"/>
      <c r="M23" s="17" t="s">
        <v>5</v>
      </c>
      <c r="N23" s="695">
        <v>1</v>
      </c>
      <c r="O23" s="17" t="s">
        <v>146</v>
      </c>
      <c r="P23" s="17"/>
      <c r="Q23" s="17"/>
      <c r="R23" s="204"/>
      <c r="V23"/>
      <c r="AA23"/>
      <c r="AB23"/>
      <c r="AC23"/>
    </row>
    <row r="24" spans="1:56" x14ac:dyDescent="0.25">
      <c r="L24" s="838"/>
      <c r="M24" s="142" t="s">
        <v>158</v>
      </c>
      <c r="N24" s="18">
        <f>SUM(N8,N16)</f>
        <v>18990</v>
      </c>
      <c r="O24" s="142" t="s">
        <v>235</v>
      </c>
      <c r="P24" s="17"/>
      <c r="Q24" s="17"/>
      <c r="R24" s="204"/>
      <c r="V24"/>
      <c r="AA24"/>
      <c r="AB24"/>
      <c r="AC24"/>
    </row>
    <row r="25" spans="1:56" ht="15.75" thickBot="1" x14ac:dyDescent="0.3">
      <c r="L25" s="839"/>
      <c r="M25" s="168" t="s">
        <v>144</v>
      </c>
      <c r="N25" s="289">
        <f>N23*N24*LN(N22)</f>
        <v>26325.729917666722</v>
      </c>
      <c r="O25" s="168" t="s">
        <v>145</v>
      </c>
      <c r="P25" s="266"/>
      <c r="Q25" s="266"/>
      <c r="R25" s="264"/>
      <c r="V25"/>
      <c r="W25"/>
      <c r="X25"/>
      <c r="Y25"/>
      <c r="Z25"/>
      <c r="AA25"/>
      <c r="AB25"/>
      <c r="AC25"/>
    </row>
    <row r="26" spans="1:56" x14ac:dyDescent="0.25">
      <c r="L26" s="7"/>
      <c r="M26" s="267"/>
      <c r="N26" s="7"/>
      <c r="O26" s="17"/>
      <c r="P26" s="17"/>
      <c r="Q26" s="17"/>
      <c r="V26"/>
      <c r="W26"/>
      <c r="X26"/>
      <c r="Y26"/>
      <c r="Z26"/>
      <c r="AA26"/>
      <c r="AB26"/>
      <c r="AC26"/>
    </row>
    <row r="27" spans="1:56" ht="15.75" thickBot="1" x14ac:dyDescent="0.3">
      <c r="E27" s="7"/>
      <c r="F27" s="7"/>
      <c r="G27" s="7"/>
      <c r="AE27" s="142"/>
      <c r="AF27" s="8"/>
      <c r="AG27" s="8"/>
      <c r="AH27" s="8"/>
      <c r="AI27" s="8"/>
      <c r="AJ27" s="8"/>
      <c r="AK27" s="8"/>
      <c r="AL27" s="8"/>
      <c r="AN27" s="8"/>
      <c r="AO27" s="7"/>
      <c r="AP27" s="7"/>
      <c r="AQ27" s="7"/>
      <c r="AR27" s="7"/>
      <c r="AS27" s="7"/>
    </row>
    <row r="28" spans="1:56" ht="19.5" thickBot="1" x14ac:dyDescent="0.35">
      <c r="B28" s="878" t="s">
        <v>73</v>
      </c>
      <c r="C28" s="878"/>
      <c r="D28" s="878"/>
      <c r="E28" s="878"/>
      <c r="G28" s="879" t="s">
        <v>183</v>
      </c>
      <c r="H28" s="879"/>
      <c r="I28" s="879"/>
      <c r="J28" s="879"/>
      <c r="M28" s="208" t="s">
        <v>12</v>
      </c>
      <c r="N28" s="209"/>
      <c r="O28" s="209"/>
      <c r="P28" s="210"/>
      <c r="Q28" s="208" t="s">
        <v>238</v>
      </c>
      <c r="R28" s="209"/>
      <c r="S28" s="209"/>
      <c r="T28" s="210"/>
      <c r="U28" s="208" t="s">
        <v>237</v>
      </c>
      <c r="V28" s="209"/>
      <c r="W28" s="209"/>
      <c r="X28" s="210"/>
      <c r="Y28" s="208" t="s">
        <v>236</v>
      </c>
      <c r="Z28" s="209"/>
      <c r="AA28" s="209"/>
      <c r="AB28" s="210"/>
      <c r="AC28" s="208" t="s">
        <v>240</v>
      </c>
      <c r="AD28" s="209"/>
      <c r="AE28" s="209"/>
      <c r="AF28" s="210"/>
      <c r="AG28" s="208" t="s">
        <v>239</v>
      </c>
      <c r="AH28" s="209"/>
      <c r="AI28" s="209"/>
      <c r="AJ28" s="210"/>
      <c r="AK28" s="208" t="s">
        <v>36</v>
      </c>
      <c r="AL28" s="210" t="s">
        <v>35</v>
      </c>
      <c r="AM28" s="202"/>
      <c r="AN28" s="587" t="s">
        <v>98</v>
      </c>
      <c r="AO28" s="588"/>
      <c r="AP28" s="185" t="s">
        <v>99</v>
      </c>
      <c r="AQ28" s="7"/>
      <c r="AR28" s="7" t="s">
        <v>100</v>
      </c>
      <c r="AS28" s="20"/>
      <c r="AT28" s="186" t="s">
        <v>100</v>
      </c>
      <c r="AU28" s="20"/>
      <c r="AV28" s="20"/>
      <c r="AW28" s="20"/>
      <c r="AX28" s="7"/>
      <c r="AY28" s="7"/>
      <c r="AZ28" s="7"/>
      <c r="BA28" s="7"/>
      <c r="BB28" s="7"/>
      <c r="BC28" s="7"/>
      <c r="BD28" s="7"/>
    </row>
    <row r="29" spans="1:56" ht="15.75" thickBot="1" x14ac:dyDescent="0.3">
      <c r="B29" s="697" t="s">
        <v>309</v>
      </c>
      <c r="C29" s="698" t="s">
        <v>310</v>
      </c>
      <c r="D29" s="698" t="str">
        <f>I29</f>
        <v>SD</v>
      </c>
      <c r="E29" s="699" t="s">
        <v>311</v>
      </c>
      <c r="G29" s="700" t="s">
        <v>309</v>
      </c>
      <c r="H29" s="701" t="s">
        <v>310</v>
      </c>
      <c r="I29" s="702" t="s">
        <v>312</v>
      </c>
      <c r="J29" s="700" t="s">
        <v>311</v>
      </c>
      <c r="K29" s="703" t="s">
        <v>313</v>
      </c>
      <c r="L29" s="117" t="s">
        <v>45</v>
      </c>
      <c r="M29" s="261" t="str">
        <f>"S("&amp;$N$6&amp;", "&amp;$N$14&amp;")"</f>
        <v>S(60, 3600)</v>
      </c>
      <c r="N29" s="178" t="str">
        <f>"S("&amp;$N$6&amp;", "&amp;$N$15&amp;")"</f>
        <v>S(60, 22500)</v>
      </c>
      <c r="O29" s="175" t="str">
        <f>"S("&amp;$N$7&amp;", "&amp;$N$14&amp;")"</f>
        <v>S(150, 3600)</v>
      </c>
      <c r="P29" s="331" t="str">
        <f>"S("&amp;$N$7&amp;", "&amp;$N$15&amp;")"</f>
        <v>S(150, 22500)</v>
      </c>
      <c r="Q29" s="261" t="str">
        <f>"P"&amp;(RIGHT(M29,LEN(M29)-1))</f>
        <v>P(60, 3600)</v>
      </c>
      <c r="R29" s="178" t="str">
        <f t="shared" ref="R29:S29" si="0">"P"&amp;(RIGHT(N29,LEN(N29)-1))</f>
        <v>P(60, 22500)</v>
      </c>
      <c r="S29" s="175" t="str">
        <f t="shared" si="0"/>
        <v>P(150, 3600)</v>
      </c>
      <c r="T29" s="331" t="str">
        <f>"P"&amp;(RIGHT(P29,LEN(P29)-1))</f>
        <v>P(150, 22500)</v>
      </c>
      <c r="U29" s="511" t="str">
        <f>"P("&amp;$N$6&amp;",:)"</f>
        <v>P(60,:)</v>
      </c>
      <c r="V29" s="506" t="str">
        <f>"P("&amp;$N$7&amp;",:)"</f>
        <v>P(150,:)</v>
      </c>
      <c r="W29" s="516" t="str">
        <f>"P(:,"&amp;$N$14&amp;")"</f>
        <v>P(:,3600)</v>
      </c>
      <c r="X29" s="417" t="str">
        <f>"P(:,"&amp;$N$15&amp;")"</f>
        <v>P(:,22500)</v>
      </c>
      <c r="Y29" s="511" t="str">
        <f>"V"&amp;RIGHT(U29,LEN(U29)-1)</f>
        <v>V(60,:)</v>
      </c>
      <c r="Z29" s="506" t="str">
        <f>"V"&amp;RIGHT(V29,LEN(V29)-1)</f>
        <v>V(150,:)</v>
      </c>
      <c r="AA29" s="516" t="str">
        <f t="shared" ref="AA29:AB29" si="1">"V"&amp;RIGHT(W29,LEN(W29)-1)</f>
        <v>V(:,3600)</v>
      </c>
      <c r="AB29" s="417" t="str">
        <f t="shared" si="1"/>
        <v>V(:,22500)</v>
      </c>
      <c r="AC29" s="511" t="str">
        <f>Y29</f>
        <v>V(60,:)</v>
      </c>
      <c r="AD29" s="506" t="str">
        <f t="shared" ref="AD29:AF29" si="2">Z29</f>
        <v>V(150,:)</v>
      </c>
      <c r="AE29" s="516" t="str">
        <f t="shared" si="2"/>
        <v>V(:,3600)</v>
      </c>
      <c r="AF29" s="417" t="str">
        <f t="shared" si="2"/>
        <v>V(:,22500)</v>
      </c>
      <c r="AG29" s="261" t="str">
        <f>Q29</f>
        <v>P(60, 3600)</v>
      </c>
      <c r="AH29" s="178" t="str">
        <f>R29</f>
        <v>P(60, 22500)</v>
      </c>
      <c r="AI29" s="175" t="str">
        <f>S29</f>
        <v>P(150, 3600)</v>
      </c>
      <c r="AJ29" s="331" t="str">
        <f>T29</f>
        <v>P(150, 22500)</v>
      </c>
      <c r="AK29" s="530">
        <v>0</v>
      </c>
      <c r="AL29" s="212"/>
      <c r="AM29" s="142"/>
      <c r="AN29" s="182" t="str">
        <f>Q29</f>
        <v>P(60, 3600)</v>
      </c>
      <c r="AO29" s="183" t="str">
        <f>T29</f>
        <v>P(150, 22500)</v>
      </c>
      <c r="AP29" s="7"/>
      <c r="AQ29" s="7"/>
      <c r="AR29" s="7"/>
      <c r="AS29" s="7"/>
      <c r="AU29" s="7" t="s">
        <v>187</v>
      </c>
      <c r="AV29" s="7"/>
      <c r="AW29" s="7"/>
      <c r="AX29" s="7"/>
      <c r="AY29" s="7"/>
      <c r="AZ29" s="7"/>
      <c r="BA29" s="7"/>
      <c r="BB29" s="7"/>
      <c r="BC29" s="7"/>
      <c r="BD29" s="7"/>
    </row>
    <row r="30" spans="1:56" ht="15.75" thickTop="1" x14ac:dyDescent="0.25">
      <c r="B30" s="704">
        <f t="shared" ref="B30:D34" si="3">G30</f>
        <v>125.79527207670043</v>
      </c>
      <c r="C30" s="705">
        <f t="shared" si="3"/>
        <v>4422.6142969308912</v>
      </c>
      <c r="D30" s="705">
        <f t="shared" si="3"/>
        <v>66.502739018260684</v>
      </c>
      <c r="E30" s="706">
        <f>J30</f>
        <v>35.157237819194954</v>
      </c>
      <c r="G30" s="707">
        <f>AD30</f>
        <v>125.79527207670043</v>
      </c>
      <c r="H30" s="707">
        <f>AF30-(G30^2)</f>
        <v>4422.6142969308912</v>
      </c>
      <c r="I30" s="707">
        <f>SQRT(H30)</f>
        <v>66.502739018260684</v>
      </c>
      <c r="J30" s="707">
        <f>H30/G30</f>
        <v>35.157237819194954</v>
      </c>
      <c r="K30" s="708">
        <f>SUMXMY2(B30,G30)+SUMXMY2(D30,I30)</f>
        <v>0</v>
      </c>
      <c r="L30" s="25">
        <v>1</v>
      </c>
      <c r="M30" s="332">
        <v>1</v>
      </c>
      <c r="N30" s="223">
        <v>3</v>
      </c>
      <c r="O30" s="222">
        <v>2</v>
      </c>
      <c r="P30" s="333">
        <v>4</v>
      </c>
      <c r="Q30" s="342">
        <f t="shared" ref="Q30:T37" si="4">EXP(M30/$N$23)/(EXP($M30/$N$23)+EXP($N30/$N$23)+EXP($O30/$N$23)+EXP($P30/$N$23))</f>
        <v>3.2058603280084988E-2</v>
      </c>
      <c r="R30" s="219">
        <f t="shared" si="4"/>
        <v>0.23688281808991013</v>
      </c>
      <c r="S30" s="218">
        <f t="shared" si="4"/>
        <v>8.7144318742032573E-2</v>
      </c>
      <c r="T30" s="343">
        <f t="shared" si="4"/>
        <v>0.64391425988797224</v>
      </c>
      <c r="U30" s="512">
        <f>SUM(Q30:R30)</f>
        <v>0.2689414213699951</v>
      </c>
      <c r="V30" s="507">
        <f>SUM(S30,T30)</f>
        <v>0.73105857863000479</v>
      </c>
      <c r="W30" s="517">
        <f>SUM(S30,Q30)</f>
        <v>0.11920292202211756</v>
      </c>
      <c r="X30" s="498">
        <f>SUM(R30,T30)</f>
        <v>0.88079707797788243</v>
      </c>
      <c r="Y30" s="512">
        <f t="shared" ref="Y30:Z37" si="5">U30*$N$8</f>
        <v>24.204727923299558</v>
      </c>
      <c r="Z30" s="507">
        <f t="shared" si="5"/>
        <v>65.795272076700428</v>
      </c>
      <c r="AA30" s="517">
        <f t="shared" ref="AA30:AB37" si="6">W30*$N$16</f>
        <v>2252.9352262180219</v>
      </c>
      <c r="AB30" s="498">
        <f t="shared" si="6"/>
        <v>16647.064773781978</v>
      </c>
      <c r="AC30" s="512">
        <f t="shared" ref="AC30:AD37" si="7">Y30+$N$6</f>
        <v>84.204727923299558</v>
      </c>
      <c r="AD30" s="507">
        <f t="shared" si="7"/>
        <v>125.79527207670043</v>
      </c>
      <c r="AE30" s="517">
        <f t="shared" ref="AE30:AF37" si="8">AA30+$N$14</f>
        <v>5852.9352262180219</v>
      </c>
      <c r="AF30" s="498">
        <f t="shared" si="8"/>
        <v>20247.064773781978</v>
      </c>
      <c r="AG30" s="332">
        <f t="shared" ref="AG30:AG46" si="9">SUM(Y30,AA30)</f>
        <v>2277.1399541413216</v>
      </c>
      <c r="AH30" s="223">
        <f t="shared" ref="AH30:AH46" si="10">SUM(Y30,AB30)</f>
        <v>16671.269501705279</v>
      </c>
      <c r="AI30" s="222">
        <f t="shared" ref="AI30:AI46" si="11">SUM(Z30,AA30)</f>
        <v>2318.7304982947221</v>
      </c>
      <c r="AJ30" s="333">
        <f t="shared" ref="AJ30:AJ46" si="12">SUM(Z30,AB30)</f>
        <v>16712.860045858677</v>
      </c>
      <c r="AK30" s="81">
        <f t="shared" ref="AK30:AK37" si="13">$N$24*$N$23*LN(EXP($M30/$N$23) + EXP($N30/$N$23) + EXP($O30/$N$23) +EXP($P30/$N$23) )</f>
        <v>84319.202375677109</v>
      </c>
      <c r="AL30" s="213">
        <f>(AK30-AK29)</f>
        <v>84319.202375677109</v>
      </c>
      <c r="AM30" s="203"/>
      <c r="AN30" s="116"/>
      <c r="AO30" s="102"/>
      <c r="AP30" s="7"/>
      <c r="AQ30" s="7"/>
      <c r="AR30" s="7"/>
      <c r="AS30" s="7"/>
      <c r="AU30" s="329" t="s">
        <v>219</v>
      </c>
      <c r="AV30" s="7"/>
      <c r="AW30" s="7"/>
      <c r="AX30" s="7"/>
      <c r="AY30" s="7"/>
      <c r="AZ30" s="7"/>
      <c r="BA30" s="7"/>
      <c r="BB30" s="189"/>
      <c r="BC30" s="7"/>
      <c r="BD30" s="7"/>
    </row>
    <row r="31" spans="1:56" ht="19.5" thickBot="1" x14ac:dyDescent="0.35">
      <c r="B31" s="704">
        <f>G31</f>
        <v>125.79527207670043</v>
      </c>
      <c r="C31" s="705">
        <f t="shared" si="3"/>
        <v>4422.6142969308912</v>
      </c>
      <c r="D31" s="705">
        <f>I31</f>
        <v>66.502739018260684</v>
      </c>
      <c r="E31" s="706">
        <f t="shared" ref="E31:E37" si="14">J31</f>
        <v>35.157237819194954</v>
      </c>
      <c r="G31" s="707">
        <f>AD31</f>
        <v>125.79527207670043</v>
      </c>
      <c r="H31" s="709">
        <f t="shared" ref="H31:H39" si="15">AF31-(G31^2)</f>
        <v>4422.6142969308912</v>
      </c>
      <c r="I31" s="709">
        <f t="shared" ref="I31:I33" si="16">SQRT(H31)</f>
        <v>66.502739018260684</v>
      </c>
      <c r="J31" s="709">
        <f t="shared" ref="J31:J39" si="17">H31/G31</f>
        <v>35.157237819194954</v>
      </c>
      <c r="K31" s="708">
        <f>SUMXMY2(B31,G31)+SUMXMY2(D31,I31)</f>
        <v>0</v>
      </c>
      <c r="L31" s="25">
        <v>2</v>
      </c>
      <c r="M31" s="334">
        <v>1</v>
      </c>
      <c r="N31" s="243">
        <v>3</v>
      </c>
      <c r="O31" s="242">
        <v>2</v>
      </c>
      <c r="P31" s="335">
        <v>4</v>
      </c>
      <c r="Q31" s="344">
        <f t="shared" si="4"/>
        <v>3.2058603280084988E-2</v>
      </c>
      <c r="R31" s="239">
        <f t="shared" si="4"/>
        <v>0.23688281808991013</v>
      </c>
      <c r="S31" s="238">
        <f t="shared" si="4"/>
        <v>8.7144318742032573E-2</v>
      </c>
      <c r="T31" s="345">
        <f t="shared" si="4"/>
        <v>0.64391425988797224</v>
      </c>
      <c r="U31" s="513">
        <f t="shared" ref="U31:U45" si="18">SUM(Q31:R31)</f>
        <v>0.2689414213699951</v>
      </c>
      <c r="V31" s="508">
        <f t="shared" ref="V31:V46" si="19">SUM(S31,T31)</f>
        <v>0.73105857863000479</v>
      </c>
      <c r="W31" s="518">
        <f t="shared" ref="W31:W46" si="20">SUM(S31,Q31)</f>
        <v>0.11920292202211756</v>
      </c>
      <c r="X31" s="499">
        <f t="shared" ref="X31:X46" si="21">SUM(R31,T31)</f>
        <v>0.88079707797788243</v>
      </c>
      <c r="Y31" s="513">
        <f t="shared" si="5"/>
        <v>24.204727923299558</v>
      </c>
      <c r="Z31" s="508">
        <f t="shared" si="5"/>
        <v>65.795272076700428</v>
      </c>
      <c r="AA31" s="518">
        <f t="shared" si="6"/>
        <v>2252.9352262180219</v>
      </c>
      <c r="AB31" s="499">
        <f t="shared" si="6"/>
        <v>16647.064773781978</v>
      </c>
      <c r="AC31" s="513">
        <f t="shared" si="7"/>
        <v>84.204727923299558</v>
      </c>
      <c r="AD31" s="508">
        <f t="shared" si="7"/>
        <v>125.79527207670043</v>
      </c>
      <c r="AE31" s="518">
        <f t="shared" si="8"/>
        <v>5852.9352262180219</v>
      </c>
      <c r="AF31" s="499">
        <f t="shared" si="8"/>
        <v>20247.064773781978</v>
      </c>
      <c r="AG31" s="334">
        <f t="shared" si="9"/>
        <v>2277.1399541413216</v>
      </c>
      <c r="AH31" s="243">
        <f t="shared" si="10"/>
        <v>16671.269501705279</v>
      </c>
      <c r="AI31" s="242">
        <f t="shared" si="11"/>
        <v>2318.7304982947221</v>
      </c>
      <c r="AJ31" s="335">
        <f t="shared" si="12"/>
        <v>16712.860045858677</v>
      </c>
      <c r="AK31" s="82">
        <f t="shared" si="13"/>
        <v>84319.202375677109</v>
      </c>
      <c r="AL31" s="215">
        <f>(AK31-AK30)</f>
        <v>0</v>
      </c>
      <c r="AM31" s="203"/>
      <c r="AN31" s="116">
        <f>Q31-Q30</f>
        <v>0</v>
      </c>
      <c r="AO31" s="102">
        <f>T31-T30</f>
        <v>0</v>
      </c>
      <c r="AP31" s="184">
        <f t="shared" ref="AP31:AP45" si="22">AL31</f>
        <v>0</v>
      </c>
      <c r="AQ31" s="7"/>
      <c r="AR31" s="7" t="str">
        <f t="shared" ref="AR31:AR45" si="23">IF(AN31&gt;0,"Bought ",IF(AN31&lt;0,"Sold ",""))&amp;IF(AN31&lt;0,AN31*-1,IF(AN31&gt;0,AN31,""))&amp;IF(AN31&lt;&gt;0," Shares of State 1 at a cost of "&amp;ROUND($AL31,5),"")</f>
        <v/>
      </c>
      <c r="AS31" s="7" t="str">
        <f t="shared" ref="AS31:AS45" si="24">IF(AO31&gt;0,"Bought ",IF(AO31&lt;0,"Sold ",""))&amp;IF(AO31&lt;0,AO31*-1,IF(AO31&gt;0,AO31,""))&amp;IF(AO31&lt;&gt;0," Shares of State 2 at a cost of "&amp;ROUND($AL31,5),"")</f>
        <v/>
      </c>
      <c r="AT31" s="187" t="str">
        <f t="shared" ref="AT31:AT45" si="25">AR31&amp;AS31</f>
        <v/>
      </c>
      <c r="AU31" s="7" t="s">
        <v>242</v>
      </c>
      <c r="AV31" s="521">
        <f>Z46/Z30</f>
        <v>7.5993302287302361E-2</v>
      </c>
      <c r="AW31" s="7"/>
      <c r="AX31" s="7"/>
      <c r="AY31" s="7"/>
      <c r="AZ31" s="7"/>
      <c r="BA31" s="7"/>
      <c r="BB31" s="7"/>
      <c r="BC31" s="7"/>
      <c r="BD31" s="7"/>
    </row>
    <row r="32" spans="1:56" ht="19.5" thickBot="1" x14ac:dyDescent="0.35">
      <c r="A32" t="s">
        <v>4</v>
      </c>
      <c r="B32" s="710">
        <f>B31</f>
        <v>125.79527207670043</v>
      </c>
      <c r="C32" s="705">
        <f t="shared" si="3"/>
        <v>6399.9999993382789</v>
      </c>
      <c r="D32" s="711">
        <v>80</v>
      </c>
      <c r="E32" s="706">
        <f t="shared" si="14"/>
        <v>50.876280874210437</v>
      </c>
      <c r="G32" s="712">
        <f>AD32</f>
        <v>125.79535864978068</v>
      </c>
      <c r="H32" s="712">
        <f t="shared" si="15"/>
        <v>6399.9999993382789</v>
      </c>
      <c r="I32" s="712">
        <f t="shared" si="16"/>
        <v>79.999999995864243</v>
      </c>
      <c r="J32" s="707">
        <f t="shared" si="17"/>
        <v>50.876280874210437</v>
      </c>
      <c r="K32" s="708">
        <f>SUMXMY2(B32,G32)+SUMXMY2(D32,I32)</f>
        <v>7.4948982416073627E-9</v>
      </c>
      <c r="L32" s="25">
        <v>3</v>
      </c>
      <c r="M32" s="334">
        <v>1</v>
      </c>
      <c r="N32" s="243">
        <v>5.2135397545717401</v>
      </c>
      <c r="O32" s="242">
        <v>2</v>
      </c>
      <c r="P32" s="335">
        <v>6.2135447194523996</v>
      </c>
      <c r="Q32" s="344">
        <f t="shared" si="4"/>
        <v>3.9206784542248499E-3</v>
      </c>
      <c r="R32" s="239">
        <f t="shared" si="4"/>
        <v>0.26501978099265644</v>
      </c>
      <c r="S32" s="238">
        <f t="shared" si="4"/>
        <v>1.0657508997350308E-2</v>
      </c>
      <c r="T32" s="345">
        <f t="shared" si="4"/>
        <v>0.72040203155576843</v>
      </c>
      <c r="U32" s="513">
        <f t="shared" si="18"/>
        <v>0.26894045944688127</v>
      </c>
      <c r="V32" s="508">
        <f t="shared" si="19"/>
        <v>0.73105954055311873</v>
      </c>
      <c r="W32" s="518">
        <f t="shared" si="20"/>
        <v>1.4578187451575159E-2</v>
      </c>
      <c r="X32" s="499">
        <f t="shared" si="21"/>
        <v>0.98542181254842487</v>
      </c>
      <c r="Y32" s="513">
        <f t="shared" si="5"/>
        <v>24.204641350219315</v>
      </c>
      <c r="Z32" s="508">
        <f t="shared" si="5"/>
        <v>65.795358649780681</v>
      </c>
      <c r="AA32" s="518">
        <f t="shared" si="6"/>
        <v>275.52774283477049</v>
      </c>
      <c r="AB32" s="499">
        <f t="shared" si="6"/>
        <v>18624.472257165231</v>
      </c>
      <c r="AC32" s="513">
        <f t="shared" si="7"/>
        <v>84.204641350219319</v>
      </c>
      <c r="AD32" s="508">
        <f t="shared" si="7"/>
        <v>125.79535864978068</v>
      </c>
      <c r="AE32" s="518">
        <f t="shared" si="8"/>
        <v>3875.5277428347704</v>
      </c>
      <c r="AF32" s="499">
        <f t="shared" si="8"/>
        <v>22224.472257165231</v>
      </c>
      <c r="AG32" s="334">
        <f t="shared" si="9"/>
        <v>299.73238418498983</v>
      </c>
      <c r="AH32" s="243">
        <f t="shared" si="10"/>
        <v>18648.676898515449</v>
      </c>
      <c r="AI32" s="242">
        <f t="shared" si="11"/>
        <v>341.32310148455116</v>
      </c>
      <c r="AJ32" s="335">
        <f t="shared" si="12"/>
        <v>18690.267615815013</v>
      </c>
      <c r="AK32" s="82">
        <f t="shared" si="13"/>
        <v>124222.90583121417</v>
      </c>
      <c r="AL32" s="215">
        <f t="shared" ref="AL32" si="26">(AK32-AK31)</f>
        <v>39903.703455537063</v>
      </c>
      <c r="AM32" s="203"/>
      <c r="AN32" s="116">
        <f>Q32-Q31</f>
        <v>-2.8137924825860139E-2</v>
      </c>
      <c r="AO32" s="102">
        <f>T32-T31</f>
        <v>7.6487771667796189E-2</v>
      </c>
      <c r="AP32" s="184">
        <f t="shared" si="22"/>
        <v>39903.703455537063</v>
      </c>
      <c r="AQ32" s="7"/>
      <c r="AR32" s="7" t="str">
        <f t="shared" si="23"/>
        <v>Sold 0.0281379248258601 Shares of State 1 at a cost of 39903.70346</v>
      </c>
      <c r="AS32" s="7" t="str">
        <f t="shared" si="24"/>
        <v>Bought 0.0764877716677962 Shares of State 2 at a cost of 39903.70346</v>
      </c>
      <c r="AT32" s="187" t="str">
        <f t="shared" si="25"/>
        <v>Sold 0.0281379248258601 Shares of State 1 at a cost of 39903.70346Bought 0.0764877716677962 Shares of State 2 at a cost of 39903.70346</v>
      </c>
      <c r="AV32" s="7" t="s">
        <v>184</v>
      </c>
      <c r="AW32" s="7" t="s">
        <v>185</v>
      </c>
      <c r="AX32" t="s">
        <v>245</v>
      </c>
      <c r="BC32" s="7"/>
      <c r="BD32" s="7"/>
    </row>
    <row r="33" spans="1:56" ht="19.5" thickBot="1" x14ac:dyDescent="0.35">
      <c r="B33" s="704">
        <f>G33</f>
        <v>125.79535864978068</v>
      </c>
      <c r="C33" s="705">
        <f t="shared" si="3"/>
        <v>6399.9999993382789</v>
      </c>
      <c r="D33" s="705">
        <f>I33</f>
        <v>79.999999995864243</v>
      </c>
      <c r="E33" s="713">
        <f t="shared" si="14"/>
        <v>50.876280874210437</v>
      </c>
      <c r="G33" s="714">
        <f>AD33</f>
        <v>125.79535864978068</v>
      </c>
      <c r="H33" s="712">
        <f t="shared" si="15"/>
        <v>6399.9999993382789</v>
      </c>
      <c r="I33" s="712">
        <f t="shared" si="16"/>
        <v>79.999999995864243</v>
      </c>
      <c r="J33" s="709">
        <f t="shared" si="17"/>
        <v>50.876280874210437</v>
      </c>
      <c r="K33" s="708">
        <f>SUMXMY2(B33,G33)+SUMXMY2(D33,I33)</f>
        <v>0</v>
      </c>
      <c r="L33" s="25">
        <v>4</v>
      </c>
      <c r="M33" s="334">
        <v>1</v>
      </c>
      <c r="N33" s="243">
        <v>5.2135397545717401</v>
      </c>
      <c r="O33" s="242">
        <v>2</v>
      </c>
      <c r="P33" s="335">
        <v>6.2135447194523996</v>
      </c>
      <c r="Q33" s="344">
        <f t="shared" si="4"/>
        <v>3.9206784542248499E-3</v>
      </c>
      <c r="R33" s="239">
        <f t="shared" si="4"/>
        <v>0.26501978099265644</v>
      </c>
      <c r="S33" s="238">
        <f t="shared" si="4"/>
        <v>1.0657508997350308E-2</v>
      </c>
      <c r="T33" s="345">
        <f t="shared" si="4"/>
        <v>0.72040203155576843</v>
      </c>
      <c r="U33" s="513">
        <f t="shared" si="18"/>
        <v>0.26894045944688127</v>
      </c>
      <c r="V33" s="508">
        <f t="shared" si="19"/>
        <v>0.73105954055311873</v>
      </c>
      <c r="W33" s="518">
        <f t="shared" si="20"/>
        <v>1.4578187451575159E-2</v>
      </c>
      <c r="X33" s="499">
        <f t="shared" si="21"/>
        <v>0.98542181254842487</v>
      </c>
      <c r="Y33" s="513">
        <f t="shared" si="5"/>
        <v>24.204641350219315</v>
      </c>
      <c r="Z33" s="508">
        <f t="shared" si="5"/>
        <v>65.795358649780681</v>
      </c>
      <c r="AA33" s="518">
        <f t="shared" si="6"/>
        <v>275.52774283477049</v>
      </c>
      <c r="AB33" s="499">
        <f t="shared" si="6"/>
        <v>18624.472257165231</v>
      </c>
      <c r="AC33" s="513">
        <f t="shared" si="7"/>
        <v>84.204641350219319</v>
      </c>
      <c r="AD33" s="508">
        <f t="shared" si="7"/>
        <v>125.79535864978068</v>
      </c>
      <c r="AE33" s="518">
        <f t="shared" si="8"/>
        <v>3875.5277428347704</v>
      </c>
      <c r="AF33" s="499">
        <f t="shared" si="8"/>
        <v>22224.472257165231</v>
      </c>
      <c r="AG33" s="334">
        <f t="shared" si="9"/>
        <v>299.73238418498983</v>
      </c>
      <c r="AH33" s="243">
        <f t="shared" si="10"/>
        <v>18648.676898515449</v>
      </c>
      <c r="AI33" s="242">
        <f t="shared" si="11"/>
        <v>341.32310148455116</v>
      </c>
      <c r="AJ33" s="335">
        <f t="shared" si="12"/>
        <v>18690.267615815013</v>
      </c>
      <c r="AK33" s="82">
        <f t="shared" si="13"/>
        <v>124222.90583121417</v>
      </c>
      <c r="AL33" s="215">
        <f>(AK33-AK32)</f>
        <v>0</v>
      </c>
      <c r="AM33" s="203"/>
      <c r="AN33" s="116">
        <f>Q33-Q32</f>
        <v>0</v>
      </c>
      <c r="AO33" s="102">
        <f>T33-T32</f>
        <v>0</v>
      </c>
      <c r="AP33" s="184">
        <f t="shared" si="22"/>
        <v>0</v>
      </c>
      <c r="AQ33" s="7"/>
      <c r="AR33" s="7" t="str">
        <f t="shared" si="23"/>
        <v/>
      </c>
      <c r="AS33" s="7" t="str">
        <f t="shared" si="24"/>
        <v/>
      </c>
      <c r="AT33" s="187" t="str">
        <f t="shared" si="25"/>
        <v/>
      </c>
      <c r="AU33" s="7" t="s">
        <v>183</v>
      </c>
      <c r="AV33" s="522">
        <f>AL31</f>
        <v>0</v>
      </c>
      <c r="AW33" s="523">
        <f>SUM(AI46:AJ46)</f>
        <v>18910</v>
      </c>
      <c r="AX33" s="524" t="e">
        <f>AW33/AV33</f>
        <v>#DIV/0!</v>
      </c>
      <c r="AY33" s="7" t="s">
        <v>246</v>
      </c>
      <c r="BC33" s="7"/>
      <c r="BD33" s="7"/>
    </row>
    <row r="34" spans="1:56" ht="19.5" thickBot="1" x14ac:dyDescent="0.35">
      <c r="A34" t="s">
        <v>5</v>
      </c>
      <c r="B34" s="711">
        <v>95</v>
      </c>
      <c r="C34" s="705">
        <f t="shared" si="3"/>
        <v>6400.0000689367062</v>
      </c>
      <c r="D34" s="715">
        <f>D33</f>
        <v>79.999999995864243</v>
      </c>
      <c r="E34" s="713">
        <f>J34</f>
        <v>67.368417673462559</v>
      </c>
      <c r="G34" s="712">
        <f>AD34</f>
        <v>95.000005788435828</v>
      </c>
      <c r="H34" s="712">
        <f t="shared" si="15"/>
        <v>6400.0000689367062</v>
      </c>
      <c r="I34" s="712">
        <f>SQRT(H34)</f>
        <v>80.000000430854413</v>
      </c>
      <c r="J34" s="707">
        <f t="shared" si="17"/>
        <v>67.368417673462559</v>
      </c>
      <c r="K34" s="708">
        <f>SUMXMY2(B34,G34)+SUMXMY2(D34,I34)</f>
        <v>3.3695205788004397E-11</v>
      </c>
      <c r="L34" s="25">
        <v>5</v>
      </c>
      <c r="M34" s="334">
        <v>1.602466119546041</v>
      </c>
      <c r="N34" s="243">
        <v>10.074612914379193</v>
      </c>
      <c r="O34" s="242">
        <v>9.5843625217032447</v>
      </c>
      <c r="P34" s="335">
        <v>6.3459080268348087</v>
      </c>
      <c r="Q34" s="344">
        <f t="shared" si="4"/>
        <v>1.2782702456293928E-4</v>
      </c>
      <c r="R34" s="239">
        <f t="shared" si="4"/>
        <v>0.61098321977059433</v>
      </c>
      <c r="S34" s="238">
        <f t="shared" si="4"/>
        <v>0.37421073547599004</v>
      </c>
      <c r="T34" s="345">
        <f t="shared" si="4"/>
        <v>1.4678217728852586E-2</v>
      </c>
      <c r="U34" s="513">
        <f t="shared" si="18"/>
        <v>0.61111104679515726</v>
      </c>
      <c r="V34" s="508">
        <f t="shared" si="19"/>
        <v>0.38888895320484262</v>
      </c>
      <c r="W34" s="518">
        <f t="shared" si="20"/>
        <v>0.37433856250055297</v>
      </c>
      <c r="X34" s="499">
        <f t="shared" si="21"/>
        <v>0.62566143749944692</v>
      </c>
      <c r="Y34" s="513">
        <f t="shared" si="5"/>
        <v>54.999994211564157</v>
      </c>
      <c r="Z34" s="508">
        <f t="shared" si="5"/>
        <v>35.000005788435836</v>
      </c>
      <c r="AA34" s="518">
        <f t="shared" si="6"/>
        <v>7074.998831260451</v>
      </c>
      <c r="AB34" s="499">
        <f t="shared" si="6"/>
        <v>11825.001168739547</v>
      </c>
      <c r="AC34" s="513">
        <f t="shared" si="7"/>
        <v>114.99999421156416</v>
      </c>
      <c r="AD34" s="508">
        <f t="shared" si="7"/>
        <v>95.000005788435828</v>
      </c>
      <c r="AE34" s="518">
        <f t="shared" si="8"/>
        <v>10674.998831260451</v>
      </c>
      <c r="AF34" s="499">
        <f t="shared" si="8"/>
        <v>15425.001168739547</v>
      </c>
      <c r="AG34" s="334">
        <f t="shared" si="9"/>
        <v>7129.9988254720147</v>
      </c>
      <c r="AH34" s="243">
        <f t="shared" si="10"/>
        <v>11880.001162951112</v>
      </c>
      <c r="AI34" s="242">
        <f t="shared" si="11"/>
        <v>7109.9988370488873</v>
      </c>
      <c r="AJ34" s="335">
        <f t="shared" si="12"/>
        <v>11860.001174527983</v>
      </c>
      <c r="AK34" s="82">
        <f t="shared" si="13"/>
        <v>200673.00227725031</v>
      </c>
      <c r="AL34" s="215">
        <f t="shared" ref="AL34:AL37" si="27">(AK34-AK33)</f>
        <v>76450.096446036143</v>
      </c>
      <c r="AM34" s="203"/>
      <c r="AN34" s="116">
        <f>Q34-Q33</f>
        <v>-3.7928514296619105E-3</v>
      </c>
      <c r="AO34" s="102">
        <f>T34-T33</f>
        <v>-0.70572381382691585</v>
      </c>
      <c r="AP34" s="184">
        <f t="shared" si="22"/>
        <v>76450.096446036143</v>
      </c>
      <c r="AQ34" s="7"/>
      <c r="AR34" s="7" t="str">
        <f t="shared" si="23"/>
        <v>Sold 0.00379285142966191 Shares of State 1 at a cost of 76450.09645</v>
      </c>
      <c r="AS34" s="7" t="str">
        <f t="shared" si="24"/>
        <v>Sold 0.705723813826916 Shares of State 2 at a cost of 76450.09645</v>
      </c>
      <c r="AT34" s="187" t="str">
        <f t="shared" si="25"/>
        <v>Sold 0.00379285142966191 Shares of State 1 at a cost of 76450.09645Sold 0.705723813826916 Shares of State 2 at a cost of 76450.09645</v>
      </c>
      <c r="AU34" s="8" t="s">
        <v>186</v>
      </c>
      <c r="AV34" s="525">
        <f>SUM(AI30:AJ30)</f>
        <v>19031.590544153398</v>
      </c>
      <c r="AW34" s="162">
        <f>SUM(AI46:AJ46)</f>
        <v>18910</v>
      </c>
      <c r="AX34" s="526">
        <f>AW34/AV34</f>
        <v>0.99361112021240117</v>
      </c>
      <c r="AY34" s="7" t="s">
        <v>244</v>
      </c>
      <c r="BC34" s="7"/>
      <c r="BD34" s="7"/>
    </row>
    <row r="35" spans="1:56" ht="18.75" x14ac:dyDescent="0.3">
      <c r="B35" s="704">
        <f>G35</f>
        <v>95.000005788435828</v>
      </c>
      <c r="C35" s="716">
        <f>H35</f>
        <v>6400.0000689367062</v>
      </c>
      <c r="D35" s="716">
        <f>I35</f>
        <v>80.000000430854413</v>
      </c>
      <c r="E35" s="717">
        <f t="shared" si="14"/>
        <v>67.368417673462559</v>
      </c>
      <c r="F35" s="259"/>
      <c r="G35" s="709">
        <f t="shared" ref="G35:G39" si="28">AD35</f>
        <v>95.000005788435828</v>
      </c>
      <c r="H35" s="709">
        <f t="shared" si="15"/>
        <v>6400.0000689367062</v>
      </c>
      <c r="I35" s="709">
        <f t="shared" ref="I35:I39" si="29">SQRT(H35)</f>
        <v>80.000000430854413</v>
      </c>
      <c r="J35" s="709">
        <f t="shared" si="17"/>
        <v>67.368417673462559</v>
      </c>
      <c r="K35" s="718">
        <f t="shared" ref="K35" si="30">SUMXMY2(B35,G35)+SUMXMY2(D35,I35)</f>
        <v>0</v>
      </c>
      <c r="L35" s="719">
        <v>6</v>
      </c>
      <c r="M35" s="332">
        <v>1.602466119546041</v>
      </c>
      <c r="N35" s="223">
        <v>10.074612914379193</v>
      </c>
      <c r="O35" s="222">
        <v>9.5843625217032447</v>
      </c>
      <c r="P35" s="333">
        <v>6.3459080268348087</v>
      </c>
      <c r="Q35" s="344">
        <f t="shared" si="4"/>
        <v>1.2782702456293928E-4</v>
      </c>
      <c r="R35" s="239">
        <f t="shared" si="4"/>
        <v>0.61098321977059433</v>
      </c>
      <c r="S35" s="238">
        <f t="shared" si="4"/>
        <v>0.37421073547599004</v>
      </c>
      <c r="T35" s="345">
        <f t="shared" si="4"/>
        <v>1.4678217728852586E-2</v>
      </c>
      <c r="U35" s="513">
        <f t="shared" si="18"/>
        <v>0.61111104679515726</v>
      </c>
      <c r="V35" s="508">
        <f t="shared" si="19"/>
        <v>0.38888895320484262</v>
      </c>
      <c r="W35" s="518">
        <f t="shared" si="20"/>
        <v>0.37433856250055297</v>
      </c>
      <c r="X35" s="499">
        <f t="shared" si="21"/>
        <v>0.62566143749944692</v>
      </c>
      <c r="Y35" s="513">
        <f t="shared" si="5"/>
        <v>54.999994211564157</v>
      </c>
      <c r="Z35" s="508">
        <f t="shared" si="5"/>
        <v>35.000005788435836</v>
      </c>
      <c r="AA35" s="518">
        <f t="shared" si="6"/>
        <v>7074.998831260451</v>
      </c>
      <c r="AB35" s="499">
        <f t="shared" si="6"/>
        <v>11825.001168739547</v>
      </c>
      <c r="AC35" s="513">
        <f t="shared" si="7"/>
        <v>114.99999421156416</v>
      </c>
      <c r="AD35" s="508">
        <f t="shared" si="7"/>
        <v>95.000005788435828</v>
      </c>
      <c r="AE35" s="518">
        <f t="shared" si="8"/>
        <v>10674.998831260451</v>
      </c>
      <c r="AF35" s="499">
        <f t="shared" si="8"/>
        <v>15425.001168739547</v>
      </c>
      <c r="AG35" s="334">
        <f t="shared" si="9"/>
        <v>7129.9988254720147</v>
      </c>
      <c r="AH35" s="243">
        <f t="shared" si="10"/>
        <v>11880.001162951112</v>
      </c>
      <c r="AI35" s="242">
        <f t="shared" si="11"/>
        <v>7109.9988370488873</v>
      </c>
      <c r="AJ35" s="335">
        <f t="shared" si="12"/>
        <v>11860.001174527983</v>
      </c>
      <c r="AK35" s="82">
        <f t="shared" si="13"/>
        <v>200673.00227725031</v>
      </c>
      <c r="AL35" s="215">
        <f>(AK35-AK34)</f>
        <v>0</v>
      </c>
      <c r="AM35" s="203"/>
      <c r="AN35" s="116">
        <f>Q35-Q32</f>
        <v>-3.7928514296619105E-3</v>
      </c>
      <c r="AO35" s="102">
        <f>T35-T32</f>
        <v>-0.70572381382691585</v>
      </c>
      <c r="AP35" s="184">
        <f t="shared" si="22"/>
        <v>0</v>
      </c>
      <c r="AQ35" s="7"/>
      <c r="AR35" s="7" t="str">
        <f t="shared" si="23"/>
        <v>Sold 0.00379285142966191 Shares of State 1 at a cost of 0</v>
      </c>
      <c r="AS35" s="7" t="str">
        <f t="shared" si="24"/>
        <v>Sold 0.705723813826916 Shares of State 2 at a cost of 0</v>
      </c>
      <c r="AT35" s="187" t="str">
        <f t="shared" si="25"/>
        <v>Sold 0.00379285142966191 Shares of State 1 at a cost of 0Sold 0.705723813826916 Shares of State 2 at a cost of 0</v>
      </c>
      <c r="AU35" s="8" t="s">
        <v>88</v>
      </c>
      <c r="AV35" s="525">
        <f>AV33-$N$16</f>
        <v>-18900</v>
      </c>
      <c r="AW35" s="162">
        <f>AW33-$N$16</f>
        <v>10</v>
      </c>
      <c r="AX35" s="526">
        <f>AW35/AV35</f>
        <v>-5.2910052910052914E-4</v>
      </c>
      <c r="AY35" s="7" t="s">
        <v>241</v>
      </c>
      <c r="BC35" s="7"/>
      <c r="BD35" s="7"/>
    </row>
    <row r="36" spans="1:56" ht="19.5" thickBot="1" x14ac:dyDescent="0.35">
      <c r="A36" s="1"/>
      <c r="B36" s="720">
        <v>95.000005788435828</v>
      </c>
      <c r="C36" s="721">
        <v>6400.0000689367062</v>
      </c>
      <c r="D36" s="721">
        <v>80.000000430854413</v>
      </c>
      <c r="E36" s="722">
        <v>67.368417673462559</v>
      </c>
      <c r="F36" s="7"/>
      <c r="G36" s="707">
        <f t="shared" si="28"/>
        <v>95.000005788435828</v>
      </c>
      <c r="H36" s="709">
        <f t="shared" si="15"/>
        <v>6400.0000689367062</v>
      </c>
      <c r="I36" s="709">
        <f t="shared" si="29"/>
        <v>80.000000430854413</v>
      </c>
      <c r="J36" s="709">
        <f t="shared" si="17"/>
        <v>67.368417673462559</v>
      </c>
      <c r="K36" s="723">
        <f>SUMXMY2(B36,G36)+SUMXMY2(D36,I36)</f>
        <v>0</v>
      </c>
      <c r="L36" s="21">
        <v>7</v>
      </c>
      <c r="M36" s="334">
        <v>1.602466119546041</v>
      </c>
      <c r="N36" s="243">
        <v>10.074612914379193</v>
      </c>
      <c r="O36" s="242">
        <v>9.5843625217032447</v>
      </c>
      <c r="P36" s="335">
        <v>6.3459080268348087</v>
      </c>
      <c r="Q36" s="344">
        <f t="shared" si="4"/>
        <v>1.2782702456293928E-4</v>
      </c>
      <c r="R36" s="239">
        <f t="shared" si="4"/>
        <v>0.61098321977059433</v>
      </c>
      <c r="S36" s="238">
        <f t="shared" si="4"/>
        <v>0.37421073547599004</v>
      </c>
      <c r="T36" s="345">
        <f t="shared" si="4"/>
        <v>1.4678217728852586E-2</v>
      </c>
      <c r="U36" s="513">
        <f t="shared" si="18"/>
        <v>0.61111104679515726</v>
      </c>
      <c r="V36" s="508">
        <f>SUM(S36,T36)</f>
        <v>0.38888895320484262</v>
      </c>
      <c r="W36" s="518">
        <f>SUM(S36,Q36)</f>
        <v>0.37433856250055297</v>
      </c>
      <c r="X36" s="499">
        <f>SUM(R36,T36)</f>
        <v>0.62566143749944692</v>
      </c>
      <c r="Y36" s="513">
        <f t="shared" si="5"/>
        <v>54.999994211564157</v>
      </c>
      <c r="Z36" s="508">
        <f t="shared" si="5"/>
        <v>35.000005788435836</v>
      </c>
      <c r="AA36" s="518">
        <f t="shared" si="6"/>
        <v>7074.998831260451</v>
      </c>
      <c r="AB36" s="499">
        <f t="shared" si="6"/>
        <v>11825.001168739547</v>
      </c>
      <c r="AC36" s="513">
        <f t="shared" si="7"/>
        <v>114.99999421156416</v>
      </c>
      <c r="AD36" s="508">
        <f t="shared" si="7"/>
        <v>95.000005788435828</v>
      </c>
      <c r="AE36" s="518">
        <f t="shared" si="8"/>
        <v>10674.998831260451</v>
      </c>
      <c r="AF36" s="499">
        <f t="shared" si="8"/>
        <v>15425.001168739547</v>
      </c>
      <c r="AG36" s="334">
        <f t="shared" si="9"/>
        <v>7129.9988254720147</v>
      </c>
      <c r="AH36" s="243">
        <f t="shared" si="10"/>
        <v>11880.001162951112</v>
      </c>
      <c r="AI36" s="242">
        <f t="shared" si="11"/>
        <v>7109.9988370488873</v>
      </c>
      <c r="AJ36" s="335">
        <f t="shared" si="12"/>
        <v>11860.001174527983</v>
      </c>
      <c r="AK36" s="82">
        <f t="shared" si="13"/>
        <v>200673.00227725031</v>
      </c>
      <c r="AL36" s="215">
        <f>(AK36-AK35)</f>
        <v>0</v>
      </c>
      <c r="AM36" s="203"/>
      <c r="AN36" s="502">
        <f>Q36-Q33</f>
        <v>-3.7928514296619105E-3</v>
      </c>
      <c r="AO36" s="102">
        <f>T36-T33</f>
        <v>-0.70572381382691585</v>
      </c>
      <c r="AP36" s="184">
        <f t="shared" si="22"/>
        <v>0</v>
      </c>
      <c r="AQ36" s="7"/>
      <c r="AR36" s="7" t="str">
        <f t="shared" si="23"/>
        <v>Sold 0.00379285142966191 Shares of State 1 at a cost of 0</v>
      </c>
      <c r="AS36" s="7" t="str">
        <f t="shared" si="24"/>
        <v>Sold 0.705723813826916 Shares of State 2 at a cost of 0</v>
      </c>
      <c r="AT36" s="187" t="str">
        <f t="shared" si="25"/>
        <v>Sold 0.00379285142966191 Shares of State 1 at a cost of 0Sold 0.705723813826916 Shares of State 2 at a cost of 0</v>
      </c>
      <c r="AU36" s="8" t="s">
        <v>189</v>
      </c>
      <c r="AV36" s="527">
        <f>AV34-$N$16</f>
        <v>131.59054415339779</v>
      </c>
      <c r="AW36" s="528">
        <f>AW34-$N$16</f>
        <v>10</v>
      </c>
      <c r="AX36" s="529">
        <f>AW36/AV36</f>
        <v>7.5993302287304137E-2</v>
      </c>
      <c r="AY36" s="7" t="s">
        <v>243</v>
      </c>
      <c r="BC36" s="7"/>
      <c r="BD36" s="7"/>
    </row>
    <row r="37" spans="1:56" ht="19.5" thickBot="1" x14ac:dyDescent="0.35">
      <c r="A37" s="2" t="s">
        <v>46</v>
      </c>
      <c r="B37" s="724">
        <f>B36</f>
        <v>95.000005788435828</v>
      </c>
      <c r="C37" s="716">
        <f>H37</f>
        <v>2025.0000115695439</v>
      </c>
      <c r="D37" s="711">
        <v>45</v>
      </c>
      <c r="E37" s="717">
        <f t="shared" si="14"/>
        <v>21.315788321212061</v>
      </c>
      <c r="F37" s="259"/>
      <c r="G37" s="709">
        <f t="shared" si="28"/>
        <v>95.000005679095523</v>
      </c>
      <c r="H37" s="725">
        <f t="shared" si="15"/>
        <v>2025.0000115695439</v>
      </c>
      <c r="I37" s="725">
        <f t="shared" si="29"/>
        <v>45.000000128550489</v>
      </c>
      <c r="J37" s="725">
        <f t="shared" si="17"/>
        <v>21.315788321212061</v>
      </c>
      <c r="K37" s="718">
        <f>SUMXMY2(B37,G37)+SUMXMY2(D37,I37)</f>
        <v>2.8480530766062637E-14</v>
      </c>
      <c r="L37" s="719">
        <v>8</v>
      </c>
      <c r="M37" s="332">
        <v>9.5428705978737263</v>
      </c>
      <c r="N37" s="223">
        <v>10.074612914379193</v>
      </c>
      <c r="O37" s="222">
        <v>10.060772301858709</v>
      </c>
      <c r="P37" s="333">
        <v>6.3459080268348078</v>
      </c>
      <c r="Q37" s="344">
        <f t="shared" si="4"/>
        <v>0.22617868405722424</v>
      </c>
      <c r="R37" s="239">
        <f t="shared" si="4"/>
        <v>0.38493236395282543</v>
      </c>
      <c r="S37" s="238">
        <f t="shared" si="4"/>
        <v>0.37964136405929827</v>
      </c>
      <c r="T37" s="345">
        <f t="shared" si="4"/>
        <v>9.2475879306520761E-3</v>
      </c>
      <c r="U37" s="513">
        <f t="shared" si="18"/>
        <v>0.61111104801004967</v>
      </c>
      <c r="V37" s="508">
        <f t="shared" si="19"/>
        <v>0.38888895198995033</v>
      </c>
      <c r="W37" s="518">
        <f t="shared" si="20"/>
        <v>0.60582004811652257</v>
      </c>
      <c r="X37" s="499">
        <f t="shared" si="21"/>
        <v>0.39417995188347749</v>
      </c>
      <c r="Y37" s="513">
        <f t="shared" si="5"/>
        <v>54.99999432090447</v>
      </c>
      <c r="Z37" s="508">
        <f t="shared" si="5"/>
        <v>35.00000567909553</v>
      </c>
      <c r="AA37" s="518">
        <f t="shared" si="6"/>
        <v>11449.998909402277</v>
      </c>
      <c r="AB37" s="499">
        <f t="shared" si="6"/>
        <v>7450.0010905977242</v>
      </c>
      <c r="AC37" s="513">
        <f t="shared" si="7"/>
        <v>114.99999432090448</v>
      </c>
      <c r="AD37" s="508">
        <f t="shared" si="7"/>
        <v>95.000005679095523</v>
      </c>
      <c r="AE37" s="518">
        <f t="shared" si="8"/>
        <v>15049.998909402277</v>
      </c>
      <c r="AF37" s="499">
        <f t="shared" si="8"/>
        <v>11050.001090597725</v>
      </c>
      <c r="AG37" s="334">
        <f t="shared" si="9"/>
        <v>11504.998903723181</v>
      </c>
      <c r="AH37" s="243">
        <f t="shared" si="10"/>
        <v>7505.0010849186283</v>
      </c>
      <c r="AI37" s="242">
        <f t="shared" si="11"/>
        <v>11484.998915081373</v>
      </c>
      <c r="AJ37" s="335">
        <f t="shared" si="12"/>
        <v>7485.0010962768201</v>
      </c>
      <c r="AK37" s="82">
        <f t="shared" si="13"/>
        <v>209446.41749295013</v>
      </c>
      <c r="AL37" s="215">
        <f t="shared" si="27"/>
        <v>8773.4152156998171</v>
      </c>
      <c r="AM37" s="203"/>
      <c r="AN37" s="116">
        <f>Q37-Q36</f>
        <v>0.22605085703266131</v>
      </c>
      <c r="AO37" s="102">
        <f>T37-T36</f>
        <v>-5.4306297982005102E-3</v>
      </c>
      <c r="AP37" s="184">
        <f t="shared" si="22"/>
        <v>8773.4152156998171</v>
      </c>
      <c r="AQ37" s="7"/>
      <c r="AR37" s="7" t="str">
        <f t="shared" si="23"/>
        <v>Bought 0.226050857032661 Shares of State 1 at a cost of 8773.41522</v>
      </c>
      <c r="AS37" s="7" t="str">
        <f t="shared" si="24"/>
        <v>Sold 0.00543062979820051 Shares of State 2 at a cost of 8773.41522</v>
      </c>
      <c r="AT37" s="187" t="str">
        <f t="shared" si="25"/>
        <v>Bought 0.226050857032661 Shares of State 1 at a cost of 8773.41522Sold 0.00543062979820051 Shares of State 2 at a cost of 8773.41522</v>
      </c>
      <c r="AU37" s="7"/>
      <c r="AV37" s="7"/>
      <c r="AW37" s="7"/>
      <c r="AX37" s="7"/>
      <c r="AY37" s="7"/>
      <c r="AZ37" s="7"/>
      <c r="BA37" s="7"/>
      <c r="BB37" s="7"/>
      <c r="BC37" s="7"/>
      <c r="BD37" s="7"/>
    </row>
    <row r="38" spans="1:56" ht="19.5" thickBot="1" x14ac:dyDescent="0.35">
      <c r="A38" s="1"/>
      <c r="B38" s="720">
        <v>95.000005788435828</v>
      </c>
      <c r="C38" s="726">
        <v>6400.0000689367062</v>
      </c>
      <c r="D38" s="726">
        <v>80.000000430854399</v>
      </c>
      <c r="E38" s="727">
        <v>67.368417673462559</v>
      </c>
      <c r="F38" s="152"/>
      <c r="G38" s="728">
        <f t="shared" si="28"/>
        <v>95.000109710121762</v>
      </c>
      <c r="H38" s="725">
        <f>AF38-(G38^2)</f>
        <v>6399.9728719631494</v>
      </c>
      <c r="I38" s="725">
        <f>SQRT(H38)</f>
        <v>79.999830449590007</v>
      </c>
      <c r="J38" s="725">
        <f t="shared" si="17"/>
        <v>67.368057694793023</v>
      </c>
      <c r="K38" s="729">
        <f t="shared" ref="K38" si="31">SUMXMY2(B38,G38)+SUMXMY2(D38,I38)</f>
        <v>3.9693347051681264E-8</v>
      </c>
      <c r="L38" s="730">
        <v>9</v>
      </c>
      <c r="M38" s="731">
        <v>1.6024661195256082</v>
      </c>
      <c r="N38" s="732">
        <v>10.074558733786047</v>
      </c>
      <c r="O38" s="733">
        <v>9.5843112776950612</v>
      </c>
      <c r="P38" s="734">
        <v>6.3459080061985285</v>
      </c>
      <c r="Q38" s="344">
        <f t="shared" ref="Q38:T44" si="32">EXP(M38/$N$23)/(EXP($M38/$N$23)+EXP($N38/$N$23)+EXP($O38/$N$23)+EXP($P38/$N$23))</f>
        <v>1.2783370750279655E-4</v>
      </c>
      <c r="R38" s="239">
        <f t="shared" si="32"/>
        <v>0.61098205840225561</v>
      </c>
      <c r="S38" s="238">
        <f t="shared" si="32"/>
        <v>0.37421112307036403</v>
      </c>
      <c r="T38" s="345">
        <f t="shared" si="32"/>
        <v>1.4678984819877752E-2</v>
      </c>
      <c r="U38" s="513">
        <f t="shared" si="18"/>
        <v>0.61110989210975841</v>
      </c>
      <c r="V38" s="508">
        <f t="shared" si="19"/>
        <v>0.38889010789024175</v>
      </c>
      <c r="W38" s="518">
        <f t="shared" si="20"/>
        <v>0.37433895677786683</v>
      </c>
      <c r="X38" s="499">
        <f t="shared" si="21"/>
        <v>0.62566104322213334</v>
      </c>
      <c r="Y38" s="513">
        <f t="shared" ref="Y38:Z44" si="33">U38*$N$8</f>
        <v>54.999890289878259</v>
      </c>
      <c r="Z38" s="508">
        <f t="shared" si="33"/>
        <v>35.000109710121755</v>
      </c>
      <c r="AA38" s="518">
        <f t="shared" ref="AA38:AB44" si="34">W38*$N$16</f>
        <v>7075.006283101683</v>
      </c>
      <c r="AB38" s="499">
        <f t="shared" si="34"/>
        <v>11824.99371689832</v>
      </c>
      <c r="AC38" s="513">
        <f t="shared" ref="AC38:AD44" si="35">Y38+$N$6</f>
        <v>114.99989028987827</v>
      </c>
      <c r="AD38" s="508">
        <f t="shared" si="35"/>
        <v>95.000109710121762</v>
      </c>
      <c r="AE38" s="518">
        <f t="shared" ref="AE38:AF44" si="36">AA38+$N$14</f>
        <v>10675.006283101684</v>
      </c>
      <c r="AF38" s="499">
        <f t="shared" si="36"/>
        <v>15424.99371689832</v>
      </c>
      <c r="AG38" s="334">
        <f t="shared" si="9"/>
        <v>7130.0061733915609</v>
      </c>
      <c r="AH38" s="243">
        <f t="shared" si="10"/>
        <v>11879.993607188198</v>
      </c>
      <c r="AI38" s="242">
        <f t="shared" si="11"/>
        <v>7110.0063928118052</v>
      </c>
      <c r="AJ38" s="335">
        <f t="shared" si="12"/>
        <v>11859.993826608441</v>
      </c>
      <c r="AK38" s="82">
        <f t="shared" ref="AK38:AK43" si="37">$N$24*$N$23*LN(EXP($M38/$N$23) + EXP($N38/$N$23) + EXP($O38/$N$23) +EXP($P38/$N$23) )</f>
        <v>200672.00948436817</v>
      </c>
      <c r="AL38" s="215">
        <f>(AK38-AK37)</f>
        <v>-8774.4080085819587</v>
      </c>
      <c r="AM38" s="203"/>
      <c r="AN38" s="116"/>
      <c r="AO38" s="102"/>
      <c r="AP38" s="184"/>
      <c r="AQ38" s="7"/>
      <c r="AR38" s="7"/>
      <c r="AS38" s="7"/>
      <c r="AT38" s="187"/>
      <c r="AU38" s="7"/>
      <c r="AV38" s="7"/>
      <c r="AW38" s="7"/>
      <c r="AX38" s="7"/>
      <c r="AY38" s="7"/>
      <c r="AZ38" s="7"/>
      <c r="BA38" s="7"/>
      <c r="BB38" s="7"/>
      <c r="BC38" s="7"/>
      <c r="BD38" s="7"/>
    </row>
    <row r="39" spans="1:56" ht="18.75" x14ac:dyDescent="0.3">
      <c r="A39" s="2" t="s">
        <v>47</v>
      </c>
      <c r="B39" s="724">
        <f>B38</f>
        <v>95.000005788435828</v>
      </c>
      <c r="C39" s="735">
        <f t="shared" ref="C39" si="38">H39</f>
        <v>13474.99305853982</v>
      </c>
      <c r="D39" s="736">
        <v>116.08</v>
      </c>
      <c r="E39" s="717">
        <f t="shared" ref="E39" si="39">J39</f>
        <v>141.84197958124261</v>
      </c>
      <c r="F39" s="259"/>
      <c r="G39" s="709">
        <f t="shared" si="28"/>
        <v>95.000035238663372</v>
      </c>
      <c r="H39" s="725">
        <f t="shared" si="15"/>
        <v>13474.99305853982</v>
      </c>
      <c r="I39" s="725">
        <f t="shared" si="29"/>
        <v>116.08183776344954</v>
      </c>
      <c r="J39" s="725">
        <f t="shared" si="17"/>
        <v>141.84197958124261</v>
      </c>
      <c r="K39" s="718">
        <f>SUMXMY2(B39,G39)+SUMXMY2(D39,I39)</f>
        <v>3.3782418123810362E-6</v>
      </c>
      <c r="L39" s="737">
        <v>10</v>
      </c>
      <c r="M39" s="332">
        <v>2.836189409496785</v>
      </c>
      <c r="N39" s="223">
        <v>27.249643942475785</v>
      </c>
      <c r="O39" s="222">
        <v>9.5843112776950612</v>
      </c>
      <c r="P39" s="333">
        <v>26.797660432833837</v>
      </c>
      <c r="Q39" s="344">
        <f t="shared" si="32"/>
        <v>1.525777878281281E-11</v>
      </c>
      <c r="R39" s="239">
        <f t="shared" si="32"/>
        <v>0.61111071955514928</v>
      </c>
      <c r="S39" s="238">
        <f t="shared" si="32"/>
        <v>1.3006588624467185E-8</v>
      </c>
      <c r="T39" s="345">
        <f t="shared" si="32"/>
        <v>0.38888926742300434</v>
      </c>
      <c r="U39" s="513">
        <f t="shared" si="18"/>
        <v>0.61111071957040708</v>
      </c>
      <c r="V39" s="508">
        <f t="shared" si="19"/>
        <v>0.38888928042959298</v>
      </c>
      <c r="W39" s="518">
        <f t="shared" si="20"/>
        <v>1.3021846403249997E-8</v>
      </c>
      <c r="X39" s="499">
        <f t="shared" si="21"/>
        <v>0.99999998697815362</v>
      </c>
      <c r="Y39" s="513">
        <f t="shared" si="33"/>
        <v>54.999964761336635</v>
      </c>
      <c r="Z39" s="508">
        <f t="shared" si="33"/>
        <v>35.000035238663365</v>
      </c>
      <c r="AA39" s="518">
        <f t="shared" si="34"/>
        <v>2.4611289702142496E-4</v>
      </c>
      <c r="AB39" s="499">
        <f t="shared" si="34"/>
        <v>18899.999753887103</v>
      </c>
      <c r="AC39" s="513">
        <f t="shared" si="35"/>
        <v>114.99996476133663</v>
      </c>
      <c r="AD39" s="508">
        <f t="shared" si="35"/>
        <v>95.000035238663372</v>
      </c>
      <c r="AE39" s="518">
        <f t="shared" si="36"/>
        <v>3600.000246112897</v>
      </c>
      <c r="AF39" s="499">
        <f t="shared" si="36"/>
        <v>22499.999753887103</v>
      </c>
      <c r="AG39" s="334">
        <f t="shared" si="9"/>
        <v>55.000210874233659</v>
      </c>
      <c r="AH39" s="243">
        <f t="shared" si="10"/>
        <v>18954.99971864844</v>
      </c>
      <c r="AI39" s="242">
        <f t="shared" si="11"/>
        <v>35.000281351560389</v>
      </c>
      <c r="AJ39" s="335">
        <f t="shared" si="12"/>
        <v>18934.999789125766</v>
      </c>
      <c r="AK39" s="82">
        <f t="shared" si="37"/>
        <v>526822.87908704963</v>
      </c>
      <c r="AL39" s="215">
        <f>(AK39-AK38)</f>
        <v>326150.86960268149</v>
      </c>
      <c r="AM39" s="203"/>
      <c r="AN39" s="116"/>
      <c r="AO39" s="102"/>
      <c r="AP39" s="184"/>
      <c r="AQ39" s="7"/>
      <c r="AR39" s="7"/>
      <c r="AS39" s="7"/>
      <c r="AT39" s="187"/>
      <c r="AU39" s="7"/>
      <c r="AV39" s="7"/>
      <c r="AW39" s="7"/>
      <c r="AX39" s="7"/>
      <c r="AY39" s="7"/>
      <c r="AZ39" s="7"/>
      <c r="BA39" s="7"/>
      <c r="BB39" s="7"/>
      <c r="BC39" s="7"/>
      <c r="BD39" s="7"/>
    </row>
    <row r="40" spans="1:56" ht="18.75" x14ac:dyDescent="0.3">
      <c r="A40" s="5"/>
      <c r="B40" s="395"/>
      <c r="C40" s="395"/>
      <c r="D40" s="395"/>
      <c r="E40" s="395"/>
      <c r="F40" s="8"/>
      <c r="G40" s="395"/>
      <c r="H40" s="395"/>
      <c r="I40" s="395"/>
      <c r="J40" s="395"/>
      <c r="K40" s="723"/>
      <c r="L40" s="21">
        <v>11</v>
      </c>
      <c r="M40" s="334">
        <v>5</v>
      </c>
      <c r="N40" s="243">
        <v>5</v>
      </c>
      <c r="O40" s="242">
        <v>5</v>
      </c>
      <c r="P40" s="335">
        <v>5</v>
      </c>
      <c r="Q40" s="344">
        <f t="shared" si="32"/>
        <v>0.25</v>
      </c>
      <c r="R40" s="239">
        <f t="shared" si="32"/>
        <v>0.25</v>
      </c>
      <c r="S40" s="238">
        <f t="shared" si="32"/>
        <v>0.25</v>
      </c>
      <c r="T40" s="345">
        <f t="shared" si="32"/>
        <v>0.25</v>
      </c>
      <c r="U40" s="513">
        <f t="shared" si="18"/>
        <v>0.5</v>
      </c>
      <c r="V40" s="508">
        <f t="shared" si="19"/>
        <v>0.5</v>
      </c>
      <c r="W40" s="518">
        <f t="shared" si="20"/>
        <v>0.5</v>
      </c>
      <c r="X40" s="499">
        <f t="shared" si="21"/>
        <v>0.5</v>
      </c>
      <c r="Y40" s="513">
        <f t="shared" si="33"/>
        <v>45</v>
      </c>
      <c r="Z40" s="508">
        <f t="shared" si="33"/>
        <v>45</v>
      </c>
      <c r="AA40" s="518">
        <f t="shared" si="34"/>
        <v>9450</v>
      </c>
      <c r="AB40" s="499">
        <f t="shared" si="34"/>
        <v>9450</v>
      </c>
      <c r="AC40" s="513">
        <f t="shared" si="35"/>
        <v>105</v>
      </c>
      <c r="AD40" s="508">
        <f t="shared" si="35"/>
        <v>105</v>
      </c>
      <c r="AE40" s="518">
        <f t="shared" si="36"/>
        <v>13050</v>
      </c>
      <c r="AF40" s="499">
        <f t="shared" si="36"/>
        <v>13050</v>
      </c>
      <c r="AG40" s="334">
        <f t="shared" si="9"/>
        <v>9495</v>
      </c>
      <c r="AH40" s="243">
        <f t="shared" si="10"/>
        <v>9495</v>
      </c>
      <c r="AI40" s="242">
        <f t="shared" si="11"/>
        <v>9495</v>
      </c>
      <c r="AJ40" s="335">
        <f t="shared" si="12"/>
        <v>9495</v>
      </c>
      <c r="AK40" s="82">
        <f t="shared" si="37"/>
        <v>121275.72991766673</v>
      </c>
      <c r="AL40" s="215">
        <f>(AK40-AK39)</f>
        <v>-405547.14916938287</v>
      </c>
      <c r="AM40" s="203"/>
      <c r="AN40" s="116"/>
      <c r="AO40" s="102"/>
      <c r="AP40" s="184"/>
      <c r="AQ40" s="7"/>
      <c r="AR40" s="7"/>
      <c r="AS40" s="7"/>
      <c r="AT40" s="187"/>
      <c r="AU40" s="7"/>
      <c r="AV40" s="7"/>
      <c r="AW40" s="7"/>
      <c r="AX40" s="7"/>
      <c r="AY40" s="7"/>
      <c r="AZ40" s="7"/>
      <c r="BA40" s="7"/>
      <c r="BB40" s="7"/>
      <c r="BC40" s="7"/>
      <c r="BD40" s="7"/>
    </row>
    <row r="41" spans="1:56" ht="18.75" x14ac:dyDescent="0.3">
      <c r="A41" s="2" t="s">
        <v>48</v>
      </c>
      <c r="B41" s="738"/>
      <c r="C41" s="738"/>
      <c r="D41" s="738"/>
      <c r="E41" s="738"/>
      <c r="F41" s="281"/>
      <c r="G41" s="738"/>
      <c r="H41" s="738"/>
      <c r="I41" s="738"/>
      <c r="J41" s="738"/>
      <c r="K41" s="718"/>
      <c r="L41" s="737">
        <v>12</v>
      </c>
      <c r="M41" s="332">
        <v>8</v>
      </c>
      <c r="N41" s="223">
        <v>5</v>
      </c>
      <c r="O41" s="222">
        <v>8</v>
      </c>
      <c r="P41" s="333">
        <v>5</v>
      </c>
      <c r="Q41" s="344">
        <f t="shared" si="32"/>
        <v>0.47628706341121668</v>
      </c>
      <c r="R41" s="239">
        <f t="shared" si="32"/>
        <v>2.3712936588783394E-2</v>
      </c>
      <c r="S41" s="238">
        <f t="shared" si="32"/>
        <v>0.47628706341121668</v>
      </c>
      <c r="T41" s="345">
        <f t="shared" si="32"/>
        <v>2.3712936588783394E-2</v>
      </c>
      <c r="U41" s="513">
        <f t="shared" si="18"/>
        <v>0.50000000000000011</v>
      </c>
      <c r="V41" s="508">
        <f t="shared" si="19"/>
        <v>0.50000000000000011</v>
      </c>
      <c r="W41" s="518">
        <f t="shared" si="20"/>
        <v>0.95257412682243336</v>
      </c>
      <c r="X41" s="499">
        <f t="shared" si="21"/>
        <v>4.7425873177566788E-2</v>
      </c>
      <c r="Y41" s="513">
        <f t="shared" si="33"/>
        <v>45.000000000000007</v>
      </c>
      <c r="Z41" s="508">
        <f t="shared" si="33"/>
        <v>45.000000000000007</v>
      </c>
      <c r="AA41" s="518">
        <f t="shared" si="34"/>
        <v>18003.65099694399</v>
      </c>
      <c r="AB41" s="499">
        <f t="shared" si="34"/>
        <v>896.34900305601229</v>
      </c>
      <c r="AC41" s="513">
        <f t="shared" si="35"/>
        <v>105</v>
      </c>
      <c r="AD41" s="508">
        <f t="shared" si="35"/>
        <v>105</v>
      </c>
      <c r="AE41" s="518">
        <f t="shared" si="36"/>
        <v>21603.65099694399</v>
      </c>
      <c r="AF41" s="499">
        <f t="shared" si="36"/>
        <v>4496.3490030560124</v>
      </c>
      <c r="AG41" s="334">
        <f t="shared" si="9"/>
        <v>18048.65099694399</v>
      </c>
      <c r="AH41" s="243">
        <f t="shared" si="10"/>
        <v>941.34900305601229</v>
      </c>
      <c r="AI41" s="242">
        <f t="shared" si="11"/>
        <v>18048.65099694399</v>
      </c>
      <c r="AJ41" s="335">
        <f t="shared" si="12"/>
        <v>941.34900305601229</v>
      </c>
      <c r="AK41" s="82">
        <f t="shared" si="37"/>
        <v>166005.53876521872</v>
      </c>
      <c r="AL41" s="215">
        <f t="shared" ref="AL41:AL43" si="40">(AK41-AK40)</f>
        <v>44729.808847551991</v>
      </c>
      <c r="AM41" s="203"/>
      <c r="AN41" s="116"/>
      <c r="AO41" s="102"/>
      <c r="AP41" s="184"/>
      <c r="AQ41" s="7"/>
      <c r="AR41" s="7"/>
      <c r="AS41" s="7"/>
      <c r="AT41" s="187"/>
      <c r="AU41" s="7"/>
      <c r="AV41" s="7"/>
      <c r="AW41" s="7"/>
      <c r="AX41" s="7"/>
      <c r="AY41" s="7"/>
      <c r="AZ41" s="7"/>
      <c r="BA41" s="7"/>
      <c r="BB41" s="7"/>
      <c r="BC41" s="7"/>
      <c r="BD41" s="7"/>
    </row>
    <row r="42" spans="1:56" ht="18.75" x14ac:dyDescent="0.3">
      <c r="A42" s="5"/>
      <c r="B42" s="395"/>
      <c r="C42" s="395"/>
      <c r="D42" s="395"/>
      <c r="E42" s="395"/>
      <c r="F42" s="8"/>
      <c r="G42" s="395"/>
      <c r="H42" s="395"/>
      <c r="I42" s="395"/>
      <c r="J42" s="395"/>
      <c r="K42" s="723"/>
      <c r="L42" s="21">
        <v>13</v>
      </c>
      <c r="M42" s="731">
        <v>5</v>
      </c>
      <c r="N42" s="732">
        <v>5</v>
      </c>
      <c r="O42" s="733">
        <v>5</v>
      </c>
      <c r="P42" s="734">
        <v>5</v>
      </c>
      <c r="Q42" s="344">
        <f t="shared" si="32"/>
        <v>0.25</v>
      </c>
      <c r="R42" s="239">
        <f t="shared" si="32"/>
        <v>0.25</v>
      </c>
      <c r="S42" s="238">
        <f t="shared" si="32"/>
        <v>0.25</v>
      </c>
      <c r="T42" s="345">
        <f t="shared" si="32"/>
        <v>0.25</v>
      </c>
      <c r="U42" s="513">
        <f t="shared" si="18"/>
        <v>0.5</v>
      </c>
      <c r="V42" s="508">
        <f t="shared" si="19"/>
        <v>0.5</v>
      </c>
      <c r="W42" s="518">
        <f t="shared" si="20"/>
        <v>0.5</v>
      </c>
      <c r="X42" s="499">
        <f t="shared" si="21"/>
        <v>0.5</v>
      </c>
      <c r="Y42" s="513">
        <f t="shared" si="33"/>
        <v>45</v>
      </c>
      <c r="Z42" s="508">
        <f t="shared" si="33"/>
        <v>45</v>
      </c>
      <c r="AA42" s="518">
        <f t="shared" si="34"/>
        <v>9450</v>
      </c>
      <c r="AB42" s="499">
        <f t="shared" si="34"/>
        <v>9450</v>
      </c>
      <c r="AC42" s="513">
        <f t="shared" si="35"/>
        <v>105</v>
      </c>
      <c r="AD42" s="508">
        <f t="shared" si="35"/>
        <v>105</v>
      </c>
      <c r="AE42" s="518">
        <f t="shared" si="36"/>
        <v>13050</v>
      </c>
      <c r="AF42" s="499">
        <f t="shared" si="36"/>
        <v>13050</v>
      </c>
      <c r="AG42" s="334">
        <f t="shared" si="9"/>
        <v>9495</v>
      </c>
      <c r="AH42" s="243">
        <f t="shared" si="10"/>
        <v>9495</v>
      </c>
      <c r="AI42" s="242">
        <f t="shared" si="11"/>
        <v>9495</v>
      </c>
      <c r="AJ42" s="335">
        <f t="shared" si="12"/>
        <v>9495</v>
      </c>
      <c r="AK42" s="82">
        <f t="shared" si="37"/>
        <v>121275.72991766673</v>
      </c>
      <c r="AL42" s="215">
        <f>(AK42-AK41)</f>
        <v>-44729.808847551991</v>
      </c>
      <c r="AM42" s="203"/>
      <c r="AN42" s="116"/>
      <c r="AO42" s="102"/>
      <c r="AP42" s="184"/>
      <c r="AQ42" s="7"/>
      <c r="AR42" s="7"/>
      <c r="AS42" s="7"/>
      <c r="AT42" s="187"/>
      <c r="AU42" s="7"/>
      <c r="AV42" s="7"/>
      <c r="AW42" s="7"/>
      <c r="AX42" s="7"/>
      <c r="AY42" s="7"/>
      <c r="AZ42" s="7"/>
      <c r="BA42" s="7"/>
      <c r="BB42" s="7"/>
      <c r="BC42" s="7"/>
      <c r="BD42" s="7"/>
    </row>
    <row r="43" spans="1:56" ht="18.75" x14ac:dyDescent="0.3">
      <c r="A43" s="2" t="s">
        <v>49</v>
      </c>
      <c r="B43" s="738"/>
      <c r="C43" s="738"/>
      <c r="D43" s="738"/>
      <c r="E43" s="738"/>
      <c r="F43" s="281"/>
      <c r="G43" s="738"/>
      <c r="H43" s="738"/>
      <c r="I43" s="738"/>
      <c r="J43" s="738"/>
      <c r="K43" s="718"/>
      <c r="L43" s="737">
        <v>14</v>
      </c>
      <c r="M43" s="332">
        <v>5</v>
      </c>
      <c r="N43" s="223">
        <v>8</v>
      </c>
      <c r="O43" s="222">
        <v>5</v>
      </c>
      <c r="P43" s="333">
        <v>8</v>
      </c>
      <c r="Q43" s="344">
        <f t="shared" si="32"/>
        <v>2.3712936588783391E-2</v>
      </c>
      <c r="R43" s="239">
        <f t="shared" si="32"/>
        <v>0.47628706341121663</v>
      </c>
      <c r="S43" s="238">
        <f t="shared" si="32"/>
        <v>2.3712936588783391E-2</v>
      </c>
      <c r="T43" s="345">
        <f t="shared" si="32"/>
        <v>0.47628706341121663</v>
      </c>
      <c r="U43" s="513">
        <f t="shared" si="18"/>
        <v>0.5</v>
      </c>
      <c r="V43" s="508">
        <f t="shared" si="19"/>
        <v>0.5</v>
      </c>
      <c r="W43" s="518">
        <f t="shared" si="20"/>
        <v>4.7425873177566781E-2</v>
      </c>
      <c r="X43" s="499">
        <f t="shared" si="21"/>
        <v>0.95257412682243325</v>
      </c>
      <c r="Y43" s="513">
        <f t="shared" si="33"/>
        <v>45</v>
      </c>
      <c r="Z43" s="508">
        <f t="shared" si="33"/>
        <v>45</v>
      </c>
      <c r="AA43" s="518">
        <f t="shared" si="34"/>
        <v>896.34900305601218</v>
      </c>
      <c r="AB43" s="499">
        <f t="shared" si="34"/>
        <v>18003.650996943987</v>
      </c>
      <c r="AC43" s="513">
        <f t="shared" si="35"/>
        <v>105</v>
      </c>
      <c r="AD43" s="508">
        <f t="shared" si="35"/>
        <v>105</v>
      </c>
      <c r="AE43" s="518">
        <f t="shared" si="36"/>
        <v>4496.3490030560124</v>
      </c>
      <c r="AF43" s="499">
        <f t="shared" si="36"/>
        <v>21603.650996943987</v>
      </c>
      <c r="AG43" s="334">
        <f t="shared" si="9"/>
        <v>941.34900305601218</v>
      </c>
      <c r="AH43" s="243">
        <f t="shared" si="10"/>
        <v>18048.650996943987</v>
      </c>
      <c r="AI43" s="242">
        <f t="shared" si="11"/>
        <v>941.34900305601218</v>
      </c>
      <c r="AJ43" s="335">
        <f t="shared" si="12"/>
        <v>18048.650996943987</v>
      </c>
      <c r="AK43" s="82">
        <f t="shared" si="37"/>
        <v>166005.53876521872</v>
      </c>
      <c r="AL43" s="215">
        <f t="shared" si="40"/>
        <v>44729.808847551991</v>
      </c>
      <c r="AM43" s="203"/>
      <c r="AN43" s="116"/>
      <c r="AO43" s="102"/>
      <c r="AP43" s="184"/>
      <c r="AQ43" s="7"/>
      <c r="AR43" s="7"/>
      <c r="AS43" s="7"/>
      <c r="AT43" s="187"/>
      <c r="AU43" s="7"/>
      <c r="AV43" s="7"/>
      <c r="AW43" s="7"/>
      <c r="AX43" s="7"/>
      <c r="AY43" s="7"/>
      <c r="AZ43" s="7"/>
      <c r="BA43" s="7"/>
      <c r="BB43" s="7"/>
      <c r="BC43" s="7"/>
      <c r="BD43" s="7"/>
    </row>
    <row r="44" spans="1:56" ht="18.75" x14ac:dyDescent="0.3">
      <c r="A44" s="8"/>
      <c r="B44" s="395"/>
      <c r="C44" s="395"/>
      <c r="D44" s="395"/>
      <c r="E44" s="395"/>
      <c r="F44" s="8"/>
      <c r="G44" s="395"/>
      <c r="H44" s="395"/>
      <c r="I44" s="395"/>
      <c r="J44" s="395"/>
      <c r="K44" s="708"/>
      <c r="L44" s="25">
        <v>15</v>
      </c>
      <c r="M44" s="334">
        <v>0</v>
      </c>
      <c r="N44" s="243">
        <v>0</v>
      </c>
      <c r="O44" s="242">
        <v>0</v>
      </c>
      <c r="P44" s="335">
        <v>52.544076865625016</v>
      </c>
      <c r="Q44" s="344">
        <f t="shared" si="32"/>
        <v>1.5149467248659391E-23</v>
      </c>
      <c r="R44" s="239">
        <f t="shared" si="32"/>
        <v>1.5149467248659391E-23</v>
      </c>
      <c r="S44" s="238">
        <f t="shared" si="32"/>
        <v>1.5149467248659391E-23</v>
      </c>
      <c r="T44" s="345">
        <f t="shared" si="32"/>
        <v>1</v>
      </c>
      <c r="U44" s="513">
        <f t="shared" si="18"/>
        <v>3.0298934497318782E-23</v>
      </c>
      <c r="V44" s="508">
        <f t="shared" si="19"/>
        <v>1</v>
      </c>
      <c r="W44" s="518">
        <f t="shared" si="20"/>
        <v>3.0298934497318782E-23</v>
      </c>
      <c r="X44" s="499">
        <f t="shared" si="21"/>
        <v>1</v>
      </c>
      <c r="Y44" s="513">
        <f t="shared" si="33"/>
        <v>2.7269041047586905E-21</v>
      </c>
      <c r="Z44" s="508">
        <f t="shared" si="33"/>
        <v>90</v>
      </c>
      <c r="AA44" s="518">
        <f t="shared" si="34"/>
        <v>5.7264986199932495E-19</v>
      </c>
      <c r="AB44" s="499">
        <f t="shared" si="34"/>
        <v>18900</v>
      </c>
      <c r="AC44" s="513">
        <f t="shared" si="35"/>
        <v>60</v>
      </c>
      <c r="AD44" s="508">
        <f t="shared" si="35"/>
        <v>150</v>
      </c>
      <c r="AE44" s="518">
        <f t="shared" si="36"/>
        <v>3600</v>
      </c>
      <c r="AF44" s="499">
        <f t="shared" si="36"/>
        <v>22500</v>
      </c>
      <c r="AG44" s="334">
        <f t="shared" si="9"/>
        <v>5.7537676610408368E-19</v>
      </c>
      <c r="AH44" s="243">
        <f t="shared" si="10"/>
        <v>18900</v>
      </c>
      <c r="AI44" s="242">
        <f t="shared" si="11"/>
        <v>90</v>
      </c>
      <c r="AJ44" s="335">
        <f t="shared" si="12"/>
        <v>18990</v>
      </c>
      <c r="AK44" s="82">
        <f>$N$24*$N$23*LN(EXP($M44/$N$23) + EXP($N44/$N$23) + EXP($O44/$N$23) +EXP($P44/$N$23) )</f>
        <v>997812.01967821911</v>
      </c>
      <c r="AL44" s="215">
        <f>(AK44-AK43)</f>
        <v>831806.48091300041</v>
      </c>
      <c r="AM44" s="203"/>
      <c r="AN44" s="116"/>
      <c r="AO44" s="102"/>
      <c r="AP44" s="184"/>
      <c r="AQ44" s="7"/>
      <c r="AR44" s="7"/>
      <c r="AS44" s="7"/>
      <c r="AT44" s="187"/>
      <c r="AU44" s="7"/>
      <c r="AV44" s="7"/>
      <c r="AW44" s="7"/>
      <c r="AX44" s="7"/>
      <c r="AY44" s="7"/>
      <c r="AZ44" s="7"/>
      <c r="BA44" s="7"/>
      <c r="BB44" s="7"/>
      <c r="BC44" s="7"/>
      <c r="BD44" s="7"/>
    </row>
    <row r="45" spans="1:56" ht="19.5" thickBot="1" x14ac:dyDescent="0.35">
      <c r="A45" s="8"/>
      <c r="B45" s="395"/>
      <c r="C45" s="395"/>
      <c r="D45" s="395"/>
      <c r="E45" s="395"/>
      <c r="F45" s="8"/>
      <c r="G45" s="395"/>
      <c r="H45" s="395"/>
      <c r="I45" s="395"/>
      <c r="J45" s="395"/>
      <c r="K45" s="708"/>
      <c r="L45" s="25">
        <v>16</v>
      </c>
      <c r="M45" s="336">
        <v>19.954664610531516</v>
      </c>
      <c r="N45" s="235">
        <v>18.950406067462698</v>
      </c>
      <c r="O45" s="234">
        <v>12.994087912163167</v>
      </c>
      <c r="P45" s="337">
        <v>25.501544637028825</v>
      </c>
      <c r="Q45" s="346">
        <f>EXP(M45/$N$23)/(EXP($M45/$N$23)+EXP($N45/$N$23)+EXP($O45/$N$23)+EXP($P45/$N$23))</f>
        <v>3.8789233344704525E-3</v>
      </c>
      <c r="R45" s="231">
        <f>EXP(N45/$N$23)/(EXP($M45/$N$23)+EXP($N45/$N$23)+EXP($O45/$N$23)+EXP($P45/$N$23))</f>
        <v>1.4209122301379578E-3</v>
      </c>
      <c r="S45" s="230">
        <f>EXP(O45/$N$23)/(EXP($M45/$N$23)+EXP($N45/$N$23)+EXP($O45/$N$23)+EXP($P45/$N$23))</f>
        <v>3.679350362343358E-6</v>
      </c>
      <c r="T45" s="347">
        <f>EXP(P45/$N$23)/(EXP($M45/$N$23)+EXP($N45/$N$23)+EXP($O45/$N$23)+EXP($P45/$N$23))</f>
        <v>0.99469648508502917</v>
      </c>
      <c r="U45" s="514">
        <f t="shared" si="18"/>
        <v>5.2998355646084105E-3</v>
      </c>
      <c r="V45" s="509">
        <f t="shared" si="19"/>
        <v>0.99470016443539155</v>
      </c>
      <c r="W45" s="519">
        <f t="shared" si="20"/>
        <v>3.8826026848327957E-3</v>
      </c>
      <c r="X45" s="500">
        <f t="shared" si="21"/>
        <v>0.99611739731516713</v>
      </c>
      <c r="Y45" s="514">
        <f>U45*$N$8</f>
        <v>0.47698520081475693</v>
      </c>
      <c r="Z45" s="509">
        <f>V45*$N$8</f>
        <v>89.523014799185233</v>
      </c>
      <c r="AA45" s="519">
        <f>W45*$N$16</f>
        <v>73.381190743339843</v>
      </c>
      <c r="AB45" s="500">
        <f>X45*$N$16</f>
        <v>18826.618809256659</v>
      </c>
      <c r="AC45" s="514">
        <f>Y45+$N$6</f>
        <v>60.476985200814759</v>
      </c>
      <c r="AD45" s="509">
        <f>Z45+$N$6</f>
        <v>149.52301479918523</v>
      </c>
      <c r="AE45" s="519">
        <f>AA45+$N$14</f>
        <v>3673.3811907433396</v>
      </c>
      <c r="AF45" s="500">
        <f>AB45+$N$14</f>
        <v>22426.618809256659</v>
      </c>
      <c r="AG45" s="336">
        <f t="shared" si="9"/>
        <v>73.858175944154596</v>
      </c>
      <c r="AH45" s="235">
        <f t="shared" si="10"/>
        <v>18827.095794457473</v>
      </c>
      <c r="AI45" s="234">
        <f t="shared" si="11"/>
        <v>162.90420554252506</v>
      </c>
      <c r="AJ45" s="337">
        <f t="shared" si="12"/>
        <v>18916.141824055845</v>
      </c>
      <c r="AK45" s="114">
        <f>$N$24*$N$23*LN(EXP($M45/$N$23) + EXP($N45/$N$23) + EXP($O45/$N$23) +EXP($P45/$N$23) )</f>
        <v>484375.31442188524</v>
      </c>
      <c r="AL45" s="215">
        <f>(AK45-AK44)</f>
        <v>-513436.70525633387</v>
      </c>
      <c r="AM45" s="203"/>
      <c r="AN45" s="121">
        <f>Q45-Q37</f>
        <v>-0.22229976072275379</v>
      </c>
      <c r="AO45" s="104">
        <f>T45-T37</f>
        <v>0.98544889715437711</v>
      </c>
      <c r="AP45" s="184">
        <f t="shared" si="22"/>
        <v>-513436.70525633387</v>
      </c>
      <c r="AQ45" s="7"/>
      <c r="AR45" s="7" t="str">
        <f t="shared" si="23"/>
        <v>Sold 0.222299760722754 Shares of State 1 at a cost of -513436.70526</v>
      </c>
      <c r="AS45" s="7" t="str">
        <f t="shared" si="24"/>
        <v>Bought 0.985448897154377 Shares of State 2 at a cost of -513436.70526</v>
      </c>
      <c r="AT45" s="187" t="str">
        <f t="shared" si="25"/>
        <v>Sold 0.222299760722754 Shares of State 1 at a cost of -513436.70526Bought 0.985448897154377 Shares of State 2 at a cost of -513436.70526</v>
      </c>
      <c r="AU45" s="7"/>
      <c r="AV45" s="7"/>
      <c r="AW45" s="7"/>
      <c r="AX45" s="7"/>
      <c r="AY45" s="7"/>
      <c r="AZ45" s="7"/>
      <c r="BA45" s="7"/>
      <c r="BB45" s="7"/>
      <c r="BC45" s="7"/>
      <c r="BD45" s="7"/>
    </row>
    <row r="46" spans="1:56" ht="16.5" thickTop="1" thickBot="1" x14ac:dyDescent="0.3">
      <c r="B46" s="705"/>
      <c r="C46" s="705"/>
      <c r="D46" s="705"/>
      <c r="E46" s="705"/>
      <c r="F46" s="7"/>
      <c r="G46" s="705"/>
      <c r="H46" s="705"/>
      <c r="I46" s="705"/>
      <c r="J46" s="705"/>
      <c r="K46" s="723"/>
      <c r="L46" s="25" t="s">
        <v>97</v>
      </c>
      <c r="M46" s="338">
        <f>M45</f>
        <v>19.954664610531516</v>
      </c>
      <c r="N46" s="339">
        <f t="shared" ref="N46:P46" si="41">N45</f>
        <v>18.950406067462698</v>
      </c>
      <c r="O46" s="340">
        <f t="shared" si="41"/>
        <v>12.994087912163167</v>
      </c>
      <c r="P46" s="341">
        <f t="shared" si="41"/>
        <v>25.501544637028825</v>
      </c>
      <c r="Q46" s="495">
        <f>O49*O50</f>
        <v>0.91321281599059378</v>
      </c>
      <c r="R46" s="496">
        <f>N50*O49</f>
        <v>3.1231628453850673E-2</v>
      </c>
      <c r="S46" s="496">
        <f>N49*O50</f>
        <v>5.3718400940623162E-2</v>
      </c>
      <c r="T46" s="497">
        <f>N49*N50</f>
        <v>1.8371546149323925E-3</v>
      </c>
      <c r="U46" s="515">
        <f>SUM(Q46:R46)</f>
        <v>0.94444444444444442</v>
      </c>
      <c r="V46" s="510">
        <f t="shared" si="19"/>
        <v>5.5555555555555552E-2</v>
      </c>
      <c r="W46" s="520">
        <f t="shared" si="20"/>
        <v>0.96693121693121697</v>
      </c>
      <c r="X46" s="501">
        <f t="shared" si="21"/>
        <v>3.3068783068783067E-2</v>
      </c>
      <c r="Y46" s="515">
        <f>U46*$N$8</f>
        <v>85</v>
      </c>
      <c r="Z46" s="510">
        <f>V46*$N$8</f>
        <v>5</v>
      </c>
      <c r="AA46" s="520">
        <f>W46*$N$16</f>
        <v>18275</v>
      </c>
      <c r="AB46" s="501">
        <f>X46*$N$16</f>
        <v>625</v>
      </c>
      <c r="AC46" s="515">
        <f>Y46+$N$6</f>
        <v>145</v>
      </c>
      <c r="AD46" s="510">
        <f>Z46+$N$6</f>
        <v>65</v>
      </c>
      <c r="AE46" s="520">
        <f>AA46+$N$14</f>
        <v>21875</v>
      </c>
      <c r="AF46" s="501">
        <f>AB46+$N$14</f>
        <v>4225</v>
      </c>
      <c r="AG46" s="338">
        <f t="shared" si="9"/>
        <v>18360</v>
      </c>
      <c r="AH46" s="339">
        <f t="shared" si="10"/>
        <v>710</v>
      </c>
      <c r="AI46" s="340">
        <f t="shared" si="11"/>
        <v>18280</v>
      </c>
      <c r="AJ46" s="341">
        <f t="shared" si="12"/>
        <v>630</v>
      </c>
      <c r="AK46" s="355">
        <f>$N$24*$N$23*LN(EXP($M46/$N$23) + EXP($N46/$N$23) + EXP($O46/$N$23) +EXP($P46/$N$23) )</f>
        <v>484375.31442188524</v>
      </c>
      <c r="AL46" s="8" t="s">
        <v>247</v>
      </c>
      <c r="AM46" s="7"/>
      <c r="AN46" s="7"/>
      <c r="AO46" s="7"/>
      <c r="AP46" s="7"/>
      <c r="AQ46" s="7"/>
      <c r="AR46" s="7"/>
      <c r="AS46" s="8"/>
      <c r="AT46" s="8"/>
      <c r="AU46" s="8"/>
      <c r="AV46" s="8"/>
      <c r="AW46" s="8"/>
      <c r="AX46" s="7"/>
      <c r="AY46" s="7"/>
      <c r="AZ46" s="7"/>
      <c r="BA46" s="7"/>
      <c r="BB46" s="7"/>
      <c r="BC46" s="7"/>
      <c r="BD46" s="7"/>
    </row>
    <row r="47" spans="1:56" ht="15.75" thickBot="1" x14ac:dyDescent="0.3">
      <c r="K47" s="708"/>
      <c r="AG47" s="33"/>
      <c r="AH47" s="33"/>
      <c r="AI47" s="142"/>
      <c r="AJ47" s="142"/>
      <c r="AK47" s="257">
        <f>SUMPRODUCT(Q46:T46,AG46:AJ46)</f>
        <v>17771.891534391532</v>
      </c>
      <c r="AL47" t="s">
        <v>110</v>
      </c>
      <c r="AM47" s="7"/>
      <c r="AN47" s="7"/>
      <c r="AO47" s="7"/>
      <c r="AP47" s="7"/>
      <c r="AQ47" s="7"/>
      <c r="AR47" s="7"/>
      <c r="AX47" s="7"/>
      <c r="AY47" s="7"/>
      <c r="AZ47" s="7"/>
      <c r="BA47" s="184"/>
      <c r="BB47" s="7"/>
      <c r="BC47" s="7"/>
      <c r="BD47" s="7"/>
    </row>
    <row r="48" spans="1:56" ht="15.75" thickBot="1" x14ac:dyDescent="0.3">
      <c r="K48" s="1"/>
      <c r="L48" s="152"/>
      <c r="M48" s="152" t="s">
        <v>180</v>
      </c>
      <c r="N48" s="303" t="s">
        <v>157</v>
      </c>
      <c r="O48" s="250" t="s">
        <v>177</v>
      </c>
      <c r="P48" s="17"/>
      <c r="Q48" s="17"/>
      <c r="R48" s="292"/>
      <c r="S48" s="17"/>
      <c r="T48" s="292"/>
      <c r="Y48" s="17"/>
      <c r="Z48" s="17"/>
      <c r="AA48" s="17"/>
      <c r="AB48" s="162"/>
      <c r="AG48" s="216"/>
      <c r="AH48" s="7"/>
      <c r="AI48" s="8"/>
      <c r="AJ48" s="142"/>
      <c r="AK48" s="257">
        <f>AK46-AK47</f>
        <v>466603.42288749368</v>
      </c>
      <c r="AL48" s="7" t="s">
        <v>102</v>
      </c>
      <c r="AM48" s="7"/>
      <c r="AN48" s="7"/>
      <c r="AO48" s="7"/>
      <c r="AP48" s="7"/>
      <c r="AQ48" s="7"/>
      <c r="AR48" s="7"/>
      <c r="AS48" s="7"/>
      <c r="AT48" s="7"/>
      <c r="AU48" s="7"/>
      <c r="AV48" s="7"/>
      <c r="AW48" s="7"/>
      <c r="AX48" s="7"/>
      <c r="AY48" s="7"/>
      <c r="AZ48" s="7"/>
      <c r="BA48" s="7"/>
      <c r="BB48" s="7"/>
      <c r="BC48" s="7"/>
      <c r="BD48" s="7"/>
    </row>
    <row r="49" spans="10:56" ht="15.75" thickBot="1" x14ac:dyDescent="0.3">
      <c r="J49" s="708"/>
      <c r="K49" s="5"/>
      <c r="L49" s="21" t="s">
        <v>178</v>
      </c>
      <c r="M49" s="443">
        <v>65</v>
      </c>
      <c r="N49" s="490">
        <f>(M49-$N$6)/$N$8</f>
        <v>5.5555555555555552E-2</v>
      </c>
      <c r="O49" s="491">
        <f>1-N49</f>
        <v>0.94444444444444442</v>
      </c>
      <c r="P49" s="274"/>
      <c r="Q49" s="492">
        <f>O49*O50</f>
        <v>0.91321281599059378</v>
      </c>
      <c r="R49" s="493">
        <f>N50*O49</f>
        <v>3.1231628453850673E-2</v>
      </c>
      <c r="S49" s="493">
        <f>N49*O50</f>
        <v>5.3718400940623162E-2</v>
      </c>
      <c r="T49" s="494">
        <f>N49*N50</f>
        <v>1.8371546149323925E-3</v>
      </c>
      <c r="X49" s="190">
        <f>SUM(U36:X36)</f>
        <v>1.9999999999999998</v>
      </c>
      <c r="Y49" s="190"/>
      <c r="Z49" s="190"/>
      <c r="AA49" s="190"/>
      <c r="AB49" s="190">
        <f>SUM(Y36:AB36)</f>
        <v>18990</v>
      </c>
      <c r="AC49" s="190"/>
      <c r="AD49" s="190"/>
      <c r="AE49" s="190"/>
      <c r="AF49" s="190">
        <f>SUM(AC36:AF36)</f>
        <v>26310</v>
      </c>
      <c r="AG49" s="190">
        <f>SUM(AG36:AJ36)</f>
        <v>37979.999999999993</v>
      </c>
      <c r="AH49" s="190"/>
      <c r="AI49" s="190"/>
      <c r="AJ49" s="190"/>
      <c r="AK49" s="260">
        <f>AK30-AK48</f>
        <v>-382284.22051181656</v>
      </c>
      <c r="AL49" s="54" t="s">
        <v>103</v>
      </c>
      <c r="AM49" s="7"/>
      <c r="AN49" s="7"/>
      <c r="AO49" s="7"/>
      <c r="AP49" s="7"/>
      <c r="AQ49" s="8"/>
      <c r="AR49" s="8"/>
      <c r="AS49" s="8"/>
      <c r="AT49" s="28"/>
      <c r="AU49" s="28"/>
      <c r="AV49" s="28"/>
      <c r="AW49" s="28"/>
      <c r="AX49" s="7"/>
      <c r="AY49" s="7"/>
      <c r="AZ49" s="7"/>
      <c r="BA49" s="7"/>
      <c r="BB49" s="7"/>
      <c r="BC49" s="7"/>
      <c r="BD49" s="7"/>
    </row>
    <row r="50" spans="10:56" x14ac:dyDescent="0.25">
      <c r="J50" s="708"/>
      <c r="K50" s="2"/>
      <c r="L50" s="719" t="s">
        <v>314</v>
      </c>
      <c r="M50" s="739">
        <f>M49^2</f>
        <v>4225</v>
      </c>
      <c r="N50" s="447">
        <f>(M50-$N$14)/$N$16</f>
        <v>3.3068783068783067E-2</v>
      </c>
      <c r="O50" s="448">
        <f>1-N50</f>
        <v>0.96693121693121697</v>
      </c>
      <c r="X50" s="190">
        <f>SUM(U37:X37)</f>
        <v>2</v>
      </c>
      <c r="Y50" s="190"/>
      <c r="Z50" s="190"/>
      <c r="AA50" s="190"/>
      <c r="AB50" s="190">
        <f>SUM(Y37:AB37)</f>
        <v>18990</v>
      </c>
      <c r="AF50" s="190">
        <f>SUM(AC37:AF37)</f>
        <v>26310</v>
      </c>
      <c r="AG50" s="190">
        <f>SUM(AG37:AJ37)</f>
        <v>37980</v>
      </c>
      <c r="AH50" s="190"/>
      <c r="AI50" s="190"/>
      <c r="AJ50" s="190"/>
      <c r="AK50" s="142"/>
      <c r="AL50" s="505"/>
      <c r="AM50" s="142"/>
      <c r="AN50" s="8"/>
      <c r="AO50" s="8"/>
      <c r="AP50" s="8"/>
      <c r="BB50" s="328"/>
    </row>
    <row r="51" spans="10:56" x14ac:dyDescent="0.25">
      <c r="K51" s="7"/>
      <c r="L51" s="740"/>
      <c r="X51" s="190">
        <f t="shared" ref="X51:X52" si="42">SUM(U45:X45)</f>
        <v>2</v>
      </c>
      <c r="Y51" s="190"/>
      <c r="Z51" s="190"/>
      <c r="AA51" s="190"/>
      <c r="AB51" s="190">
        <f t="shared" ref="AB51" si="43">SUM(Y45:AB45)</f>
        <v>18990</v>
      </c>
      <c r="AF51" s="190">
        <f>SUM(AC45:AF45)</f>
        <v>26310</v>
      </c>
      <c r="AG51" s="190">
        <f t="shared" ref="AG51:AG52" si="44">SUM(AG45:AJ45)</f>
        <v>37980</v>
      </c>
      <c r="AH51" s="190"/>
      <c r="AI51" s="190"/>
      <c r="AJ51" s="190"/>
      <c r="AK51" s="142"/>
      <c r="AL51" s="142"/>
      <c r="AM51" s="142"/>
      <c r="AN51" s="8"/>
      <c r="AO51" s="8"/>
      <c r="AP51" s="8"/>
    </row>
    <row r="52" spans="10:56" ht="15.75" thickBot="1" x14ac:dyDescent="0.3">
      <c r="K52" s="1"/>
      <c r="L52" s="730"/>
      <c r="M52" s="152" t="s">
        <v>180</v>
      </c>
      <c r="N52" s="303" t="s">
        <v>157</v>
      </c>
      <c r="O52" s="250" t="s">
        <v>177</v>
      </c>
      <c r="P52" s="17"/>
      <c r="Q52" s="17"/>
      <c r="R52" s="292"/>
      <c r="S52" s="17"/>
      <c r="T52" s="292"/>
      <c r="X52" s="190">
        <f t="shared" si="42"/>
        <v>2</v>
      </c>
      <c r="Y52" s="190"/>
      <c r="Z52" s="190"/>
      <c r="AA52" s="190"/>
      <c r="AB52" s="190">
        <f>SUM(Y46:AB46)</f>
        <v>18990</v>
      </c>
      <c r="AF52" s="190">
        <f t="shared" ref="AF52" si="45">SUM(AC46:AF46)</f>
        <v>26310</v>
      </c>
      <c r="AG52" s="190">
        <f t="shared" si="44"/>
        <v>37980</v>
      </c>
      <c r="AH52" s="190"/>
      <c r="AI52" s="190"/>
      <c r="AJ52" s="190"/>
      <c r="AK52" s="142"/>
      <c r="AL52" s="142"/>
      <c r="AM52" s="142"/>
      <c r="AN52" s="8"/>
      <c r="AO52" s="8"/>
      <c r="AP52" s="8"/>
    </row>
    <row r="53" spans="10:56" ht="15.75" thickBot="1" x14ac:dyDescent="0.3">
      <c r="K53" s="5"/>
      <c r="L53" s="21" t="s">
        <v>178</v>
      </c>
      <c r="M53" s="443">
        <v>95</v>
      </c>
      <c r="N53" s="490">
        <f>(M53-$N$6)/$N$8</f>
        <v>0.3888888888888889</v>
      </c>
      <c r="O53" s="491">
        <f>1-N53</f>
        <v>0.61111111111111116</v>
      </c>
      <c r="P53" s="274"/>
      <c r="Q53" s="492">
        <f>O53*O54</f>
        <v>0.43569958847736634</v>
      </c>
      <c r="R53" s="493">
        <f>N54*O53</f>
        <v>0.17541152263374488</v>
      </c>
      <c r="S53" s="493">
        <f>N53*O54</f>
        <v>0.27726337448559674</v>
      </c>
      <c r="T53" s="494">
        <f>N53*N54</f>
        <v>0.11162551440329219</v>
      </c>
      <c r="X53" s="190"/>
      <c r="Y53" s="190"/>
      <c r="Z53" s="190"/>
      <c r="AA53" s="190"/>
      <c r="AB53" s="190"/>
      <c r="AF53" s="190"/>
      <c r="AG53" s="190"/>
      <c r="AH53" s="190"/>
      <c r="AI53" s="190"/>
      <c r="AJ53" s="190"/>
      <c r="AK53" s="142"/>
      <c r="AL53" s="142"/>
      <c r="AM53" s="142"/>
      <c r="AN53" s="8"/>
      <c r="AO53" s="8"/>
      <c r="AP53" s="8"/>
    </row>
    <row r="54" spans="10:56" x14ac:dyDescent="0.25">
      <c r="K54" s="2"/>
      <c r="L54" s="719" t="s">
        <v>314</v>
      </c>
      <c r="M54" s="739">
        <f>M53^2</f>
        <v>9025</v>
      </c>
      <c r="N54" s="447">
        <f>(M54-$N$14)/$N$16</f>
        <v>0.28703703703703703</v>
      </c>
      <c r="O54" s="448">
        <f>1-N54</f>
        <v>0.71296296296296302</v>
      </c>
      <c r="X54" s="190"/>
      <c r="Y54" s="190"/>
      <c r="Z54" s="190"/>
      <c r="AA54" s="190"/>
      <c r="AB54" s="190"/>
      <c r="AF54" s="190"/>
      <c r="AG54" s="190"/>
      <c r="AH54" s="190"/>
      <c r="AI54" s="190"/>
      <c r="AJ54" s="190"/>
      <c r="AK54" s="142"/>
      <c r="AL54" s="142"/>
      <c r="AM54" s="142"/>
      <c r="AN54" s="8"/>
      <c r="AO54" s="8"/>
      <c r="AP54" s="8"/>
    </row>
    <row r="55" spans="10:56" x14ac:dyDescent="0.25">
      <c r="K55" s="7"/>
      <c r="L55" s="740"/>
      <c r="X55" s="190"/>
      <c r="Y55" s="190"/>
      <c r="Z55" s="190"/>
      <c r="AA55" s="190"/>
      <c r="AB55" s="190"/>
      <c r="AF55" s="190"/>
      <c r="AG55" s="190"/>
      <c r="AH55" s="190"/>
      <c r="AI55" s="190"/>
      <c r="AJ55" s="190"/>
      <c r="AK55" s="142"/>
      <c r="AL55" s="142"/>
      <c r="AM55" s="142"/>
      <c r="AN55" s="8"/>
      <c r="AO55" s="8"/>
      <c r="AP55" s="8"/>
    </row>
    <row r="56" spans="10:56" ht="15.75" thickBot="1" x14ac:dyDescent="0.3">
      <c r="K56" s="1"/>
      <c r="L56" s="730"/>
      <c r="M56" s="152" t="s">
        <v>180</v>
      </c>
      <c r="N56" s="303" t="s">
        <v>157</v>
      </c>
      <c r="O56" s="250" t="s">
        <v>177</v>
      </c>
      <c r="P56" s="17"/>
      <c r="Q56" s="17"/>
      <c r="R56" s="292"/>
      <c r="S56" s="17"/>
      <c r="T56" s="292"/>
      <c r="V56"/>
      <c r="W56" s="880" t="s">
        <v>315</v>
      </c>
      <c r="X56" s="880"/>
      <c r="Z56" s="190"/>
      <c r="AA56" s="190"/>
      <c r="AB56" s="190"/>
      <c r="AF56" s="190"/>
      <c r="AG56" s="190"/>
      <c r="AH56" s="190"/>
      <c r="AI56" s="190"/>
      <c r="AJ56" s="190"/>
      <c r="AK56" s="142"/>
      <c r="AL56" s="142"/>
      <c r="AM56" s="142"/>
      <c r="AN56" s="8"/>
      <c r="AO56" s="8"/>
      <c r="AP56" s="8"/>
    </row>
    <row r="57" spans="10:56" ht="15.75" thickBot="1" x14ac:dyDescent="0.3">
      <c r="K57" s="5"/>
      <c r="L57" s="21" t="s">
        <v>178</v>
      </c>
      <c r="M57" s="443">
        <v>105</v>
      </c>
      <c r="N57" s="490">
        <f>(M57-$N$6)/$N$8</f>
        <v>0.5</v>
      </c>
      <c r="O57" s="491">
        <f>1-N57</f>
        <v>0.5</v>
      </c>
      <c r="P57" s="274"/>
      <c r="Q57" s="492">
        <f>O57*O58</f>
        <v>0.3035714285714286</v>
      </c>
      <c r="R57" s="493">
        <f>N58*O57</f>
        <v>0.19642857142857142</v>
      </c>
      <c r="S57" s="493">
        <f>N57*O58</f>
        <v>0.3035714285714286</v>
      </c>
      <c r="T57" s="494">
        <f>N57*N58</f>
        <v>0.19642857142857142</v>
      </c>
      <c r="V57"/>
      <c r="W57"/>
      <c r="Z57" s="190"/>
      <c r="AA57" s="190"/>
      <c r="AB57" s="190"/>
      <c r="AF57" s="190"/>
      <c r="AG57" s="190"/>
      <c r="AH57" s="190"/>
      <c r="AI57" s="190"/>
      <c r="AJ57" s="190"/>
      <c r="AK57" s="142"/>
      <c r="AL57" s="142"/>
      <c r="AM57" s="142"/>
      <c r="AN57" s="8"/>
      <c r="AO57" s="8"/>
      <c r="AP57" s="8"/>
    </row>
    <row r="58" spans="10:56" x14ac:dyDescent="0.25">
      <c r="K58" s="2"/>
      <c r="L58" s="719" t="s">
        <v>314</v>
      </c>
      <c r="M58" s="739">
        <f>M57^2</f>
        <v>11025</v>
      </c>
      <c r="N58" s="447">
        <f>(M58-$N$14)/$N$16</f>
        <v>0.39285714285714285</v>
      </c>
      <c r="O58" s="448">
        <f>1-N58</f>
        <v>0.60714285714285721</v>
      </c>
      <c r="V58" s="741">
        <f>Q49</f>
        <v>0.91321281599059378</v>
      </c>
      <c r="W58" s="742">
        <f>R49</f>
        <v>3.1231628453850673E-2</v>
      </c>
      <c r="X58" s="742">
        <f>S49</f>
        <v>5.3718400940623162E-2</v>
      </c>
      <c r="Y58" s="743">
        <f>T49</f>
        <v>1.8371546149323925E-3</v>
      </c>
      <c r="Z58" s="190"/>
      <c r="AA58" s="190"/>
      <c r="AB58" s="190"/>
      <c r="AF58" s="190"/>
      <c r="AG58" s="190"/>
      <c r="AH58" s="190"/>
      <c r="AI58" s="190"/>
      <c r="AJ58" s="190"/>
      <c r="AK58" s="142"/>
      <c r="AL58" s="142"/>
      <c r="AM58" s="142"/>
      <c r="AN58" s="8"/>
      <c r="AO58" s="8"/>
      <c r="AP58" s="8"/>
    </row>
    <row r="59" spans="10:56" x14ac:dyDescent="0.25">
      <c r="K59" s="7"/>
      <c r="L59" s="740"/>
      <c r="V59" s="744">
        <f>Q53</f>
        <v>0.43569958847736634</v>
      </c>
      <c r="W59" s="189">
        <f>R53</f>
        <v>0.17541152263374488</v>
      </c>
      <c r="X59" s="189">
        <f>S53</f>
        <v>0.27726337448559674</v>
      </c>
      <c r="Y59" s="745">
        <f>T53</f>
        <v>0.11162551440329219</v>
      </c>
      <c r="Z59" s="190"/>
      <c r="AA59" s="190"/>
      <c r="AB59" s="190"/>
      <c r="AF59" s="190"/>
      <c r="AG59" s="190"/>
      <c r="AH59" s="190"/>
      <c r="AI59" s="190"/>
      <c r="AJ59" s="190"/>
      <c r="AK59" s="142"/>
      <c r="AL59" s="142"/>
      <c r="AM59" s="142"/>
      <c r="AN59" s="8"/>
      <c r="AO59" s="8"/>
      <c r="AP59" s="8"/>
    </row>
    <row r="60" spans="10:56" ht="15.75" thickBot="1" x14ac:dyDescent="0.3">
      <c r="K60" s="1"/>
      <c r="L60" s="730"/>
      <c r="M60" s="152" t="s">
        <v>180</v>
      </c>
      <c r="N60" s="303" t="s">
        <v>157</v>
      </c>
      <c r="O60" s="250" t="s">
        <v>177</v>
      </c>
      <c r="P60" s="17"/>
      <c r="Q60" s="17"/>
      <c r="R60" s="292"/>
      <c r="S60" s="17"/>
      <c r="T60" s="292"/>
      <c r="V60" s="746">
        <f>Q57</f>
        <v>0.3035714285714286</v>
      </c>
      <c r="W60" s="747">
        <f>R57</f>
        <v>0.19642857142857142</v>
      </c>
      <c r="X60" s="747">
        <f>S57</f>
        <v>0.3035714285714286</v>
      </c>
      <c r="Y60" s="748">
        <f>T57</f>
        <v>0.19642857142857142</v>
      </c>
      <c r="Z60" s="190"/>
      <c r="AA60" s="190"/>
      <c r="AB60" s="190"/>
      <c r="AF60" s="190"/>
      <c r="AG60" s="190"/>
      <c r="AH60" s="190"/>
      <c r="AI60" s="190"/>
      <c r="AJ60" s="190"/>
      <c r="AK60" s="142"/>
      <c r="AL60" s="142"/>
      <c r="AM60" s="142"/>
      <c r="AN60" s="8"/>
      <c r="AO60" s="8"/>
      <c r="AP60" s="8"/>
    </row>
    <row r="61" spans="10:56" ht="15.75" thickBot="1" x14ac:dyDescent="0.3">
      <c r="K61" s="5"/>
      <c r="L61" s="21" t="s">
        <v>178</v>
      </c>
      <c r="M61" s="443">
        <v>120</v>
      </c>
      <c r="N61" s="490">
        <f>(M61-$N$6)/$N$8</f>
        <v>0.66666666666666663</v>
      </c>
      <c r="O61" s="491">
        <f>1-N61</f>
        <v>0.33333333333333337</v>
      </c>
      <c r="P61" s="274"/>
      <c r="Q61" s="492">
        <f>O61*O62</f>
        <v>0.14285714285714288</v>
      </c>
      <c r="R61" s="493">
        <f>N62*O61</f>
        <v>0.19047619047619049</v>
      </c>
      <c r="S61" s="493">
        <f>N61*O62</f>
        <v>0.2857142857142857</v>
      </c>
      <c r="T61" s="494">
        <f>N61*N62</f>
        <v>0.38095238095238093</v>
      </c>
      <c r="V61" s="749">
        <f>Q61</f>
        <v>0.14285714285714288</v>
      </c>
      <c r="W61" s="750">
        <f>R61</f>
        <v>0.19047619047619049</v>
      </c>
      <c r="X61" s="750">
        <f>S61</f>
        <v>0.2857142857142857</v>
      </c>
      <c r="Y61" s="751">
        <f>T61</f>
        <v>0.38095238095238093</v>
      </c>
      <c r="Z61" s="190"/>
      <c r="AA61" s="190"/>
      <c r="AB61" s="190"/>
      <c r="AF61" s="190"/>
      <c r="AG61" s="190"/>
      <c r="AH61" s="190"/>
      <c r="AI61" s="190"/>
      <c r="AJ61" s="190"/>
      <c r="AK61" s="142"/>
      <c r="AL61" s="142"/>
      <c r="AM61" s="142"/>
      <c r="AN61" s="8"/>
      <c r="AO61" s="8"/>
      <c r="AP61" s="8"/>
    </row>
    <row r="62" spans="10:56" ht="15.75" thickBot="1" x14ac:dyDescent="0.3">
      <c r="K62" s="2"/>
      <c r="L62" s="719" t="s">
        <v>314</v>
      </c>
      <c r="M62" s="739">
        <f>M61^2</f>
        <v>14400</v>
      </c>
      <c r="N62" s="447">
        <f>(M62-$N$14)/$N$16</f>
        <v>0.5714285714285714</v>
      </c>
      <c r="O62" s="448">
        <f>1-N62</f>
        <v>0.4285714285714286</v>
      </c>
      <c r="V62" s="752">
        <f>Q65</f>
        <v>4.335684891240448E-3</v>
      </c>
      <c r="W62" s="753">
        <f>R65</f>
        <v>5.1219870664315131E-2</v>
      </c>
      <c r="X62" s="753">
        <f>S65</f>
        <v>7.3706643151087575E-2</v>
      </c>
      <c r="Y62" s="754">
        <f>T65</f>
        <v>0.87073780129335687</v>
      </c>
      <c r="Z62" s="190"/>
      <c r="AA62" s="190"/>
      <c r="AB62" s="190"/>
      <c r="AF62" s="190"/>
      <c r="AG62" s="190"/>
      <c r="AH62" s="190"/>
      <c r="AI62" s="190"/>
      <c r="AJ62" s="190"/>
      <c r="AK62" s="142"/>
      <c r="AL62" s="142"/>
      <c r="AM62" s="142"/>
      <c r="AN62" s="8"/>
      <c r="AO62" s="8"/>
      <c r="AP62" s="8"/>
    </row>
    <row r="63" spans="10:56" x14ac:dyDescent="0.25">
      <c r="K63" s="7"/>
      <c r="L63" s="740"/>
      <c r="X63" s="755"/>
      <c r="Y63" s="190"/>
      <c r="Z63" s="190"/>
      <c r="AA63" s="190"/>
      <c r="AB63" s="190"/>
      <c r="AF63" s="190"/>
      <c r="AG63" s="190"/>
      <c r="AH63" s="190"/>
      <c r="AI63" s="190"/>
      <c r="AJ63" s="190"/>
      <c r="AK63" s="142"/>
      <c r="AL63" s="142"/>
      <c r="AM63" s="142"/>
      <c r="AN63" s="8"/>
      <c r="AO63" s="8"/>
      <c r="AP63" s="8"/>
    </row>
    <row r="64" spans="10:56" ht="15.75" thickBot="1" x14ac:dyDescent="0.3">
      <c r="K64" s="1"/>
      <c r="L64" s="730"/>
      <c r="M64" s="152" t="s">
        <v>180</v>
      </c>
      <c r="N64" s="303" t="s">
        <v>157</v>
      </c>
      <c r="O64" s="250" t="s">
        <v>177</v>
      </c>
      <c r="P64" s="17"/>
      <c r="Q64" s="17"/>
      <c r="R64" s="292"/>
      <c r="S64" s="17"/>
      <c r="T64" s="292"/>
      <c r="X64" s="756"/>
      <c r="Y64" s="190"/>
      <c r="Z64" s="190"/>
      <c r="AA64" s="190"/>
      <c r="AB64" s="190"/>
      <c r="AF64" s="190"/>
      <c r="AG64" s="190"/>
      <c r="AH64" s="190"/>
      <c r="AI64" s="190"/>
      <c r="AJ64" s="190"/>
      <c r="AK64" s="142"/>
      <c r="AL64" s="142"/>
      <c r="AM64" s="142"/>
      <c r="AN64" s="8"/>
      <c r="AO64" s="8"/>
      <c r="AP64" s="8"/>
    </row>
    <row r="65" spans="3:42" ht="15.75" thickBot="1" x14ac:dyDescent="0.3">
      <c r="G65" s="25" t="s">
        <v>316</v>
      </c>
      <c r="K65" s="5"/>
      <c r="L65" s="21" t="s">
        <v>178</v>
      </c>
      <c r="M65" s="443">
        <v>145</v>
      </c>
      <c r="N65" s="490">
        <f>(M65-$N$6)/$N$8</f>
        <v>0.94444444444444442</v>
      </c>
      <c r="O65" s="491">
        <f>1-N65</f>
        <v>5.555555555555558E-2</v>
      </c>
      <c r="P65" s="274"/>
      <c r="Q65" s="492">
        <f>O65*O66</f>
        <v>4.335684891240448E-3</v>
      </c>
      <c r="R65" s="493">
        <f>N66*O65</f>
        <v>5.1219870664315131E-2</v>
      </c>
      <c r="S65" s="493">
        <f>N65*O66</f>
        <v>7.3706643151087575E-2</v>
      </c>
      <c r="T65" s="494">
        <f>N65*N66</f>
        <v>0.87073780129335687</v>
      </c>
      <c r="U65" s="304"/>
      <c r="V65" s="271"/>
      <c r="W65" s="271"/>
      <c r="X65" s="757"/>
      <c r="Y65" s="216"/>
      <c r="Z65" s="190"/>
      <c r="AA65" s="190"/>
      <c r="AB65" s="190"/>
      <c r="AF65" s="190"/>
      <c r="AG65" s="190"/>
      <c r="AH65" s="190"/>
      <c r="AI65" s="190"/>
      <c r="AJ65" s="190"/>
      <c r="AK65" s="142"/>
      <c r="AL65" s="142"/>
      <c r="AM65" s="142"/>
      <c r="AN65" s="8"/>
      <c r="AO65" s="8"/>
      <c r="AP65" s="8"/>
    </row>
    <row r="66" spans="3:42" x14ac:dyDescent="0.25">
      <c r="K66" s="2"/>
      <c r="L66" s="719" t="s">
        <v>314</v>
      </c>
      <c r="M66" s="739">
        <f>M65^2</f>
        <v>21025</v>
      </c>
      <c r="N66" s="447">
        <f>(M66-$N$14)/$N$16</f>
        <v>0.92195767195767198</v>
      </c>
      <c r="O66" s="448">
        <f>1-N66</f>
        <v>7.8042328042328024E-2</v>
      </c>
      <c r="X66" s="190"/>
      <c r="Y66" s="216"/>
      <c r="Z66" s="190"/>
      <c r="AA66" s="190"/>
      <c r="AB66" s="190"/>
      <c r="AF66" s="190"/>
      <c r="AG66" s="190"/>
      <c r="AH66" s="190"/>
      <c r="AI66" s="190"/>
      <c r="AJ66" s="190"/>
      <c r="AK66" s="142"/>
      <c r="AL66" s="142"/>
      <c r="AM66" s="142"/>
      <c r="AN66" s="8"/>
      <c r="AO66" s="8"/>
      <c r="AP66" s="8"/>
    </row>
    <row r="67" spans="3:42" x14ac:dyDescent="0.25">
      <c r="X67" s="190"/>
      <c r="Y67" s="190"/>
      <c r="Z67" s="190"/>
      <c r="AA67" s="190"/>
      <c r="AB67" s="190"/>
      <c r="AC67" s="190"/>
      <c r="AD67" s="190"/>
      <c r="AE67" s="190"/>
      <c r="AF67" s="190"/>
      <c r="AG67" s="8"/>
      <c r="AH67" s="8"/>
      <c r="AI67" s="8"/>
      <c r="AJ67" s="8"/>
      <c r="AK67" s="8"/>
      <c r="AL67" s="8"/>
    </row>
    <row r="68" spans="3:42" ht="21" x14ac:dyDescent="0.35">
      <c r="C68" s="141" t="s">
        <v>317</v>
      </c>
      <c r="I68" s="141" t="s">
        <v>318</v>
      </c>
      <c r="J68" s="33"/>
      <c r="K68" s="33"/>
      <c r="L68" s="33"/>
      <c r="N68" s="141" t="s">
        <v>319</v>
      </c>
      <c r="O68"/>
      <c r="P68"/>
      <c r="Q68"/>
      <c r="S68" s="141" t="s">
        <v>320</v>
      </c>
      <c r="T68"/>
      <c r="U68"/>
      <c r="V68"/>
      <c r="X68" s="190"/>
      <c r="Y68" s="190"/>
      <c r="Z68" s="190"/>
      <c r="AA68" s="190"/>
      <c r="AB68" s="190"/>
      <c r="AC68" s="190"/>
      <c r="AD68" s="190"/>
      <c r="AE68" s="190"/>
      <c r="AF68" s="190"/>
      <c r="AG68" s="8"/>
      <c r="AH68" s="8"/>
      <c r="AI68" s="8"/>
      <c r="AJ68" s="8"/>
      <c r="AK68" s="8"/>
      <c r="AL68" s="8"/>
    </row>
    <row r="69" spans="3:42" x14ac:dyDescent="0.25">
      <c r="I69" s="33"/>
      <c r="J69" s="33"/>
      <c r="K69" s="33"/>
      <c r="L69" s="33"/>
      <c r="N69"/>
      <c r="O69"/>
      <c r="P69"/>
      <c r="Q69"/>
      <c r="S69"/>
      <c r="T69"/>
      <c r="U69"/>
      <c r="V69"/>
      <c r="X69" s="190"/>
      <c r="Y69" s="190"/>
      <c r="Z69" s="190"/>
      <c r="AA69" s="190"/>
      <c r="AB69" s="190"/>
      <c r="AC69" s="190"/>
      <c r="AD69" s="190"/>
      <c r="AE69" s="190"/>
      <c r="AF69" s="190"/>
    </row>
    <row r="70" spans="3:42" x14ac:dyDescent="0.25">
      <c r="C70" s="758">
        <f>M37-M36</f>
        <v>7.940404478327685</v>
      </c>
      <c r="D70" s="758">
        <f>N37-N36</f>
        <v>0</v>
      </c>
      <c r="E70" s="758">
        <f>O37-O36</f>
        <v>0.47640978015546409</v>
      </c>
      <c r="F70" s="758">
        <f>P37-P36</f>
        <v>0</v>
      </c>
      <c r="I70" s="758">
        <f>M39-M38</f>
        <v>1.2337232899711768</v>
      </c>
      <c r="J70" s="758">
        <f>N39-N38</f>
        <v>17.175085208689737</v>
      </c>
      <c r="K70" s="758">
        <f>O39-O38</f>
        <v>0</v>
      </c>
      <c r="L70" s="758">
        <f>P39-P38</f>
        <v>20.451752426635309</v>
      </c>
      <c r="M70" s="17"/>
      <c r="N70" s="758">
        <f>M41-M40</f>
        <v>3</v>
      </c>
      <c r="O70" s="758">
        <f t="shared" ref="O70:Q70" si="46">N41-N40</f>
        <v>0</v>
      </c>
      <c r="P70" s="758">
        <f t="shared" si="46"/>
        <v>3</v>
      </c>
      <c r="Q70" s="758">
        <f t="shared" si="46"/>
        <v>0</v>
      </c>
      <c r="S70" s="758">
        <f>M43-M42</f>
        <v>0</v>
      </c>
      <c r="T70" s="758">
        <f t="shared" ref="T70:V70" si="47">N43-N42</f>
        <v>3</v>
      </c>
      <c r="U70" s="758">
        <f t="shared" si="47"/>
        <v>0</v>
      </c>
      <c r="V70" s="758">
        <f t="shared" si="47"/>
        <v>3</v>
      </c>
      <c r="X70" s="190"/>
      <c r="Y70" s="190"/>
      <c r="Z70" s="190"/>
      <c r="AA70" s="190"/>
      <c r="AB70" s="190"/>
      <c r="AC70" s="190"/>
      <c r="AD70" s="190"/>
      <c r="AE70" s="190"/>
      <c r="AF70" s="190"/>
    </row>
    <row r="71" spans="3:42" x14ac:dyDescent="0.25">
      <c r="C71" s="8"/>
      <c r="D71" s="8"/>
      <c r="I71" s="33"/>
      <c r="J71" s="33"/>
      <c r="K71" s="33"/>
      <c r="L71" s="33"/>
      <c r="N71" s="8"/>
      <c r="O71" s="8"/>
      <c r="P71"/>
      <c r="Q71"/>
      <c r="S71" s="8"/>
      <c r="T71" s="8"/>
      <c r="U71"/>
      <c r="V71"/>
      <c r="X71" s="190"/>
      <c r="Y71" s="190"/>
      <c r="Z71" s="190"/>
      <c r="AA71" s="190"/>
      <c r="AB71" s="190"/>
      <c r="AC71" s="190"/>
      <c r="AD71" s="190"/>
      <c r="AE71" s="190"/>
      <c r="AF71" s="190"/>
    </row>
    <row r="72" spans="3:42" x14ac:dyDescent="0.25">
      <c r="C72" s="759" t="s">
        <v>184</v>
      </c>
      <c r="D72" s="760" t="s">
        <v>321</v>
      </c>
      <c r="F72" t="s">
        <v>245</v>
      </c>
      <c r="I72" s="759" t="s">
        <v>184</v>
      </c>
      <c r="J72" s="760" t="s">
        <v>321</v>
      </c>
      <c r="K72" s="33"/>
      <c r="L72" t="s">
        <v>245</v>
      </c>
      <c r="N72" s="759" t="s">
        <v>184</v>
      </c>
      <c r="O72" s="760" t="s">
        <v>321</v>
      </c>
      <c r="P72"/>
      <c r="Q72" t="s">
        <v>245</v>
      </c>
      <c r="S72" s="759" t="s">
        <v>184</v>
      </c>
      <c r="T72" s="760" t="s">
        <v>321</v>
      </c>
      <c r="U72"/>
      <c r="V72" t="s">
        <v>245</v>
      </c>
    </row>
    <row r="73" spans="3:42" x14ac:dyDescent="0.25">
      <c r="C73" s="759">
        <f>SUMPRODUCT($C$70:$F$70,$Q$36:$T$36)</f>
        <v>0.17929265249822182</v>
      </c>
      <c r="D73" s="761">
        <f>SUMPRODUCT(C$70:F$70,$V58:$Y58)</f>
        <v>7.2768711053403727</v>
      </c>
      <c r="F73" s="762">
        <f>(D73-C73)/C73</f>
        <v>39.586555020220601</v>
      </c>
      <c r="I73" s="759">
        <f>SUMPRODUCT($I$70:$L$70,$Q$38:$T$38)</f>
        <v>10.794037588872058</v>
      </c>
      <c r="J73" s="761">
        <f>SUMPRODUCT(I$70:L$70,$V58:$Y58)</f>
        <v>1.7006308310428304</v>
      </c>
      <c r="K73" s="33"/>
      <c r="L73" s="762">
        <f>(J73-I73)/I73</f>
        <v>-0.84244720133307038</v>
      </c>
      <c r="N73" s="759">
        <f>SUMPRODUCT($N$70:$Q$70,$Q$40:$T$40)</f>
        <v>1.5</v>
      </c>
      <c r="O73" s="761">
        <f>SUMPRODUCT(N$70:Q$70,$V58:$Y58)</f>
        <v>2.9007936507936507</v>
      </c>
      <c r="P73"/>
      <c r="Q73" s="762">
        <f>(O73-N73)/N73</f>
        <v>0.93386243386243384</v>
      </c>
      <c r="S73" s="759">
        <f>SUMPRODUCT($S$70:$V$70,$Q$42:$T$42)</f>
        <v>1.5</v>
      </c>
      <c r="T73" s="761">
        <f>SUMPRODUCT(S$70:V$70,$V58:$Y58)</f>
        <v>9.9206349206349187E-2</v>
      </c>
      <c r="U73"/>
      <c r="V73" s="762">
        <f>(T73-S73)/S73</f>
        <v>-0.93386243386243384</v>
      </c>
    </row>
    <row r="74" spans="3:42" x14ac:dyDescent="0.25">
      <c r="C74" s="759">
        <f t="shared" ref="C74:C77" si="48">SUMPRODUCT($C$70:$F$70,$Q$36:$T$36)</f>
        <v>0.17929265249822182</v>
      </c>
      <c r="D74" s="761">
        <f t="shared" ref="D74:D77" si="49">SUMPRODUCT(C$70:F$70,$V59:$Y59)</f>
        <v>3.5917219468350545</v>
      </c>
      <c r="F74" s="762">
        <f>(D74-C74)/C74</f>
        <v>19.032733616179147</v>
      </c>
      <c r="I74" s="759">
        <f t="shared" ref="I74:I77" si="50">SUMPRODUCT($I$70:$L$70,$Q$38:$T$38)</f>
        <v>10.794037588872058</v>
      </c>
      <c r="J74" s="761">
        <f t="shared" ref="J74:J77" si="51">SUMPRODUCT(I$70:L$70,$V59:$Y59)</f>
        <v>5.8331779626279063</v>
      </c>
      <c r="K74" s="33"/>
      <c r="L74" s="762">
        <f>(J74-I74)/I74</f>
        <v>-0.45959258390562502</v>
      </c>
      <c r="N74" s="759">
        <f t="shared" ref="N74:N77" si="52">SUMPRODUCT($N$70:$Q$70,$Q$40:$T$40)</f>
        <v>1.5</v>
      </c>
      <c r="O74" s="761">
        <f>SUMPRODUCT(N$70:Q$70,$V59:$Y59)</f>
        <v>2.1388888888888893</v>
      </c>
      <c r="P74"/>
      <c r="Q74" s="762">
        <f>(O74-N74)/N74</f>
        <v>0.42592592592592621</v>
      </c>
      <c r="S74" s="759">
        <f t="shared" ref="S74:S77" si="53">SUMPRODUCT($S$70:$V$70,$Q$42:$T$42)</f>
        <v>1.5</v>
      </c>
      <c r="T74" s="761">
        <f t="shared" ref="T74:T77" si="54">SUMPRODUCT(S$70:V$70,$V59:$Y59)</f>
        <v>0.86111111111111116</v>
      </c>
      <c r="U74"/>
      <c r="V74" s="762">
        <f>(T74-S74)/S74</f>
        <v>-0.42592592592592587</v>
      </c>
    </row>
    <row r="75" spans="3:42" x14ac:dyDescent="0.25">
      <c r="C75" s="759">
        <f t="shared" si="48"/>
        <v>0.17929265249822182</v>
      </c>
      <c r="D75" s="761">
        <f t="shared" si="49"/>
        <v>2.5551043284680994</v>
      </c>
      <c r="F75" s="762">
        <f>(D75-C75)/C75</f>
        <v>13.25102642448463</v>
      </c>
      <c r="I75" s="759">
        <f t="shared" si="50"/>
        <v>10.794037588872058</v>
      </c>
      <c r="J75" s="761">
        <f t="shared" si="51"/>
        <v>7.7655091056800991</v>
      </c>
      <c r="K75" s="33"/>
      <c r="L75" s="762">
        <f>(J75-I75)/I75</f>
        <v>-0.28057420203114469</v>
      </c>
      <c r="N75" s="759">
        <f t="shared" si="52"/>
        <v>1.5</v>
      </c>
      <c r="O75" s="761">
        <f>SUMPRODUCT(N$70:Q$70,$V60:$Y60)</f>
        <v>1.8214285714285716</v>
      </c>
      <c r="P75"/>
      <c r="Q75" s="762">
        <f>(O75-N75)/N75</f>
        <v>0.21428571428571441</v>
      </c>
      <c r="S75" s="759">
        <f t="shared" si="53"/>
        <v>1.5</v>
      </c>
      <c r="T75" s="761">
        <f t="shared" si="54"/>
        <v>1.1785714285714286</v>
      </c>
      <c r="U75"/>
      <c r="V75" s="762">
        <f>(T75-S75)/S75</f>
        <v>-0.21428571428571427</v>
      </c>
    </row>
    <row r="76" spans="3:42" x14ac:dyDescent="0.25">
      <c r="C76" s="759">
        <f t="shared" si="48"/>
        <v>0.17929265249822182</v>
      </c>
      <c r="D76" s="761">
        <f t="shared" si="49"/>
        <v>1.2704605769483734</v>
      </c>
      <c r="F76" s="762">
        <f>(D76-C76)/C76</f>
        <v>6.0859600727975929</v>
      </c>
      <c r="I76" s="759">
        <f t="shared" si="50"/>
        <v>10.794037588872058</v>
      </c>
      <c r="J76" s="761">
        <f t="shared" si="51"/>
        <v>11.23883476751214</v>
      </c>
      <c r="K76" s="33"/>
      <c r="L76" s="762">
        <f>(J76-I76)/I76</f>
        <v>4.1207673678905689E-2</v>
      </c>
      <c r="N76" s="759">
        <f t="shared" si="52"/>
        <v>1.5</v>
      </c>
      <c r="O76" s="761">
        <f>SUMPRODUCT(N$70:Q$70,$V61:$Y61)</f>
        <v>1.2857142857142856</v>
      </c>
      <c r="P76"/>
      <c r="Q76" s="762">
        <f>(O76-N76)/N76</f>
        <v>-0.14285714285714293</v>
      </c>
      <c r="S76" s="759">
        <f t="shared" si="53"/>
        <v>1.5</v>
      </c>
      <c r="T76" s="761">
        <f>SUMPRODUCT(S$70:V$70,$V61:$Y61)</f>
        <v>1.7142857142857144</v>
      </c>
      <c r="U76"/>
      <c r="V76" s="762">
        <f>(T76-S76)/S76</f>
        <v>0.14285714285714293</v>
      </c>
    </row>
    <row r="77" spans="3:42" x14ac:dyDescent="0.25">
      <c r="C77" s="759">
        <f t="shared" si="48"/>
        <v>0.17929265249822182</v>
      </c>
      <c r="D77" s="761">
        <f t="shared" si="49"/>
        <v>6.9541657386630207E-2</v>
      </c>
      <c r="F77" s="762">
        <f>(D77-C77)/C77</f>
        <v>-0.61213325578235889</v>
      </c>
      <c r="I77" s="759">
        <f t="shared" si="50"/>
        <v>10.794037588872058</v>
      </c>
      <c r="J77" s="761">
        <f t="shared" si="51"/>
        <v>18.693168619030487</v>
      </c>
      <c r="K77" s="33"/>
      <c r="L77" s="762">
        <f>(J77-I77)/I77</f>
        <v>0.73180503265079544</v>
      </c>
      <c r="N77" s="759">
        <f t="shared" si="52"/>
        <v>1.5</v>
      </c>
      <c r="O77" s="761">
        <f>SUMPRODUCT(N$70:Q$70,$V62:$Y62)</f>
        <v>0.23412698412698407</v>
      </c>
      <c r="P77"/>
      <c r="Q77" s="762">
        <f>(O77-N77)/N77</f>
        <v>-0.84391534391534384</v>
      </c>
      <c r="S77" s="759">
        <f t="shared" si="53"/>
        <v>1.5</v>
      </c>
      <c r="T77" s="761">
        <f t="shared" si="54"/>
        <v>2.7658730158730158</v>
      </c>
      <c r="U77"/>
      <c r="V77" s="762">
        <f>(T77-S77)/S77</f>
        <v>0.84391534391534384</v>
      </c>
    </row>
    <row r="78" spans="3:42" x14ac:dyDescent="0.25">
      <c r="L78" s="112"/>
      <c r="M78" s="759"/>
      <c r="N78" s="759"/>
      <c r="O78" s="759"/>
      <c r="P78" s="759"/>
    </row>
    <row r="80" spans="3:42" x14ac:dyDescent="0.25">
      <c r="K80" s="8"/>
      <c r="L80" s="8"/>
      <c r="M80" s="86" t="s">
        <v>322</v>
      </c>
      <c r="N80" s="86" t="s">
        <v>323</v>
      </c>
      <c r="O80" s="145" t="s">
        <v>324</v>
      </c>
      <c r="P80" s="759" t="s">
        <v>325</v>
      </c>
      <c r="Q80" s="145" t="s">
        <v>326</v>
      </c>
      <c r="R80" s="142"/>
      <c r="S80" s="142"/>
      <c r="T80" s="142"/>
      <c r="U80" s="142"/>
    </row>
    <row r="81" spans="4:21" x14ac:dyDescent="0.25">
      <c r="I81" s="485"/>
      <c r="J81" s="761"/>
      <c r="K81" s="504"/>
      <c r="L81" s="8"/>
      <c r="M81" s="763">
        <f>M49</f>
        <v>65</v>
      </c>
      <c r="N81" s="764"/>
      <c r="O81" s="765">
        <f>L73</f>
        <v>-0.84244720133307038</v>
      </c>
      <c r="P81" s="765">
        <f>Q73</f>
        <v>0.93386243386243384</v>
      </c>
      <c r="Q81" s="765">
        <f>V73</f>
        <v>-0.93386243386243384</v>
      </c>
      <c r="R81" s="145"/>
      <c r="S81" s="145"/>
      <c r="T81" s="145"/>
      <c r="U81" s="142"/>
    </row>
    <row r="82" spans="4:21" x14ac:dyDescent="0.25">
      <c r="I82" s="485"/>
      <c r="J82" s="761"/>
      <c r="K82" s="504"/>
      <c r="L82" s="144"/>
      <c r="M82" s="763">
        <f>M53</f>
        <v>95</v>
      </c>
      <c r="N82" s="764"/>
      <c r="O82" s="765">
        <f>L74</f>
        <v>-0.45959258390562502</v>
      </c>
      <c r="P82" s="765">
        <f t="shared" ref="P82:P85" si="55">Q74</f>
        <v>0.42592592592592621</v>
      </c>
      <c r="Q82" s="765">
        <f t="shared" ref="Q82:Q85" si="56">V74</f>
        <v>-0.42592592592592587</v>
      </c>
      <c r="R82" s="653"/>
      <c r="S82" s="653"/>
      <c r="T82" s="653"/>
      <c r="U82" s="142"/>
    </row>
    <row r="83" spans="4:21" x14ac:dyDescent="0.25">
      <c r="I83" s="485"/>
      <c r="J83" s="761"/>
      <c r="K83" s="504"/>
      <c r="L83" s="144"/>
      <c r="M83" s="763">
        <f>M57</f>
        <v>105</v>
      </c>
      <c r="N83" s="764"/>
      <c r="O83" s="765">
        <f>L75</f>
        <v>-0.28057420203114469</v>
      </c>
      <c r="P83" s="765">
        <f t="shared" si="55"/>
        <v>0.21428571428571441</v>
      </c>
      <c r="Q83" s="765">
        <f t="shared" si="56"/>
        <v>-0.21428571428571427</v>
      </c>
      <c r="R83" s="653"/>
      <c r="S83" s="653"/>
      <c r="T83" s="653"/>
      <c r="U83" s="142"/>
    </row>
    <row r="84" spans="4:21" x14ac:dyDescent="0.25">
      <c r="D84" t="s">
        <v>327</v>
      </c>
      <c r="I84" s="485"/>
      <c r="J84" s="761"/>
      <c r="K84" s="504"/>
      <c r="L84" s="144"/>
      <c r="M84" s="763">
        <f>M61</f>
        <v>120</v>
      </c>
      <c r="N84" s="764">
        <f>F76</f>
        <v>6.0859600727975929</v>
      </c>
      <c r="O84" s="765">
        <f>L76</f>
        <v>4.1207673678905689E-2</v>
      </c>
      <c r="P84" s="765">
        <f t="shared" si="55"/>
        <v>-0.14285714285714293</v>
      </c>
      <c r="Q84" s="765">
        <f t="shared" si="56"/>
        <v>0.14285714285714293</v>
      </c>
      <c r="R84" s="396"/>
      <c r="S84" s="396"/>
      <c r="T84" s="396"/>
      <c r="U84" s="142"/>
    </row>
    <row r="85" spans="4:21" x14ac:dyDescent="0.25">
      <c r="I85" s="485"/>
      <c r="J85" s="761"/>
      <c r="K85" s="504"/>
      <c r="L85" s="8"/>
      <c r="M85" s="763">
        <f>M65</f>
        <v>145</v>
      </c>
      <c r="N85" s="764">
        <f>F77</f>
        <v>-0.61213325578235889</v>
      </c>
      <c r="O85" s="765">
        <f>L77</f>
        <v>0.73180503265079544</v>
      </c>
      <c r="P85" s="765">
        <f t="shared" si="55"/>
        <v>-0.84391534391534384</v>
      </c>
      <c r="Q85" s="765">
        <f t="shared" si="56"/>
        <v>0.84391534391534384</v>
      </c>
      <c r="R85" s="142"/>
      <c r="S85" s="142"/>
      <c r="T85" s="142"/>
      <c r="U85" s="142"/>
    </row>
    <row r="86" spans="4:21" x14ac:dyDescent="0.25">
      <c r="D86" t="s">
        <v>328</v>
      </c>
      <c r="K86" s="8"/>
      <c r="L86" s="8"/>
      <c r="M86" s="142"/>
      <c r="N86" s="142"/>
      <c r="O86" s="142"/>
      <c r="P86" s="396"/>
      <c r="Q86" s="142"/>
      <c r="R86" s="142"/>
      <c r="S86" s="142"/>
      <c r="T86" s="142"/>
      <c r="U86" s="142"/>
    </row>
    <row r="87" spans="4:21" x14ac:dyDescent="0.25">
      <c r="K87" s="8"/>
      <c r="L87" s="8"/>
      <c r="M87" s="142"/>
      <c r="N87" s="142"/>
      <c r="O87" s="142"/>
      <c r="P87" s="142"/>
      <c r="Q87" s="142"/>
      <c r="R87" s="142"/>
      <c r="S87" s="142"/>
      <c r="T87" s="142"/>
      <c r="U87" s="142"/>
    </row>
    <row r="88" spans="4:21" x14ac:dyDescent="0.25">
      <c r="K88" s="8"/>
      <c r="L88" s="8"/>
      <c r="M88" s="142"/>
      <c r="N88" s="142"/>
      <c r="O88" s="142"/>
      <c r="P88" s="142"/>
      <c r="Q88" s="142"/>
      <c r="R88" s="142"/>
      <c r="S88" s="142"/>
      <c r="T88" s="142"/>
      <c r="U88" s="142"/>
    </row>
    <row r="89" spans="4:21" x14ac:dyDescent="0.25">
      <c r="K89" s="8"/>
      <c r="L89" s="8"/>
      <c r="M89" s="142"/>
      <c r="N89" s="142"/>
      <c r="O89" s="142"/>
      <c r="P89" s="142"/>
      <c r="Q89" s="142"/>
      <c r="R89" s="142"/>
      <c r="S89" s="142"/>
      <c r="T89" s="142"/>
      <c r="U89" s="142"/>
    </row>
    <row r="90" spans="4:21" x14ac:dyDescent="0.25">
      <c r="K90" s="8"/>
      <c r="L90" s="8"/>
      <c r="M90" s="142"/>
      <c r="N90" s="142"/>
      <c r="O90" s="142"/>
      <c r="P90" s="142"/>
      <c r="Q90" s="142"/>
      <c r="R90" s="142"/>
      <c r="S90" s="142"/>
      <c r="T90" s="142"/>
      <c r="U90" s="142"/>
    </row>
    <row r="91" spans="4:21" x14ac:dyDescent="0.25">
      <c r="K91" s="8"/>
      <c r="L91" s="8"/>
      <c r="M91" s="142"/>
      <c r="N91" s="142"/>
      <c r="O91" s="142"/>
      <c r="P91" s="142"/>
      <c r="Q91" s="142"/>
      <c r="R91" s="142"/>
      <c r="S91" s="142"/>
      <c r="T91" s="142"/>
      <c r="U91" s="142"/>
    </row>
    <row r="92" spans="4:21" x14ac:dyDescent="0.25">
      <c r="K92" s="8"/>
      <c r="L92" s="8"/>
      <c r="M92" s="142"/>
      <c r="N92" s="142"/>
      <c r="O92" s="142"/>
      <c r="P92" s="142"/>
      <c r="Q92" s="142"/>
      <c r="R92" s="142"/>
      <c r="S92" s="142"/>
      <c r="T92" s="142"/>
      <c r="U92" s="142"/>
    </row>
  </sheetData>
  <mergeCells count="6">
    <mergeCell ref="W56:X56"/>
    <mergeCell ref="L5:L11"/>
    <mergeCell ref="L13:L19"/>
    <mergeCell ref="L21:L25"/>
    <mergeCell ref="B28:E28"/>
    <mergeCell ref="G28:J2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75"/>
  <sheetViews>
    <sheetView zoomScaleNormal="100" workbookViewId="0">
      <selection activeCell="J17" sqref="J17"/>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361</v>
      </c>
    </row>
    <row r="3" spans="2:34" ht="21" x14ac:dyDescent="0.35">
      <c r="B3" s="593" t="s">
        <v>269</v>
      </c>
    </row>
    <row r="4" spans="2:34" x14ac:dyDescent="0.25">
      <c r="G4" s="834" t="s">
        <v>166</v>
      </c>
      <c r="H4" s="152" t="s">
        <v>4</v>
      </c>
      <c r="I4" s="278" t="s">
        <v>136</v>
      </c>
      <c r="J4" s="278"/>
      <c r="K4" s="278"/>
      <c r="L4" s="278"/>
      <c r="M4" s="273"/>
    </row>
    <row r="5" spans="2:34" ht="23.25" x14ac:dyDescent="0.35">
      <c r="B5" s="791" t="s">
        <v>385</v>
      </c>
      <c r="G5" s="835"/>
      <c r="H5" s="17" t="s">
        <v>137</v>
      </c>
      <c r="I5" s="17" t="s">
        <v>3</v>
      </c>
      <c r="J5" s="17"/>
      <c r="K5" s="17"/>
      <c r="L5" s="17"/>
      <c r="M5" s="252"/>
      <c r="V5" s="7"/>
      <c r="W5" s="7"/>
      <c r="X5" s="7"/>
      <c r="Y5" s="7"/>
    </row>
    <row r="6" spans="2:34" ht="18.75" x14ac:dyDescent="0.3">
      <c r="B6" s="186" t="s">
        <v>362</v>
      </c>
      <c r="G6" s="836"/>
      <c r="H6" s="271" t="s">
        <v>138</v>
      </c>
      <c r="I6" s="271" t="s">
        <v>2</v>
      </c>
      <c r="J6" s="271"/>
      <c r="K6" s="271"/>
      <c r="L6" s="271"/>
      <c r="M6" s="274"/>
      <c r="V6" s="18"/>
      <c r="W6" s="7"/>
      <c r="X6" s="7"/>
      <c r="Y6" s="7"/>
    </row>
    <row r="7" spans="2:34" x14ac:dyDescent="0.25">
      <c r="G7" s="270"/>
      <c r="H7" s="33"/>
      <c r="V7" s="7"/>
      <c r="W7" s="7"/>
      <c r="X7" s="7"/>
      <c r="Y7" s="7"/>
    </row>
    <row r="8" spans="2:34" x14ac:dyDescent="0.25">
      <c r="G8" s="834" t="s">
        <v>170</v>
      </c>
      <c r="H8" s="152" t="s">
        <v>4</v>
      </c>
      <c r="I8" s="278" t="s">
        <v>147</v>
      </c>
      <c r="J8" s="278"/>
      <c r="K8" s="278"/>
      <c r="L8" s="278"/>
      <c r="M8" s="273"/>
      <c r="V8" s="18"/>
    </row>
    <row r="9" spans="2:34" x14ac:dyDescent="0.25">
      <c r="G9" s="835"/>
      <c r="H9" s="17" t="s">
        <v>137</v>
      </c>
      <c r="I9" s="17" t="s">
        <v>3</v>
      </c>
      <c r="J9" s="17"/>
      <c r="K9" s="17"/>
      <c r="L9" s="17"/>
      <c r="M9" s="252"/>
      <c r="V9" s="18"/>
    </row>
    <row r="10" spans="2:34" x14ac:dyDescent="0.25">
      <c r="G10" s="836"/>
      <c r="H10" s="271" t="s">
        <v>138</v>
      </c>
      <c r="I10" s="271" t="s">
        <v>2</v>
      </c>
      <c r="J10" s="271"/>
      <c r="K10" s="271"/>
      <c r="L10" s="271"/>
      <c r="M10" s="274"/>
      <c r="V10" s="18"/>
    </row>
    <row r="11" spans="2:34" ht="15.75" thickBot="1" x14ac:dyDescent="0.3">
      <c r="G11" s="269"/>
      <c r="H11" s="7"/>
      <c r="I11" s="267"/>
      <c r="J11" s="7"/>
      <c r="K11" s="17"/>
      <c r="L11" s="17"/>
      <c r="M11" s="17"/>
      <c r="V11" s="18"/>
    </row>
    <row r="12" spans="2:34" x14ac:dyDescent="0.25">
      <c r="G12" s="837" t="s">
        <v>155</v>
      </c>
      <c r="H12" s="10" t="s">
        <v>167</v>
      </c>
      <c r="I12" s="288" t="s">
        <v>171</v>
      </c>
      <c r="J12" s="265" t="s">
        <v>169</v>
      </c>
      <c r="K12" s="265"/>
      <c r="L12" s="265"/>
      <c r="M12" s="263"/>
      <c r="V12" s="18"/>
    </row>
    <row r="13" spans="2:34" x14ac:dyDescent="0.25">
      <c r="G13" s="838"/>
      <c r="H13" s="17" t="s">
        <v>142</v>
      </c>
      <c r="I13" s="268">
        <f>COUNTA(I22:L22)</f>
        <v>4</v>
      </c>
      <c r="J13" s="17" t="s">
        <v>143</v>
      </c>
      <c r="K13" s="17"/>
      <c r="L13" s="17"/>
      <c r="M13" s="204"/>
      <c r="V13" s="18"/>
      <c r="Z13" s="7"/>
      <c r="AA13" s="7"/>
      <c r="AB13" s="7"/>
      <c r="AC13" s="7"/>
      <c r="AD13" s="7"/>
      <c r="AE13" s="7"/>
      <c r="AF13" s="7"/>
      <c r="AG13" s="7"/>
      <c r="AH13" s="7"/>
    </row>
    <row r="14" spans="2:34" x14ac:dyDescent="0.25">
      <c r="G14" s="838"/>
      <c r="H14" s="17" t="s">
        <v>5</v>
      </c>
      <c r="I14" s="267">
        <v>8</v>
      </c>
      <c r="J14" s="17" t="s">
        <v>146</v>
      </c>
      <c r="K14" s="17"/>
      <c r="L14" s="17"/>
      <c r="M14" s="204"/>
      <c r="V14" s="18"/>
      <c r="Z14" s="7"/>
      <c r="AA14" s="7"/>
      <c r="AB14" s="7"/>
      <c r="AC14" s="7"/>
      <c r="AD14" s="7"/>
      <c r="AE14" s="7"/>
      <c r="AF14" s="7"/>
      <c r="AG14" s="7"/>
      <c r="AH14" s="7"/>
    </row>
    <row r="15" spans="2:34" ht="15.75" thickBot="1" x14ac:dyDescent="0.3">
      <c r="G15" s="839"/>
      <c r="H15" s="168" t="s">
        <v>144</v>
      </c>
      <c r="I15" s="289">
        <f>U23</f>
        <v>11.090364888959126</v>
      </c>
      <c r="J15" s="168" t="s">
        <v>145</v>
      </c>
      <c r="K15" s="266"/>
      <c r="L15" s="266"/>
      <c r="M15" s="264"/>
      <c r="V15" s="18"/>
      <c r="Z15" s="7"/>
      <c r="AA15" s="7"/>
      <c r="AB15" s="7"/>
      <c r="AC15" s="7"/>
      <c r="AD15" s="7"/>
      <c r="AE15" s="7"/>
      <c r="AF15" s="7"/>
      <c r="AG15" s="7"/>
      <c r="AH15" s="7"/>
    </row>
    <row r="16" spans="2:34" x14ac:dyDescent="0.25">
      <c r="G16" s="270"/>
      <c r="H16" s="7"/>
      <c r="I16" s="267"/>
      <c r="J16" s="7"/>
      <c r="K16" s="17"/>
      <c r="L16" s="17"/>
      <c r="M16" s="17"/>
      <c r="V16" s="18"/>
      <c r="Z16" s="7"/>
      <c r="AA16" s="7"/>
      <c r="AB16" s="7"/>
      <c r="AC16" s="7"/>
      <c r="AD16" s="7"/>
      <c r="AE16" s="7"/>
      <c r="AF16" s="7"/>
      <c r="AG16" s="7"/>
      <c r="AH16" s="7"/>
    </row>
    <row r="17" spans="1:33" x14ac:dyDescent="0.25">
      <c r="G17" s="270"/>
      <c r="H17" s="7"/>
      <c r="I17" s="267"/>
      <c r="J17" s="7"/>
      <c r="K17" s="17"/>
      <c r="L17" s="17"/>
      <c r="M17" s="17"/>
      <c r="V17" s="18"/>
    </row>
    <row r="18" spans="1:33" x14ac:dyDescent="0.25">
      <c r="G18" s="270"/>
      <c r="H18" s="7"/>
      <c r="I18" s="267"/>
      <c r="J18" s="7"/>
      <c r="K18" s="17"/>
      <c r="L18" s="17"/>
      <c r="M18" s="17"/>
      <c r="Q18" s="86" t="s">
        <v>270</v>
      </c>
      <c r="R18" s="86" t="s">
        <v>270</v>
      </c>
      <c r="S18" s="86" t="s">
        <v>271</v>
      </c>
      <c r="T18" s="86" t="s">
        <v>272</v>
      </c>
      <c r="V18" s="18"/>
    </row>
    <row r="19" spans="1:33" x14ac:dyDescent="0.25">
      <c r="Q19" s="86" t="s">
        <v>273</v>
      </c>
      <c r="R19" s="86" t="s">
        <v>274</v>
      </c>
      <c r="S19" s="86" t="s">
        <v>275</v>
      </c>
      <c r="T19" s="86" t="s">
        <v>276</v>
      </c>
      <c r="V19" s="18"/>
    </row>
    <row r="20" spans="1:33" ht="15.75" thickBot="1" x14ac:dyDescent="0.3"/>
    <row r="21" spans="1:33" ht="27.75" customHeight="1" x14ac:dyDescent="0.25">
      <c r="G21" s="7"/>
      <c r="I21" s="594" t="s">
        <v>12</v>
      </c>
      <c r="J21" s="595"/>
      <c r="K21" s="595"/>
      <c r="L21" s="596"/>
      <c r="M21" s="597" t="s">
        <v>13</v>
      </c>
      <c r="N21" s="598"/>
      <c r="O21" s="598"/>
      <c r="P21" s="599"/>
      <c r="Q21" s="598" t="s">
        <v>237</v>
      </c>
      <c r="R21" s="598"/>
      <c r="S21" s="598"/>
      <c r="T21" s="600"/>
      <c r="U21" s="15" t="s">
        <v>36</v>
      </c>
      <c r="V21" s="16" t="s">
        <v>35</v>
      </c>
      <c r="W21" s="20"/>
      <c r="X21" s="20"/>
      <c r="Y21" s="20"/>
      <c r="Z21" s="7"/>
      <c r="AA21" s="7"/>
      <c r="AB21" s="7"/>
      <c r="AC21" s="7"/>
      <c r="AD21" s="7"/>
      <c r="AE21" s="7"/>
      <c r="AF21" s="7"/>
      <c r="AG21" s="7"/>
    </row>
    <row r="22" spans="1:33" ht="15.75" thickBot="1" x14ac:dyDescent="0.3">
      <c r="G22" s="32"/>
      <c r="H22" s="117" t="s">
        <v>45</v>
      </c>
      <c r="I22" s="261" t="s">
        <v>6</v>
      </c>
      <c r="J22" s="178" t="s">
        <v>7</v>
      </c>
      <c r="K22" s="175" t="s">
        <v>8</v>
      </c>
      <c r="L22" s="179" t="s">
        <v>9</v>
      </c>
      <c r="M22" s="385" t="s">
        <v>6</v>
      </c>
      <c r="N22" s="386" t="s">
        <v>7</v>
      </c>
      <c r="O22" s="387" t="s">
        <v>8</v>
      </c>
      <c r="P22" s="388" t="s">
        <v>9</v>
      </c>
      <c r="Q22" s="601" t="s">
        <v>277</v>
      </c>
      <c r="R22" s="602" t="s">
        <v>278</v>
      </c>
      <c r="S22" s="603" t="s">
        <v>279</v>
      </c>
      <c r="T22" s="604" t="s">
        <v>280</v>
      </c>
      <c r="U22" s="310">
        <v>0</v>
      </c>
      <c r="V22" s="35"/>
      <c r="W22" s="7"/>
      <c r="X22" s="7"/>
      <c r="Y22" s="7"/>
      <c r="Z22" s="7"/>
      <c r="AA22" s="7"/>
      <c r="AB22" s="7"/>
      <c r="AC22" s="7"/>
      <c r="AD22" s="18"/>
      <c r="AE22" s="18"/>
      <c r="AF22" s="18"/>
      <c r="AG22" s="18"/>
    </row>
    <row r="23" spans="1:33" ht="15.75" thickTop="1" x14ac:dyDescent="0.25">
      <c r="G23" s="7"/>
      <c r="H23">
        <v>1</v>
      </c>
      <c r="I23" s="468">
        <v>1.0000000000000001E-5</v>
      </c>
      <c r="J23" s="369">
        <v>1.0000000000000001E-5</v>
      </c>
      <c r="K23" s="370">
        <v>1.0000000000000001E-5</v>
      </c>
      <c r="L23" s="371">
        <v>1.0000000000000001E-5</v>
      </c>
      <c r="M23" s="372">
        <f>EXP(I23/$I$14)/(EXP($I23/$I$14)+EXP($J23/$I$14)+EXP($K23/$I$14)+EXP($L23/$I$14))</f>
        <v>0.25</v>
      </c>
      <c r="N23" s="373">
        <f t="shared" ref="M23:P35" si="0">EXP(J23/$I$14)/(EXP($I23/$I$14)+EXP($J23/$I$14)+EXP($K23/$I$14)+EXP($L23/$I$14))</f>
        <v>0.25</v>
      </c>
      <c r="O23" s="374">
        <f t="shared" si="0"/>
        <v>0.25</v>
      </c>
      <c r="P23" s="375">
        <f t="shared" si="0"/>
        <v>0.25</v>
      </c>
      <c r="Q23" s="605">
        <f>M23/SUM(M23,O23)</f>
        <v>0.5</v>
      </c>
      <c r="R23" s="606">
        <f>N23/SUM(N23,P23)</f>
        <v>0.5</v>
      </c>
      <c r="S23" s="607">
        <f>N23/SUM(N23,M23)</f>
        <v>0.5</v>
      </c>
      <c r="T23" s="608">
        <f>O23/SUM(O23,P23)</f>
        <v>0.5</v>
      </c>
      <c r="U23" s="609">
        <f t="shared" ref="U23:U36" si="1">$I$14*LN(EXP($I23/$I$14)+EXP($J23/$I$14)+EXP($K23/$I$14)+EXP($L23/$I$14))</f>
        <v>11.090364888959126</v>
      </c>
      <c r="V23" s="424">
        <f>(U23-0)</f>
        <v>11.090364888959126</v>
      </c>
      <c r="W23" s="7"/>
      <c r="X23" s="7"/>
      <c r="Y23" s="7"/>
      <c r="AA23" s="20"/>
      <c r="AB23" s="7"/>
      <c r="AC23" s="7"/>
      <c r="AD23" s="19"/>
      <c r="AE23" s="19"/>
      <c r="AF23" s="19"/>
      <c r="AG23" s="19"/>
    </row>
    <row r="24" spans="1:33" x14ac:dyDescent="0.25">
      <c r="B24" t="s">
        <v>281</v>
      </c>
      <c r="G24" s="7"/>
      <c r="H24" s="7">
        <v>2</v>
      </c>
      <c r="I24" s="473">
        <v>1</v>
      </c>
      <c r="J24" s="377">
        <v>1</v>
      </c>
      <c r="K24" s="378">
        <v>1</v>
      </c>
      <c r="L24" s="379">
        <v>1</v>
      </c>
      <c r="M24" s="380">
        <f t="shared" si="0"/>
        <v>0.25</v>
      </c>
      <c r="N24" s="381">
        <f t="shared" si="0"/>
        <v>0.25</v>
      </c>
      <c r="O24" s="382">
        <f t="shared" si="0"/>
        <v>0.25</v>
      </c>
      <c r="P24" s="383">
        <f t="shared" si="0"/>
        <v>0.25</v>
      </c>
      <c r="Q24" s="610">
        <f t="shared" ref="Q24:R35" si="2">M24/SUM(M24,O24)</f>
        <v>0.5</v>
      </c>
      <c r="R24" s="611">
        <f>N24/SUM(N24,P24)</f>
        <v>0.5</v>
      </c>
      <c r="S24" s="612">
        <f>N24/SUM(N24,M24)</f>
        <v>0.5</v>
      </c>
      <c r="T24" s="613">
        <f>O24/SUM(O24,P24)</f>
        <v>0.5</v>
      </c>
      <c r="U24" s="614">
        <f t="shared" si="1"/>
        <v>12.090354888959125</v>
      </c>
      <c r="V24" s="425">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615">
        <v>2</v>
      </c>
      <c r="J25" s="377">
        <v>2</v>
      </c>
      <c r="K25" s="378">
        <v>2</v>
      </c>
      <c r="L25" s="379">
        <v>2</v>
      </c>
      <c r="M25" s="380">
        <f>EXP(I25/$I$14)/(EXP($I25/$I$14)+EXP($J25/$I$14)+EXP($K25/$I$14)+EXP($L25/$I$14))</f>
        <v>0.25</v>
      </c>
      <c r="N25" s="381">
        <f t="shared" si="0"/>
        <v>0.25</v>
      </c>
      <c r="O25" s="382">
        <f t="shared" si="0"/>
        <v>0.25</v>
      </c>
      <c r="P25" s="383">
        <f t="shared" si="0"/>
        <v>0.25</v>
      </c>
      <c r="Q25" s="792">
        <f>M25/SUM(M25,O25)</f>
        <v>0.5</v>
      </c>
      <c r="R25" s="611">
        <f>N25/SUM(N25,P25)</f>
        <v>0.5</v>
      </c>
      <c r="S25" s="612">
        <f>N25/SUM(N25,M25)</f>
        <v>0.5</v>
      </c>
      <c r="T25" s="618">
        <f t="shared" ref="T25:T35" si="4">O25/SUM(O25,P25)</f>
        <v>0.5</v>
      </c>
      <c r="U25" s="614">
        <f t="shared" si="1"/>
        <v>13.090354888959125</v>
      </c>
      <c r="V25" s="425">
        <f t="shared" si="3"/>
        <v>1</v>
      </c>
      <c r="W25" s="7"/>
      <c r="X25" s="327"/>
      <c r="Y25" s="327"/>
      <c r="AA25" s="7"/>
      <c r="AB25" s="8"/>
      <c r="AC25" s="7"/>
      <c r="AD25" s="19"/>
      <c r="AE25" s="19"/>
      <c r="AF25" s="19"/>
      <c r="AG25" s="19"/>
    </row>
    <row r="26" spans="1:33" x14ac:dyDescent="0.25">
      <c r="A26">
        <f>SUM(B26:E26)</f>
        <v>1</v>
      </c>
      <c r="B26" s="525">
        <v>0.1</v>
      </c>
      <c r="C26" s="485">
        <v>0.2</v>
      </c>
      <c r="D26" s="485">
        <v>0.3</v>
      </c>
      <c r="E26" s="619">
        <v>0.4</v>
      </c>
      <c r="F26">
        <f>SUMXMY2(B26:E26,M26:P26)</f>
        <v>3.2169981601487212E-12</v>
      </c>
      <c r="H26" s="620">
        <v>4</v>
      </c>
      <c r="I26" s="615">
        <v>3</v>
      </c>
      <c r="J26" s="621">
        <v>8.5450460903541874</v>
      </c>
      <c r="K26" s="622">
        <v>11.788755035481492</v>
      </c>
      <c r="L26" s="623">
        <v>14.090226754087242</v>
      </c>
      <c r="M26" s="380">
        <f t="shared" si="0"/>
        <v>0.10000150634671325</v>
      </c>
      <c r="N26" s="381">
        <f t="shared" si="0"/>
        <v>0.19999972881778538</v>
      </c>
      <c r="O26" s="382">
        <f t="shared" si="0"/>
        <v>0.29999914623744173</v>
      </c>
      <c r="P26" s="383">
        <f t="shared" si="0"/>
        <v>0.39999961859805949</v>
      </c>
      <c r="Q26" s="610">
        <f t="shared" si="2"/>
        <v>0.25000335799620782</v>
      </c>
      <c r="R26" s="616">
        <f t="shared" si="2"/>
        <v>0.3333332439096312</v>
      </c>
      <c r="S26" s="617">
        <f t="shared" ref="S26:S35" si="5">N26/SUM(N26,M26)</f>
        <v>0.66666301793097693</v>
      </c>
      <c r="T26" s="618">
        <f t="shared" si="4"/>
        <v>0.42857096513297577</v>
      </c>
      <c r="U26" s="614">
        <f t="shared" si="1"/>
        <v>21.420560237122928</v>
      </c>
      <c r="V26" s="425">
        <f t="shared" si="3"/>
        <v>8.330205348163803</v>
      </c>
      <c r="W26" s="7"/>
      <c r="X26" s="150"/>
      <c r="Y26" s="7"/>
      <c r="AA26" s="7"/>
      <c r="AB26" s="8"/>
      <c r="AC26" s="7"/>
      <c r="AD26" s="19"/>
      <c r="AE26" s="19"/>
      <c r="AF26" s="19"/>
      <c r="AG26" s="19"/>
    </row>
    <row r="27" spans="1:33" x14ac:dyDescent="0.25">
      <c r="A27">
        <f t="shared" ref="A27:A33" si="6">SUM(B27:E27)</f>
        <v>0.99999999999999989</v>
      </c>
      <c r="B27" s="306">
        <v>0.05</v>
      </c>
      <c r="C27" s="17">
        <v>0.25</v>
      </c>
      <c r="D27" s="17">
        <v>0.35</v>
      </c>
      <c r="E27" s="624">
        <v>0.35</v>
      </c>
      <c r="F27">
        <f>SUMXMY2(B27:E27,M27:P27)</f>
        <v>9.9999998517153159E-7</v>
      </c>
      <c r="G27" s="7"/>
      <c r="H27" s="620">
        <v>5</v>
      </c>
      <c r="I27" s="615">
        <v>3</v>
      </c>
      <c r="J27" s="621">
        <v>15.776140243629067</v>
      </c>
      <c r="K27" s="622">
        <v>18.445430182857088</v>
      </c>
      <c r="L27" s="623">
        <v>18.454513773938618</v>
      </c>
      <c r="M27" s="380">
        <f t="shared" si="0"/>
        <v>5.0672702701916809E-2</v>
      </c>
      <c r="N27" s="381">
        <f t="shared" si="0"/>
        <v>0.25023610390709966</v>
      </c>
      <c r="O27" s="382">
        <f t="shared" si="0"/>
        <v>0.34934715113776654</v>
      </c>
      <c r="P27" s="383">
        <f t="shared" si="0"/>
        <v>0.34974404225321715</v>
      </c>
      <c r="Q27" s="610">
        <f t="shared" si="2"/>
        <v>0.12667546926864534</v>
      </c>
      <c r="R27" s="616">
        <f t="shared" si="2"/>
        <v>0.41707397404486063</v>
      </c>
      <c r="S27" s="617">
        <f t="shared" si="5"/>
        <v>0.8316011310105722</v>
      </c>
      <c r="T27" s="618">
        <f t="shared" si="4"/>
        <v>0.49971613780919949</v>
      </c>
      <c r="U27" s="614">
        <f t="shared" si="1"/>
        <v>26.858943372999857</v>
      </c>
      <c r="V27" s="425">
        <f t="shared" si="3"/>
        <v>5.4383831358769292</v>
      </c>
      <c r="W27" s="7"/>
      <c r="X27" s="7"/>
      <c r="Y27" s="7"/>
      <c r="AA27" s="327"/>
      <c r="AB27" s="8"/>
      <c r="AC27" s="7"/>
      <c r="AD27" s="19"/>
      <c r="AE27" s="19"/>
      <c r="AF27" s="19"/>
      <c r="AG27" s="19"/>
    </row>
    <row r="28" spans="1:33" x14ac:dyDescent="0.25">
      <c r="A28">
        <f t="shared" si="6"/>
        <v>0</v>
      </c>
      <c r="B28" s="306"/>
      <c r="C28" s="17"/>
      <c r="D28" s="17"/>
      <c r="E28" s="624"/>
      <c r="G28" s="7"/>
      <c r="H28" s="7">
        <v>6</v>
      </c>
      <c r="I28" s="615">
        <v>5</v>
      </c>
      <c r="J28" s="621">
        <v>5</v>
      </c>
      <c r="K28" s="622">
        <v>5</v>
      </c>
      <c r="L28" s="623">
        <v>5</v>
      </c>
      <c r="M28" s="380">
        <f t="shared" si="0"/>
        <v>0.25</v>
      </c>
      <c r="N28" s="381">
        <f t="shared" si="0"/>
        <v>0.25</v>
      </c>
      <c r="O28" s="382">
        <f t="shared" si="0"/>
        <v>0.25</v>
      </c>
      <c r="P28" s="383">
        <f t="shared" si="0"/>
        <v>0.25</v>
      </c>
      <c r="Q28" s="610">
        <f t="shared" si="2"/>
        <v>0.5</v>
      </c>
      <c r="R28" s="616">
        <f t="shared" si="2"/>
        <v>0.5</v>
      </c>
      <c r="S28" s="617">
        <f t="shared" si="5"/>
        <v>0.5</v>
      </c>
      <c r="T28" s="618">
        <f t="shared" si="4"/>
        <v>0.5</v>
      </c>
      <c r="U28" s="614">
        <f t="shared" si="1"/>
        <v>16.090354888959126</v>
      </c>
      <c r="V28" s="425">
        <f t="shared" si="3"/>
        <v>-10.76858848404073</v>
      </c>
      <c r="W28" s="7"/>
      <c r="X28" s="7"/>
      <c r="Y28" s="7"/>
      <c r="AA28" s="150"/>
      <c r="AB28" s="8"/>
      <c r="AC28" s="7"/>
      <c r="AD28" s="19"/>
      <c r="AE28" s="19"/>
      <c r="AF28" s="19"/>
      <c r="AG28" s="19"/>
    </row>
    <row r="29" spans="1:33" x14ac:dyDescent="0.25">
      <c r="A29">
        <f t="shared" si="6"/>
        <v>1</v>
      </c>
      <c r="B29" s="525">
        <v>0.1</v>
      </c>
      <c r="C29" s="485">
        <v>0.2</v>
      </c>
      <c r="D29" s="485">
        <v>0.3</v>
      </c>
      <c r="E29" s="619">
        <v>0.4</v>
      </c>
      <c r="F29">
        <f t="shared" ref="F29" si="7">SUMXMY2(B29:E29,M29:P29)</f>
        <v>3.2169981601487212E-12</v>
      </c>
      <c r="G29" s="7"/>
      <c r="H29" s="625">
        <v>7</v>
      </c>
      <c r="I29" s="615">
        <v>3</v>
      </c>
      <c r="J29" s="621">
        <v>8.5450460903541874</v>
      </c>
      <c r="K29" s="622">
        <v>11.788755035481492</v>
      </c>
      <c r="L29" s="623">
        <v>14.090226754087242</v>
      </c>
      <c r="M29" s="380">
        <f t="shared" si="0"/>
        <v>0.10000150634671325</v>
      </c>
      <c r="N29" s="381">
        <f t="shared" si="0"/>
        <v>0.19999972881778538</v>
      </c>
      <c r="O29" s="382">
        <f t="shared" si="0"/>
        <v>0.29999914623744173</v>
      </c>
      <c r="P29" s="383">
        <f t="shared" si="0"/>
        <v>0.39999961859805949</v>
      </c>
      <c r="Q29" s="610">
        <f t="shared" si="2"/>
        <v>0.25000335799620782</v>
      </c>
      <c r="R29" s="616">
        <f t="shared" si="2"/>
        <v>0.3333332439096312</v>
      </c>
      <c r="S29" s="617">
        <f t="shared" si="5"/>
        <v>0.66666301793097693</v>
      </c>
      <c r="T29" s="618">
        <f t="shared" si="4"/>
        <v>0.42857096513297577</v>
      </c>
      <c r="U29" s="614">
        <f t="shared" si="1"/>
        <v>21.420560237122928</v>
      </c>
      <c r="V29" s="425">
        <f t="shared" si="3"/>
        <v>5.3302053481638012</v>
      </c>
      <c r="W29" s="7"/>
      <c r="X29" s="7"/>
      <c r="Y29" s="7"/>
      <c r="AA29" s="7"/>
      <c r="AB29" s="8"/>
      <c r="AC29" s="7"/>
      <c r="AD29" s="19"/>
      <c r="AE29" s="19"/>
      <c r="AF29" s="19"/>
      <c r="AG29" s="19"/>
    </row>
    <row r="30" spans="1:33" x14ac:dyDescent="0.25">
      <c r="A30" s="485">
        <f>SUM(B30:E30)</f>
        <v>0.99999999551530216</v>
      </c>
      <c r="B30" s="626">
        <f>M30</f>
        <v>0.10000150127410369</v>
      </c>
      <c r="C30" s="216">
        <f t="shared" ref="C30:D30" si="8">N30</f>
        <v>0.19999971867295302</v>
      </c>
      <c r="D30" s="216">
        <f t="shared" si="8"/>
        <v>0.34999877556824549</v>
      </c>
      <c r="E30" s="627">
        <v>0.35</v>
      </c>
      <c r="F30">
        <f>SUMXMY2(B30:E30,M30:P30)</f>
        <v>2.0112514176189711E-17</v>
      </c>
      <c r="G30" s="7"/>
      <c r="H30" s="625">
        <v>8</v>
      </c>
      <c r="I30" s="615">
        <v>4.068243004643695</v>
      </c>
      <c r="J30" s="621">
        <v>9.6132890950066887</v>
      </c>
      <c r="K30" s="622">
        <v>14.090198664519377</v>
      </c>
      <c r="L30" s="623">
        <v>14.090226754087242</v>
      </c>
      <c r="M30" s="380">
        <f t="shared" si="0"/>
        <v>0.10000150127410369</v>
      </c>
      <c r="N30" s="381">
        <f t="shared" si="0"/>
        <v>0.19999971867295302</v>
      </c>
      <c r="O30" s="382">
        <f t="shared" si="0"/>
        <v>0.34999877556824549</v>
      </c>
      <c r="P30" s="383">
        <f t="shared" si="0"/>
        <v>0.35000000448469776</v>
      </c>
      <c r="Q30" s="610">
        <f t="shared" si="2"/>
        <v>0.22222542167265757</v>
      </c>
      <c r="R30" s="616">
        <f t="shared" si="2"/>
        <v>0.36363603516874049</v>
      </c>
      <c r="S30" s="617">
        <f t="shared" si="5"/>
        <v>0.66666301793122162</v>
      </c>
      <c r="T30" s="618">
        <f t="shared" si="4"/>
        <v>0.49999912220100429</v>
      </c>
      <c r="U30" s="614">
        <f t="shared" si="1"/>
        <v>22.488803647569284</v>
      </c>
      <c r="V30" s="425">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615">
        <v>3</v>
      </c>
      <c r="J31" s="621">
        <v>15.87450804085535</v>
      </c>
      <c r="K31" s="622">
        <v>18.56629548933655</v>
      </c>
      <c r="L31" s="623">
        <v>18.566302402544224</v>
      </c>
      <c r="M31" s="380">
        <f t="shared" si="0"/>
        <v>5.0005852744513128E-2</v>
      </c>
      <c r="N31" s="381">
        <f t="shared" si="0"/>
        <v>0.24999816018494284</v>
      </c>
      <c r="O31" s="382">
        <f t="shared" si="0"/>
        <v>0.34999784230972109</v>
      </c>
      <c r="P31" s="383">
        <f t="shared" si="0"/>
        <v>0.34999814476082292</v>
      </c>
      <c r="Q31" s="610">
        <f t="shared" si="2"/>
        <v>0.12501347703233873</v>
      </c>
      <c r="R31" s="616">
        <f t="shared" si="2"/>
        <v>0.41666616631504161</v>
      </c>
      <c r="S31" s="617">
        <f t="shared" si="5"/>
        <v>0.83331605382134777</v>
      </c>
      <c r="T31" s="618">
        <f t="shared" si="4"/>
        <v>0.49999978396226019</v>
      </c>
      <c r="U31" s="614">
        <f t="shared" si="1"/>
        <v>26.96492180411294</v>
      </c>
      <c r="V31" s="425">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615">
        <v>0</v>
      </c>
      <c r="J32" s="621">
        <v>0</v>
      </c>
      <c r="K32" s="622">
        <v>200</v>
      </c>
      <c r="L32" s="623">
        <v>0</v>
      </c>
      <c r="M32" s="380">
        <f t="shared" si="0"/>
        <v>1.3887943864385394E-11</v>
      </c>
      <c r="N32" s="381">
        <f t="shared" si="0"/>
        <v>1.3887943864385394E-11</v>
      </c>
      <c r="O32" s="382">
        <f t="shared" si="0"/>
        <v>0.99999999995833622</v>
      </c>
      <c r="P32" s="383">
        <f t="shared" si="0"/>
        <v>1.3887943864385394E-11</v>
      </c>
      <c r="Q32" s="610">
        <f t="shared" si="2"/>
        <v>1.3887943864771144E-11</v>
      </c>
      <c r="R32" s="616">
        <f t="shared" si="2"/>
        <v>0.5</v>
      </c>
      <c r="S32" s="617">
        <f t="shared" si="5"/>
        <v>0.5</v>
      </c>
      <c r="T32" s="618">
        <f t="shared" si="4"/>
        <v>0.99999999998611211</v>
      </c>
      <c r="U32" s="614">
        <f t="shared" si="1"/>
        <v>200.0000000003333</v>
      </c>
      <c r="V32" s="425">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615">
        <v>0</v>
      </c>
      <c r="J33" s="621">
        <v>0</v>
      </c>
      <c r="K33" s="622">
        <v>200</v>
      </c>
      <c r="L33" s="623">
        <v>0</v>
      </c>
      <c r="M33" s="380">
        <f t="shared" si="0"/>
        <v>1.3887943864385394E-11</v>
      </c>
      <c r="N33" s="381">
        <f t="shared" si="0"/>
        <v>1.3887943864385394E-11</v>
      </c>
      <c r="O33" s="382">
        <f t="shared" si="0"/>
        <v>0.99999999995833622</v>
      </c>
      <c r="P33" s="383">
        <f t="shared" si="0"/>
        <v>1.3887943864385394E-11</v>
      </c>
      <c r="Q33" s="610">
        <f t="shared" si="2"/>
        <v>1.3887943864771144E-11</v>
      </c>
      <c r="R33" s="616">
        <f t="shared" si="2"/>
        <v>0.5</v>
      </c>
      <c r="S33" s="617">
        <f t="shared" si="5"/>
        <v>0.5</v>
      </c>
      <c r="T33" s="618">
        <f t="shared" si="4"/>
        <v>0.99999999998611211</v>
      </c>
      <c r="U33" s="614">
        <f t="shared" si="1"/>
        <v>200.0000000003333</v>
      </c>
      <c r="V33" s="425">
        <f t="shared" si="3"/>
        <v>0</v>
      </c>
      <c r="W33" s="7"/>
      <c r="X33" s="7"/>
      <c r="Y33" s="7"/>
      <c r="AA33" s="7"/>
      <c r="AB33" s="8"/>
      <c r="AC33" s="7"/>
      <c r="AD33" s="19"/>
      <c r="AE33" s="19"/>
      <c r="AF33" s="19"/>
      <c r="AG33" s="19"/>
    </row>
    <row r="34" spans="1:33" x14ac:dyDescent="0.25">
      <c r="B34" s="7"/>
      <c r="C34" s="7"/>
      <c r="D34" s="7"/>
      <c r="E34" s="7"/>
      <c r="F34" s="7"/>
      <c r="G34" s="7"/>
      <c r="H34" s="7">
        <v>20</v>
      </c>
      <c r="I34" s="615">
        <v>0</v>
      </c>
      <c r="J34" s="621">
        <v>0</v>
      </c>
      <c r="K34" s="622">
        <v>200</v>
      </c>
      <c r="L34" s="623">
        <v>0</v>
      </c>
      <c r="M34" s="380">
        <f>EXP(I34/$I$14)/(EXP($I34/$I$14)+EXP($J34/$I$14)+EXP($K34/$I$14)+EXP($L34/$I$14))</f>
        <v>1.3887943864385394E-11</v>
      </c>
      <c r="N34" s="381">
        <f t="shared" si="0"/>
        <v>1.3887943864385394E-11</v>
      </c>
      <c r="O34" s="382">
        <f t="shared" si="0"/>
        <v>0.99999999995833622</v>
      </c>
      <c r="P34" s="383">
        <f t="shared" si="0"/>
        <v>1.3887943864385394E-11</v>
      </c>
      <c r="Q34" s="610">
        <f t="shared" si="2"/>
        <v>1.3887943864771144E-11</v>
      </c>
      <c r="R34" s="616">
        <f t="shared" si="2"/>
        <v>0.5</v>
      </c>
      <c r="S34" s="617">
        <f t="shared" si="5"/>
        <v>0.5</v>
      </c>
      <c r="T34" s="618">
        <f t="shared" si="4"/>
        <v>0.99999999998611211</v>
      </c>
      <c r="U34" s="614">
        <f t="shared" si="1"/>
        <v>200.0000000003333</v>
      </c>
      <c r="V34" s="425">
        <f t="shared" si="3"/>
        <v>0</v>
      </c>
      <c r="W34" s="7"/>
      <c r="X34" s="7"/>
      <c r="Y34" s="7"/>
      <c r="AA34" s="7"/>
      <c r="AB34" s="8"/>
      <c r="AC34" s="7"/>
      <c r="AD34" s="19"/>
      <c r="AE34" s="19"/>
      <c r="AF34" s="19"/>
      <c r="AG34" s="19"/>
    </row>
    <row r="35" spans="1:33" ht="15.75" thickBot="1" x14ac:dyDescent="0.3">
      <c r="B35" s="7"/>
      <c r="C35" s="7"/>
      <c r="D35" s="7"/>
      <c r="E35" s="7"/>
      <c r="F35" s="7"/>
      <c r="G35" s="7"/>
      <c r="H35" s="7">
        <v>21</v>
      </c>
      <c r="I35" s="615">
        <v>0</v>
      </c>
      <c r="J35" s="621">
        <v>0</v>
      </c>
      <c r="K35" s="622">
        <v>200</v>
      </c>
      <c r="L35" s="623">
        <v>0</v>
      </c>
      <c r="M35" s="385">
        <f t="shared" si="0"/>
        <v>1.3887943864385394E-11</v>
      </c>
      <c r="N35" s="386">
        <f t="shared" si="0"/>
        <v>1.3887943864385394E-11</v>
      </c>
      <c r="O35" s="387">
        <f t="shared" si="0"/>
        <v>0.99999999995833622</v>
      </c>
      <c r="P35" s="388">
        <f t="shared" si="0"/>
        <v>1.3887943864385394E-11</v>
      </c>
      <c r="Q35" s="601">
        <f t="shared" si="2"/>
        <v>1.3887943864771144E-11</v>
      </c>
      <c r="R35" s="602">
        <f t="shared" si="2"/>
        <v>0.5</v>
      </c>
      <c r="S35" s="603">
        <f t="shared" si="5"/>
        <v>0.5</v>
      </c>
      <c r="T35" s="604">
        <f t="shared" si="4"/>
        <v>0.99999999998611211</v>
      </c>
      <c r="U35" s="628">
        <f t="shared" si="1"/>
        <v>200.0000000003333</v>
      </c>
      <c r="V35" s="426">
        <f>(U35-U34)</f>
        <v>0</v>
      </c>
      <c r="W35" s="7"/>
      <c r="X35" s="7"/>
      <c r="Y35" s="7"/>
      <c r="AA35" s="7"/>
      <c r="AB35" s="8"/>
      <c r="AC35" s="7"/>
      <c r="AD35" s="19"/>
      <c r="AE35" s="19"/>
      <c r="AF35" s="19"/>
      <c r="AG35" s="19"/>
    </row>
    <row r="36" spans="1:33" ht="16.5" thickTop="1" thickBot="1" x14ac:dyDescent="0.3">
      <c r="B36" s="7"/>
      <c r="C36" s="7"/>
      <c r="D36" s="7"/>
      <c r="E36" s="7"/>
      <c r="F36" s="7"/>
      <c r="G36" s="7"/>
      <c r="H36" s="7">
        <v>22</v>
      </c>
      <c r="I36" s="394">
        <f>I35</f>
        <v>0</v>
      </c>
      <c r="J36" s="390">
        <f>J35</f>
        <v>0</v>
      </c>
      <c r="K36" s="391">
        <f>K35</f>
        <v>200</v>
      </c>
      <c r="L36" s="392">
        <f>L35</f>
        <v>0</v>
      </c>
      <c r="M36" s="582">
        <v>0</v>
      </c>
      <c r="N36" s="583">
        <v>0</v>
      </c>
      <c r="O36" s="583">
        <v>1</v>
      </c>
      <c r="P36" s="584">
        <v>0</v>
      </c>
      <c r="Q36" s="629">
        <f>IFERROR( M36/SUM(M36,O36), 0)</f>
        <v>0</v>
      </c>
      <c r="R36" s="630">
        <f t="shared" ref="R36:T36" si="9">IFERROR( N36/SUM(N36,P36), 0)</f>
        <v>0</v>
      </c>
      <c r="S36" s="631">
        <f>IFERROR( O36/SUM(O36,Q36), 0)</f>
        <v>1</v>
      </c>
      <c r="T36" s="632">
        <f t="shared" si="9"/>
        <v>0</v>
      </c>
      <c r="U36" s="457">
        <f t="shared" si="1"/>
        <v>200.0000000003333</v>
      </c>
      <c r="V36" s="8"/>
      <c r="X36" s="8"/>
      <c r="Y36" s="8"/>
      <c r="AA36" s="7"/>
      <c r="AB36" s="7"/>
      <c r="AC36" s="7"/>
      <c r="AD36" s="7"/>
      <c r="AE36" s="7"/>
      <c r="AF36" s="7"/>
      <c r="AG36" s="7"/>
    </row>
    <row r="37" spans="1:33" ht="15.75" thickBot="1" x14ac:dyDescent="0.3">
      <c r="B37" s="7"/>
      <c r="C37" s="7"/>
      <c r="D37" s="7"/>
      <c r="F37" s="7"/>
      <c r="G37" s="7"/>
      <c r="H37" s="7"/>
      <c r="U37" s="277">
        <f>SUMPRODUCT(I36:L36,M36:P36)</f>
        <v>200</v>
      </c>
      <c r="AA37" s="7"/>
    </row>
    <row r="38" spans="1:33" ht="15.75" thickBot="1" x14ac:dyDescent="0.3">
      <c r="B38" s="7"/>
      <c r="C38" s="7"/>
      <c r="D38" s="7"/>
      <c r="F38" s="7"/>
      <c r="G38" s="7"/>
      <c r="H38" s="7"/>
      <c r="U38" s="277">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33"/>
      <c r="I40" s="142"/>
      <c r="J40" s="142"/>
      <c r="K40" s="142"/>
      <c r="L40" s="142"/>
      <c r="M40" s="149"/>
      <c r="N40" s="149"/>
      <c r="O40" s="147"/>
      <c r="P40" s="8"/>
      <c r="Q40" s="8"/>
      <c r="R40" s="8"/>
      <c r="S40" s="8"/>
      <c r="T40" s="8"/>
      <c r="U40" s="8"/>
      <c r="AA40" s="7"/>
    </row>
    <row r="41" spans="1:33" ht="21" x14ac:dyDescent="0.35">
      <c r="B41" s="7"/>
      <c r="C41" s="7"/>
      <c r="D41" s="7"/>
      <c r="E41" s="9"/>
      <c r="F41" s="634" t="s">
        <v>282</v>
      </c>
      <c r="G41" s="10"/>
      <c r="H41" s="635"/>
      <c r="I41" s="287"/>
      <c r="J41" s="287"/>
      <c r="K41" s="287"/>
      <c r="L41" s="287"/>
      <c r="M41" s="636"/>
      <c r="N41" s="636"/>
      <c r="O41" s="637"/>
      <c r="P41" s="638"/>
      <c r="Q41" s="638"/>
      <c r="R41" s="638"/>
      <c r="S41" s="638"/>
      <c r="T41" s="638"/>
      <c r="U41" s="639"/>
      <c r="AA41" s="7"/>
    </row>
    <row r="42" spans="1:33" x14ac:dyDescent="0.25">
      <c r="B42" s="7"/>
      <c r="C42" s="7"/>
      <c r="D42" s="7"/>
      <c r="E42" s="116"/>
      <c r="F42" s="7" t="s">
        <v>389</v>
      </c>
      <c r="G42" s="7"/>
      <c r="H42" s="633"/>
      <c r="I42" s="142"/>
      <c r="J42" s="142"/>
      <c r="K42" s="142"/>
      <c r="L42" s="142"/>
      <c r="M42" s="149"/>
      <c r="N42" s="149"/>
      <c r="O42" s="147"/>
      <c r="P42" s="8"/>
      <c r="Q42" s="8"/>
      <c r="R42" s="8"/>
      <c r="S42" s="8"/>
      <c r="T42" s="8"/>
      <c r="U42" s="640"/>
      <c r="AA42" s="7"/>
    </row>
    <row r="43" spans="1:33" x14ac:dyDescent="0.25">
      <c r="B43" s="7"/>
      <c r="C43" s="7"/>
      <c r="D43" s="7"/>
      <c r="E43" s="116"/>
      <c r="F43" s="7" t="s">
        <v>390</v>
      </c>
      <c r="G43" s="7"/>
      <c r="H43" s="633"/>
      <c r="I43" s="142"/>
      <c r="J43" s="142"/>
      <c r="K43" s="142"/>
      <c r="L43" s="142"/>
      <c r="M43" s="149"/>
      <c r="N43" s="149"/>
      <c r="O43" s="147"/>
      <c r="P43" s="8"/>
      <c r="Q43" s="8"/>
      <c r="R43" s="8"/>
      <c r="S43" s="8"/>
      <c r="T43" s="8"/>
      <c r="U43" s="640"/>
      <c r="AA43" s="7"/>
    </row>
    <row r="44" spans="1:33" x14ac:dyDescent="0.25">
      <c r="B44" s="7"/>
      <c r="C44" s="7"/>
      <c r="D44" s="7"/>
      <c r="E44" s="116"/>
      <c r="F44" s="7"/>
      <c r="G44" s="7"/>
      <c r="H44" s="633" t="s">
        <v>283</v>
      </c>
      <c r="I44" s="142"/>
      <c r="J44" s="142"/>
      <c r="K44" s="142"/>
      <c r="L44" s="142"/>
      <c r="M44" s="149"/>
      <c r="N44" s="149"/>
      <c r="O44" s="147"/>
      <c r="P44" s="8"/>
      <c r="Q44" s="8"/>
      <c r="R44" s="8"/>
      <c r="S44" s="8"/>
      <c r="T44" s="8"/>
      <c r="U44" s="640"/>
      <c r="AA44" s="7"/>
    </row>
    <row r="45" spans="1:33" x14ac:dyDescent="0.25">
      <c r="B45" s="7"/>
      <c r="C45" s="7"/>
      <c r="D45" s="7"/>
      <c r="E45" s="116"/>
      <c r="F45" s="7"/>
      <c r="G45" s="7"/>
      <c r="H45" s="8" t="s">
        <v>284</v>
      </c>
      <c r="I45" s="17"/>
      <c r="J45" s="17"/>
      <c r="K45" s="17"/>
      <c r="L45" s="17"/>
      <c r="M45" s="571"/>
      <c r="N45" s="571"/>
      <c r="O45" s="641"/>
      <c r="P45" s="7"/>
      <c r="Q45" s="7"/>
      <c r="R45" s="8"/>
      <c r="S45" s="642"/>
      <c r="T45" s="642"/>
      <c r="U45" s="643"/>
      <c r="AA45" s="7"/>
    </row>
    <row r="46" spans="1:33" x14ac:dyDescent="0.25">
      <c r="B46" s="7"/>
      <c r="C46" s="7"/>
      <c r="D46" s="7"/>
      <c r="E46" s="116"/>
      <c r="F46" s="7"/>
      <c r="G46" s="7"/>
      <c r="H46" s="644">
        <v>4</v>
      </c>
      <c r="I46" s="17"/>
      <c r="J46" s="268" t="s">
        <v>272</v>
      </c>
      <c r="K46" s="268" t="s">
        <v>271</v>
      </c>
      <c r="L46" s="641"/>
      <c r="M46" s="7"/>
      <c r="N46" s="32" t="s">
        <v>363</v>
      </c>
      <c r="O46" s="7"/>
      <c r="P46" s="7"/>
      <c r="Q46" s="7"/>
      <c r="R46" s="8"/>
      <c r="S46" s="642"/>
      <c r="T46" s="642"/>
      <c r="U46" s="643"/>
      <c r="AA46" s="7"/>
    </row>
    <row r="47" spans="1:33" x14ac:dyDescent="0.25">
      <c r="B47" s="7"/>
      <c r="C47" s="7"/>
      <c r="D47" s="7"/>
      <c r="E47" s="116"/>
      <c r="F47" s="7"/>
      <c r="G47" s="7"/>
      <c r="I47" s="21" t="s">
        <v>285</v>
      </c>
      <c r="J47" s="645">
        <f>M26</f>
        <v>0.10000150634671325</v>
      </c>
      <c r="K47" s="646">
        <f>N26</f>
        <v>0.19999972881778538</v>
      </c>
      <c r="L47" s="641">
        <f>SUM(J47:K47)</f>
        <v>0.30000123516449861</v>
      </c>
      <c r="M47" s="7"/>
      <c r="N47" s="793">
        <f>K47/SUM(J47:K47)</f>
        <v>0.66666301793097693</v>
      </c>
      <c r="O47" s="648" t="s">
        <v>286</v>
      </c>
      <c r="P47" s="7"/>
      <c r="Q47" s="7"/>
      <c r="R47" s="8"/>
      <c r="S47" s="642"/>
      <c r="T47" s="642"/>
      <c r="U47" s="643"/>
      <c r="AA47" s="7"/>
    </row>
    <row r="48" spans="1:33" x14ac:dyDescent="0.25">
      <c r="B48" s="7"/>
      <c r="C48" s="7"/>
      <c r="D48" s="7"/>
      <c r="E48" s="116"/>
      <c r="F48" s="7"/>
      <c r="G48" s="7"/>
      <c r="I48" s="21" t="s">
        <v>287</v>
      </c>
      <c r="J48" s="649">
        <f>O26</f>
        <v>0.29999914623744173</v>
      </c>
      <c r="K48" s="650">
        <f>P26</f>
        <v>0.39999961859805949</v>
      </c>
      <c r="L48" s="641">
        <f>SUM(J48:K48)</f>
        <v>0.69999876483550127</v>
      </c>
      <c r="M48" s="7"/>
      <c r="N48" s="794">
        <f>K48/SUM(J48:K48)</f>
        <v>0.57142903486702412</v>
      </c>
      <c r="O48" s="7"/>
      <c r="P48" s="7"/>
      <c r="Q48" s="7"/>
      <c r="R48" s="8"/>
      <c r="S48" s="642"/>
      <c r="T48" s="642"/>
      <c r="U48" s="643"/>
      <c r="AA48" s="7"/>
    </row>
    <row r="49" spans="2:27" x14ac:dyDescent="0.25">
      <c r="B49" s="7"/>
      <c r="C49" s="7"/>
      <c r="D49" s="7"/>
      <c r="E49" s="116"/>
      <c r="F49" s="7"/>
      <c r="G49" s="7"/>
      <c r="H49" s="17"/>
      <c r="I49" s="17"/>
      <c r="J49" s="149">
        <f>SUM(J47:J48)</f>
        <v>0.40000065258415496</v>
      </c>
      <c r="K49" s="149">
        <f>SUM(K47:K48)</f>
        <v>0.59999934741584493</v>
      </c>
      <c r="L49" s="641">
        <f>SUM(J47:K48)</f>
        <v>0.99999999999999978</v>
      </c>
      <c r="M49" s="7"/>
      <c r="N49" s="795"/>
      <c r="O49" s="7"/>
      <c r="P49" s="7"/>
      <c r="Q49" s="7"/>
      <c r="R49" s="8"/>
      <c r="S49" s="642"/>
      <c r="T49" s="642"/>
      <c r="U49" s="643"/>
      <c r="AA49" s="7"/>
    </row>
    <row r="50" spans="2:27" x14ac:dyDescent="0.25">
      <c r="B50" s="7"/>
      <c r="C50" s="7"/>
      <c r="D50" s="7"/>
      <c r="E50" s="116"/>
      <c r="F50" s="7"/>
      <c r="G50" s="7"/>
      <c r="H50" s="17"/>
      <c r="I50" s="17"/>
      <c r="J50" s="17"/>
      <c r="K50" s="17"/>
      <c r="L50" s="7"/>
      <c r="M50" s="7"/>
      <c r="N50" s="795"/>
      <c r="O50" s="7"/>
      <c r="P50" s="7"/>
      <c r="Q50" s="652"/>
      <c r="R50" s="8"/>
      <c r="S50" s="642"/>
      <c r="T50" s="642"/>
      <c r="U50" s="643"/>
      <c r="AA50" s="7"/>
    </row>
    <row r="51" spans="2:27" ht="15.75" thickBot="1" x14ac:dyDescent="0.3">
      <c r="B51" s="7"/>
      <c r="C51" s="7"/>
      <c r="D51" s="7"/>
      <c r="E51" s="116"/>
      <c r="F51" s="7"/>
      <c r="G51" s="7"/>
      <c r="H51" s="589"/>
      <c r="I51" s="796" t="s">
        <v>364</v>
      </c>
      <c r="J51" s="797">
        <f>J48/SUM(J47:J48)</f>
        <v>0.74999664200379224</v>
      </c>
      <c r="K51" s="797">
        <f>K48/SUM(K47:K48)</f>
        <v>0.66666675609036874</v>
      </c>
      <c r="L51" s="589"/>
      <c r="M51" s="589"/>
      <c r="N51" s="795"/>
      <c r="O51" s="589"/>
      <c r="P51" s="589"/>
      <c r="Q51" s="7" t="s">
        <v>288</v>
      </c>
      <c r="R51" s="8"/>
      <c r="S51" s="653"/>
      <c r="T51" s="653"/>
      <c r="U51" s="654"/>
      <c r="AA51" s="7"/>
    </row>
    <row r="52" spans="2:27" x14ac:dyDescent="0.25">
      <c r="B52" s="7"/>
      <c r="C52" s="7"/>
      <c r="D52" s="7"/>
      <c r="E52" s="116"/>
      <c r="F52" s="7"/>
      <c r="G52" s="7"/>
      <c r="H52" s="589"/>
      <c r="I52" s="589"/>
      <c r="J52" s="589"/>
      <c r="K52" s="589"/>
      <c r="L52" s="589"/>
      <c r="M52" s="589"/>
      <c r="N52" s="798"/>
      <c r="O52" s="589"/>
      <c r="P52" s="589"/>
      <c r="Q52" s="656">
        <f>MIN($V$27)</f>
        <v>5.4383831358769292</v>
      </c>
      <c r="R52" s="639">
        <f>COUNT($I$27:$L$27)</f>
        <v>4</v>
      </c>
      <c r="S52" s="657"/>
      <c r="T52" s="657"/>
      <c r="U52" s="658"/>
      <c r="AA52" s="7"/>
    </row>
    <row r="53" spans="2:27" x14ac:dyDescent="0.25">
      <c r="B53" s="7"/>
      <c r="C53" s="7"/>
      <c r="D53" s="7"/>
      <c r="E53" s="116"/>
      <c r="F53" s="7"/>
      <c r="G53" s="7"/>
      <c r="H53" s="17"/>
      <c r="I53" s="17"/>
      <c r="J53" s="17"/>
      <c r="K53" s="17"/>
      <c r="L53" s="7"/>
      <c r="M53" s="7"/>
      <c r="N53" s="798"/>
      <c r="O53" s="7"/>
      <c r="P53" s="7"/>
      <c r="Q53" s="116" t="b">
        <f>$F$27=0</f>
        <v>0</v>
      </c>
      <c r="R53" s="640" t="b">
        <f t="array" ref="R53">$I$26:$L$26&lt;=$I$27:$L$27</f>
        <v>1</v>
      </c>
      <c r="S53" s="653"/>
      <c r="T53" s="653"/>
      <c r="U53" s="654"/>
      <c r="AA53" s="7"/>
    </row>
    <row r="54" spans="2:27" ht="15.75" thickBot="1" x14ac:dyDescent="0.3">
      <c r="B54" s="7"/>
      <c r="C54" s="7"/>
      <c r="D54" s="7"/>
      <c r="E54" s="116"/>
      <c r="F54" s="7"/>
      <c r="G54" s="7"/>
      <c r="H54" s="659">
        <v>5</v>
      </c>
      <c r="I54" s="17"/>
      <c r="J54" s="268" t="s">
        <v>272</v>
      </c>
      <c r="K54" s="268" t="s">
        <v>271</v>
      </c>
      <c r="L54" s="641"/>
      <c r="M54" s="7"/>
      <c r="N54" s="795" t="s">
        <v>363</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285</v>
      </c>
      <c r="J55" s="645">
        <f>M27</f>
        <v>5.0672702701916809E-2</v>
      </c>
      <c r="K55" s="646">
        <f>N27</f>
        <v>0.25023610390709966</v>
      </c>
      <c r="L55" s="641">
        <f>SUM(J55:K55)</f>
        <v>0.30090880660901648</v>
      </c>
      <c r="M55" s="7"/>
      <c r="N55" s="793">
        <f>K55/SUM(J55:K55)</f>
        <v>0.8316011310105722</v>
      </c>
      <c r="O55" s="7"/>
      <c r="P55" s="7"/>
      <c r="Q55" s="7"/>
      <c r="R55" s="7"/>
      <c r="S55" s="7"/>
      <c r="T55" s="7"/>
      <c r="U55" s="102"/>
      <c r="AA55" s="7"/>
    </row>
    <row r="56" spans="2:27" x14ac:dyDescent="0.25">
      <c r="B56" s="7"/>
      <c r="C56" s="7"/>
      <c r="D56" s="7"/>
      <c r="E56" s="116"/>
      <c r="F56" s="7"/>
      <c r="G56" s="7"/>
      <c r="I56" s="21" t="s">
        <v>287</v>
      </c>
      <c r="J56" s="649">
        <f>O27</f>
        <v>0.34934715113776654</v>
      </c>
      <c r="K56" s="650">
        <f>P27</f>
        <v>0.34974404225321715</v>
      </c>
      <c r="L56" s="641">
        <f>SUM(J56:K56)</f>
        <v>0.69909119339098369</v>
      </c>
      <c r="M56" s="7"/>
      <c r="N56" s="794">
        <f>K56/SUM(J56:K56)</f>
        <v>0.50028386219080045</v>
      </c>
      <c r="O56" s="7"/>
      <c r="P56" s="7"/>
      <c r="Q56" s="7"/>
      <c r="R56" s="8"/>
      <c r="S56" s="657"/>
      <c r="T56" s="657"/>
      <c r="U56" s="658"/>
      <c r="AA56" s="7"/>
    </row>
    <row r="57" spans="2:27" x14ac:dyDescent="0.25">
      <c r="B57" s="7"/>
      <c r="C57" s="7"/>
      <c r="D57" s="7"/>
      <c r="E57" s="116"/>
      <c r="F57" s="7"/>
      <c r="G57" s="7"/>
      <c r="H57" s="17"/>
      <c r="I57" s="17"/>
      <c r="J57" s="149">
        <f>SUM(J55:J56)</f>
        <v>0.40001985383968336</v>
      </c>
      <c r="K57" s="571">
        <f>SUM(K55:K56)</f>
        <v>0.59998014616031681</v>
      </c>
      <c r="L57" s="641">
        <f>SUM(J55:K56)</f>
        <v>1.0000000000000002</v>
      </c>
      <c r="M57" s="7"/>
      <c r="N57" s="32"/>
      <c r="O57" s="7"/>
      <c r="P57" s="7"/>
      <c r="Q57" s="7"/>
      <c r="R57" s="8"/>
      <c r="S57" s="653"/>
      <c r="T57" s="653"/>
      <c r="U57" s="654"/>
      <c r="AA57" s="7"/>
    </row>
    <row r="58" spans="2:27" x14ac:dyDescent="0.25">
      <c r="B58" s="7"/>
      <c r="C58" s="7"/>
      <c r="D58" s="7"/>
      <c r="E58" s="116"/>
      <c r="F58" s="7"/>
      <c r="G58" s="7"/>
      <c r="H58" s="17"/>
      <c r="I58" s="17"/>
      <c r="J58" s="17"/>
      <c r="K58" s="17"/>
      <c r="L58" s="7"/>
      <c r="M58" s="7"/>
      <c r="N58" s="7"/>
      <c r="O58" s="7"/>
      <c r="P58" s="7"/>
      <c r="Q58" s="7"/>
      <c r="R58" s="8"/>
      <c r="S58" s="653"/>
      <c r="T58" s="653"/>
      <c r="U58" s="654"/>
      <c r="AA58" s="7"/>
    </row>
    <row r="59" spans="2:27" x14ac:dyDescent="0.25">
      <c r="B59" s="7"/>
      <c r="C59" s="7"/>
      <c r="D59" s="7"/>
      <c r="E59" s="116"/>
      <c r="F59" s="7"/>
      <c r="G59" s="7"/>
      <c r="I59" s="796" t="s">
        <v>364</v>
      </c>
      <c r="J59" s="797">
        <f>J56/SUM(J55:J56)</f>
        <v>0.87332453073135463</v>
      </c>
      <c r="K59" s="797">
        <f>K56/SUM(K55:K56)</f>
        <v>0.58292602595513932</v>
      </c>
      <c r="L59" s="589"/>
      <c r="M59" s="589"/>
      <c r="N59" s="589"/>
      <c r="O59" s="589"/>
      <c r="P59" s="589"/>
      <c r="Q59" s="589"/>
      <c r="R59" s="8"/>
      <c r="S59" s="653"/>
      <c r="T59" s="653"/>
      <c r="U59" s="654"/>
      <c r="AA59" s="7"/>
    </row>
    <row r="60" spans="2:27" x14ac:dyDescent="0.25">
      <c r="B60" s="7"/>
      <c r="C60" s="7"/>
      <c r="D60" s="7"/>
      <c r="E60" s="116"/>
      <c r="F60" s="7"/>
      <c r="G60" s="7"/>
      <c r="J60" s="589"/>
      <c r="K60" s="589"/>
      <c r="L60" s="589"/>
      <c r="M60" s="589"/>
      <c r="N60" s="589"/>
      <c r="O60" s="589"/>
      <c r="P60" s="589"/>
      <c r="Q60" s="589"/>
      <c r="R60" s="8"/>
      <c r="S60" s="653"/>
      <c r="T60" s="653"/>
      <c r="U60" s="654"/>
      <c r="AA60" s="7"/>
    </row>
    <row r="61" spans="2:27" x14ac:dyDescent="0.25">
      <c r="B61" s="7"/>
      <c r="C61" s="7"/>
      <c r="D61" s="7"/>
      <c r="E61" s="116"/>
      <c r="F61" s="7"/>
      <c r="G61" s="7"/>
      <c r="H61" s="7"/>
      <c r="I61" s="17"/>
      <c r="J61" s="17"/>
      <c r="K61" s="17"/>
      <c r="L61" s="17"/>
      <c r="M61" s="17"/>
      <c r="N61" s="17"/>
      <c r="O61" s="7"/>
      <c r="P61" s="7"/>
      <c r="Q61" s="7"/>
      <c r="R61" s="7"/>
      <c r="S61" s="7"/>
      <c r="T61" s="7"/>
      <c r="U61" s="640"/>
      <c r="V61" s="7"/>
      <c r="AA61" s="8"/>
    </row>
    <row r="62" spans="2:27" x14ac:dyDescent="0.25">
      <c r="B62" s="7"/>
      <c r="C62" s="7"/>
      <c r="D62" s="7"/>
      <c r="E62" s="116"/>
      <c r="H62" s="21" t="s">
        <v>365</v>
      </c>
      <c r="I62" s="660">
        <f>I27-I26</f>
        <v>0</v>
      </c>
      <c r="J62" s="660">
        <f>J27-J26</f>
        <v>7.2310941532748796</v>
      </c>
      <c r="K62" s="660">
        <f>K27-K26</f>
        <v>6.6566751473755961</v>
      </c>
      <c r="L62" s="660">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203"/>
      <c r="W63" s="7"/>
    </row>
    <row r="64" spans="2:27" x14ac:dyDescent="0.25">
      <c r="B64" s="7"/>
      <c r="C64" s="7"/>
      <c r="D64" s="7"/>
      <c r="E64" s="116"/>
      <c r="G64" s="7"/>
      <c r="H64" s="7"/>
      <c r="I64" s="7"/>
      <c r="J64" s="17"/>
      <c r="K64" s="17"/>
      <c r="L64" s="17"/>
      <c r="M64" s="661" t="s">
        <v>289</v>
      </c>
      <c r="N64" s="288">
        <v>1</v>
      </c>
      <c r="O64" s="288">
        <v>0</v>
      </c>
      <c r="P64" s="288">
        <v>0</v>
      </c>
      <c r="Q64" s="167">
        <v>0</v>
      </c>
      <c r="R64" s="7"/>
      <c r="S64" s="7"/>
      <c r="T64" s="7"/>
      <c r="U64" s="102"/>
      <c r="V64" s="203"/>
      <c r="W64" s="7"/>
    </row>
    <row r="65" spans="2:25" x14ac:dyDescent="0.25">
      <c r="B65" s="7"/>
      <c r="C65" s="7"/>
      <c r="D65" s="7"/>
      <c r="E65" s="116"/>
      <c r="G65" s="7"/>
      <c r="H65" s="7"/>
      <c r="I65" s="7"/>
      <c r="J65" s="17"/>
      <c r="K65" s="17"/>
      <c r="L65" s="17"/>
      <c r="M65" s="662" t="s">
        <v>290</v>
      </c>
      <c r="N65" s="18">
        <v>0</v>
      </c>
      <c r="O65" s="18">
        <v>1</v>
      </c>
      <c r="P65" s="18">
        <v>0</v>
      </c>
      <c r="Q65" s="183">
        <v>0</v>
      </c>
      <c r="R65" s="7"/>
      <c r="S65" s="7"/>
      <c r="T65" s="7"/>
      <c r="U65" s="102"/>
      <c r="V65" s="269"/>
      <c r="W65" s="269"/>
      <c r="X65" s="269"/>
      <c r="Y65" s="269"/>
    </row>
    <row r="66" spans="2:25" x14ac:dyDescent="0.25">
      <c r="B66" s="7"/>
      <c r="C66" s="7"/>
      <c r="D66" s="7"/>
      <c r="E66" s="116"/>
      <c r="G66" s="7"/>
      <c r="H66" s="7"/>
      <c r="I66" s="7"/>
      <c r="J66" s="17"/>
      <c r="K66" s="17"/>
      <c r="L66" s="17"/>
      <c r="M66" s="662" t="s">
        <v>291</v>
      </c>
      <c r="N66" s="18">
        <v>0</v>
      </c>
      <c r="O66" s="18">
        <v>0</v>
      </c>
      <c r="P66" s="18">
        <v>1</v>
      </c>
      <c r="Q66" s="183">
        <v>0</v>
      </c>
      <c r="R66" s="7"/>
      <c r="S66" s="7"/>
      <c r="T66" s="7"/>
      <c r="U66" s="102"/>
      <c r="V66" s="269"/>
      <c r="W66" s="269"/>
      <c r="X66" s="269"/>
      <c r="Y66" s="269"/>
    </row>
    <row r="67" spans="2:25" ht="15.75" thickBot="1" x14ac:dyDescent="0.3">
      <c r="B67" s="7"/>
      <c r="C67" s="7"/>
      <c r="D67" s="7"/>
      <c r="E67" s="116"/>
      <c r="G67" s="7"/>
      <c r="H67" s="7"/>
      <c r="I67" s="7"/>
      <c r="J67" s="17"/>
      <c r="K67" s="17"/>
      <c r="L67" s="17"/>
      <c r="M67" s="663" t="s">
        <v>292</v>
      </c>
      <c r="N67" s="591">
        <v>0</v>
      </c>
      <c r="O67" s="591">
        <v>0</v>
      </c>
      <c r="P67" s="591">
        <v>0</v>
      </c>
      <c r="Q67" s="592">
        <v>1</v>
      </c>
      <c r="R67" s="7"/>
      <c r="S67" s="7"/>
      <c r="T67" s="7"/>
      <c r="U67" s="102"/>
      <c r="V67" s="269"/>
      <c r="W67" s="269"/>
      <c r="X67" s="269"/>
      <c r="Y67" s="269"/>
    </row>
    <row r="68" spans="2:25" ht="15.75" thickBot="1" x14ac:dyDescent="0.3">
      <c r="B68" s="7"/>
      <c r="C68" s="7"/>
      <c r="D68" s="7"/>
      <c r="E68" s="116"/>
      <c r="G68" s="7"/>
      <c r="H68" s="7"/>
      <c r="I68" s="378" t="s">
        <v>289</v>
      </c>
      <c r="J68" s="378" t="s">
        <v>290</v>
      </c>
      <c r="K68" s="378" t="s">
        <v>291</v>
      </c>
      <c r="L68" s="378" t="s">
        <v>292</v>
      </c>
      <c r="M68" s="17"/>
      <c r="N68" s="17"/>
      <c r="O68" s="17"/>
      <c r="P68" s="7"/>
      <c r="Q68" s="7"/>
      <c r="R68" s="7"/>
      <c r="S68" s="7"/>
      <c r="T68" s="7"/>
      <c r="U68" s="102"/>
      <c r="V68" s="269"/>
      <c r="W68" s="269"/>
      <c r="X68" s="269"/>
      <c r="Y68" s="269"/>
    </row>
    <row r="69" spans="2:25" x14ac:dyDescent="0.25">
      <c r="B69" s="7"/>
      <c r="C69" s="7"/>
      <c r="D69" s="7"/>
      <c r="E69" s="116"/>
      <c r="G69" s="7"/>
      <c r="H69" s="21" t="s">
        <v>293</v>
      </c>
      <c r="I69" s="664">
        <f>SUMPRODUCT($N64:$Q64,$I$62:$L$62)</f>
        <v>0</v>
      </c>
      <c r="J69" s="665">
        <f>SUMPRODUCT($N65:$Q65,$I$62:$L$62)</f>
        <v>7.2310941532748796</v>
      </c>
      <c r="K69" s="665">
        <f>SUMPRODUCT($N66:$Q66,$I$62:$L$62)</f>
        <v>6.6566751473755961</v>
      </c>
      <c r="L69" s="666">
        <f>SUMPRODUCT($N67:$Q67,$I$62:$L$62)</f>
        <v>4.3642870198513766</v>
      </c>
      <c r="M69" s="17"/>
      <c r="N69" s="17"/>
      <c r="O69" s="17"/>
      <c r="P69" s="7"/>
      <c r="Q69" s="7"/>
      <c r="R69" s="7"/>
      <c r="S69" s="7"/>
      <c r="T69" s="7"/>
      <c r="U69" s="102"/>
      <c r="V69" s="269"/>
      <c r="W69" s="269"/>
      <c r="X69" s="269"/>
      <c r="Y69" s="269"/>
    </row>
    <row r="70" spans="2:25" x14ac:dyDescent="0.25">
      <c r="B70" s="7"/>
      <c r="C70" s="7"/>
      <c r="D70" s="7"/>
      <c r="E70" s="116"/>
      <c r="G70" s="7"/>
      <c r="H70" s="21" t="s">
        <v>184</v>
      </c>
      <c r="I70" s="667">
        <f>$V$27</f>
        <v>5.4383831358769292</v>
      </c>
      <c r="J70" s="267">
        <f>$V$27</f>
        <v>5.4383831358769292</v>
      </c>
      <c r="K70" s="267">
        <f>$V$27</f>
        <v>5.4383831358769292</v>
      </c>
      <c r="L70" s="668">
        <f>$V$27</f>
        <v>5.4383831358769292</v>
      </c>
      <c r="M70" s="17"/>
      <c r="N70" s="17"/>
      <c r="O70" s="17"/>
      <c r="P70" s="7"/>
      <c r="Q70" s="7"/>
      <c r="R70" s="7"/>
      <c r="S70" s="7"/>
      <c r="T70" s="7"/>
      <c r="U70" s="102"/>
      <c r="V70" s="269"/>
      <c r="W70" s="269"/>
      <c r="X70" s="269"/>
      <c r="Y70" s="269"/>
    </row>
    <row r="71" spans="2:25" x14ac:dyDescent="0.25">
      <c r="B71" s="7"/>
      <c r="C71" s="7"/>
      <c r="D71" s="7"/>
      <c r="E71" s="116"/>
      <c r="G71" s="7"/>
      <c r="H71" s="21" t="s">
        <v>294</v>
      </c>
      <c r="I71" s="667">
        <f>SUMPRODUCT($I$62:$L$62,$M$26:$P$26)</f>
        <v>5.1889268740965369</v>
      </c>
      <c r="J71" s="267">
        <f>SUMPRODUCT($I$62:$L$62,$M$26:$P$26)</f>
        <v>5.1889268740965369</v>
      </c>
      <c r="K71" s="267">
        <f>SUMPRODUCT($I$62:$L$62,$M$26:$P$26)</f>
        <v>5.1889268740965369</v>
      </c>
      <c r="L71" s="668">
        <f>SUMPRODUCT($I$62:$L$62,$M$26:$P$26)</f>
        <v>5.1889268740965369</v>
      </c>
      <c r="M71" s="17"/>
      <c r="N71" s="17"/>
      <c r="O71" s="17"/>
      <c r="P71" s="7"/>
      <c r="Q71" s="7"/>
      <c r="R71" s="7"/>
      <c r="S71" s="7"/>
      <c r="T71" s="7"/>
      <c r="U71" s="102"/>
      <c r="V71" s="269"/>
      <c r="W71" s="269"/>
      <c r="X71" s="269"/>
      <c r="Y71" s="269"/>
    </row>
    <row r="72" spans="2:25" x14ac:dyDescent="0.25">
      <c r="B72" s="7"/>
      <c r="C72" s="7"/>
      <c r="D72" s="7"/>
      <c r="E72" s="116"/>
      <c r="G72" s="7"/>
      <c r="H72" s="21" t="s">
        <v>245</v>
      </c>
      <c r="I72" s="669">
        <f>(I69/I70)-1</f>
        <v>-1</v>
      </c>
      <c r="J72" s="19">
        <f>(J69/J70)-1</f>
        <v>0.32964044139727178</v>
      </c>
      <c r="K72" s="19">
        <f>(K69/K70)-1</f>
        <v>0.22401731931345803</v>
      </c>
      <c r="L72" s="670">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295</v>
      </c>
      <c r="I73" s="671">
        <f>(I69/I71)-1</f>
        <v>-1</v>
      </c>
      <c r="J73" s="672">
        <f>(J69/J71)-1</f>
        <v>0.39356254746486719</v>
      </c>
      <c r="K73" s="672">
        <f>(K69/K71)-1</f>
        <v>0.28286162223756794</v>
      </c>
      <c r="L73" s="673">
        <f>(L69/L71)-1</f>
        <v>-0.15892300551811911</v>
      </c>
      <c r="M73" s="17"/>
      <c r="N73" s="17"/>
      <c r="O73" s="17"/>
      <c r="P73" s="7"/>
      <c r="Q73" s="7"/>
      <c r="R73" s="7"/>
      <c r="S73" s="7"/>
      <c r="T73" s="7"/>
      <c r="U73" s="102"/>
      <c r="V73" s="569"/>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99" t="s">
        <v>366</v>
      </c>
      <c r="I75" s="800">
        <f>M$26</f>
        <v>0.10000150634671325</v>
      </c>
      <c r="J75" s="800">
        <f t="shared" ref="J75:L75" si="10">N$26</f>
        <v>0.19999972881778538</v>
      </c>
      <c r="K75" s="800">
        <f t="shared" si="10"/>
        <v>0.29999914623744173</v>
      </c>
      <c r="L75" s="800">
        <f t="shared" si="10"/>
        <v>0.39999961859805949</v>
      </c>
      <c r="M75" s="145"/>
      <c r="O75" s="145"/>
      <c r="P75" s="8"/>
      <c r="Q75" s="8"/>
      <c r="R75" s="8"/>
      <c r="S75" s="8"/>
      <c r="T75" s="8"/>
      <c r="U75" s="640"/>
      <c r="V75" s="8"/>
      <c r="W75" s="8"/>
      <c r="X75" s="8"/>
      <c r="Y75" s="8"/>
    </row>
    <row r="76" spans="2:25" x14ac:dyDescent="0.25">
      <c r="B76" s="7"/>
      <c r="C76" s="7"/>
      <c r="D76" s="7"/>
      <c r="E76" s="116"/>
      <c r="G76" s="7"/>
      <c r="H76" s="801" t="s">
        <v>367</v>
      </c>
      <c r="I76" s="802">
        <f>M$27</f>
        <v>5.0672702701916809E-2</v>
      </c>
      <c r="J76" s="802">
        <f>N$27</f>
        <v>0.25023610390709966</v>
      </c>
      <c r="K76" s="802">
        <f t="shared" ref="K76:L76" si="11">O$27</f>
        <v>0.34934715113776654</v>
      </c>
      <c r="L76" s="802">
        <f t="shared" si="11"/>
        <v>0.34974404225321715</v>
      </c>
      <c r="M76" s="145"/>
      <c r="O76" s="145"/>
      <c r="P76" s="8"/>
      <c r="Q76" s="8"/>
      <c r="R76" s="8"/>
      <c r="S76" s="8"/>
      <c r="T76" s="8"/>
      <c r="U76" s="678"/>
      <c r="V76" s="8"/>
      <c r="W76" s="8"/>
      <c r="X76" s="8"/>
      <c r="Y76" s="8"/>
    </row>
    <row r="77" spans="2:25" x14ac:dyDescent="0.25">
      <c r="B77" s="7"/>
      <c r="C77" s="7"/>
      <c r="D77" s="7"/>
      <c r="E77" s="116"/>
      <c r="G77" s="7"/>
      <c r="I77" s="86"/>
      <c r="J77" s="145"/>
      <c r="K77" s="145"/>
      <c r="L77" s="145"/>
      <c r="M77" s="146"/>
      <c r="O77" s="146"/>
      <c r="P77" s="147"/>
      <c r="Q77" s="8"/>
      <c r="R77" s="8"/>
      <c r="S77" s="8"/>
      <c r="T77" s="8"/>
      <c r="U77" s="640"/>
      <c r="V77" s="8"/>
      <c r="W77" s="8"/>
      <c r="X77" s="8"/>
      <c r="Y77" s="8"/>
    </row>
    <row r="78" spans="2:25" x14ac:dyDescent="0.25">
      <c r="B78" s="7"/>
      <c r="C78" s="7"/>
      <c r="D78" s="7"/>
      <c r="E78" s="116"/>
      <c r="H78" s="21"/>
      <c r="I78" s="881" t="s">
        <v>368</v>
      </c>
      <c r="J78" s="881"/>
      <c r="K78" s="881"/>
      <c r="L78" s="881"/>
      <c r="O78" s="146"/>
      <c r="P78" s="147"/>
      <c r="Q78" s="8"/>
      <c r="R78" s="8"/>
      <c r="S78" s="8"/>
      <c r="T78" s="8"/>
      <c r="U78" s="640"/>
      <c r="V78" s="8"/>
      <c r="W78" s="8"/>
      <c r="X78" s="8"/>
      <c r="Y78" s="8"/>
    </row>
    <row r="79" spans="2:25" x14ac:dyDescent="0.25">
      <c r="B79" s="7"/>
      <c r="C79" s="7"/>
      <c r="D79" s="7"/>
      <c r="E79" s="116"/>
      <c r="H79" s="21"/>
      <c r="I79" s="883" t="s">
        <v>369</v>
      </c>
      <c r="J79" s="884"/>
      <c r="K79" s="885" t="s">
        <v>287</v>
      </c>
      <c r="L79" s="884"/>
      <c r="M79" s="17"/>
      <c r="O79" s="146"/>
      <c r="P79" s="147"/>
      <c r="Q79" s="8"/>
      <c r="R79" s="8"/>
      <c r="S79" s="8"/>
      <c r="T79" s="8"/>
      <c r="U79" s="640"/>
      <c r="V79" s="8"/>
      <c r="W79" s="8"/>
      <c r="X79" s="8"/>
      <c r="Y79" s="8"/>
    </row>
    <row r="80" spans="2:25" ht="15.75" thickBot="1" x14ac:dyDescent="0.3">
      <c r="B80" s="7"/>
      <c r="C80" s="7"/>
      <c r="D80" s="7"/>
      <c r="E80" s="116"/>
      <c r="G80" s="7"/>
      <c r="I80" s="803" t="s">
        <v>370</v>
      </c>
      <c r="J80" s="804" t="s">
        <v>371</v>
      </c>
      <c r="K80" s="145" t="s">
        <v>370</v>
      </c>
      <c r="L80" s="804" t="s">
        <v>371</v>
      </c>
      <c r="M80" s="7"/>
      <c r="O80" s="146"/>
      <c r="P80" s="147"/>
      <c r="Q80" s="8"/>
      <c r="R80" s="8"/>
      <c r="S80" s="7"/>
      <c r="T80" s="8"/>
      <c r="U80" s="640"/>
      <c r="V80" s="8"/>
      <c r="W80" s="8"/>
      <c r="X80" s="8"/>
      <c r="Y80" s="8"/>
    </row>
    <row r="81" spans="2:25" x14ac:dyDescent="0.25">
      <c r="B81" s="7"/>
      <c r="C81" s="7"/>
      <c r="D81" s="7"/>
      <c r="E81" s="116"/>
      <c r="G81" s="7"/>
      <c r="H81" s="805" t="s">
        <v>372</v>
      </c>
      <c r="I81" s="806">
        <f>I75/SUM(I75:J75)</f>
        <v>0.33333698206902307</v>
      </c>
      <c r="J81" s="807">
        <f>J75/SUM(I75:J75)</f>
        <v>0.66666301793097693</v>
      </c>
      <c r="K81" s="806">
        <f>K75/SUM(K75:L75)</f>
        <v>0.42857096513297577</v>
      </c>
      <c r="L81" s="807">
        <f>L75/SUM(K75:L75)</f>
        <v>0.57142903486702412</v>
      </c>
      <c r="M81" s="808"/>
      <c r="O81" s="146"/>
      <c r="P81" s="147"/>
      <c r="Q81" s="8"/>
      <c r="R81" s="8"/>
      <c r="S81" s="7"/>
      <c r="T81" s="8"/>
      <c r="U81" s="640"/>
      <c r="V81" s="8"/>
      <c r="W81" s="8"/>
      <c r="X81" s="8"/>
      <c r="Y81" s="8"/>
    </row>
    <row r="82" spans="2:25" ht="15.75" thickBot="1" x14ac:dyDescent="0.3">
      <c r="B82" s="7"/>
      <c r="C82" s="7"/>
      <c r="D82" s="7"/>
      <c r="E82" s="116"/>
      <c r="G82" s="7"/>
      <c r="H82" s="809" t="s">
        <v>373</v>
      </c>
      <c r="I82" s="810">
        <f>I76/SUM(I76:J76)</f>
        <v>0.16839886898942771</v>
      </c>
      <c r="J82" s="811">
        <f>J76/SUM(I76:J76)</f>
        <v>0.8316011310105722</v>
      </c>
      <c r="K82" s="810">
        <f>K76/SUM(K76:L76)</f>
        <v>0.49971613780919949</v>
      </c>
      <c r="L82" s="811">
        <f>L76/SUM(K76:L76)</f>
        <v>0.50028386219080045</v>
      </c>
      <c r="M82" s="812"/>
      <c r="O82" s="146"/>
      <c r="P82" s="147"/>
      <c r="Q82" s="8"/>
      <c r="R82" s="8"/>
      <c r="S82" s="8"/>
      <c r="T82" s="8"/>
      <c r="U82" s="640"/>
      <c r="V82" s="8"/>
      <c r="W82" s="8"/>
      <c r="X82" s="8"/>
      <c r="Y82" s="8"/>
    </row>
    <row r="83" spans="2:25" x14ac:dyDescent="0.25">
      <c r="B83" s="7"/>
      <c r="C83" s="7"/>
      <c r="D83" s="7"/>
      <c r="E83" s="116"/>
      <c r="O83" s="146"/>
      <c r="P83" s="147"/>
      <c r="Q83" s="8"/>
      <c r="R83" s="8"/>
      <c r="S83" s="8"/>
      <c r="T83" s="8"/>
      <c r="U83" s="640"/>
      <c r="V83" s="8"/>
      <c r="W83" s="8"/>
      <c r="X83" s="8"/>
      <c r="Y83" s="8"/>
    </row>
    <row r="84" spans="2:25" x14ac:dyDescent="0.25">
      <c r="B84" s="7"/>
      <c r="C84" s="7"/>
      <c r="D84" s="7"/>
      <c r="E84" s="116"/>
      <c r="G84" s="7"/>
      <c r="I84" s="881" t="s">
        <v>297</v>
      </c>
      <c r="J84" s="881"/>
      <c r="K84" s="881"/>
      <c r="L84" s="881"/>
      <c r="O84" s="146"/>
      <c r="P84" s="147"/>
      <c r="Q84" s="8"/>
      <c r="R84" s="8"/>
      <c r="S84" s="8"/>
      <c r="T84" s="8"/>
      <c r="U84" s="640"/>
      <c r="V84" s="8"/>
      <c r="W84" s="8"/>
      <c r="X84" s="8"/>
      <c r="Y84" s="8"/>
    </row>
    <row r="85" spans="2:25" x14ac:dyDescent="0.25">
      <c r="B85" s="7"/>
      <c r="C85" s="7"/>
      <c r="D85" s="7"/>
      <c r="E85" s="116"/>
      <c r="G85" s="7"/>
      <c r="H85" s="799" t="s">
        <v>374</v>
      </c>
      <c r="I85" s="813">
        <f>SUMPRODUCT($I$73:$J$73,I81:J81)</f>
        <v>-7.096338643149136E-2</v>
      </c>
      <c r="J85" s="142"/>
      <c r="K85" s="17"/>
      <c r="L85" s="814">
        <f>SUMPRODUCT($K$73:$L$73,K81:L81)</f>
        <v>3.041305878004813E-2</v>
      </c>
      <c r="M85" s="808"/>
      <c r="N85" s="681"/>
      <c r="O85" s="146"/>
      <c r="P85" s="147"/>
      <c r="Q85" s="8"/>
      <c r="R85" s="8"/>
      <c r="S85" s="8"/>
      <c r="T85" s="8"/>
      <c r="U85" s="640"/>
      <c r="V85" s="8"/>
      <c r="W85" s="8"/>
      <c r="X85" s="8"/>
      <c r="Y85" s="8"/>
    </row>
    <row r="86" spans="2:25" x14ac:dyDescent="0.25">
      <c r="B86" s="7"/>
      <c r="C86" s="7"/>
      <c r="D86" s="7"/>
      <c r="E86" s="116"/>
      <c r="G86" s="7"/>
      <c r="H86" s="801" t="s">
        <v>375</v>
      </c>
      <c r="I86" s="815">
        <f>SUMPRODUCT($I$73:$J$73,I82:J82)</f>
        <v>0.15888819060575785</v>
      </c>
      <c r="J86" s="142" t="s">
        <v>376</v>
      </c>
      <c r="K86" s="17"/>
      <c r="L86" s="816">
        <f>SUMPRODUCT($K$73:$L$73,K82:L82)</f>
        <v>6.1843902407427709E-2</v>
      </c>
      <c r="M86" s="812"/>
      <c r="O86" s="146"/>
      <c r="P86" s="147"/>
      <c r="Q86" s="8"/>
      <c r="R86" s="8"/>
      <c r="S86" s="8"/>
      <c r="T86" s="8"/>
      <c r="U86" s="640"/>
      <c r="V86" s="8"/>
      <c r="W86" s="8"/>
      <c r="X86" s="8"/>
      <c r="Y86" s="8"/>
    </row>
    <row r="87" spans="2:25" x14ac:dyDescent="0.25">
      <c r="B87" s="17"/>
      <c r="C87" s="17"/>
      <c r="D87" s="17"/>
      <c r="E87" s="682"/>
      <c r="F87" s="7"/>
      <c r="G87" s="7"/>
      <c r="M87" s="149"/>
      <c r="N87" s="149"/>
      <c r="O87" s="147"/>
      <c r="P87" s="8"/>
      <c r="Q87" s="8"/>
      <c r="R87" s="8"/>
      <c r="S87" s="8"/>
      <c r="T87" s="8"/>
      <c r="U87" s="640"/>
      <c r="V87" s="8"/>
      <c r="W87" s="8"/>
      <c r="X87" s="8"/>
      <c r="Y87" s="8"/>
    </row>
    <row r="88" spans="2:25" ht="15.75" thickBot="1" x14ac:dyDescent="0.3">
      <c r="B88" s="7"/>
      <c r="C88" s="7"/>
      <c r="D88" s="7"/>
      <c r="E88" s="116"/>
      <c r="F88" s="7"/>
      <c r="G88" s="7"/>
      <c r="I88" s="882" t="s">
        <v>299</v>
      </c>
      <c r="J88" s="882"/>
      <c r="K88" s="882"/>
      <c r="L88" s="882"/>
      <c r="M88" s="149"/>
      <c r="N88" s="149"/>
      <c r="O88" s="147"/>
      <c r="P88" s="8"/>
      <c r="Q88" s="8"/>
      <c r="R88" s="8"/>
      <c r="S88" s="8"/>
      <c r="T88" s="8"/>
      <c r="U88" s="640"/>
      <c r="V88" s="8"/>
      <c r="W88" s="8"/>
      <c r="X88" s="8"/>
      <c r="Y88" s="8"/>
    </row>
    <row r="89" spans="2:25" ht="15.75" customHeight="1" x14ac:dyDescent="0.35">
      <c r="B89" s="7"/>
      <c r="C89" s="7"/>
      <c r="D89" s="7"/>
      <c r="E89" s="116"/>
      <c r="F89" s="593"/>
      <c r="G89" s="7"/>
      <c r="J89" s="817" t="s">
        <v>26</v>
      </c>
      <c r="K89" s="818">
        <f>SUMPRODUCT(I75:L75,I73:L73)</f>
        <v>1.8041124150158794E-16</v>
      </c>
      <c r="L89" s="191" t="s">
        <v>377</v>
      </c>
      <c r="M89" s="17"/>
      <c r="N89" s="17"/>
      <c r="O89" s="7"/>
      <c r="P89" s="7"/>
      <c r="Q89" s="7"/>
      <c r="R89" s="7"/>
      <c r="S89" s="7"/>
      <c r="T89" s="7"/>
      <c r="U89" s="102"/>
      <c r="V89" s="8"/>
      <c r="W89" s="8"/>
      <c r="X89" s="8"/>
      <c r="Y89" s="8"/>
    </row>
    <row r="90" spans="2:25" ht="15.75" thickBot="1" x14ac:dyDescent="0.3">
      <c r="B90" s="7"/>
      <c r="C90" s="7"/>
      <c r="D90" s="7"/>
      <c r="E90" s="116"/>
      <c r="F90" s="7"/>
      <c r="G90" s="7"/>
      <c r="H90" s="7"/>
      <c r="J90" s="819" t="s">
        <v>27</v>
      </c>
      <c r="K90" s="820">
        <f>SUMPRODUCT(I73:L73,I82:L82)</f>
        <v>0.22073209301318553</v>
      </c>
      <c r="L90" s="821" t="s">
        <v>378</v>
      </c>
      <c r="M90" s="17"/>
      <c r="N90" s="17"/>
      <c r="O90" s="7"/>
      <c r="P90" s="7"/>
      <c r="Q90" s="7"/>
      <c r="R90" s="7"/>
      <c r="S90" s="7"/>
      <c r="T90" s="7"/>
      <c r="U90" s="102"/>
      <c r="V90" s="642"/>
      <c r="W90" s="642"/>
      <c r="X90" s="642"/>
      <c r="Y90" s="8"/>
    </row>
    <row r="91" spans="2:25" x14ac:dyDescent="0.25">
      <c r="B91" s="7"/>
      <c r="C91" s="7"/>
      <c r="D91" s="7"/>
      <c r="E91" s="116"/>
      <c r="F91" s="7"/>
      <c r="G91" s="7"/>
      <c r="H91" s="7"/>
      <c r="I91" s="142"/>
      <c r="J91" s="822"/>
      <c r="K91" s="823"/>
      <c r="L91" s="821"/>
      <c r="M91" s="17"/>
      <c r="N91" s="17"/>
      <c r="O91" s="7"/>
      <c r="P91" s="7"/>
      <c r="Q91" s="7"/>
      <c r="R91" s="7"/>
      <c r="S91" s="7"/>
      <c r="T91" s="7"/>
      <c r="U91" s="102"/>
      <c r="V91" s="642"/>
      <c r="W91" s="642"/>
      <c r="X91" s="642"/>
      <c r="Y91" s="8"/>
    </row>
    <row r="92" spans="2:25" x14ac:dyDescent="0.25">
      <c r="B92" s="7"/>
      <c r="C92" s="7"/>
      <c r="D92" s="7"/>
      <c r="E92" s="116"/>
      <c r="F92" s="7"/>
      <c r="G92" s="7"/>
      <c r="H92" s="7"/>
      <c r="I92" s="142" t="s">
        <v>379</v>
      </c>
      <c r="J92" s="822"/>
      <c r="K92" s="823"/>
      <c r="L92" s="821"/>
      <c r="M92" s="17"/>
      <c r="N92" s="17"/>
      <c r="O92" s="7"/>
      <c r="P92" s="7"/>
      <c r="Q92" s="7"/>
      <c r="R92" s="7"/>
      <c r="S92" s="7"/>
      <c r="T92" s="7"/>
      <c r="U92" s="102"/>
      <c r="V92" s="642"/>
      <c r="W92" s="642"/>
      <c r="X92" s="642"/>
      <c r="Y92" s="8"/>
    </row>
    <row r="93" spans="2:25" ht="15.75" thickBot="1" x14ac:dyDescent="0.3">
      <c r="B93" s="7"/>
      <c r="C93" s="7"/>
      <c r="D93" s="7"/>
      <c r="E93" s="121"/>
      <c r="F93" s="168"/>
      <c r="G93" s="168"/>
      <c r="H93" s="168"/>
      <c r="I93" s="266" t="s">
        <v>380</v>
      </c>
      <c r="J93" s="266"/>
      <c r="K93" s="266"/>
      <c r="L93" s="266"/>
      <c r="M93" s="266"/>
      <c r="N93" s="266"/>
      <c r="O93" s="168"/>
      <c r="P93" s="168"/>
      <c r="Q93" s="168"/>
      <c r="R93" s="168"/>
      <c r="S93" s="168"/>
      <c r="T93" s="168"/>
      <c r="U93" s="104"/>
      <c r="V93" s="642"/>
      <c r="W93" s="642"/>
      <c r="X93" s="642"/>
      <c r="Y93" s="8"/>
    </row>
    <row r="94" spans="2:25" x14ac:dyDescent="0.25">
      <c r="B94" s="7"/>
      <c r="C94" s="7"/>
      <c r="D94" s="7"/>
      <c r="E94" s="7"/>
      <c r="F94" s="7"/>
      <c r="V94" s="642"/>
      <c r="W94" s="642"/>
      <c r="X94" s="642"/>
      <c r="Y94" s="8"/>
    </row>
    <row r="95" spans="2:25" ht="15.75" thickBot="1" x14ac:dyDescent="0.3">
      <c r="J95" s="590"/>
      <c r="K95" s="590"/>
      <c r="L95" s="590"/>
      <c r="M95" s="590"/>
      <c r="N95" s="590"/>
      <c r="O95" s="590"/>
      <c r="P95" s="590"/>
      <c r="Q95" s="590"/>
      <c r="R95" s="655"/>
      <c r="S95" s="8"/>
      <c r="T95" s="8"/>
      <c r="U95" s="8"/>
      <c r="V95" s="8"/>
      <c r="W95" s="8"/>
      <c r="X95" s="8"/>
      <c r="Y95" s="8"/>
    </row>
    <row r="96" spans="2:25" ht="21" x14ac:dyDescent="0.35">
      <c r="E96" s="9"/>
      <c r="F96" s="634" t="s">
        <v>300</v>
      </c>
      <c r="G96" s="10"/>
      <c r="H96" s="10"/>
      <c r="I96" s="265"/>
      <c r="J96" s="265"/>
      <c r="K96" s="265"/>
      <c r="L96" s="265"/>
      <c r="M96" s="265"/>
      <c r="N96" s="265"/>
      <c r="O96" s="10"/>
      <c r="P96" s="10"/>
      <c r="Q96" s="10"/>
      <c r="R96" s="638"/>
      <c r="S96" s="638"/>
      <c r="T96" s="638"/>
      <c r="U96" s="639"/>
      <c r="V96" s="8"/>
      <c r="W96" s="8"/>
      <c r="X96" s="8"/>
      <c r="Y96" s="8"/>
    </row>
    <row r="97" spans="5:25" x14ac:dyDescent="0.25">
      <c r="E97" s="116"/>
      <c r="F97" s="7" t="s">
        <v>388</v>
      </c>
      <c r="G97" s="7"/>
      <c r="H97" s="7"/>
      <c r="I97" s="17"/>
      <c r="J97" s="17"/>
      <c r="K97" s="17"/>
      <c r="L97" s="17"/>
      <c r="M97" s="17"/>
      <c r="N97" s="17"/>
      <c r="O97" s="7"/>
      <c r="P97" s="7"/>
      <c r="Q97" s="7"/>
      <c r="R97" s="8"/>
      <c r="S97" s="8"/>
      <c r="T97" s="8"/>
      <c r="U97" s="640"/>
      <c r="V97" s="8"/>
      <c r="W97" s="8"/>
      <c r="X97" s="8"/>
      <c r="Y97" s="8"/>
    </row>
    <row r="98" spans="5:25" x14ac:dyDescent="0.25">
      <c r="E98" s="116"/>
      <c r="F98" s="7"/>
      <c r="G98" s="7"/>
      <c r="H98" s="7"/>
      <c r="I98" s="17"/>
      <c r="J98" s="17"/>
      <c r="K98" s="17"/>
      <c r="L98" s="17"/>
      <c r="M98" s="17"/>
      <c r="N98" s="17"/>
      <c r="O98" s="17"/>
      <c r="P98" s="17"/>
      <c r="Q98" s="17"/>
      <c r="R98" s="142"/>
      <c r="S98" s="142"/>
      <c r="T98" s="142"/>
      <c r="U98" s="684"/>
      <c r="V98" s="142"/>
      <c r="W98" s="142"/>
      <c r="X98" s="8"/>
      <c r="Y98" s="8"/>
    </row>
    <row r="99" spans="5:25" x14ac:dyDescent="0.25">
      <c r="E99" s="116"/>
      <c r="F99" s="7"/>
      <c r="G99" s="7"/>
      <c r="H99" s="633" t="s">
        <v>301</v>
      </c>
      <c r="I99" s="142"/>
      <c r="J99" s="142"/>
      <c r="K99" s="142"/>
      <c r="L99" s="142"/>
      <c r="M99" s="149"/>
      <c r="N99" s="149"/>
      <c r="O99" s="147"/>
      <c r="P99" s="8"/>
      <c r="Q99" s="8"/>
      <c r="R99" s="142"/>
      <c r="S99" s="142"/>
      <c r="T99" s="142"/>
      <c r="U99" s="684"/>
      <c r="V99" s="142"/>
      <c r="W99" s="142"/>
      <c r="X99" s="8"/>
      <c r="Y99" s="8"/>
    </row>
    <row r="100" spans="5:25" x14ac:dyDescent="0.25">
      <c r="E100" s="116"/>
      <c r="F100" s="7"/>
      <c r="G100" s="7"/>
      <c r="H100" s="7" t="s">
        <v>302</v>
      </c>
      <c r="I100" s="142"/>
      <c r="J100" s="142"/>
      <c r="K100" s="142"/>
      <c r="L100" s="142"/>
      <c r="M100" s="149"/>
      <c r="N100" s="149"/>
      <c r="O100" s="147"/>
      <c r="P100" s="8"/>
      <c r="Q100" s="8"/>
      <c r="R100" s="142"/>
      <c r="S100" s="142"/>
      <c r="T100" s="142"/>
      <c r="U100" s="684"/>
      <c r="V100" s="142"/>
      <c r="W100" s="142"/>
      <c r="X100" s="8"/>
      <c r="Y100" s="8"/>
    </row>
    <row r="101" spans="5:25" x14ac:dyDescent="0.25">
      <c r="E101" s="116"/>
      <c r="F101" s="7"/>
      <c r="G101" s="7"/>
      <c r="H101" s="7"/>
      <c r="I101" s="17"/>
      <c r="J101" s="17"/>
      <c r="K101" s="17"/>
      <c r="L101" s="17"/>
      <c r="M101" s="571"/>
      <c r="N101" s="571"/>
      <c r="O101" s="641"/>
      <c r="P101" s="7"/>
      <c r="Q101" s="7"/>
      <c r="R101" s="8"/>
      <c r="S101" s="8"/>
      <c r="T101" s="8"/>
      <c r="U101" s="640"/>
      <c r="V101" s="8"/>
      <c r="W101" s="8"/>
      <c r="X101" s="8"/>
      <c r="Y101" s="8"/>
    </row>
    <row r="102" spans="5:25" ht="15.75" thickBot="1" x14ac:dyDescent="0.3">
      <c r="E102" s="116"/>
      <c r="F102" s="7"/>
      <c r="G102" s="7"/>
      <c r="H102" s="685">
        <v>7</v>
      </c>
      <c r="I102" s="17"/>
      <c r="J102" s="268">
        <v>0</v>
      </c>
      <c r="K102" s="268">
        <v>1</v>
      </c>
      <c r="L102" s="641"/>
      <c r="M102" s="7"/>
      <c r="N102" s="7" t="s">
        <v>54</v>
      </c>
      <c r="O102" s="7"/>
      <c r="P102" s="7"/>
      <c r="Q102" s="7"/>
      <c r="R102" s="8"/>
      <c r="S102" s="8"/>
      <c r="T102" s="8"/>
      <c r="U102" s="640"/>
      <c r="V102" s="8"/>
      <c r="W102" s="8"/>
      <c r="X102" s="8"/>
      <c r="Y102" s="8"/>
    </row>
    <row r="103" spans="5:25" x14ac:dyDescent="0.25">
      <c r="E103" s="116"/>
      <c r="F103" s="7"/>
      <c r="G103" s="7"/>
      <c r="H103" s="21" t="s">
        <v>285</v>
      </c>
      <c r="I103" s="18">
        <v>0</v>
      </c>
      <c r="J103" s="87">
        <f>M29</f>
        <v>0.10000150634671325</v>
      </c>
      <c r="K103" s="88">
        <f>N29</f>
        <v>0.19999972881778538</v>
      </c>
      <c r="L103" s="89">
        <f>SUM(J103:K103)</f>
        <v>0.30000123516449861</v>
      </c>
      <c r="M103" s="7"/>
      <c r="N103" s="647">
        <f>K103/SUM(J103:K103)</f>
        <v>0.66666301793097693</v>
      </c>
      <c r="O103" s="648" t="s">
        <v>303</v>
      </c>
      <c r="P103" s="7"/>
      <c r="Q103" s="7"/>
      <c r="R103" s="8"/>
      <c r="S103" s="8"/>
      <c r="T103" s="8"/>
      <c r="U103" s="640"/>
      <c r="V103" s="8"/>
      <c r="W103" s="8"/>
      <c r="X103" s="8"/>
      <c r="Y103" s="8"/>
    </row>
    <row r="104" spans="5:25" ht="15.75" thickBot="1" x14ac:dyDescent="0.3">
      <c r="E104" s="116"/>
      <c r="F104" s="7"/>
      <c r="G104" s="7"/>
      <c r="H104" s="21" t="s">
        <v>287</v>
      </c>
      <c r="I104" s="18">
        <v>1</v>
      </c>
      <c r="J104" s="90">
        <f>O29</f>
        <v>0.29999914623744173</v>
      </c>
      <c r="K104" s="91">
        <f>P29</f>
        <v>0.39999961859805949</v>
      </c>
      <c r="L104" s="686">
        <f>SUM(J104:K104)</f>
        <v>0.69999876483550127</v>
      </c>
      <c r="M104" s="7"/>
      <c r="N104" s="651">
        <f>K104/SUM(J104:K104)</f>
        <v>0.57142903486702412</v>
      </c>
      <c r="O104" s="7"/>
      <c r="P104" s="7"/>
      <c r="Q104" s="7"/>
      <c r="R104" s="8"/>
      <c r="S104" s="8"/>
      <c r="T104" s="8"/>
      <c r="U104" s="640"/>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304</v>
      </c>
      <c r="R105" s="7"/>
      <c r="S105" s="687"/>
      <c r="T105" s="8"/>
      <c r="U105" s="640"/>
      <c r="V105" s="8"/>
      <c r="W105" s="8"/>
      <c r="X105" s="8"/>
      <c r="Y105" s="8"/>
    </row>
    <row r="106" spans="5:25" x14ac:dyDescent="0.25">
      <c r="E106" s="116"/>
      <c r="F106" s="7"/>
      <c r="G106" s="7"/>
      <c r="H106" s="17"/>
      <c r="I106" s="17"/>
      <c r="J106" s="17"/>
      <c r="K106" s="17"/>
      <c r="L106" s="7"/>
      <c r="M106" s="7"/>
      <c r="N106" s="8"/>
      <c r="O106" s="7"/>
      <c r="P106" s="7"/>
      <c r="Q106" s="656">
        <f>MIN($V$30)</f>
        <v>1.0682434104463567</v>
      </c>
      <c r="R106" s="11">
        <f>COUNT($I$30:$L$30)</f>
        <v>4</v>
      </c>
      <c r="S106" s="8"/>
      <c r="T106" s="8"/>
      <c r="U106" s="640"/>
      <c r="V106" s="8"/>
      <c r="W106" s="8"/>
      <c r="X106" s="8"/>
      <c r="Y106" s="8"/>
    </row>
    <row r="107" spans="5:25" x14ac:dyDescent="0.25">
      <c r="E107" s="116"/>
      <c r="F107" s="7"/>
      <c r="G107" s="7"/>
      <c r="H107" s="589"/>
      <c r="I107" s="589"/>
      <c r="J107" s="589"/>
      <c r="K107" s="589"/>
      <c r="L107" s="589"/>
      <c r="M107" s="589"/>
      <c r="N107" s="8"/>
      <c r="O107" s="7"/>
      <c r="P107" s="589"/>
      <c r="Q107" s="116" t="b">
        <f t="array" ref="Q107">$I$29:$L$29&lt;=$I$30:$L$30</f>
        <v>1</v>
      </c>
      <c r="R107" s="102" t="b">
        <f>$L$104=$L$112</f>
        <v>0</v>
      </c>
      <c r="S107" s="8"/>
      <c r="T107" s="8"/>
      <c r="U107" s="640"/>
      <c r="V107" s="8"/>
      <c r="W107" s="8"/>
      <c r="X107" s="8"/>
      <c r="Y107" s="8"/>
    </row>
    <row r="108" spans="5:25" x14ac:dyDescent="0.25">
      <c r="E108" s="116"/>
      <c r="F108" s="7"/>
      <c r="G108" s="7"/>
      <c r="H108" s="589"/>
      <c r="I108" s="589"/>
      <c r="J108" s="589"/>
      <c r="K108" s="589"/>
      <c r="L108" s="589"/>
      <c r="M108" s="589"/>
      <c r="N108" s="655"/>
      <c r="O108" s="589"/>
      <c r="P108" s="589"/>
      <c r="Q108" s="116" t="b">
        <f>$N$103=$N$111</f>
        <v>0</v>
      </c>
      <c r="R108" s="102" t="b">
        <f>$P$30=$E$30</f>
        <v>0</v>
      </c>
      <c r="S108" s="7"/>
      <c r="T108" s="7"/>
      <c r="U108" s="102"/>
    </row>
    <row r="109" spans="5:25" ht="15.75" thickBot="1" x14ac:dyDescent="0.3">
      <c r="E109" s="116"/>
      <c r="F109" s="7"/>
      <c r="G109" s="7"/>
      <c r="H109" s="17"/>
      <c r="I109" s="17"/>
      <c r="J109" s="17"/>
      <c r="K109" s="17"/>
      <c r="L109" s="7"/>
      <c r="M109" s="7"/>
      <c r="N109" s="655"/>
      <c r="O109" s="589"/>
      <c r="P109" s="7"/>
      <c r="Q109" s="121">
        <f>{32767,32767,0.000001,0.01,FALSE,FALSE,TRUE,1,1,1,0.0001,FALSE}</f>
        <v>32767</v>
      </c>
      <c r="R109" s="104">
        <f>{0,0,1,100,0,FALSE,TRUE,0.075,0,0,FALSE,30}</f>
        <v>0</v>
      </c>
      <c r="S109" s="7"/>
      <c r="T109" s="7"/>
      <c r="U109" s="102"/>
    </row>
    <row r="110" spans="5:25" ht="15.75" thickBot="1" x14ac:dyDescent="0.3">
      <c r="E110" s="116"/>
      <c r="F110" s="7"/>
      <c r="G110" s="7"/>
      <c r="H110" s="688">
        <v>8</v>
      </c>
      <c r="I110" s="17"/>
      <c r="J110" s="268">
        <v>0</v>
      </c>
      <c r="K110" s="268">
        <v>1</v>
      </c>
      <c r="L110" s="641"/>
      <c r="M110" s="7"/>
      <c r="N110" s="8" t="s">
        <v>54</v>
      </c>
      <c r="O110" s="7"/>
      <c r="P110" s="7"/>
      <c r="Q110" s="7"/>
      <c r="R110" s="7"/>
      <c r="S110" s="7"/>
      <c r="T110" s="7"/>
      <c r="U110" s="102"/>
    </row>
    <row r="111" spans="5:25" x14ac:dyDescent="0.25">
      <c r="E111" s="116"/>
      <c r="F111" s="7"/>
      <c r="G111" s="7"/>
      <c r="H111" s="21" t="s">
        <v>285</v>
      </c>
      <c r="I111" s="18">
        <v>0</v>
      </c>
      <c r="J111" s="87">
        <f>M30</f>
        <v>0.10000150127410369</v>
      </c>
      <c r="K111" s="88">
        <f>N30</f>
        <v>0.19999971867295302</v>
      </c>
      <c r="L111" s="89">
        <f>SUM(J111:K111)</f>
        <v>0.3000012199470567</v>
      </c>
      <c r="M111" s="7"/>
      <c r="N111" s="647">
        <f>K111/SUM(J111:K111)</f>
        <v>0.66666301793122162</v>
      </c>
      <c r="O111" s="7"/>
      <c r="P111" s="7"/>
      <c r="Q111" s="7"/>
      <c r="R111" s="7"/>
      <c r="S111" s="7"/>
      <c r="T111" s="7"/>
      <c r="U111" s="102"/>
    </row>
    <row r="112" spans="5:25" ht="15.75" thickBot="1" x14ac:dyDescent="0.3">
      <c r="E112" s="116"/>
      <c r="F112" s="7"/>
      <c r="G112" s="7"/>
      <c r="H112" s="21" t="s">
        <v>287</v>
      </c>
      <c r="I112" s="18">
        <v>1</v>
      </c>
      <c r="J112" s="90">
        <f>O30</f>
        <v>0.34999877556824549</v>
      </c>
      <c r="K112" s="91">
        <f>P30</f>
        <v>0.35000000448469776</v>
      </c>
      <c r="L112" s="686">
        <f>SUM(J112:K112)</f>
        <v>0.69999878005294325</v>
      </c>
      <c r="M112" s="648" t="s">
        <v>305</v>
      </c>
      <c r="N112" s="651"/>
      <c r="O112" s="7"/>
      <c r="P112" s="7"/>
      <c r="Q112" s="7"/>
      <c r="R112" s="7"/>
      <c r="S112" s="7"/>
      <c r="T112" s="7"/>
      <c r="U112" s="102"/>
    </row>
    <row r="113" spans="5:21" ht="15.75" thickBot="1" x14ac:dyDescent="0.3">
      <c r="E113" s="116"/>
      <c r="F113" s="7"/>
      <c r="G113" s="7"/>
      <c r="H113" s="17"/>
      <c r="I113" s="17"/>
      <c r="J113" s="118">
        <f>SUM(J111:J112)</f>
        <v>0.45000027684234917</v>
      </c>
      <c r="K113" s="571">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89"/>
      <c r="I115" s="589"/>
      <c r="J115" s="589"/>
      <c r="K115" s="589"/>
      <c r="L115" s="589"/>
      <c r="M115" s="589"/>
      <c r="N115" s="589"/>
      <c r="O115" s="589"/>
      <c r="P115" s="589"/>
      <c r="Q115" s="589"/>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365</v>
      </c>
      <c r="I117" s="660">
        <f>I30-I29</f>
        <v>1.068243004643695</v>
      </c>
      <c r="J117" s="660">
        <f t="shared" ref="J117:L117" si="12">J30-J29</f>
        <v>1.0682430046525013</v>
      </c>
      <c r="K117" s="660">
        <f t="shared" si="12"/>
        <v>2.3014436290378857</v>
      </c>
      <c r="L117" s="660">
        <f t="shared" si="12"/>
        <v>0</v>
      </c>
      <c r="M117" s="17"/>
      <c r="N117" s="17"/>
      <c r="O117" s="7"/>
      <c r="P117" s="7"/>
      <c r="Q117" s="7"/>
      <c r="R117" s="7"/>
      <c r="S117" s="7"/>
      <c r="T117" s="7"/>
      <c r="U117" s="102"/>
    </row>
    <row r="118" spans="5:21" hidden="1" x14ac:dyDescent="0.25">
      <c r="E118" s="116"/>
      <c r="F118" s="7"/>
      <c r="G118" s="7"/>
      <c r="H118" s="7"/>
      <c r="I118" s="17"/>
      <c r="J118" s="661" t="s">
        <v>289</v>
      </c>
      <c r="K118" s="288">
        <v>1</v>
      </c>
      <c r="L118" s="288">
        <v>0</v>
      </c>
      <c r="M118" s="288">
        <v>0</v>
      </c>
      <c r="N118" s="167">
        <v>0</v>
      </c>
      <c r="O118" s="7"/>
      <c r="P118" s="7"/>
      <c r="Q118" s="7"/>
      <c r="R118" s="7"/>
      <c r="S118" s="7"/>
      <c r="T118" s="7"/>
      <c r="U118" s="102"/>
    </row>
    <row r="119" spans="5:21" hidden="1" x14ac:dyDescent="0.25">
      <c r="E119" s="116"/>
      <c r="F119" s="7"/>
      <c r="G119" s="7"/>
      <c r="H119" s="7"/>
      <c r="I119" s="17"/>
      <c r="J119" s="662" t="s">
        <v>290</v>
      </c>
      <c r="K119" s="18">
        <v>0</v>
      </c>
      <c r="L119" s="18">
        <v>1</v>
      </c>
      <c r="M119" s="18">
        <v>0</v>
      </c>
      <c r="N119" s="183">
        <v>0</v>
      </c>
      <c r="O119" s="7"/>
      <c r="P119" s="7"/>
      <c r="Q119" s="7"/>
      <c r="R119" s="7"/>
      <c r="S119" s="7"/>
      <c r="T119" s="7"/>
      <c r="U119" s="102"/>
    </row>
    <row r="120" spans="5:21" hidden="1" x14ac:dyDescent="0.25">
      <c r="E120" s="116"/>
      <c r="F120" s="7"/>
      <c r="G120" s="7"/>
      <c r="H120" s="7"/>
      <c r="I120" s="17"/>
      <c r="J120" s="662" t="s">
        <v>291</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63" t="s">
        <v>292</v>
      </c>
      <c r="K121" s="591">
        <v>0</v>
      </c>
      <c r="L121" s="591">
        <v>0</v>
      </c>
      <c r="M121" s="591">
        <v>0</v>
      </c>
      <c r="N121" s="592">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78" t="s">
        <v>289</v>
      </c>
      <c r="J123" s="378" t="s">
        <v>290</v>
      </c>
      <c r="K123" s="378" t="s">
        <v>291</v>
      </c>
      <c r="L123" s="378" t="s">
        <v>292</v>
      </c>
      <c r="M123" s="17"/>
      <c r="N123" s="17"/>
      <c r="O123" s="7"/>
      <c r="P123" s="7"/>
      <c r="Q123" s="7"/>
      <c r="R123" s="7"/>
      <c r="S123" s="7"/>
      <c r="T123" s="7"/>
      <c r="U123" s="102"/>
    </row>
    <row r="124" spans="5:21" hidden="1" x14ac:dyDescent="0.25">
      <c r="E124" s="116"/>
      <c r="F124" s="7"/>
      <c r="G124" s="7"/>
      <c r="H124" s="21" t="s">
        <v>293</v>
      </c>
      <c r="I124" s="664">
        <f>SUMPRODUCT($K118:$N118,$I$117:$L$117)</f>
        <v>1.068243004643695</v>
      </c>
      <c r="J124" s="665">
        <f>SUMPRODUCT($K119:$N119,$I$117:$L$117)</f>
        <v>1.0682430046525013</v>
      </c>
      <c r="K124" s="665">
        <f>SUMPRODUCT($K120:$N120,$I$117:$L$117)</f>
        <v>2.3014436290378857</v>
      </c>
      <c r="L124" s="666">
        <f>SUMPRODUCT($K121:$N121,$I$117:$L$117)</f>
        <v>0</v>
      </c>
      <c r="M124" s="17"/>
      <c r="N124" s="17"/>
      <c r="O124" s="7"/>
      <c r="P124" s="7"/>
      <c r="Q124" s="7"/>
      <c r="R124" s="7"/>
      <c r="S124" s="7"/>
      <c r="T124" s="7"/>
      <c r="U124" s="102"/>
    </row>
    <row r="125" spans="5:21" hidden="1" x14ac:dyDescent="0.25">
      <c r="E125" s="116"/>
      <c r="F125" s="7"/>
      <c r="G125" s="7"/>
      <c r="H125" s="21" t="s">
        <v>184</v>
      </c>
      <c r="I125" s="667">
        <f>$V$30</f>
        <v>1.0682434104463567</v>
      </c>
      <c r="J125" s="267">
        <f t="shared" ref="J125:L125" si="13">$V$30</f>
        <v>1.0682434104463567</v>
      </c>
      <c r="K125" s="267">
        <f t="shared" si="13"/>
        <v>1.0682434104463567</v>
      </c>
      <c r="L125" s="668">
        <f t="shared" si="13"/>
        <v>1.0682434104463567</v>
      </c>
      <c r="M125" s="17"/>
      <c r="N125" s="17"/>
      <c r="O125" s="7"/>
      <c r="P125" s="7"/>
      <c r="Q125" s="7"/>
      <c r="R125" s="7"/>
      <c r="S125" s="7"/>
      <c r="T125" s="7"/>
      <c r="U125" s="102"/>
    </row>
    <row r="126" spans="5:21" hidden="1" x14ac:dyDescent="0.25">
      <c r="E126" s="116"/>
      <c r="F126" s="7"/>
      <c r="G126" s="7"/>
      <c r="H126" s="21" t="s">
        <v>294</v>
      </c>
      <c r="I126" s="667">
        <f>SUMPRODUCT($I$117:$L$117,$M$29:$P$29)</f>
        <v>1.0109053446756704</v>
      </c>
      <c r="J126" s="267">
        <f>SUMPRODUCT($I$117:$L$117,$M$29:$P$29)</f>
        <v>1.0109053446756704</v>
      </c>
      <c r="K126" s="267">
        <f>SUMPRODUCT($I$117:$L$117,$M$29:$P$29)</f>
        <v>1.0109053446756704</v>
      </c>
      <c r="L126" s="668">
        <f>SUMPRODUCT($I$117:$L$117,$M$29:$P$29)</f>
        <v>1.0109053446756704</v>
      </c>
      <c r="M126" s="17"/>
      <c r="N126" s="17"/>
      <c r="O126" s="7"/>
      <c r="P126" s="7"/>
      <c r="Q126" s="7"/>
      <c r="R126" s="7"/>
      <c r="S126" s="7"/>
      <c r="T126" s="7"/>
      <c r="U126" s="102"/>
    </row>
    <row r="127" spans="5:21" hidden="1" x14ac:dyDescent="0.25">
      <c r="E127" s="116"/>
      <c r="F127" s="7"/>
      <c r="G127" s="7"/>
      <c r="H127" s="21" t="s">
        <v>245</v>
      </c>
      <c r="I127" s="669">
        <f>(I124/I125)-1</f>
        <v>-3.7987846002174308E-7</v>
      </c>
      <c r="J127" s="19">
        <f>(J124/J125)-1</f>
        <v>-3.7987021628271833E-7</v>
      </c>
      <c r="K127" s="19">
        <f>(K124/K125)-1</f>
        <v>1.1544187462633131</v>
      </c>
      <c r="L127" s="670">
        <f>(L124/L125)-1</f>
        <v>-1</v>
      </c>
      <c r="M127" s="17"/>
      <c r="N127" s="17"/>
      <c r="O127" s="7"/>
      <c r="P127" s="7"/>
      <c r="Q127" s="7"/>
      <c r="R127" s="7"/>
      <c r="S127" s="7"/>
      <c r="T127" s="7"/>
      <c r="U127" s="102"/>
    </row>
    <row r="128" spans="5:21" ht="15.75" hidden="1" thickBot="1" x14ac:dyDescent="0.3">
      <c r="E128" s="116"/>
      <c r="F128" s="7"/>
      <c r="G128" s="7"/>
      <c r="H128" s="144" t="s">
        <v>295</v>
      </c>
      <c r="I128" s="671">
        <f>(I124/I126)-1</f>
        <v>5.6719118431825422E-2</v>
      </c>
      <c r="J128" s="672">
        <f>(J124/J126)-1</f>
        <v>5.6719118440536676E-2</v>
      </c>
      <c r="K128" s="672">
        <f>(K124/K126)-1</f>
        <v>1.2766163431218773</v>
      </c>
      <c r="L128" s="673">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296</v>
      </c>
      <c r="I130" s="674">
        <f>M$30</f>
        <v>0.10000150127410369</v>
      </c>
      <c r="J130" s="675">
        <f>N$30</f>
        <v>0.19999971867295302</v>
      </c>
      <c r="K130" s="397">
        <f>O$30</f>
        <v>0.34999877556824549</v>
      </c>
      <c r="L130" s="397">
        <f>P$30</f>
        <v>0.35000000448469776</v>
      </c>
      <c r="M130" s="145"/>
      <c r="N130" s="145"/>
      <c r="O130" s="8"/>
      <c r="P130" s="824">
        <v>0.10000150127410369</v>
      </c>
      <c r="Q130" s="825">
        <v>0.19999971867295302</v>
      </c>
      <c r="R130" s="826">
        <v>0.34999877556824549</v>
      </c>
      <c r="S130" s="827">
        <v>0.35000000448469776</v>
      </c>
      <c r="T130" s="795"/>
      <c r="U130" s="102"/>
    </row>
    <row r="131" spans="5:21" ht="15.75" hidden="1" thickBot="1" x14ac:dyDescent="0.3">
      <c r="E131" s="116"/>
      <c r="F131" s="7"/>
      <c r="G131" s="7"/>
      <c r="H131" s="142"/>
      <c r="I131" s="676">
        <f>I130/SUM(I130:J130)</f>
        <v>0.33333698206877843</v>
      </c>
      <c r="J131" s="677">
        <f>J130/SUM(I130:J130)</f>
        <v>0.66666301793122162</v>
      </c>
      <c r="K131" s="143"/>
      <c r="L131" s="142"/>
      <c r="M131" s="145"/>
      <c r="N131" s="145"/>
      <c r="O131" s="8"/>
      <c r="P131" s="189" t="s">
        <v>381</v>
      </c>
      <c r="Q131" s="7"/>
      <c r="R131" s="7"/>
      <c r="S131" s="7"/>
      <c r="T131" s="7"/>
      <c r="U131" s="102"/>
    </row>
    <row r="132" spans="5:21" hidden="1" x14ac:dyDescent="0.25">
      <c r="E132" s="116"/>
      <c r="F132" s="7"/>
      <c r="G132" s="7"/>
      <c r="H132" s="144" t="s">
        <v>297</v>
      </c>
      <c r="I132" s="679">
        <f>SUMPRODUCT(I128:J128,I131:J131)</f>
        <v>5.6719118437632894E-2</v>
      </c>
      <c r="J132" s="142"/>
      <c r="K132" s="144"/>
      <c r="L132" s="145"/>
      <c r="M132" s="146"/>
      <c r="N132" s="146"/>
      <c r="O132" s="147"/>
      <c r="P132" s="828">
        <f>P130</f>
        <v>0.10000150127410369</v>
      </c>
      <c r="Q132" s="7"/>
      <c r="R132" s="829">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80"/>
      <c r="J134" s="680"/>
      <c r="K134" s="674">
        <f>O$30</f>
        <v>0.34999877556824549</v>
      </c>
      <c r="L134" s="675">
        <f>P$30</f>
        <v>0.35000000448469776</v>
      </c>
      <c r="M134" s="7" t="s">
        <v>298</v>
      </c>
      <c r="N134" s="146"/>
      <c r="O134" s="147"/>
      <c r="Q134" s="830">
        <f>P133*I128 + R133*K128</f>
        <v>1.005524167967826</v>
      </c>
      <c r="S134" s="7"/>
      <c r="T134" s="7"/>
      <c r="U134" s="102"/>
    </row>
    <row r="135" spans="5:21" ht="15.75" hidden="1" thickBot="1" x14ac:dyDescent="0.3">
      <c r="E135" s="116"/>
      <c r="F135" s="7"/>
      <c r="G135" s="7"/>
      <c r="H135" s="142"/>
      <c r="I135" s="680"/>
      <c r="J135" s="680"/>
      <c r="K135" s="676">
        <f>K134/SUM(K134:L134)</f>
        <v>0.49999912220100429</v>
      </c>
      <c r="L135" s="677">
        <f>L134/SUM(K134:L134)</f>
        <v>0.50000087779899571</v>
      </c>
      <c r="M135" s="146"/>
      <c r="N135" s="146"/>
      <c r="O135" s="147"/>
      <c r="P135" s="7"/>
      <c r="Q135" s="7"/>
      <c r="R135" s="7"/>
      <c r="S135" s="7" t="s">
        <v>382</v>
      </c>
      <c r="T135" s="7"/>
      <c r="U135" s="102"/>
    </row>
    <row r="136" spans="5:21" hidden="1" x14ac:dyDescent="0.25">
      <c r="E136" s="116"/>
      <c r="F136" s="7"/>
      <c r="G136" s="7"/>
      <c r="H136" s="8"/>
      <c r="I136" s="17"/>
      <c r="J136" s="142"/>
      <c r="K136" s="17"/>
      <c r="L136" s="679">
        <f>SUMPRODUCT(K128:L128,K135:L135)</f>
        <v>0.13830617314939908</v>
      </c>
      <c r="M136" s="681" t="s">
        <v>297</v>
      </c>
      <c r="N136" s="146"/>
      <c r="O136" s="147"/>
      <c r="P136" s="7"/>
      <c r="Q136" s="831">
        <f>Q130</f>
        <v>0.19999971867295302</v>
      </c>
      <c r="R136" s="7"/>
      <c r="S136" s="831">
        <f>S130</f>
        <v>0.35000000448469776</v>
      </c>
      <c r="T136" s="7"/>
      <c r="U136" s="102"/>
    </row>
    <row r="137" spans="5:21" hidden="1" x14ac:dyDescent="0.25">
      <c r="E137" s="116"/>
      <c r="F137" s="7"/>
      <c r="G137" s="7"/>
      <c r="I137" s="648" t="s">
        <v>299</v>
      </c>
      <c r="J137" s="17"/>
      <c r="K137" s="17"/>
      <c r="L137" s="17"/>
      <c r="M137" s="17"/>
      <c r="N137" s="17"/>
      <c r="O137" s="7"/>
      <c r="P137" s="7"/>
      <c r="T137" s="7"/>
      <c r="U137" s="102"/>
    </row>
    <row r="138" spans="5:21" hidden="1" x14ac:dyDescent="0.25">
      <c r="E138" s="116"/>
      <c r="F138" s="7"/>
      <c r="G138" s="7"/>
      <c r="I138" s="21" t="s">
        <v>383</v>
      </c>
      <c r="J138" s="683">
        <f>I132*L111+L136*L112</f>
        <v>0.11382995720398197</v>
      </c>
      <c r="K138" s="17"/>
      <c r="L138" s="17"/>
      <c r="M138" s="17"/>
      <c r="N138" s="17"/>
      <c r="O138" s="7"/>
      <c r="P138" s="7"/>
      <c r="Q138" s="7"/>
      <c r="R138" s="7"/>
      <c r="S138" s="7"/>
      <c r="T138" s="7"/>
      <c r="U138" s="102"/>
    </row>
    <row r="139" spans="5:21" hidden="1" x14ac:dyDescent="0.25">
      <c r="E139" s="116"/>
      <c r="F139" s="7"/>
      <c r="G139" s="7"/>
      <c r="I139" s="589"/>
      <c r="J139" s="17"/>
      <c r="K139" s="17"/>
      <c r="L139" s="17"/>
      <c r="M139" s="17"/>
      <c r="N139" s="17"/>
      <c r="O139" s="7">
        <v>0.11382995720398197</v>
      </c>
      <c r="P139" s="7"/>
      <c r="Q139" s="7"/>
      <c r="R139" s="7"/>
      <c r="S139" s="7"/>
      <c r="T139" s="7"/>
      <c r="U139" s="102"/>
    </row>
    <row r="140" spans="5:21" hidden="1" x14ac:dyDescent="0.25">
      <c r="E140" s="116"/>
      <c r="F140" s="7"/>
      <c r="G140" s="7"/>
      <c r="I140" s="25" t="s">
        <v>384</v>
      </c>
      <c r="J140" s="683">
        <f>SUMPRODUCT(I128:L128,M29:P29)</f>
        <v>0</v>
      </c>
      <c r="K140" s="191" t="s">
        <v>377</v>
      </c>
      <c r="L140" s="17"/>
      <c r="M140" s="17"/>
      <c r="N140" s="17"/>
      <c r="O140" s="7"/>
      <c r="P140" s="7"/>
      <c r="Q140" s="7"/>
      <c r="R140" s="7"/>
      <c r="S140" s="7"/>
      <c r="T140" s="7"/>
      <c r="U140" s="102"/>
    </row>
    <row r="141" spans="5:21" ht="15.75" hidden="1" thickBot="1" x14ac:dyDescent="0.3">
      <c r="E141" s="121"/>
      <c r="F141" s="168"/>
      <c r="G141" s="168"/>
      <c r="H141" s="168"/>
      <c r="I141" s="266"/>
      <c r="J141" s="266"/>
      <c r="K141" s="266"/>
      <c r="L141" s="266"/>
      <c r="M141" s="266"/>
      <c r="N141" s="266"/>
      <c r="O141" s="168"/>
      <c r="P141" s="168"/>
      <c r="Q141" s="168"/>
      <c r="R141" s="168"/>
      <c r="S141" s="168"/>
      <c r="T141" s="168"/>
      <c r="U141" s="104"/>
    </row>
    <row r="142" spans="5:21" ht="15.75" hidden="1" thickBot="1" x14ac:dyDescent="0.3"/>
    <row r="143" spans="5:21" hidden="1" x14ac:dyDescent="0.25">
      <c r="E143" s="9"/>
      <c r="F143" s="10"/>
      <c r="G143" s="10"/>
      <c r="H143" s="10"/>
      <c r="I143" s="265"/>
      <c r="J143" s="265"/>
      <c r="K143" s="265"/>
      <c r="L143" s="265"/>
      <c r="M143" s="265"/>
      <c r="N143" s="265"/>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203"/>
      <c r="W145" s="7"/>
    </row>
    <row r="146" spans="2:25" x14ac:dyDescent="0.25">
      <c r="B146" s="7"/>
      <c r="C146" s="7"/>
      <c r="D146" s="7"/>
      <c r="E146" s="116"/>
      <c r="F146" s="7"/>
      <c r="G146" s="7"/>
      <c r="H146" s="7"/>
      <c r="I146" s="7"/>
      <c r="J146" s="17"/>
      <c r="K146" s="17"/>
      <c r="L146" s="17"/>
      <c r="M146" s="661" t="s">
        <v>289</v>
      </c>
      <c r="N146" s="288">
        <v>1</v>
      </c>
      <c r="O146" s="288">
        <v>0</v>
      </c>
      <c r="P146" s="288">
        <v>0</v>
      </c>
      <c r="Q146" s="167">
        <v>0</v>
      </c>
      <c r="R146" s="7"/>
      <c r="S146" s="7"/>
      <c r="T146" s="7"/>
      <c r="U146" s="102"/>
      <c r="V146" s="203"/>
      <c r="W146" s="7"/>
    </row>
    <row r="147" spans="2:25" x14ac:dyDescent="0.25">
      <c r="B147" s="7"/>
      <c r="C147" s="7"/>
      <c r="D147" s="7"/>
      <c r="E147" s="116"/>
      <c r="F147" s="7"/>
      <c r="G147" s="7"/>
      <c r="H147" s="7"/>
      <c r="I147" s="7"/>
      <c r="J147" s="17"/>
      <c r="K147" s="17"/>
      <c r="L147" s="17"/>
      <c r="M147" s="662" t="s">
        <v>290</v>
      </c>
      <c r="N147" s="696">
        <v>0</v>
      </c>
      <c r="O147" s="696">
        <v>1</v>
      </c>
      <c r="P147" s="696">
        <v>0</v>
      </c>
      <c r="Q147" s="183">
        <v>0</v>
      </c>
      <c r="R147" s="7"/>
      <c r="S147" s="7"/>
      <c r="T147" s="7"/>
      <c r="U147" s="102"/>
      <c r="V147" s="269"/>
      <c r="W147" s="269"/>
      <c r="X147" s="269"/>
      <c r="Y147" s="269"/>
    </row>
    <row r="148" spans="2:25" x14ac:dyDescent="0.25">
      <c r="B148" s="7"/>
      <c r="C148" s="7"/>
      <c r="D148" s="7"/>
      <c r="E148" s="116"/>
      <c r="F148" s="7"/>
      <c r="G148" s="7"/>
      <c r="H148" s="7"/>
      <c r="I148" s="7"/>
      <c r="J148" s="17"/>
      <c r="K148" s="17"/>
      <c r="L148" s="17"/>
      <c r="M148" s="662" t="s">
        <v>291</v>
      </c>
      <c r="N148" s="696">
        <v>0</v>
      </c>
      <c r="O148" s="696">
        <v>0</v>
      </c>
      <c r="P148" s="696">
        <v>1</v>
      </c>
      <c r="Q148" s="183">
        <v>0</v>
      </c>
      <c r="R148" s="7"/>
      <c r="S148" s="7"/>
      <c r="T148" s="7"/>
      <c r="U148" s="102"/>
      <c r="V148" s="269"/>
      <c r="W148" s="269"/>
      <c r="X148" s="269"/>
      <c r="Y148" s="269"/>
    </row>
    <row r="149" spans="2:25" ht="15.75" thickBot="1" x14ac:dyDescent="0.3">
      <c r="B149" s="7"/>
      <c r="C149" s="7"/>
      <c r="D149" s="7"/>
      <c r="E149" s="116"/>
      <c r="F149" s="7"/>
      <c r="G149" s="7"/>
      <c r="H149" s="7"/>
      <c r="I149" s="7"/>
      <c r="J149" s="17"/>
      <c r="K149" s="17"/>
      <c r="L149" s="17"/>
      <c r="M149" s="663" t="s">
        <v>292</v>
      </c>
      <c r="N149" s="689">
        <v>0</v>
      </c>
      <c r="O149" s="689">
        <v>0</v>
      </c>
      <c r="P149" s="689">
        <v>0</v>
      </c>
      <c r="Q149" s="690">
        <v>1</v>
      </c>
      <c r="R149" s="7"/>
      <c r="S149" s="7"/>
      <c r="T149" s="7"/>
      <c r="U149" s="102"/>
      <c r="V149" s="269"/>
      <c r="W149" s="269"/>
      <c r="X149" s="269"/>
      <c r="Y149" s="269"/>
    </row>
    <row r="150" spans="2:25" ht="15.75" thickBot="1" x14ac:dyDescent="0.3">
      <c r="B150" s="7"/>
      <c r="C150" s="7"/>
      <c r="D150" s="7"/>
      <c r="E150" s="116"/>
      <c r="F150" s="7"/>
      <c r="G150" s="7"/>
      <c r="H150" s="7"/>
      <c r="I150" s="378" t="s">
        <v>289</v>
      </c>
      <c r="J150" s="378" t="s">
        <v>290</v>
      </c>
      <c r="K150" s="378" t="s">
        <v>291</v>
      </c>
      <c r="L150" s="378" t="s">
        <v>292</v>
      </c>
      <c r="M150" s="17"/>
      <c r="N150" s="17"/>
      <c r="O150" s="17"/>
      <c r="P150" s="7"/>
      <c r="Q150" s="7"/>
      <c r="R150" s="7"/>
      <c r="S150" s="7"/>
      <c r="T150" s="7"/>
      <c r="U150" s="102"/>
      <c r="V150" s="269"/>
      <c r="W150" s="269"/>
      <c r="X150" s="269"/>
      <c r="Y150" s="269"/>
    </row>
    <row r="151" spans="2:25" x14ac:dyDescent="0.25">
      <c r="B151" s="7"/>
      <c r="C151" s="7"/>
      <c r="D151" s="7"/>
      <c r="E151" s="116"/>
      <c r="F151" s="7"/>
      <c r="G151" s="7"/>
      <c r="H151" s="21" t="s">
        <v>293</v>
      </c>
      <c r="I151" s="664">
        <f>SUMPRODUCT($N146:$Q146,$I$117:$L$117)</f>
        <v>1.068243004643695</v>
      </c>
      <c r="J151" s="665">
        <f>SUMPRODUCT($N147:$Q147,$I$117:$L$117)</f>
        <v>1.0682430046525013</v>
      </c>
      <c r="K151" s="665">
        <f>SUMPRODUCT($N148:$Q148,$I$117:$L$117)</f>
        <v>2.3014436290378857</v>
      </c>
      <c r="L151" s="666">
        <f>SUMPRODUCT($N149:$Q149,$I$117:$L$117)</f>
        <v>0</v>
      </c>
      <c r="M151" s="17"/>
      <c r="N151" s="17"/>
      <c r="O151" s="17"/>
      <c r="P151" s="7"/>
      <c r="Q151" s="7"/>
      <c r="R151" s="7"/>
      <c r="S151" s="7"/>
      <c r="T151" s="7"/>
      <c r="U151" s="102"/>
      <c r="V151" s="269"/>
      <c r="W151" s="269"/>
      <c r="X151" s="269"/>
      <c r="Y151" s="269"/>
    </row>
    <row r="152" spans="2:25" x14ac:dyDescent="0.25">
      <c r="B152" s="7"/>
      <c r="C152" s="7"/>
      <c r="D152" s="7"/>
      <c r="E152" s="116"/>
      <c r="F152" s="7"/>
      <c r="G152" s="7"/>
      <c r="H152" s="21" t="s">
        <v>184</v>
      </c>
      <c r="I152" s="667">
        <f>$V$30</f>
        <v>1.0682434104463567</v>
      </c>
      <c r="J152" s="267">
        <f t="shared" ref="J152:L152" si="14">$V$30</f>
        <v>1.0682434104463567</v>
      </c>
      <c r="K152" s="267">
        <f t="shared" si="14"/>
        <v>1.0682434104463567</v>
      </c>
      <c r="L152" s="668">
        <f t="shared" si="14"/>
        <v>1.0682434104463567</v>
      </c>
      <c r="M152" s="17"/>
      <c r="N152" s="17"/>
      <c r="O152" s="17"/>
      <c r="P152" s="7"/>
      <c r="Q152" s="7"/>
      <c r="R152" s="7"/>
      <c r="S152" s="7"/>
      <c r="T152" s="7"/>
      <c r="U152" s="102"/>
      <c r="V152" s="269"/>
      <c r="W152" s="269"/>
      <c r="X152" s="269"/>
      <c r="Y152" s="269"/>
    </row>
    <row r="153" spans="2:25" x14ac:dyDescent="0.25">
      <c r="B153" s="7"/>
      <c r="C153" s="7"/>
      <c r="D153" s="7"/>
      <c r="E153" s="116"/>
      <c r="F153" s="7"/>
      <c r="G153" s="7"/>
      <c r="H153" s="21" t="s">
        <v>294</v>
      </c>
      <c r="I153" s="667">
        <f>SUMPRODUCT($I$117:$L$117,$M$29:$P$29)</f>
        <v>1.0109053446756704</v>
      </c>
      <c r="J153" s="267">
        <f t="shared" ref="J153:L153" si="15">SUMPRODUCT($I$117:$L$117,$M$29:$P$29)</f>
        <v>1.0109053446756704</v>
      </c>
      <c r="K153" s="267">
        <f t="shared" si="15"/>
        <v>1.0109053446756704</v>
      </c>
      <c r="L153" s="668">
        <f t="shared" si="15"/>
        <v>1.0109053446756704</v>
      </c>
      <c r="M153" s="17"/>
      <c r="N153" s="17"/>
      <c r="O153" s="17"/>
      <c r="P153" s="7"/>
      <c r="Q153" s="7"/>
      <c r="R153" s="7"/>
      <c r="S153" s="7"/>
      <c r="T153" s="7"/>
      <c r="U153" s="102"/>
      <c r="V153" s="269"/>
      <c r="W153" s="269"/>
      <c r="X153" s="269"/>
      <c r="Y153" s="269"/>
    </row>
    <row r="154" spans="2:25" x14ac:dyDescent="0.25">
      <c r="B154" s="7"/>
      <c r="C154" s="7"/>
      <c r="D154" s="7"/>
      <c r="E154" s="116"/>
      <c r="F154" s="7"/>
      <c r="G154" s="7"/>
      <c r="H154" s="21" t="s">
        <v>245</v>
      </c>
      <c r="I154" s="669">
        <f>(I151/I152)-1</f>
        <v>-3.7987846002174308E-7</v>
      </c>
      <c r="J154" s="19">
        <f>(J151/J152)-1</f>
        <v>-3.7987021628271833E-7</v>
      </c>
      <c r="K154" s="19">
        <f>(K151/K152)-1</f>
        <v>1.1544187462633131</v>
      </c>
      <c r="L154" s="670">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295</v>
      </c>
      <c r="I155" s="671">
        <f>(I151/I153)-1</f>
        <v>5.6719118431825422E-2</v>
      </c>
      <c r="J155" s="672">
        <f>(J151/J153)-1</f>
        <v>5.6719118440536676E-2</v>
      </c>
      <c r="K155" s="672">
        <f>(K151/K153)-1</f>
        <v>1.2766163431218773</v>
      </c>
      <c r="L155" s="673">
        <f>(L151/L153)-1</f>
        <v>-1</v>
      </c>
      <c r="M155" s="17"/>
      <c r="N155" s="17"/>
      <c r="O155" s="17"/>
      <c r="P155" s="7"/>
      <c r="Q155" s="7"/>
      <c r="R155" s="7"/>
      <c r="S155" s="7"/>
      <c r="T155" s="7"/>
      <c r="U155" s="102"/>
      <c r="V155" s="569"/>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99" t="s">
        <v>366</v>
      </c>
      <c r="I157" s="800">
        <f>M$29</f>
        <v>0.10000150634671325</v>
      </c>
      <c r="J157" s="800">
        <f t="shared" ref="J157:L157" si="16">N$29</f>
        <v>0.19999972881778538</v>
      </c>
      <c r="K157" s="800">
        <f t="shared" si="16"/>
        <v>0.29999914623744173</v>
      </c>
      <c r="L157" s="800">
        <f t="shared" si="16"/>
        <v>0.39999961859805949</v>
      </c>
      <c r="M157" s="145"/>
      <c r="N157" s="17"/>
      <c r="O157" s="145"/>
      <c r="P157" s="8"/>
      <c r="Q157" s="8"/>
      <c r="R157" s="8"/>
      <c r="S157" s="8"/>
      <c r="T157" s="8"/>
      <c r="U157" s="640"/>
      <c r="V157" s="8"/>
      <c r="W157" s="8"/>
      <c r="X157" s="8"/>
      <c r="Y157" s="8"/>
    </row>
    <row r="158" spans="2:25" x14ac:dyDescent="0.25">
      <c r="B158" s="7"/>
      <c r="C158" s="7"/>
      <c r="D158" s="7"/>
      <c r="E158" s="116"/>
      <c r="F158" s="7"/>
      <c r="G158" s="7"/>
      <c r="H158" s="801" t="s">
        <v>367</v>
      </c>
      <c r="I158" s="802">
        <f>M$30</f>
        <v>0.10000150127410369</v>
      </c>
      <c r="J158" s="802">
        <f t="shared" ref="J158:K158" si="17">N$30</f>
        <v>0.19999971867295302</v>
      </c>
      <c r="K158" s="802">
        <f t="shared" si="17"/>
        <v>0.34999877556824549</v>
      </c>
      <c r="L158" s="802">
        <f>P$30</f>
        <v>0.35000000448469776</v>
      </c>
      <c r="M158" s="145"/>
      <c r="N158" s="17"/>
      <c r="O158" s="145"/>
      <c r="P158" s="8"/>
      <c r="Q158" s="8"/>
      <c r="R158" s="8"/>
      <c r="S158" s="8"/>
      <c r="T158" s="8"/>
      <c r="U158" s="678"/>
      <c r="V158" s="8"/>
      <c r="W158" s="8"/>
      <c r="X158" s="8"/>
      <c r="Y158" s="8"/>
    </row>
    <row r="159" spans="2:25" x14ac:dyDescent="0.25">
      <c r="B159" s="7"/>
      <c r="C159" s="7"/>
      <c r="D159" s="7"/>
      <c r="E159" s="116"/>
      <c r="F159" s="7"/>
      <c r="G159" s="7"/>
      <c r="H159" s="7"/>
      <c r="I159" s="696"/>
      <c r="J159" s="145"/>
      <c r="K159" s="145"/>
      <c r="L159" s="145"/>
      <c r="M159" s="146"/>
      <c r="N159" s="17"/>
      <c r="O159" s="146"/>
      <c r="P159" s="147"/>
      <c r="Q159" s="8"/>
      <c r="R159" s="8"/>
      <c r="S159" s="8"/>
      <c r="T159" s="8"/>
      <c r="U159" s="640"/>
      <c r="V159" s="8"/>
      <c r="W159" s="8"/>
      <c r="X159" s="8"/>
      <c r="Y159" s="8"/>
    </row>
    <row r="160" spans="2:25" x14ac:dyDescent="0.25">
      <c r="B160" s="7"/>
      <c r="C160" s="7"/>
      <c r="D160" s="7"/>
      <c r="E160" s="116"/>
      <c r="F160" s="7"/>
      <c r="G160" s="7"/>
      <c r="H160" s="21"/>
      <c r="I160" s="881" t="s">
        <v>368</v>
      </c>
      <c r="J160" s="881"/>
      <c r="K160" s="881"/>
      <c r="L160" s="881"/>
      <c r="M160" s="17"/>
      <c r="N160" s="17"/>
      <c r="O160" s="146"/>
      <c r="P160" s="147"/>
      <c r="Q160" s="8"/>
      <c r="R160" s="8"/>
      <c r="S160" s="8"/>
      <c r="T160" s="8"/>
      <c r="U160" s="640"/>
      <c r="V160" s="8"/>
      <c r="W160" s="8"/>
      <c r="X160" s="8"/>
      <c r="Y160" s="8"/>
    </row>
    <row r="161" spans="2:25" x14ac:dyDescent="0.25">
      <c r="B161" s="7"/>
      <c r="C161" s="7"/>
      <c r="D161" s="7"/>
      <c r="E161" s="116"/>
      <c r="F161" s="7"/>
      <c r="G161" s="7"/>
      <c r="H161" s="21"/>
      <c r="I161" s="883" t="s">
        <v>369</v>
      </c>
      <c r="J161" s="884"/>
      <c r="K161" s="885" t="s">
        <v>287</v>
      </c>
      <c r="L161" s="884"/>
      <c r="M161" s="17"/>
      <c r="N161" s="17"/>
      <c r="O161" s="146"/>
      <c r="P161" s="147"/>
      <c r="Q161" s="8"/>
      <c r="R161" s="8"/>
      <c r="S161" s="8"/>
      <c r="T161" s="8"/>
      <c r="U161" s="640"/>
      <c r="V161" s="8"/>
      <c r="W161" s="8"/>
      <c r="X161" s="8"/>
      <c r="Y161" s="8"/>
    </row>
    <row r="162" spans="2:25" ht="15.75" thickBot="1" x14ac:dyDescent="0.3">
      <c r="B162" s="7"/>
      <c r="C162" s="7"/>
      <c r="D162" s="7"/>
      <c r="E162" s="116"/>
      <c r="F162" s="7"/>
      <c r="G162" s="7"/>
      <c r="H162" s="7"/>
      <c r="I162" s="803" t="s">
        <v>370</v>
      </c>
      <c r="J162" s="804" t="s">
        <v>371</v>
      </c>
      <c r="K162" s="145" t="s">
        <v>370</v>
      </c>
      <c r="L162" s="804" t="s">
        <v>371</v>
      </c>
      <c r="M162" s="7"/>
      <c r="N162" s="17"/>
      <c r="O162" s="146"/>
      <c r="P162" s="147"/>
      <c r="Q162" s="8"/>
      <c r="R162" s="8"/>
      <c r="S162" s="7"/>
      <c r="T162" s="8"/>
      <c r="U162" s="640"/>
      <c r="V162" s="8"/>
      <c r="W162" s="8"/>
      <c r="X162" s="8"/>
      <c r="Y162" s="8"/>
    </row>
    <row r="163" spans="2:25" x14ac:dyDescent="0.25">
      <c r="B163" s="7"/>
      <c r="C163" s="7"/>
      <c r="D163" s="7"/>
      <c r="E163" s="116"/>
      <c r="F163" s="7"/>
      <c r="G163" s="7"/>
      <c r="H163" s="805" t="s">
        <v>372</v>
      </c>
      <c r="I163" s="806">
        <f>I157/SUM(I157:J157)</f>
        <v>0.33333698206902307</v>
      </c>
      <c r="J163" s="807">
        <f>J157/SUM(I157:J157)</f>
        <v>0.66666301793097693</v>
      </c>
      <c r="K163" s="806">
        <f>K157/SUM(K157:L157)</f>
        <v>0.42857096513297577</v>
      </c>
      <c r="L163" s="807">
        <f>L157/SUM(K157:L157)</f>
        <v>0.57142903486702412</v>
      </c>
      <c r="M163" s="808"/>
      <c r="N163" s="17"/>
      <c r="O163" s="146"/>
      <c r="P163" s="147"/>
      <c r="Q163" s="8"/>
      <c r="R163" s="8"/>
      <c r="S163" s="7"/>
      <c r="T163" s="8"/>
      <c r="U163" s="640"/>
      <c r="V163" s="8"/>
      <c r="W163" s="8"/>
      <c r="X163" s="8"/>
      <c r="Y163" s="8"/>
    </row>
    <row r="164" spans="2:25" ht="15.75" thickBot="1" x14ac:dyDescent="0.3">
      <c r="B164" s="7"/>
      <c r="C164" s="7"/>
      <c r="D164" s="7"/>
      <c r="E164" s="116"/>
      <c r="F164" s="7"/>
      <c r="G164" s="7"/>
      <c r="H164" s="809" t="s">
        <v>373</v>
      </c>
      <c r="I164" s="810">
        <f>I158/SUM(I158:J158)</f>
        <v>0.33333698206877843</v>
      </c>
      <c r="J164" s="811">
        <f>J158/SUM(I158:J158)</f>
        <v>0.66666301793122162</v>
      </c>
      <c r="K164" s="810">
        <f>K158/SUM(K158:L158)</f>
        <v>0.49999912220100429</v>
      </c>
      <c r="L164" s="811">
        <f>L158/SUM(K158:L158)</f>
        <v>0.50000087779899571</v>
      </c>
      <c r="M164" s="812"/>
      <c r="N164" s="17"/>
      <c r="O164" s="146"/>
      <c r="P164" s="147"/>
      <c r="Q164" s="8"/>
      <c r="R164" s="8"/>
      <c r="S164" s="8"/>
      <c r="T164" s="8"/>
      <c r="U164" s="640"/>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40"/>
      <c r="V165" s="8"/>
      <c r="W165" s="8"/>
      <c r="X165" s="8"/>
      <c r="Y165" s="8"/>
    </row>
    <row r="166" spans="2:25" x14ac:dyDescent="0.25">
      <c r="B166" s="7"/>
      <c r="C166" s="7"/>
      <c r="D166" s="7"/>
      <c r="E166" s="116"/>
      <c r="F166" s="7"/>
      <c r="G166" s="7"/>
      <c r="H166" s="7"/>
      <c r="I166" s="881" t="s">
        <v>297</v>
      </c>
      <c r="J166" s="881"/>
      <c r="K166" s="881"/>
      <c r="L166" s="881"/>
      <c r="M166" s="17"/>
      <c r="N166" s="17"/>
      <c r="O166" s="146"/>
      <c r="P166" s="147"/>
      <c r="Q166" s="8"/>
      <c r="R166" s="8"/>
      <c r="S166" s="8"/>
      <c r="T166" s="8"/>
      <c r="U166" s="640"/>
      <c r="V166" s="8"/>
      <c r="W166" s="8"/>
      <c r="X166" s="8"/>
      <c r="Y166" s="8"/>
    </row>
    <row r="167" spans="2:25" x14ac:dyDescent="0.25">
      <c r="B167" s="7"/>
      <c r="C167" s="7"/>
      <c r="D167" s="7"/>
      <c r="E167" s="116"/>
      <c r="F167" s="7"/>
      <c r="G167" s="7"/>
      <c r="H167" s="799" t="s">
        <v>374</v>
      </c>
      <c r="I167" s="813">
        <f>SUMPRODUCT($I$155:$J$155,I163:J163)</f>
        <v>5.6719118437632887E-2</v>
      </c>
      <c r="J167" s="142"/>
      <c r="K167" s="17"/>
      <c r="L167" s="814">
        <f>SUMPRODUCT($K$155:$L$155,K163:L163)</f>
        <v>-2.4308336590751045E-2</v>
      </c>
      <c r="M167" s="808"/>
      <c r="N167" s="681"/>
      <c r="O167" s="146"/>
      <c r="P167" s="147"/>
      <c r="Q167" s="8"/>
      <c r="R167" s="8"/>
      <c r="S167" s="8"/>
      <c r="T167" s="8"/>
      <c r="U167" s="640"/>
      <c r="V167" s="8"/>
      <c r="W167" s="8"/>
      <c r="X167" s="8"/>
      <c r="Y167" s="8"/>
    </row>
    <row r="168" spans="2:25" x14ac:dyDescent="0.25">
      <c r="B168" s="7"/>
      <c r="C168" s="7"/>
      <c r="D168" s="7"/>
      <c r="E168" s="116"/>
      <c r="F168" s="7"/>
      <c r="G168" s="7"/>
      <c r="H168" s="801" t="s">
        <v>375</v>
      </c>
      <c r="I168" s="815">
        <f>SUMPRODUCT($I$155:$J$155,I164:J164)</f>
        <v>5.6719118437632894E-2</v>
      </c>
      <c r="J168" s="142" t="s">
        <v>376</v>
      </c>
      <c r="K168" s="17"/>
      <c r="L168" s="816">
        <f>SUMPRODUCT($K$155:$L$155,K164:L164)</f>
        <v>0.13830617314939908</v>
      </c>
      <c r="M168" s="812"/>
      <c r="N168" s="17"/>
      <c r="O168" s="146"/>
      <c r="P168" s="147"/>
      <c r="Q168" s="8"/>
      <c r="R168" s="8"/>
      <c r="S168" s="8"/>
      <c r="T168" s="8"/>
      <c r="U168" s="640"/>
      <c r="V168" s="8"/>
      <c r="W168" s="8"/>
      <c r="X168" s="8"/>
      <c r="Y168" s="8"/>
    </row>
    <row r="169" spans="2:25" x14ac:dyDescent="0.25">
      <c r="B169" s="17"/>
      <c r="C169" s="17"/>
      <c r="D169" s="17"/>
      <c r="E169" s="682"/>
      <c r="F169" s="7"/>
      <c r="G169" s="7"/>
      <c r="H169" s="7"/>
      <c r="I169" s="17"/>
      <c r="J169" s="17"/>
      <c r="K169" s="17"/>
      <c r="L169" s="17"/>
      <c r="M169" s="149"/>
      <c r="N169" s="149"/>
      <c r="O169" s="147"/>
      <c r="P169" s="8"/>
      <c r="Q169" s="8"/>
      <c r="R169" s="8"/>
      <c r="S169" s="8"/>
      <c r="T169" s="8"/>
      <c r="U169" s="640"/>
      <c r="V169" s="8"/>
      <c r="W169" s="8"/>
      <c r="X169" s="8"/>
      <c r="Y169" s="8"/>
    </row>
    <row r="170" spans="2:25" ht="15.75" thickBot="1" x14ac:dyDescent="0.3">
      <c r="B170" s="7"/>
      <c r="C170" s="7"/>
      <c r="D170" s="7"/>
      <c r="E170" s="116"/>
      <c r="F170" s="7"/>
      <c r="G170" s="7"/>
      <c r="H170" s="7"/>
      <c r="I170" s="882" t="s">
        <v>299</v>
      </c>
      <c r="J170" s="882"/>
      <c r="K170" s="882"/>
      <c r="L170" s="882"/>
      <c r="M170" s="149"/>
      <c r="N170" s="149"/>
      <c r="O170" s="147"/>
      <c r="P170" s="8"/>
      <c r="Q170" s="8"/>
      <c r="R170" s="8"/>
      <c r="S170" s="8"/>
      <c r="T170" s="8"/>
      <c r="U170" s="640"/>
      <c r="V170" s="8"/>
      <c r="W170" s="8"/>
      <c r="X170" s="8"/>
      <c r="Y170" s="8"/>
    </row>
    <row r="171" spans="2:25" ht="15.75" customHeight="1" x14ac:dyDescent="0.35">
      <c r="B171" s="7"/>
      <c r="C171" s="7"/>
      <c r="D171" s="7"/>
      <c r="E171" s="116"/>
      <c r="F171" s="593"/>
      <c r="G171" s="7"/>
      <c r="H171" s="7"/>
      <c r="I171" s="17"/>
      <c r="J171" s="817" t="s">
        <v>26</v>
      </c>
      <c r="K171" s="818">
        <f>SUMPRODUCT(I157:L157,I155:L155)</f>
        <v>0</v>
      </c>
      <c r="L171" s="191" t="s">
        <v>377</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819" t="s">
        <v>27</v>
      </c>
      <c r="K172" s="820">
        <f>SUMPRODUCT(I155:L155,I164:L164)</f>
        <v>0.19502529158703197</v>
      </c>
      <c r="L172" s="821" t="s">
        <v>378</v>
      </c>
      <c r="M172" s="17"/>
      <c r="N172" s="17"/>
      <c r="O172" s="7"/>
      <c r="P172" s="7"/>
      <c r="Q172" s="7"/>
      <c r="R172" s="7"/>
      <c r="S172" s="7"/>
      <c r="T172" s="7"/>
      <c r="U172" s="102"/>
      <c r="V172" s="642"/>
      <c r="W172" s="642"/>
      <c r="X172" s="642"/>
      <c r="Y172" s="8"/>
    </row>
    <row r="173" spans="2:25" x14ac:dyDescent="0.25">
      <c r="B173" s="7"/>
      <c r="C173" s="7"/>
      <c r="D173" s="7"/>
      <c r="E173" s="116"/>
      <c r="F173" s="7"/>
      <c r="G173" s="7"/>
      <c r="H173" s="7"/>
      <c r="I173" s="142"/>
      <c r="J173" s="822"/>
      <c r="K173" s="823"/>
      <c r="L173" s="821"/>
      <c r="M173" s="17"/>
      <c r="N173" s="17"/>
      <c r="O173" s="7"/>
      <c r="P173" s="7"/>
      <c r="Q173" s="7"/>
      <c r="R173" s="7"/>
      <c r="S173" s="7"/>
      <c r="T173" s="7"/>
      <c r="U173" s="102"/>
      <c r="V173" s="642"/>
      <c r="W173" s="642"/>
      <c r="X173" s="642"/>
      <c r="Y173" s="8"/>
    </row>
    <row r="174" spans="2:25" x14ac:dyDescent="0.25">
      <c r="B174" s="7"/>
      <c r="C174" s="7"/>
      <c r="D174" s="7"/>
      <c r="E174" s="116"/>
      <c r="F174" s="7"/>
      <c r="G174" s="7"/>
      <c r="H174" s="142" t="s">
        <v>387</v>
      </c>
      <c r="I174" s="17"/>
      <c r="J174" s="822"/>
      <c r="K174" s="823"/>
      <c r="L174" s="821"/>
      <c r="M174" s="17"/>
      <c r="N174" s="17"/>
      <c r="O174" s="7"/>
      <c r="P174" s="7"/>
      <c r="Q174" s="7"/>
      <c r="R174" s="7"/>
      <c r="S174" s="7"/>
      <c r="T174" s="7"/>
      <c r="U174" s="102"/>
      <c r="V174" s="642"/>
      <c r="W174" s="642"/>
      <c r="X174" s="642"/>
      <c r="Y174" s="8"/>
    </row>
    <row r="175" spans="2:25" ht="15.75" thickBot="1" x14ac:dyDescent="0.3">
      <c r="B175" s="7"/>
      <c r="C175" s="7"/>
      <c r="D175" s="7"/>
      <c r="E175" s="121"/>
      <c r="F175" s="168"/>
      <c r="G175" s="168"/>
      <c r="H175" s="266" t="s">
        <v>380</v>
      </c>
      <c r="I175" s="266"/>
      <c r="J175" s="266"/>
      <c r="K175" s="266"/>
      <c r="L175" s="266"/>
      <c r="M175" s="266"/>
      <c r="N175" s="266"/>
      <c r="O175" s="168"/>
      <c r="P175" s="168"/>
      <c r="Q175" s="168"/>
      <c r="R175" s="168"/>
      <c r="S175" s="168"/>
      <c r="T175" s="168"/>
      <c r="U175" s="104"/>
      <c r="V175" s="642"/>
      <c r="W175" s="642"/>
      <c r="X175" s="642"/>
      <c r="Y175" s="8"/>
    </row>
  </sheetData>
  <mergeCells count="13">
    <mergeCell ref="I160:L160"/>
    <mergeCell ref="I161:J161"/>
    <mergeCell ref="K161:L161"/>
    <mergeCell ref="I166:L166"/>
    <mergeCell ref="I170:L170"/>
    <mergeCell ref="I84:L84"/>
    <mergeCell ref="I88:L88"/>
    <mergeCell ref="G4:G6"/>
    <mergeCell ref="G8:G10"/>
    <mergeCell ref="G12:G15"/>
    <mergeCell ref="I78:L78"/>
    <mergeCell ref="I79:J79"/>
    <mergeCell ref="K79:L79"/>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S94"/>
  <sheetViews>
    <sheetView zoomScale="85" zoomScaleNormal="85" workbookViewId="0">
      <selection activeCell="B4" sqref="B4"/>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358</v>
      </c>
      <c r="D2" s="141"/>
    </row>
    <row r="3" spans="2:51" ht="23.25" x14ac:dyDescent="0.35">
      <c r="B3" s="791" t="s">
        <v>360</v>
      </c>
      <c r="D3" s="141"/>
    </row>
    <row r="4" spans="2:51" x14ac:dyDescent="0.25">
      <c r="C4" s="834" t="s">
        <v>166</v>
      </c>
      <c r="D4" s="152" t="s">
        <v>101</v>
      </c>
      <c r="E4" s="152" t="s">
        <v>188</v>
      </c>
      <c r="F4" s="152"/>
      <c r="G4" s="278"/>
      <c r="H4" s="278"/>
      <c r="I4" s="278"/>
      <c r="J4" s="278"/>
      <c r="K4" s="278"/>
      <c r="L4" s="278"/>
      <c r="M4" s="273"/>
    </row>
    <row r="5" spans="2:51" x14ac:dyDescent="0.25">
      <c r="C5" s="835"/>
      <c r="D5" s="17" t="s">
        <v>152</v>
      </c>
      <c r="E5" s="18">
        <v>0</v>
      </c>
      <c r="F5" s="7" t="s">
        <v>153</v>
      </c>
      <c r="G5" s="17"/>
      <c r="H5" s="17"/>
      <c r="I5" s="17"/>
      <c r="J5" s="17"/>
      <c r="K5" s="17"/>
      <c r="L5" s="17"/>
      <c r="M5" s="252"/>
    </row>
    <row r="6" spans="2:51" x14ac:dyDescent="0.25">
      <c r="C6" s="835"/>
      <c r="D6" s="17" t="s">
        <v>155</v>
      </c>
      <c r="E6" s="18">
        <v>1000</v>
      </c>
      <c r="F6" s="7" t="s">
        <v>154</v>
      </c>
      <c r="G6" s="17"/>
      <c r="H6" s="17"/>
      <c r="I6" s="17"/>
      <c r="J6" s="17"/>
      <c r="K6" s="17"/>
      <c r="L6" s="17"/>
      <c r="M6" s="252"/>
    </row>
    <row r="7" spans="2:51" x14ac:dyDescent="0.25">
      <c r="C7" s="835"/>
      <c r="D7" s="142" t="s">
        <v>156</v>
      </c>
      <c r="E7" s="18">
        <f>E6-E5</f>
        <v>1000</v>
      </c>
      <c r="F7" s="7" t="s">
        <v>157</v>
      </c>
      <c r="G7" s="17"/>
      <c r="H7" s="17"/>
      <c r="I7" s="17"/>
      <c r="J7" s="17"/>
      <c r="K7" s="17"/>
      <c r="L7" s="17"/>
      <c r="M7" s="252"/>
    </row>
    <row r="8" spans="2:51" x14ac:dyDescent="0.25">
      <c r="C8" s="835"/>
      <c r="D8" s="142" t="s">
        <v>160</v>
      </c>
      <c r="E8" s="192"/>
      <c r="F8" s="8" t="s">
        <v>163</v>
      </c>
      <c r="G8" s="17"/>
      <c r="H8" s="17"/>
      <c r="I8" s="17"/>
      <c r="J8" s="17"/>
      <c r="K8" s="17"/>
      <c r="L8" s="17"/>
      <c r="M8" s="252"/>
    </row>
    <row r="9" spans="2:51" x14ac:dyDescent="0.25">
      <c r="C9" s="835"/>
      <c r="D9" s="142" t="s">
        <v>161</v>
      </c>
      <c r="E9" s="192"/>
      <c r="F9" s="8" t="s">
        <v>164</v>
      </c>
      <c r="G9" s="17"/>
      <c r="H9" s="17"/>
      <c r="I9" s="17"/>
      <c r="J9" s="17"/>
      <c r="K9" s="17"/>
      <c r="L9" s="17"/>
      <c r="M9" s="252"/>
    </row>
    <row r="10" spans="2:51" x14ac:dyDescent="0.25">
      <c r="C10" s="836"/>
      <c r="D10" s="279" t="s">
        <v>162</v>
      </c>
      <c r="E10" s="280"/>
      <c r="F10" s="281" t="s">
        <v>165</v>
      </c>
      <c r="G10" s="271"/>
      <c r="H10" s="271"/>
      <c r="I10" s="271"/>
      <c r="J10" s="271"/>
      <c r="K10" s="271"/>
      <c r="L10" s="271"/>
      <c r="M10" s="274"/>
      <c r="AE10" t="s">
        <v>248</v>
      </c>
    </row>
    <row r="11" spans="2:51" x14ac:dyDescent="0.25">
      <c r="C11" s="270"/>
      <c r="D11" s="142"/>
      <c r="E11" s="192"/>
      <c r="F11" s="8"/>
      <c r="G11" s="17"/>
      <c r="H11" s="17"/>
      <c r="I11" s="17"/>
      <c r="J11" s="17"/>
      <c r="K11" s="17"/>
      <c r="L11" s="17"/>
    </row>
    <row r="12" spans="2:51" x14ac:dyDescent="0.25">
      <c r="C12" s="834" t="s">
        <v>170</v>
      </c>
      <c r="D12" s="152" t="s">
        <v>4</v>
      </c>
      <c r="E12" s="278" t="s">
        <v>218</v>
      </c>
      <c r="F12" s="152"/>
      <c r="G12" s="278"/>
      <c r="H12" s="285"/>
      <c r="I12" s="278"/>
      <c r="J12" s="273"/>
      <c r="K12" s="17"/>
      <c r="L12" s="17"/>
    </row>
    <row r="13" spans="2:51" x14ac:dyDescent="0.25">
      <c r="C13" s="835"/>
      <c r="D13" s="17" t="s">
        <v>137</v>
      </c>
      <c r="E13" s="17" t="s">
        <v>3</v>
      </c>
      <c r="F13" s="7"/>
      <c r="G13" s="17"/>
      <c r="H13" s="191"/>
      <c r="I13" s="17"/>
      <c r="J13" s="252"/>
      <c r="K13" s="17"/>
      <c r="L13" s="17"/>
    </row>
    <row r="14" spans="2:51" x14ac:dyDescent="0.25">
      <c r="C14" s="836"/>
      <c r="D14" s="271" t="s">
        <v>138</v>
      </c>
      <c r="E14" s="271" t="s">
        <v>2</v>
      </c>
      <c r="F14" s="259"/>
      <c r="G14" s="271"/>
      <c r="H14" s="286"/>
      <c r="I14" s="271"/>
      <c r="J14" s="274"/>
      <c r="K14" s="17"/>
      <c r="L14" s="17"/>
    </row>
    <row r="15" spans="2:51" ht="15.75" thickBot="1" x14ac:dyDescent="0.3">
      <c r="C15" s="270"/>
      <c r="D15" s="142"/>
      <c r="E15" s="192"/>
      <c r="F15" s="8"/>
      <c r="G15" s="17"/>
      <c r="H15" s="17"/>
      <c r="I15" s="17"/>
      <c r="J15" s="17"/>
      <c r="K15" s="17"/>
      <c r="L15" s="17"/>
    </row>
    <row r="16" spans="2:51" x14ac:dyDescent="0.25">
      <c r="C16" s="837" t="s">
        <v>155</v>
      </c>
      <c r="D16" s="287" t="s">
        <v>167</v>
      </c>
      <c r="E16" s="288" t="s">
        <v>171</v>
      </c>
      <c r="F16" s="265" t="s">
        <v>169</v>
      </c>
      <c r="G16" s="265"/>
      <c r="H16" s="265"/>
      <c r="I16" s="263"/>
      <c r="AP16" s="112"/>
      <c r="AQ16" s="8"/>
      <c r="AR16" s="8"/>
      <c r="AS16" s="8"/>
      <c r="AT16" s="8"/>
      <c r="AU16" s="8"/>
      <c r="AV16" s="8"/>
      <c r="AW16" s="8"/>
      <c r="AX16" s="8"/>
      <c r="AY16" s="8"/>
    </row>
    <row r="17" spans="2:56" x14ac:dyDescent="0.25">
      <c r="C17" s="838"/>
      <c r="D17" s="17" t="s">
        <v>142</v>
      </c>
      <c r="E17" s="268">
        <v>4</v>
      </c>
      <c r="F17" s="17" t="s">
        <v>143</v>
      </c>
      <c r="G17" s="17"/>
      <c r="H17" s="17"/>
      <c r="I17" s="204"/>
      <c r="AP17" s="112"/>
      <c r="AQ17" s="8"/>
      <c r="AR17" s="8"/>
      <c r="AS17" s="8"/>
      <c r="AT17" s="8"/>
      <c r="AU17" s="8"/>
      <c r="AV17" s="8"/>
      <c r="AW17" s="8"/>
      <c r="AX17" s="8"/>
      <c r="AY17" s="8"/>
    </row>
    <row r="18" spans="2:56" x14ac:dyDescent="0.25">
      <c r="C18" s="838"/>
      <c r="D18" s="17" t="s">
        <v>5</v>
      </c>
      <c r="E18" s="18">
        <v>2</v>
      </c>
      <c r="F18" s="17" t="s">
        <v>146</v>
      </c>
      <c r="G18" s="17"/>
      <c r="H18" s="17"/>
      <c r="I18" s="204"/>
      <c r="AP18" s="112"/>
      <c r="AQ18" s="8"/>
      <c r="AR18" s="8"/>
      <c r="AS18" s="8"/>
      <c r="AT18" s="8"/>
      <c r="AU18" s="8"/>
      <c r="AV18" s="8"/>
      <c r="AW18" s="8"/>
      <c r="AX18" s="8"/>
      <c r="AY18" s="8"/>
    </row>
    <row r="19" spans="2:56" x14ac:dyDescent="0.25">
      <c r="C19" s="838"/>
      <c r="D19" s="142" t="s">
        <v>158</v>
      </c>
      <c r="E19" s="18">
        <f>(E7+1)*2</f>
        <v>2002</v>
      </c>
      <c r="F19" s="142" t="s">
        <v>190</v>
      </c>
      <c r="G19" s="17"/>
      <c r="H19" s="17"/>
      <c r="I19" s="204"/>
      <c r="AP19" s="112"/>
      <c r="AQ19" s="8"/>
      <c r="AR19" s="8"/>
      <c r="AS19" s="8"/>
      <c r="AT19" s="8"/>
      <c r="AU19" s="8"/>
      <c r="AV19" s="8"/>
      <c r="AW19" s="8"/>
      <c r="AX19" s="8"/>
      <c r="AY19" s="8"/>
    </row>
    <row r="20" spans="2:56" ht="15.75" thickBot="1" x14ac:dyDescent="0.3">
      <c r="C20" s="839"/>
      <c r="D20" s="168" t="s">
        <v>144</v>
      </c>
      <c r="E20" s="289">
        <f>E18*E19*LN(E17)</f>
        <v>5550.722621924042</v>
      </c>
      <c r="F20" s="168" t="s">
        <v>145</v>
      </c>
      <c r="G20" s="266"/>
      <c r="H20" s="266"/>
      <c r="I20" s="264"/>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8" t="s">
        <v>12</v>
      </c>
      <c r="F23" s="209"/>
      <c r="G23" s="209"/>
      <c r="H23" s="210"/>
      <c r="I23" s="208" t="s">
        <v>13</v>
      </c>
      <c r="J23" s="209"/>
      <c r="K23" s="209"/>
      <c r="L23" s="209"/>
      <c r="M23" s="208" t="s">
        <v>237</v>
      </c>
      <c r="N23" s="209"/>
      <c r="O23" s="209"/>
      <c r="P23" s="11"/>
      <c r="Q23" s="208" t="s">
        <v>236</v>
      </c>
      <c r="R23" s="209"/>
      <c r="S23" s="209"/>
      <c r="T23" s="11"/>
      <c r="U23" s="208" t="s">
        <v>249</v>
      </c>
      <c r="V23" s="209"/>
      <c r="W23" s="209"/>
      <c r="X23" s="210"/>
      <c r="Y23" s="208" t="s">
        <v>250</v>
      </c>
      <c r="Z23" s="209"/>
      <c r="AA23" s="209"/>
      <c r="AB23" s="210"/>
      <c r="AC23" s="208" t="s">
        <v>206</v>
      </c>
      <c r="AD23" s="209"/>
      <c r="AE23" s="209"/>
      <c r="AF23" s="11"/>
      <c r="AG23" s="62" t="s">
        <v>36</v>
      </c>
      <c r="AH23" s="63" t="s">
        <v>35</v>
      </c>
      <c r="AP23" s="8"/>
      <c r="AQ23" s="202"/>
      <c r="AR23" s="886"/>
      <c r="AS23" s="886"/>
      <c r="AT23" s="503"/>
      <c r="AU23" s="8"/>
      <c r="AV23" s="8"/>
      <c r="AW23" s="143"/>
      <c r="AX23" s="256"/>
      <c r="AY23" s="143"/>
    </row>
    <row r="24" spans="2:56" s="7" customFormat="1" ht="60.75" thickBot="1" x14ac:dyDescent="0.3">
      <c r="C24" s="32"/>
      <c r="D24" s="117" t="s">
        <v>45</v>
      </c>
      <c r="E24" s="261" t="str">
        <f>"S("&amp;$E$5&amp;", 0)"</f>
        <v>S(0, 0)</v>
      </c>
      <c r="F24" s="178" t="str">
        <f>"S("&amp;$E$5&amp;", 1)"</f>
        <v>S(0, 1)</v>
      </c>
      <c r="G24" s="175" t="str">
        <f>"S("&amp;$E$6&amp;", 0)"</f>
        <v>S(1000, 0)</v>
      </c>
      <c r="H24" s="331" t="str">
        <f>"S("&amp;$E$6&amp;", 1)"</f>
        <v>S(1000, 1)</v>
      </c>
      <c r="I24" s="261" t="str">
        <f>"P"&amp;(RIGHT(E24,LEN(E24)-1))</f>
        <v>P(0, 0)</v>
      </c>
      <c r="J24" s="178" t="str">
        <f t="shared" ref="J24:L24" si="0">"P"&amp;(RIGHT(F24,LEN(F24)-1))</f>
        <v>P(0, 1)</v>
      </c>
      <c r="K24" s="175" t="str">
        <f>"P"&amp;(RIGHT(G24,LEN(G24)-1))</f>
        <v>P(1000, 0)</v>
      </c>
      <c r="L24" s="249" t="str">
        <f t="shared" si="0"/>
        <v>P(1000, 1)</v>
      </c>
      <c r="M24" s="542"/>
      <c r="N24" s="543" t="s">
        <v>216</v>
      </c>
      <c r="O24" s="544"/>
      <c r="P24" s="543" t="s">
        <v>217</v>
      </c>
      <c r="Q24" s="542" t="s">
        <v>251</v>
      </c>
      <c r="R24" s="543" t="s">
        <v>252</v>
      </c>
      <c r="S24" s="544" t="s">
        <v>253</v>
      </c>
      <c r="T24" s="543" t="s">
        <v>254</v>
      </c>
      <c r="U24" s="545" t="s">
        <v>212</v>
      </c>
      <c r="V24" s="543" t="s">
        <v>213</v>
      </c>
      <c r="W24" s="546" t="s">
        <v>214</v>
      </c>
      <c r="X24" s="547" t="s">
        <v>215</v>
      </c>
      <c r="Y24" s="545" t="s">
        <v>212</v>
      </c>
      <c r="Z24" s="543" t="s">
        <v>213</v>
      </c>
      <c r="AA24" s="546" t="s">
        <v>214</v>
      </c>
      <c r="AB24" s="547" t="s">
        <v>215</v>
      </c>
      <c r="AC24" s="261" t="str">
        <f>I24</f>
        <v>P(0, 0)</v>
      </c>
      <c r="AD24" s="178" t="str">
        <f>J24</f>
        <v>P(0, 1)</v>
      </c>
      <c r="AE24" s="175" t="str">
        <f>K24</f>
        <v>P(1000, 0)</v>
      </c>
      <c r="AF24" s="331" t="str">
        <f>L24</f>
        <v>P(1000, 1)</v>
      </c>
      <c r="AG24" s="310">
        <v>0</v>
      </c>
      <c r="AH24" s="43"/>
      <c r="AP24" s="8"/>
      <c r="AQ24" s="142"/>
      <c r="AR24" s="145"/>
      <c r="AS24" s="145"/>
      <c r="AT24" s="8"/>
      <c r="AU24" s="8"/>
      <c r="AV24" s="8"/>
      <c r="AW24" s="8"/>
      <c r="AX24" s="8"/>
      <c r="AY24" s="8"/>
    </row>
    <row r="25" spans="2:56" s="7" customFormat="1" ht="18" customHeight="1" thickTop="1" x14ac:dyDescent="0.25">
      <c r="D25" s="25">
        <v>1</v>
      </c>
      <c r="E25" s="332">
        <v>0</v>
      </c>
      <c r="F25" s="223">
        <v>0</v>
      </c>
      <c r="G25" s="222">
        <v>0</v>
      </c>
      <c r="H25" s="333">
        <v>0</v>
      </c>
      <c r="I25" s="342">
        <f t="shared" ref="I25:L49" si="1">EXP(E25/$E$18)/(EXP($E25/$E$18)+EXP($F25/$E$18)+EXP($G25/$E$18)+EXP($H25/$E$18))</f>
        <v>0.25</v>
      </c>
      <c r="J25" s="219">
        <f t="shared" si="1"/>
        <v>0.25</v>
      </c>
      <c r="K25" s="218">
        <f t="shared" si="1"/>
        <v>0.25</v>
      </c>
      <c r="L25" s="548">
        <f t="shared" si="1"/>
        <v>0.25</v>
      </c>
      <c r="M25" s="549">
        <f>1-N25</f>
        <v>0.5</v>
      </c>
      <c r="N25" s="550">
        <f>SUM(J25,L25)</f>
        <v>0.5</v>
      </c>
      <c r="O25" s="551">
        <f>1-P25</f>
        <v>0.5</v>
      </c>
      <c r="P25" s="552">
        <f>SUM(K25:L25)</f>
        <v>0.5</v>
      </c>
      <c r="Q25" s="549">
        <f>M25*$E$7</f>
        <v>500</v>
      </c>
      <c r="R25" s="550">
        <f>N25*$E$7</f>
        <v>500</v>
      </c>
      <c r="S25" s="551">
        <f>O25*1</f>
        <v>0.5</v>
      </c>
      <c r="T25" s="552">
        <f>P25*1</f>
        <v>0.5</v>
      </c>
      <c r="U25" s="549">
        <f t="shared" ref="U25:U50" si="2">IFERROR( K25/SUM(I25,K25), 0)</f>
        <v>0.5</v>
      </c>
      <c r="V25" s="550">
        <f t="shared" ref="V25:V50" si="3">IFERROR( L25/SUM(J25,L25), 0)</f>
        <v>0.5</v>
      </c>
      <c r="W25" s="551">
        <f t="shared" ref="W25:W50" si="4">IFERROR( J25/SUM(J25,I25), 0)</f>
        <v>0.5</v>
      </c>
      <c r="X25" s="552">
        <f t="shared" ref="X25:X50" si="5">IFERROR( SUM(L25/SUM(K25:L25)), 0)</f>
        <v>0.5</v>
      </c>
      <c r="Y25" s="549">
        <f>$E$5+U25*$E$7</f>
        <v>500</v>
      </c>
      <c r="Z25" s="550">
        <f t="shared" ref="Z25:Z28" si="6">$E$5+V25*$E$7</f>
        <v>500</v>
      </c>
      <c r="AA25" s="551">
        <f>W25</f>
        <v>0.5</v>
      </c>
      <c r="AB25" s="552">
        <f t="shared" ref="AB25:AB28" si="7">X25</f>
        <v>0.5</v>
      </c>
      <c r="AC25" s="348">
        <f>SUM(Q25,S25)</f>
        <v>500.5</v>
      </c>
      <c r="AD25" s="247">
        <f>SUM(Q25,T25)</f>
        <v>500.5</v>
      </c>
      <c r="AE25" s="246">
        <f>SUM(R25,S25)</f>
        <v>500.5</v>
      </c>
      <c r="AF25" s="349">
        <f>SUM(R25,T25)</f>
        <v>500.5</v>
      </c>
      <c r="AG25" s="561">
        <f>$E$18*$E$19*LN(EXP($E25/$E$18) + EXP($F25/$E$18) + EXP($G25/$E$18) +EXP($H25/$E$18) )</f>
        <v>5550.722621924042</v>
      </c>
      <c r="AH25" s="562">
        <f>(AG25-AG24)</f>
        <v>5550.722621924042</v>
      </c>
      <c r="AP25" s="8"/>
      <c r="AQ25" s="203"/>
      <c r="AR25" s="8"/>
      <c r="AS25" s="8"/>
      <c r="AT25" s="8"/>
      <c r="AU25" s="8"/>
      <c r="AV25" s="8"/>
      <c r="AW25" s="8"/>
      <c r="AX25" s="8"/>
      <c r="AY25" s="8"/>
      <c r="AZ25" s="189"/>
      <c r="BA25" s="189"/>
      <c r="BD25" s="189"/>
    </row>
    <row r="26" spans="2:56" s="7" customFormat="1" ht="18.75" x14ac:dyDescent="0.3">
      <c r="D26" s="25">
        <v>2</v>
      </c>
      <c r="E26" s="334">
        <v>1</v>
      </c>
      <c r="F26" s="243">
        <v>1</v>
      </c>
      <c r="G26" s="242">
        <v>1</v>
      </c>
      <c r="H26" s="335">
        <v>1</v>
      </c>
      <c r="I26" s="344">
        <f t="shared" si="1"/>
        <v>0.25</v>
      </c>
      <c r="J26" s="239">
        <f t="shared" si="1"/>
        <v>0.25</v>
      </c>
      <c r="K26" s="238">
        <f t="shared" si="1"/>
        <v>0.25</v>
      </c>
      <c r="L26" s="237">
        <f t="shared" si="1"/>
        <v>0.25</v>
      </c>
      <c r="M26" s="513">
        <f t="shared" ref="M26:M49" si="8">1-N26</f>
        <v>0.5</v>
      </c>
      <c r="N26" s="537">
        <f t="shared" ref="N26:N49" si="9">SUM(J26,L26)</f>
        <v>0.5</v>
      </c>
      <c r="O26" s="536">
        <f t="shared" ref="O26:O49" si="10">1-P26</f>
        <v>0.5</v>
      </c>
      <c r="P26" s="499">
        <f t="shared" ref="P26:P49" si="11">SUM(K26:L26)</f>
        <v>0.5</v>
      </c>
      <c r="Q26" s="513">
        <f t="shared" ref="Q26:Q49" si="12">M26*$E$7</f>
        <v>500</v>
      </c>
      <c r="R26" s="537">
        <f t="shared" ref="R26:R50" si="13">N26*$E$7</f>
        <v>500</v>
      </c>
      <c r="S26" s="536">
        <f t="shared" ref="S26:S49" si="14">O26*1</f>
        <v>0.5</v>
      </c>
      <c r="T26" s="499">
        <f t="shared" ref="T26:T50" si="15">P26*1</f>
        <v>0.5</v>
      </c>
      <c r="U26" s="513">
        <f t="shared" si="2"/>
        <v>0.5</v>
      </c>
      <c r="V26" s="537">
        <f t="shared" si="3"/>
        <v>0.5</v>
      </c>
      <c r="W26" s="536">
        <f t="shared" si="4"/>
        <v>0.5</v>
      </c>
      <c r="X26" s="499">
        <f t="shared" si="5"/>
        <v>0.5</v>
      </c>
      <c r="Y26" s="513">
        <f t="shared" ref="Y26:Y28" si="16">$E$5+U26*$E$7</f>
        <v>500</v>
      </c>
      <c r="Z26" s="537">
        <f t="shared" si="6"/>
        <v>500</v>
      </c>
      <c r="AA26" s="536">
        <f t="shared" ref="AA26:AA28" si="17">W26</f>
        <v>0.5</v>
      </c>
      <c r="AB26" s="499">
        <f t="shared" si="7"/>
        <v>0.5</v>
      </c>
      <c r="AC26" s="350">
        <f t="shared" ref="AC26:AC49" si="18">SUM(Q26,S26)</f>
        <v>500.5</v>
      </c>
      <c r="AD26" s="227">
        <f t="shared" ref="AD26:AD49" si="19">SUM(Q26,T26)</f>
        <v>500.5</v>
      </c>
      <c r="AE26" s="226">
        <f t="shared" ref="AE26:AE50" si="20">SUM(R26,S26)</f>
        <v>500.5</v>
      </c>
      <c r="AF26" s="351">
        <f t="shared" ref="AF26:AF50" si="21">SUM(R26,T26)</f>
        <v>500.5</v>
      </c>
      <c r="AG26" s="563">
        <f t="shared" ref="AG26:AG50" si="22">$E$18*$E$19*LN(EXP($E26/$E$18) + EXP($F26/$E$18) + EXP($G26/$E$18) +EXP($H26/$E$18) )</f>
        <v>7552.722621924042</v>
      </c>
      <c r="AH26" s="564">
        <f>(AG26-AG25)</f>
        <v>2002</v>
      </c>
      <c r="AP26" s="8"/>
      <c r="AQ26" s="203"/>
      <c r="AR26" s="8"/>
      <c r="AS26" s="8"/>
      <c r="AT26" s="504"/>
      <c r="AU26" s="8"/>
      <c r="AV26" s="8"/>
      <c r="AW26" s="8"/>
      <c r="AX26" s="256"/>
      <c r="AY26" s="8"/>
      <c r="AZ26" s="189"/>
      <c r="BA26" s="189"/>
    </row>
    <row r="27" spans="2:56" s="7" customFormat="1" ht="18.75" x14ac:dyDescent="0.3">
      <c r="C27" s="21"/>
      <c r="D27" s="25">
        <v>3</v>
      </c>
      <c r="E27" s="334">
        <v>2</v>
      </c>
      <c r="F27" s="243">
        <v>1</v>
      </c>
      <c r="G27" s="242">
        <v>2</v>
      </c>
      <c r="H27" s="335">
        <v>1</v>
      </c>
      <c r="I27" s="344">
        <f t="shared" si="1"/>
        <v>0.31122966560092724</v>
      </c>
      <c r="J27" s="239">
        <f t="shared" si="1"/>
        <v>0.1887703343990727</v>
      </c>
      <c r="K27" s="238">
        <f t="shared" si="1"/>
        <v>0.31122966560092724</v>
      </c>
      <c r="L27" s="237">
        <f t="shared" si="1"/>
        <v>0.1887703343990727</v>
      </c>
      <c r="M27" s="513">
        <f t="shared" si="8"/>
        <v>0.62245933120185459</v>
      </c>
      <c r="N27" s="537">
        <f t="shared" si="9"/>
        <v>0.37754066879814541</v>
      </c>
      <c r="O27" s="536">
        <f t="shared" si="10"/>
        <v>0.5</v>
      </c>
      <c r="P27" s="499">
        <f t="shared" si="11"/>
        <v>0.49999999999999994</v>
      </c>
      <c r="Q27" s="513">
        <f t="shared" si="12"/>
        <v>622.45933120185464</v>
      </c>
      <c r="R27" s="537">
        <f t="shared" si="13"/>
        <v>377.54066879814542</v>
      </c>
      <c r="S27" s="536">
        <f t="shared" si="14"/>
        <v>0.5</v>
      </c>
      <c r="T27" s="499">
        <f t="shared" si="15"/>
        <v>0.49999999999999994</v>
      </c>
      <c r="U27" s="513">
        <f t="shared" si="2"/>
        <v>0.5</v>
      </c>
      <c r="V27" s="537">
        <f t="shared" si="3"/>
        <v>0.5</v>
      </c>
      <c r="W27" s="536">
        <f t="shared" si="4"/>
        <v>0.37754066879814546</v>
      </c>
      <c r="X27" s="499">
        <f t="shared" si="5"/>
        <v>0.37754066879814546</v>
      </c>
      <c r="Y27" s="513">
        <f t="shared" si="16"/>
        <v>500</v>
      </c>
      <c r="Z27" s="537">
        <f t="shared" si="6"/>
        <v>500</v>
      </c>
      <c r="AA27" s="536">
        <f t="shared" si="17"/>
        <v>0.37754066879814546</v>
      </c>
      <c r="AB27" s="499">
        <f t="shared" si="7"/>
        <v>0.37754066879814546</v>
      </c>
      <c r="AC27" s="350">
        <f t="shared" si="18"/>
        <v>622.95933120185464</v>
      </c>
      <c r="AD27" s="227">
        <f t="shared" si="19"/>
        <v>622.95933120185464</v>
      </c>
      <c r="AE27" s="226">
        <f t="shared" si="20"/>
        <v>378.04066879814542</v>
      </c>
      <c r="AF27" s="351">
        <f t="shared" si="21"/>
        <v>378.04066879814542</v>
      </c>
      <c r="AG27" s="563">
        <f t="shared" si="22"/>
        <v>8677.5655556191668</v>
      </c>
      <c r="AH27" s="564">
        <f t="shared" ref="AH27" si="23">(AG27-AG26)</f>
        <v>1124.8429336951249</v>
      </c>
      <c r="AP27" s="8"/>
      <c r="AQ27" s="203"/>
      <c r="AR27" s="8"/>
      <c r="AS27" s="8"/>
      <c r="AT27" s="504"/>
      <c r="AU27" s="8"/>
      <c r="AV27" s="8"/>
      <c r="AW27" s="8"/>
      <c r="AX27" s="256"/>
      <c r="AY27" s="8"/>
      <c r="AZ27" s="189"/>
      <c r="BA27" s="189"/>
    </row>
    <row r="28" spans="2:56" s="7" customFormat="1" ht="18.75" x14ac:dyDescent="0.3">
      <c r="C28" s="21"/>
      <c r="D28" s="25">
        <v>4</v>
      </c>
      <c r="E28" s="334">
        <v>4</v>
      </c>
      <c r="F28" s="243">
        <v>5</v>
      </c>
      <c r="G28" s="242">
        <v>6</v>
      </c>
      <c r="H28" s="335">
        <v>8</v>
      </c>
      <c r="I28" s="344">
        <f t="shared" si="1"/>
        <v>7.8394117216839712E-2</v>
      </c>
      <c r="J28" s="239">
        <f t="shared" si="1"/>
        <v>0.12925004855316277</v>
      </c>
      <c r="K28" s="238">
        <f t="shared" si="1"/>
        <v>0.21309730428862378</v>
      </c>
      <c r="L28" s="237">
        <f t="shared" si="1"/>
        <v>0.57925852994137372</v>
      </c>
      <c r="M28" s="513">
        <f t="shared" si="8"/>
        <v>0.29149142150546348</v>
      </c>
      <c r="N28" s="537">
        <f t="shared" si="9"/>
        <v>0.70850857849453652</v>
      </c>
      <c r="O28" s="536">
        <f t="shared" si="10"/>
        <v>0.20764416577000255</v>
      </c>
      <c r="P28" s="499">
        <f t="shared" si="11"/>
        <v>0.79235583422999745</v>
      </c>
      <c r="Q28" s="513">
        <f t="shared" si="12"/>
        <v>291.49142150546345</v>
      </c>
      <c r="R28" s="537">
        <f t="shared" si="13"/>
        <v>708.50857849453655</v>
      </c>
      <c r="S28" s="536">
        <f t="shared" si="14"/>
        <v>0.20764416577000255</v>
      </c>
      <c r="T28" s="499">
        <f t="shared" si="15"/>
        <v>0.79235583422999745</v>
      </c>
      <c r="U28" s="513">
        <f t="shared" si="2"/>
        <v>0.7310585786300049</v>
      </c>
      <c r="V28" s="537">
        <f t="shared" si="3"/>
        <v>0.81757447619364365</v>
      </c>
      <c r="W28" s="536">
        <f t="shared" si="4"/>
        <v>0.62245933120185459</v>
      </c>
      <c r="X28" s="499">
        <f t="shared" si="5"/>
        <v>0.7310585786300049</v>
      </c>
      <c r="Y28" s="513">
        <f t="shared" si="16"/>
        <v>731.05857863000494</v>
      </c>
      <c r="Z28" s="537">
        <f t="shared" si="6"/>
        <v>817.5744761936437</v>
      </c>
      <c r="AA28" s="536">
        <f t="shared" si="17"/>
        <v>0.62245933120185459</v>
      </c>
      <c r="AB28" s="499">
        <f t="shared" si="7"/>
        <v>0.7310585786300049</v>
      </c>
      <c r="AC28" s="350">
        <f t="shared" si="18"/>
        <v>291.69906567123343</v>
      </c>
      <c r="AD28" s="227">
        <f t="shared" si="19"/>
        <v>292.28377733969347</v>
      </c>
      <c r="AE28" s="226">
        <f t="shared" si="20"/>
        <v>708.71622266030658</v>
      </c>
      <c r="AF28" s="351">
        <f t="shared" si="21"/>
        <v>709.30093432876652</v>
      </c>
      <c r="AG28" s="563">
        <f t="shared" si="22"/>
        <v>18202.209585322053</v>
      </c>
      <c r="AH28" s="564">
        <f>(AG28-AG27)</f>
        <v>9524.6440297028857</v>
      </c>
      <c r="AP28" s="8"/>
      <c r="AQ28" s="203"/>
      <c r="AR28" s="8"/>
      <c r="AS28" s="8"/>
      <c r="AT28" s="504"/>
      <c r="AU28" s="8"/>
      <c r="AV28" s="8"/>
      <c r="AW28" s="8"/>
      <c r="AX28" s="256"/>
      <c r="AY28" s="8"/>
      <c r="AZ28" s="189"/>
      <c r="BA28" s="189"/>
    </row>
    <row r="29" spans="2:56" s="7" customFormat="1" ht="18.75" x14ac:dyDescent="0.3">
      <c r="C29" s="21"/>
      <c r="D29" s="25">
        <v>5</v>
      </c>
      <c r="E29" s="334">
        <v>5</v>
      </c>
      <c r="F29" s="243">
        <v>7</v>
      </c>
      <c r="G29" s="242">
        <v>6</v>
      </c>
      <c r="H29" s="335">
        <v>6</v>
      </c>
      <c r="I29" s="344">
        <f t="shared" si="1"/>
        <v>0.14253695659655094</v>
      </c>
      <c r="J29" s="239">
        <f t="shared" si="1"/>
        <v>0.38745561900026004</v>
      </c>
      <c r="K29" s="238">
        <f t="shared" si="1"/>
        <v>0.23500371220159449</v>
      </c>
      <c r="L29" s="237">
        <f t="shared" si="1"/>
        <v>0.23500371220159449</v>
      </c>
      <c r="M29" s="513">
        <f t="shared" si="8"/>
        <v>0.37754066879814552</v>
      </c>
      <c r="N29" s="537">
        <f t="shared" si="9"/>
        <v>0.62245933120185448</v>
      </c>
      <c r="O29" s="536">
        <f t="shared" si="10"/>
        <v>0.52999257559681101</v>
      </c>
      <c r="P29" s="499">
        <f t="shared" si="11"/>
        <v>0.47000742440318899</v>
      </c>
      <c r="Q29" s="513">
        <f t="shared" si="12"/>
        <v>377.54066879814553</v>
      </c>
      <c r="R29" s="537">
        <f t="shared" si="13"/>
        <v>622.45933120185452</v>
      </c>
      <c r="S29" s="536">
        <f t="shared" si="14"/>
        <v>0.52999257559681101</v>
      </c>
      <c r="T29" s="499">
        <f t="shared" si="15"/>
        <v>0.47000742440318899</v>
      </c>
      <c r="U29" s="513">
        <f t="shared" si="2"/>
        <v>0.62245933120185459</v>
      </c>
      <c r="V29" s="537">
        <f t="shared" si="3"/>
        <v>0.37754066879814552</v>
      </c>
      <c r="W29" s="536">
        <f t="shared" si="4"/>
        <v>0.73105857863000479</v>
      </c>
      <c r="X29" s="499">
        <f t="shared" si="5"/>
        <v>0.5</v>
      </c>
      <c r="Y29" s="513">
        <f t="shared" ref="Y29:Y50" si="24">$E$5+U29*$E$7</f>
        <v>622.45933120185464</v>
      </c>
      <c r="Z29" s="537">
        <f t="shared" ref="Z29:Z50" si="25">$E$5+V29*$E$7</f>
        <v>377.54066879814553</v>
      </c>
      <c r="AA29" s="536">
        <f t="shared" ref="AA29:AA50" si="26">W29</f>
        <v>0.73105857863000479</v>
      </c>
      <c r="AB29" s="499">
        <f t="shared" ref="AB29:AB50" si="27">X29</f>
        <v>0.5</v>
      </c>
      <c r="AC29" s="350">
        <f t="shared" si="18"/>
        <v>378.07066137374233</v>
      </c>
      <c r="AD29" s="227">
        <f t="shared" si="19"/>
        <v>378.01067622254874</v>
      </c>
      <c r="AE29" s="226">
        <f t="shared" si="20"/>
        <v>622.98932377745132</v>
      </c>
      <c r="AF29" s="351">
        <f t="shared" si="21"/>
        <v>622.92933862625773</v>
      </c>
      <c r="AG29" s="563">
        <f t="shared" si="22"/>
        <v>17810.408489314294</v>
      </c>
      <c r="AH29" s="564">
        <f t="shared" ref="AH29:AH49" si="28">(AG29-AG28)</f>
        <v>-391.80109600775904</v>
      </c>
      <c r="AP29" s="8"/>
      <c r="AQ29" s="203"/>
      <c r="AR29" s="8"/>
      <c r="AS29" s="8"/>
      <c r="AT29" s="504"/>
      <c r="AU29" s="8"/>
      <c r="AV29" s="8"/>
      <c r="AW29" s="8"/>
      <c r="AX29" s="256"/>
      <c r="AY29" s="8"/>
      <c r="AZ29" s="189"/>
      <c r="BA29" s="189"/>
    </row>
    <row r="30" spans="2:56" s="7" customFormat="1" ht="18.75" x14ac:dyDescent="0.3">
      <c r="C30" s="21"/>
      <c r="D30" s="25">
        <v>6</v>
      </c>
      <c r="E30" s="334">
        <v>6</v>
      </c>
      <c r="F30" s="243">
        <v>8</v>
      </c>
      <c r="G30" s="242">
        <v>12</v>
      </c>
      <c r="H30" s="335">
        <v>6</v>
      </c>
      <c r="I30" s="344">
        <f t="shared" si="1"/>
        <v>4.031637265264288E-2</v>
      </c>
      <c r="J30" s="239">
        <f t="shared" si="1"/>
        <v>0.10959126317106233</v>
      </c>
      <c r="K30" s="238">
        <f t="shared" si="1"/>
        <v>0.80977599152365198</v>
      </c>
      <c r="L30" s="237">
        <f t="shared" si="1"/>
        <v>4.031637265264288E-2</v>
      </c>
      <c r="M30" s="513">
        <f t="shared" si="8"/>
        <v>0.85009236417629475</v>
      </c>
      <c r="N30" s="537">
        <f t="shared" si="9"/>
        <v>0.1499076358237052</v>
      </c>
      <c r="O30" s="536">
        <f t="shared" si="10"/>
        <v>0.14990763582370514</v>
      </c>
      <c r="P30" s="499">
        <f t="shared" si="11"/>
        <v>0.85009236417629486</v>
      </c>
      <c r="Q30" s="513">
        <f t="shared" si="12"/>
        <v>850.09236417629472</v>
      </c>
      <c r="R30" s="537">
        <f t="shared" si="13"/>
        <v>149.90763582370519</v>
      </c>
      <c r="S30" s="536">
        <f t="shared" si="14"/>
        <v>0.14990763582370514</v>
      </c>
      <c r="T30" s="499">
        <f t="shared" si="15"/>
        <v>0.85009236417629486</v>
      </c>
      <c r="U30" s="513">
        <f t="shared" si="2"/>
        <v>0.95257412682243325</v>
      </c>
      <c r="V30" s="537">
        <f t="shared" si="3"/>
        <v>0.26894142136999516</v>
      </c>
      <c r="W30" s="536">
        <f t="shared" si="4"/>
        <v>0.7310585786300049</v>
      </c>
      <c r="X30" s="499">
        <f t="shared" si="5"/>
        <v>4.7425873177566788E-2</v>
      </c>
      <c r="Y30" s="513">
        <f t="shared" si="24"/>
        <v>952.5741268224333</v>
      </c>
      <c r="Z30" s="537">
        <f t="shared" si="25"/>
        <v>268.94142136999517</v>
      </c>
      <c r="AA30" s="536">
        <f t="shared" si="26"/>
        <v>0.7310585786300049</v>
      </c>
      <c r="AB30" s="499">
        <f t="shared" si="27"/>
        <v>4.7425873177566788E-2</v>
      </c>
      <c r="AC30" s="350">
        <f t="shared" si="18"/>
        <v>850.24227181211847</v>
      </c>
      <c r="AD30" s="227">
        <f t="shared" si="19"/>
        <v>850.94245654047097</v>
      </c>
      <c r="AE30" s="226">
        <f t="shared" si="20"/>
        <v>150.05754345952889</v>
      </c>
      <c r="AF30" s="351">
        <f t="shared" si="21"/>
        <v>150.7577281878815</v>
      </c>
      <c r="AG30" s="563">
        <f t="shared" si="22"/>
        <v>24868.834483445655</v>
      </c>
      <c r="AH30" s="564">
        <f t="shared" si="28"/>
        <v>7058.4259941313612</v>
      </c>
      <c r="AP30" s="8"/>
      <c r="AQ30" s="203"/>
      <c r="AR30" s="8"/>
      <c r="AS30" s="8"/>
      <c r="AT30" s="504"/>
      <c r="AU30" s="8"/>
      <c r="AV30" s="8"/>
      <c r="AW30" s="8"/>
      <c r="AX30" s="256"/>
      <c r="AY30" s="8"/>
      <c r="AZ30" s="189"/>
      <c r="BA30" s="189"/>
    </row>
    <row r="31" spans="2:56" s="7" customFormat="1" ht="18.75" x14ac:dyDescent="0.3">
      <c r="C31" s="21"/>
      <c r="D31" s="25">
        <v>7</v>
      </c>
      <c r="E31" s="334">
        <v>2</v>
      </c>
      <c r="F31" s="243">
        <v>10</v>
      </c>
      <c r="G31" s="242">
        <v>11</v>
      </c>
      <c r="H31" s="335">
        <v>10</v>
      </c>
      <c r="I31" s="344">
        <f t="shared" si="1"/>
        <v>4.9946699038782441E-3</v>
      </c>
      <c r="J31" s="239">
        <f t="shared" si="1"/>
        <v>0.27269973677797449</v>
      </c>
      <c r="K31" s="238">
        <f t="shared" si="1"/>
        <v>0.4496058565401726</v>
      </c>
      <c r="L31" s="237">
        <f t="shared" si="1"/>
        <v>0.27269973677797449</v>
      </c>
      <c r="M31" s="513">
        <f t="shared" si="8"/>
        <v>0.45460052644405102</v>
      </c>
      <c r="N31" s="537">
        <f t="shared" si="9"/>
        <v>0.54539947355594898</v>
      </c>
      <c r="O31" s="536">
        <f t="shared" si="10"/>
        <v>0.27769440668185297</v>
      </c>
      <c r="P31" s="499">
        <f t="shared" si="11"/>
        <v>0.72230559331814703</v>
      </c>
      <c r="Q31" s="513">
        <f t="shared" si="12"/>
        <v>454.60052644405101</v>
      </c>
      <c r="R31" s="537">
        <f t="shared" si="13"/>
        <v>545.39947355594893</v>
      </c>
      <c r="S31" s="536">
        <f t="shared" si="14"/>
        <v>0.27769440668185297</v>
      </c>
      <c r="T31" s="499">
        <f t="shared" si="15"/>
        <v>0.72230559331814703</v>
      </c>
      <c r="U31" s="513">
        <f t="shared" si="2"/>
        <v>0.98901305736940681</v>
      </c>
      <c r="V31" s="537">
        <f t="shared" si="3"/>
        <v>0.5</v>
      </c>
      <c r="W31" s="536">
        <f t="shared" si="4"/>
        <v>0.98201379003790834</v>
      </c>
      <c r="X31" s="499">
        <f t="shared" si="5"/>
        <v>0.37754066879814546</v>
      </c>
      <c r="Y31" s="513">
        <f t="shared" si="24"/>
        <v>989.01305736940685</v>
      </c>
      <c r="Z31" s="537">
        <f t="shared" si="25"/>
        <v>500</v>
      </c>
      <c r="AA31" s="536">
        <f t="shared" si="26"/>
        <v>0.98201379003790834</v>
      </c>
      <c r="AB31" s="499">
        <f t="shared" si="27"/>
        <v>0.37754066879814546</v>
      </c>
      <c r="AC31" s="350">
        <f t="shared" si="18"/>
        <v>454.87822085073287</v>
      </c>
      <c r="AD31" s="227">
        <f t="shared" si="19"/>
        <v>455.32283203736915</v>
      </c>
      <c r="AE31" s="226">
        <f t="shared" si="20"/>
        <v>545.67716796263073</v>
      </c>
      <c r="AF31" s="351">
        <f t="shared" si="21"/>
        <v>546.12177914926713</v>
      </c>
      <c r="AG31" s="563">
        <f t="shared" si="22"/>
        <v>25222.733353317548</v>
      </c>
      <c r="AH31" s="564">
        <f t="shared" si="28"/>
        <v>353.89886987189311</v>
      </c>
      <c r="AP31" s="8"/>
      <c r="AQ31" s="203"/>
      <c r="AR31" s="8"/>
      <c r="AS31" s="8"/>
      <c r="AT31" s="504"/>
      <c r="AU31" s="8"/>
      <c r="AV31" s="8"/>
      <c r="AW31" s="8"/>
      <c r="AX31" s="256"/>
      <c r="AY31" s="8"/>
      <c r="AZ31" s="189"/>
      <c r="BA31" s="189"/>
    </row>
    <row r="32" spans="2:56" s="7" customFormat="1" ht="18.75" x14ac:dyDescent="0.3">
      <c r="C32" s="21"/>
      <c r="D32" s="25">
        <v>8</v>
      </c>
      <c r="E32" s="334">
        <v>3</v>
      </c>
      <c r="F32" s="243">
        <v>12</v>
      </c>
      <c r="G32" s="242">
        <f t="shared" ref="G32" si="29">G31</f>
        <v>11</v>
      </c>
      <c r="H32" s="335">
        <f t="shared" ref="H32" si="30">H31</f>
        <v>10</v>
      </c>
      <c r="I32" s="344">
        <f t="shared" si="1"/>
        <v>5.5950086567610746E-3</v>
      </c>
      <c r="J32" s="239">
        <f t="shared" si="1"/>
        <v>0.50364662888321787</v>
      </c>
      <c r="K32" s="238">
        <f t="shared" si="1"/>
        <v>0.30547712207858196</v>
      </c>
      <c r="L32" s="237">
        <f t="shared" si="1"/>
        <v>0.18528124038143898</v>
      </c>
      <c r="M32" s="513">
        <f t="shared" si="8"/>
        <v>0.31107213073534312</v>
      </c>
      <c r="N32" s="537">
        <f t="shared" si="9"/>
        <v>0.68892786926465688</v>
      </c>
      <c r="O32" s="536">
        <f t="shared" si="10"/>
        <v>0.50924163753997909</v>
      </c>
      <c r="P32" s="499">
        <f t="shared" si="11"/>
        <v>0.49075836246002091</v>
      </c>
      <c r="Q32" s="513">
        <f t="shared" si="12"/>
        <v>311.07213073534314</v>
      </c>
      <c r="R32" s="537">
        <f t="shared" si="13"/>
        <v>688.92786926465692</v>
      </c>
      <c r="S32" s="536">
        <f t="shared" si="14"/>
        <v>0.50924163753997909</v>
      </c>
      <c r="T32" s="499">
        <f t="shared" si="15"/>
        <v>0.49075836246002091</v>
      </c>
      <c r="U32" s="513">
        <f t="shared" si="2"/>
        <v>0.98201379003790856</v>
      </c>
      <c r="V32" s="537">
        <f t="shared" si="3"/>
        <v>0.2689414213699951</v>
      </c>
      <c r="W32" s="536">
        <f t="shared" si="4"/>
        <v>0.98901305736940681</v>
      </c>
      <c r="X32" s="499">
        <f t="shared" si="5"/>
        <v>0.37754066879814546</v>
      </c>
      <c r="Y32" s="513">
        <f t="shared" si="24"/>
        <v>982.01379003790851</v>
      </c>
      <c r="Z32" s="537">
        <f t="shared" si="25"/>
        <v>268.94142136999511</v>
      </c>
      <c r="AA32" s="536">
        <f t="shared" si="26"/>
        <v>0.98901305736940681</v>
      </c>
      <c r="AB32" s="499">
        <f t="shared" si="27"/>
        <v>0.37754066879814546</v>
      </c>
      <c r="AC32" s="350">
        <f t="shared" si="18"/>
        <v>311.5813723728831</v>
      </c>
      <c r="AD32" s="227">
        <f t="shared" si="19"/>
        <v>311.56288909780318</v>
      </c>
      <c r="AE32" s="226">
        <f t="shared" si="20"/>
        <v>689.43711090219688</v>
      </c>
      <c r="AF32" s="351">
        <f t="shared" si="21"/>
        <v>689.41862762711696</v>
      </c>
      <c r="AG32" s="563">
        <f t="shared" si="22"/>
        <v>26770.265081511137</v>
      </c>
      <c r="AH32" s="564">
        <f t="shared" si="28"/>
        <v>1547.5317281935895</v>
      </c>
      <c r="AP32" s="8"/>
      <c r="AQ32" s="203"/>
      <c r="AR32" s="8"/>
      <c r="AS32" s="8"/>
      <c r="AT32" s="504"/>
      <c r="AU32" s="8"/>
      <c r="AV32" s="8"/>
      <c r="AW32" s="8"/>
      <c r="AX32" s="256"/>
      <c r="AY32" s="8"/>
      <c r="AZ32" s="189"/>
      <c r="BA32" s="189"/>
    </row>
    <row r="33" spans="3:53" s="7" customFormat="1" ht="18.75" x14ac:dyDescent="0.3">
      <c r="C33" s="21"/>
      <c r="D33" s="25">
        <v>9</v>
      </c>
      <c r="E33" s="334">
        <v>3</v>
      </c>
      <c r="F33" s="243">
        <v>13</v>
      </c>
      <c r="G33" s="242">
        <v>13</v>
      </c>
      <c r="H33" s="335">
        <v>12</v>
      </c>
      <c r="I33" s="344">
        <f t="shared" si="1"/>
        <v>2.5783599059737831E-3</v>
      </c>
      <c r="J33" s="239">
        <f t="shared" si="1"/>
        <v>0.38266253894899155</v>
      </c>
      <c r="K33" s="238">
        <f t="shared" si="1"/>
        <v>0.38266253894899155</v>
      </c>
      <c r="L33" s="237">
        <f t="shared" si="1"/>
        <v>0.23209656219604313</v>
      </c>
      <c r="M33" s="513">
        <f t="shared" si="8"/>
        <v>0.38524089885496537</v>
      </c>
      <c r="N33" s="537">
        <f t="shared" si="9"/>
        <v>0.61475910114503463</v>
      </c>
      <c r="O33" s="536">
        <f t="shared" si="10"/>
        <v>0.38524089885496537</v>
      </c>
      <c r="P33" s="499">
        <f t="shared" si="11"/>
        <v>0.61475910114503463</v>
      </c>
      <c r="Q33" s="513">
        <f t="shared" si="12"/>
        <v>385.24089885496539</v>
      </c>
      <c r="R33" s="537">
        <f t="shared" si="13"/>
        <v>614.75910114503461</v>
      </c>
      <c r="S33" s="536">
        <f t="shared" si="14"/>
        <v>0.38524089885496537</v>
      </c>
      <c r="T33" s="499">
        <f t="shared" si="15"/>
        <v>0.61475910114503463</v>
      </c>
      <c r="U33" s="513">
        <f t="shared" si="2"/>
        <v>0.99330714907571516</v>
      </c>
      <c r="V33" s="537">
        <f t="shared" si="3"/>
        <v>0.37754066879814546</v>
      </c>
      <c r="W33" s="536">
        <f t="shared" si="4"/>
        <v>0.99330714907571516</v>
      </c>
      <c r="X33" s="499">
        <f t="shared" si="5"/>
        <v>0.37754066879814546</v>
      </c>
      <c r="Y33" s="513">
        <f t="shared" si="24"/>
        <v>993.30714907571519</v>
      </c>
      <c r="Z33" s="537">
        <f t="shared" si="25"/>
        <v>377.54066879814548</v>
      </c>
      <c r="AA33" s="536">
        <f t="shared" si="26"/>
        <v>0.99330714907571516</v>
      </c>
      <c r="AB33" s="499">
        <f t="shared" si="27"/>
        <v>0.37754066879814546</v>
      </c>
      <c r="AC33" s="350">
        <f t="shared" si="18"/>
        <v>385.62613975382038</v>
      </c>
      <c r="AD33" s="227">
        <f t="shared" si="19"/>
        <v>385.85565795611041</v>
      </c>
      <c r="AE33" s="226">
        <f t="shared" si="20"/>
        <v>615.14434204388954</v>
      </c>
      <c r="AF33" s="351">
        <f t="shared" si="21"/>
        <v>615.37386024617967</v>
      </c>
      <c r="AG33" s="563">
        <f t="shared" si="22"/>
        <v>29872.24951730049</v>
      </c>
      <c r="AH33" s="564">
        <f t="shared" si="28"/>
        <v>3101.9844357893526</v>
      </c>
      <c r="AP33" s="8"/>
      <c r="AQ33" s="203"/>
      <c r="AR33" s="8"/>
      <c r="AS33" s="8"/>
      <c r="AT33" s="504"/>
      <c r="AU33" s="8"/>
      <c r="AV33" s="8"/>
      <c r="AW33" s="8"/>
      <c r="AX33" s="256"/>
      <c r="AY33" s="8"/>
      <c r="AZ33" s="189"/>
      <c r="BA33" s="189"/>
    </row>
    <row r="34" spans="3:53" s="7" customFormat="1" ht="18.75" x14ac:dyDescent="0.3">
      <c r="C34" s="21"/>
      <c r="D34" s="25">
        <v>10</v>
      </c>
      <c r="E34" s="334">
        <v>4</v>
      </c>
      <c r="F34" s="243">
        <v>12</v>
      </c>
      <c r="G34" s="242">
        <v>12</v>
      </c>
      <c r="H34" s="335">
        <v>11</v>
      </c>
      <c r="I34" s="344">
        <f t="shared" si="1"/>
        <v>6.9777948135452926E-3</v>
      </c>
      <c r="J34" s="239">
        <f t="shared" si="1"/>
        <v>0.38097468813044161</v>
      </c>
      <c r="K34" s="238">
        <f t="shared" si="1"/>
        <v>0.38097468813044161</v>
      </c>
      <c r="L34" s="237">
        <f t="shared" si="1"/>
        <v>0.23107282892557152</v>
      </c>
      <c r="M34" s="513">
        <f t="shared" si="8"/>
        <v>0.38795248294398688</v>
      </c>
      <c r="N34" s="537">
        <f t="shared" si="9"/>
        <v>0.61204751705601312</v>
      </c>
      <c r="O34" s="536">
        <f t="shared" si="10"/>
        <v>0.38795248294398688</v>
      </c>
      <c r="P34" s="499">
        <f t="shared" si="11"/>
        <v>0.61204751705601312</v>
      </c>
      <c r="Q34" s="513">
        <f t="shared" si="12"/>
        <v>387.95248294398687</v>
      </c>
      <c r="R34" s="537">
        <f t="shared" si="13"/>
        <v>612.04751705601313</v>
      </c>
      <c r="S34" s="536">
        <f t="shared" si="14"/>
        <v>0.38795248294398688</v>
      </c>
      <c r="T34" s="499">
        <f t="shared" si="15"/>
        <v>0.61204751705601312</v>
      </c>
      <c r="U34" s="513">
        <f t="shared" si="2"/>
        <v>0.98201379003790845</v>
      </c>
      <c r="V34" s="537">
        <f t="shared" si="3"/>
        <v>0.37754066879814541</v>
      </c>
      <c r="W34" s="536">
        <f t="shared" si="4"/>
        <v>0.98201379003790845</v>
      </c>
      <c r="X34" s="499">
        <f t="shared" si="5"/>
        <v>0.37754066879814541</v>
      </c>
      <c r="Y34" s="513">
        <f t="shared" si="24"/>
        <v>982.01379003790851</v>
      </c>
      <c r="Z34" s="537">
        <f t="shared" si="25"/>
        <v>377.54066879814542</v>
      </c>
      <c r="AA34" s="536">
        <f t="shared" si="26"/>
        <v>0.98201379003790845</v>
      </c>
      <c r="AB34" s="499">
        <f t="shared" si="27"/>
        <v>0.37754066879814541</v>
      </c>
      <c r="AC34" s="350">
        <f t="shared" si="18"/>
        <v>388.34043542693087</v>
      </c>
      <c r="AD34" s="227">
        <f t="shared" si="19"/>
        <v>388.56453046104286</v>
      </c>
      <c r="AE34" s="226">
        <f t="shared" si="20"/>
        <v>612.43546953895714</v>
      </c>
      <c r="AF34" s="351">
        <f t="shared" si="21"/>
        <v>612.65956457306913</v>
      </c>
      <c r="AG34" s="563">
        <f t="shared" si="22"/>
        <v>27887.949455027796</v>
      </c>
      <c r="AH34" s="564">
        <f t="shared" si="28"/>
        <v>-1984.300062272694</v>
      </c>
      <c r="AP34" s="8"/>
      <c r="AQ34" s="203"/>
      <c r="AR34" s="8"/>
      <c r="AS34" s="8"/>
      <c r="AT34" s="504"/>
      <c r="AU34" s="8"/>
      <c r="AV34" s="8"/>
      <c r="AW34" s="8"/>
      <c r="AX34" s="256"/>
      <c r="AY34" s="8"/>
      <c r="AZ34" s="189"/>
      <c r="BA34" s="189"/>
    </row>
    <row r="35" spans="3:53" s="7" customFormat="1" ht="18.75" x14ac:dyDescent="0.3">
      <c r="C35" s="21"/>
      <c r="D35" s="25">
        <v>11</v>
      </c>
      <c r="E35" s="334">
        <v>6</v>
      </c>
      <c r="F35" s="243">
        <v>10</v>
      </c>
      <c r="G35" s="242">
        <v>12</v>
      </c>
      <c r="H35" s="335">
        <v>10</v>
      </c>
      <c r="I35" s="344">
        <f t="shared" si="1"/>
        <v>2.7883386786011224E-2</v>
      </c>
      <c r="J35" s="239">
        <f t="shared" si="1"/>
        <v>0.20603190919001854</v>
      </c>
      <c r="K35" s="238">
        <f t="shared" si="1"/>
        <v>0.56005279483395154</v>
      </c>
      <c r="L35" s="237">
        <f t="shared" si="1"/>
        <v>0.20603190919001854</v>
      </c>
      <c r="M35" s="513">
        <f t="shared" si="8"/>
        <v>0.58793618161996286</v>
      </c>
      <c r="N35" s="537">
        <f t="shared" si="9"/>
        <v>0.41206381838003708</v>
      </c>
      <c r="O35" s="536">
        <f t="shared" si="10"/>
        <v>0.23391529597602989</v>
      </c>
      <c r="P35" s="499">
        <f t="shared" si="11"/>
        <v>0.76608470402397011</v>
      </c>
      <c r="Q35" s="513">
        <f t="shared" si="12"/>
        <v>587.93618161996289</v>
      </c>
      <c r="R35" s="537">
        <f t="shared" si="13"/>
        <v>412.06381838003711</v>
      </c>
      <c r="S35" s="536">
        <f t="shared" si="14"/>
        <v>0.23391529597602989</v>
      </c>
      <c r="T35" s="499">
        <f t="shared" si="15"/>
        <v>0.76608470402397011</v>
      </c>
      <c r="U35" s="513">
        <f t="shared" si="2"/>
        <v>0.95257412682243325</v>
      </c>
      <c r="V35" s="537">
        <f t="shared" si="3"/>
        <v>0.5</v>
      </c>
      <c r="W35" s="536">
        <f t="shared" si="4"/>
        <v>0.88079707797788243</v>
      </c>
      <c r="X35" s="499">
        <f t="shared" si="5"/>
        <v>0.2689414213699951</v>
      </c>
      <c r="Y35" s="513">
        <f t="shared" si="24"/>
        <v>952.5741268224333</v>
      </c>
      <c r="Z35" s="537">
        <f t="shared" si="25"/>
        <v>500</v>
      </c>
      <c r="AA35" s="536">
        <f t="shared" si="26"/>
        <v>0.88079707797788243</v>
      </c>
      <c r="AB35" s="499">
        <f t="shared" si="27"/>
        <v>0.2689414213699951</v>
      </c>
      <c r="AC35" s="350">
        <f t="shared" si="18"/>
        <v>588.17009691593887</v>
      </c>
      <c r="AD35" s="227">
        <f t="shared" si="19"/>
        <v>588.70226632398692</v>
      </c>
      <c r="AE35" s="226">
        <f t="shared" si="20"/>
        <v>412.29773367601314</v>
      </c>
      <c r="AF35" s="351">
        <f t="shared" si="21"/>
        <v>412.82990308406107</v>
      </c>
      <c r="AG35" s="563">
        <f t="shared" si="22"/>
        <v>26345.215789722799</v>
      </c>
      <c r="AH35" s="564">
        <f t="shared" si="28"/>
        <v>-1542.733665304997</v>
      </c>
      <c r="AP35" s="8"/>
      <c r="AQ35" s="203"/>
      <c r="AR35" s="8"/>
      <c r="AS35" s="8"/>
      <c r="AT35" s="504"/>
      <c r="AU35" s="8"/>
      <c r="AV35" s="8"/>
      <c r="AW35" s="8"/>
      <c r="AX35" s="256"/>
      <c r="AY35" s="8"/>
      <c r="AZ35" s="189"/>
      <c r="BA35" s="189"/>
    </row>
    <row r="36" spans="3:53" s="7" customFormat="1" ht="18.75" x14ac:dyDescent="0.3">
      <c r="C36" s="21"/>
      <c r="D36" s="25">
        <v>12</v>
      </c>
      <c r="E36" s="334">
        <v>6</v>
      </c>
      <c r="F36" s="243">
        <v>8</v>
      </c>
      <c r="G36" s="242">
        <v>12.3</v>
      </c>
      <c r="H36" s="335">
        <v>4</v>
      </c>
      <c r="I36" s="344">
        <f t="shared" si="1"/>
        <v>3.6466769891295929E-2</v>
      </c>
      <c r="J36" s="239">
        <f t="shared" si="1"/>
        <v>9.9126957938107163E-2</v>
      </c>
      <c r="K36" s="238">
        <f t="shared" si="1"/>
        <v>0.85099089724165955</v>
      </c>
      <c r="L36" s="237">
        <f t="shared" si="1"/>
        <v>1.3415374928937527E-2</v>
      </c>
      <c r="M36" s="513">
        <f t="shared" si="8"/>
        <v>0.88745766713295526</v>
      </c>
      <c r="N36" s="537">
        <f t="shared" si="9"/>
        <v>0.11254233286704469</v>
      </c>
      <c r="O36" s="536">
        <f t="shared" si="10"/>
        <v>0.13559372782940293</v>
      </c>
      <c r="P36" s="499">
        <f t="shared" si="11"/>
        <v>0.86440627217059707</v>
      </c>
      <c r="Q36" s="513">
        <f t="shared" si="12"/>
        <v>887.45766713295529</v>
      </c>
      <c r="R36" s="537">
        <f t="shared" si="13"/>
        <v>112.54233286704469</v>
      </c>
      <c r="S36" s="536">
        <f t="shared" si="14"/>
        <v>0.13559372782940293</v>
      </c>
      <c r="T36" s="499">
        <f t="shared" si="15"/>
        <v>0.86440627217059707</v>
      </c>
      <c r="U36" s="513">
        <f t="shared" si="2"/>
        <v>0.95890872179953501</v>
      </c>
      <c r="V36" s="537">
        <f t="shared" si="3"/>
        <v>0.11920292202211756</v>
      </c>
      <c r="W36" s="536">
        <f t="shared" si="4"/>
        <v>0.7310585786300049</v>
      </c>
      <c r="X36" s="499">
        <f t="shared" si="5"/>
        <v>1.5519756578408888E-2</v>
      </c>
      <c r="Y36" s="513">
        <f t="shared" si="24"/>
        <v>958.90872179953499</v>
      </c>
      <c r="Z36" s="537">
        <f t="shared" si="25"/>
        <v>119.20292202211756</v>
      </c>
      <c r="AA36" s="536">
        <f t="shared" si="26"/>
        <v>0.7310585786300049</v>
      </c>
      <c r="AB36" s="499">
        <f t="shared" si="27"/>
        <v>1.5519756578408888E-2</v>
      </c>
      <c r="AC36" s="350">
        <f t="shared" si="18"/>
        <v>887.59326086078465</v>
      </c>
      <c r="AD36" s="227">
        <f t="shared" si="19"/>
        <v>888.32207340512593</v>
      </c>
      <c r="AE36" s="226">
        <f t="shared" si="20"/>
        <v>112.67792659487409</v>
      </c>
      <c r="AF36" s="351">
        <f t="shared" si="21"/>
        <v>113.40673913921529</v>
      </c>
      <c r="AG36" s="563">
        <f t="shared" si="22"/>
        <v>25270.660803425086</v>
      </c>
      <c r="AH36" s="564">
        <f t="shared" si="28"/>
        <v>-1074.5549862977132</v>
      </c>
      <c r="AP36" s="8"/>
      <c r="AQ36" s="203"/>
      <c r="AR36" s="8"/>
      <c r="AS36" s="8"/>
      <c r="AT36" s="504"/>
      <c r="AU36" s="8"/>
      <c r="AV36" s="8"/>
      <c r="AW36" s="8"/>
      <c r="AX36" s="256"/>
      <c r="AY36" s="8"/>
      <c r="AZ36" s="189"/>
      <c r="BA36" s="189"/>
    </row>
    <row r="37" spans="3:53" s="7" customFormat="1" ht="18.75" x14ac:dyDescent="0.3">
      <c r="C37" s="21"/>
      <c r="D37" s="25">
        <v>13</v>
      </c>
      <c r="E37" s="334">
        <v>8</v>
      </c>
      <c r="F37" s="243">
        <v>6</v>
      </c>
      <c r="G37" s="242">
        <v>12.6</v>
      </c>
      <c r="H37" s="335">
        <v>6</v>
      </c>
      <c r="I37" s="344">
        <f t="shared" si="1"/>
        <v>8.5397524309266393E-2</v>
      </c>
      <c r="J37" s="239">
        <f t="shared" si="1"/>
        <v>3.1415993520317584E-2</v>
      </c>
      <c r="K37" s="238">
        <f t="shared" si="1"/>
        <v>0.85177048865009841</v>
      </c>
      <c r="L37" s="237">
        <f t="shared" si="1"/>
        <v>3.1415993520317584E-2</v>
      </c>
      <c r="M37" s="513">
        <f t="shared" si="8"/>
        <v>0.9371680129593648</v>
      </c>
      <c r="N37" s="537">
        <f t="shared" si="9"/>
        <v>6.2831987040635168E-2</v>
      </c>
      <c r="O37" s="536">
        <f t="shared" si="10"/>
        <v>0.11681351782958405</v>
      </c>
      <c r="P37" s="499">
        <f t="shared" si="11"/>
        <v>0.88318648217041595</v>
      </c>
      <c r="Q37" s="513">
        <f t="shared" si="12"/>
        <v>937.16801295936477</v>
      </c>
      <c r="R37" s="537">
        <f t="shared" si="13"/>
        <v>62.83198704063517</v>
      </c>
      <c r="S37" s="536">
        <f t="shared" si="14"/>
        <v>0.11681351782958405</v>
      </c>
      <c r="T37" s="499">
        <f t="shared" si="15"/>
        <v>0.88318648217041595</v>
      </c>
      <c r="U37" s="513">
        <f t="shared" si="2"/>
        <v>0.90887703898514383</v>
      </c>
      <c r="V37" s="537">
        <f t="shared" si="3"/>
        <v>0.5</v>
      </c>
      <c r="W37" s="536">
        <f t="shared" si="4"/>
        <v>0.26894142136999516</v>
      </c>
      <c r="X37" s="499">
        <f t="shared" si="5"/>
        <v>3.5571189272636181E-2</v>
      </c>
      <c r="Y37" s="513">
        <f t="shared" si="24"/>
        <v>908.87703898514383</v>
      </c>
      <c r="Z37" s="537">
        <f t="shared" si="25"/>
        <v>500</v>
      </c>
      <c r="AA37" s="536">
        <f t="shared" si="26"/>
        <v>0.26894142136999516</v>
      </c>
      <c r="AB37" s="499">
        <f t="shared" si="27"/>
        <v>3.5571189272636181E-2</v>
      </c>
      <c r="AC37" s="350">
        <f t="shared" si="18"/>
        <v>937.28482647719431</v>
      </c>
      <c r="AD37" s="227">
        <f t="shared" si="19"/>
        <v>938.05119944153523</v>
      </c>
      <c r="AE37" s="226">
        <f t="shared" si="20"/>
        <v>62.948800558464754</v>
      </c>
      <c r="AF37" s="351">
        <f t="shared" si="21"/>
        <v>63.715173522805586</v>
      </c>
      <c r="AG37" s="563">
        <f t="shared" si="22"/>
        <v>25867.594424514504</v>
      </c>
      <c r="AH37" s="564">
        <f t="shared" si="28"/>
        <v>596.93362108941801</v>
      </c>
      <c r="AP37" s="8"/>
      <c r="AQ37" s="203"/>
      <c r="AR37" s="8"/>
      <c r="AS37" s="8"/>
      <c r="AT37" s="504"/>
      <c r="AU37" s="8"/>
      <c r="AV37" s="8"/>
      <c r="AW37" s="8"/>
      <c r="AX37" s="256"/>
      <c r="AY37" s="8"/>
      <c r="AZ37" s="189"/>
      <c r="BA37" s="189"/>
    </row>
    <row r="38" spans="3:53" s="7" customFormat="1" ht="18.75" x14ac:dyDescent="0.3">
      <c r="C38" s="21"/>
      <c r="D38" s="25">
        <v>14</v>
      </c>
      <c r="E38" s="334">
        <v>8</v>
      </c>
      <c r="F38" s="243">
        <v>7</v>
      </c>
      <c r="G38" s="242">
        <v>13</v>
      </c>
      <c r="H38" s="335">
        <v>6</v>
      </c>
      <c r="I38" s="344">
        <f t="shared" si="1"/>
        <v>7.0636912961311721E-2</v>
      </c>
      <c r="J38" s="239">
        <f t="shared" si="1"/>
        <v>4.2843453418488261E-2</v>
      </c>
      <c r="K38" s="238">
        <f t="shared" si="1"/>
        <v>0.86053376555391692</v>
      </c>
      <c r="L38" s="237">
        <f t="shared" si="1"/>
        <v>2.5985868066283169E-2</v>
      </c>
      <c r="M38" s="513">
        <f t="shared" si="8"/>
        <v>0.93117067851522861</v>
      </c>
      <c r="N38" s="537">
        <f t="shared" si="9"/>
        <v>6.882932148477143E-2</v>
      </c>
      <c r="O38" s="536">
        <f t="shared" si="10"/>
        <v>0.11348036637979986</v>
      </c>
      <c r="P38" s="499">
        <f t="shared" si="11"/>
        <v>0.88651963362020014</v>
      </c>
      <c r="Q38" s="513">
        <f t="shared" si="12"/>
        <v>931.17067851522859</v>
      </c>
      <c r="R38" s="537">
        <f t="shared" si="13"/>
        <v>68.829321484771427</v>
      </c>
      <c r="S38" s="536">
        <f t="shared" si="14"/>
        <v>0.11348036637979986</v>
      </c>
      <c r="T38" s="499">
        <f t="shared" si="15"/>
        <v>0.88651963362020014</v>
      </c>
      <c r="U38" s="513">
        <f t="shared" si="2"/>
        <v>0.92414181997875644</v>
      </c>
      <c r="V38" s="537">
        <f t="shared" si="3"/>
        <v>0.37754066879814546</v>
      </c>
      <c r="W38" s="536">
        <f t="shared" si="4"/>
        <v>0.37754066879814541</v>
      </c>
      <c r="X38" s="499">
        <f t="shared" si="5"/>
        <v>2.9312230751356319E-2</v>
      </c>
      <c r="Y38" s="513">
        <f t="shared" si="24"/>
        <v>924.14181997875642</v>
      </c>
      <c r="Z38" s="537">
        <f t="shared" si="25"/>
        <v>377.54066879814548</v>
      </c>
      <c r="AA38" s="536">
        <f t="shared" si="26"/>
        <v>0.37754066879814541</v>
      </c>
      <c r="AB38" s="499">
        <f t="shared" si="27"/>
        <v>2.9312230751356319E-2</v>
      </c>
      <c r="AC38" s="350">
        <f t="shared" si="18"/>
        <v>931.28415888160839</v>
      </c>
      <c r="AD38" s="227">
        <f t="shared" si="19"/>
        <v>932.05719814884878</v>
      </c>
      <c r="AE38" s="226">
        <f t="shared" si="20"/>
        <v>68.942801851151231</v>
      </c>
      <c r="AF38" s="351">
        <f t="shared" si="21"/>
        <v>69.715841118391623</v>
      </c>
      <c r="AG38" s="563">
        <f t="shared" si="22"/>
        <v>26627.410508266701</v>
      </c>
      <c r="AH38" s="564">
        <f t="shared" si="28"/>
        <v>759.8160837521973</v>
      </c>
      <c r="AP38" s="8"/>
      <c r="AQ38" s="203"/>
      <c r="AR38" s="8"/>
      <c r="AS38" s="8"/>
      <c r="AT38" s="504"/>
      <c r="AU38" s="8"/>
      <c r="AV38" s="8"/>
      <c r="AW38" s="8"/>
      <c r="AX38" s="256"/>
      <c r="AY38" s="8"/>
      <c r="AZ38" s="189"/>
      <c r="BA38" s="189"/>
    </row>
    <row r="39" spans="3:53" s="7" customFormat="1" ht="18.75" x14ac:dyDescent="0.3">
      <c r="C39" s="21"/>
      <c r="D39" s="25">
        <v>15</v>
      </c>
      <c r="E39" s="334">
        <v>7</v>
      </c>
      <c r="F39" s="243">
        <v>9</v>
      </c>
      <c r="G39" s="242">
        <v>14</v>
      </c>
      <c r="H39" s="335">
        <v>7</v>
      </c>
      <c r="I39" s="344">
        <f t="shared" si="1"/>
        <v>2.6431438293293905E-2</v>
      </c>
      <c r="J39" s="239">
        <f t="shared" si="1"/>
        <v>7.1848098412697389E-2</v>
      </c>
      <c r="K39" s="238">
        <f t="shared" si="1"/>
        <v>0.8752890250007147</v>
      </c>
      <c r="L39" s="237">
        <f t="shared" si="1"/>
        <v>2.6431438293293905E-2</v>
      </c>
      <c r="M39" s="513">
        <f t="shared" si="8"/>
        <v>0.90172046329400868</v>
      </c>
      <c r="N39" s="537">
        <f t="shared" si="9"/>
        <v>9.8279536705991294E-2</v>
      </c>
      <c r="O39" s="536">
        <f t="shared" si="10"/>
        <v>9.8279536705991433E-2</v>
      </c>
      <c r="P39" s="499">
        <f t="shared" si="11"/>
        <v>0.90172046329400857</v>
      </c>
      <c r="Q39" s="513">
        <f t="shared" si="12"/>
        <v>901.72046329400871</v>
      </c>
      <c r="R39" s="537">
        <f t="shared" si="13"/>
        <v>98.279536705991291</v>
      </c>
      <c r="S39" s="536">
        <f t="shared" si="14"/>
        <v>9.8279536705991433E-2</v>
      </c>
      <c r="T39" s="499">
        <f t="shared" si="15"/>
        <v>0.90172046329400857</v>
      </c>
      <c r="U39" s="513">
        <f t="shared" si="2"/>
        <v>0.97068776924864375</v>
      </c>
      <c r="V39" s="537">
        <f t="shared" si="3"/>
        <v>0.2689414213699951</v>
      </c>
      <c r="W39" s="536">
        <f t="shared" si="4"/>
        <v>0.7310585786300049</v>
      </c>
      <c r="X39" s="499">
        <f t="shared" si="5"/>
        <v>2.9312230751356319E-2</v>
      </c>
      <c r="Y39" s="513">
        <f t="shared" si="24"/>
        <v>970.6877692486438</v>
      </c>
      <c r="Z39" s="537">
        <f t="shared" si="25"/>
        <v>268.94142136999511</v>
      </c>
      <c r="AA39" s="536">
        <f t="shared" si="26"/>
        <v>0.7310585786300049</v>
      </c>
      <c r="AB39" s="499">
        <f t="shared" si="27"/>
        <v>2.9312230751356319E-2</v>
      </c>
      <c r="AC39" s="350">
        <f t="shared" si="18"/>
        <v>901.81874283071465</v>
      </c>
      <c r="AD39" s="227">
        <f t="shared" si="19"/>
        <v>902.62218375730276</v>
      </c>
      <c r="AE39" s="226">
        <f t="shared" si="20"/>
        <v>98.377816242697278</v>
      </c>
      <c r="AF39" s="351">
        <f t="shared" si="21"/>
        <v>99.181257169285303</v>
      </c>
      <c r="AG39" s="563">
        <f t="shared" si="22"/>
        <v>28561.337336050499</v>
      </c>
      <c r="AH39" s="564">
        <f t="shared" si="28"/>
        <v>1933.9268277837982</v>
      </c>
      <c r="AP39" s="8"/>
      <c r="AQ39" s="203"/>
      <c r="AR39" s="8"/>
      <c r="AS39" s="8"/>
      <c r="AT39" s="504"/>
      <c r="AU39" s="8"/>
      <c r="AV39" s="8"/>
      <c r="AW39" s="8"/>
      <c r="AX39" s="256"/>
      <c r="AY39" s="8"/>
      <c r="AZ39" s="189"/>
      <c r="BA39" s="189"/>
    </row>
    <row r="40" spans="3:53" s="7" customFormat="1" ht="18.75" x14ac:dyDescent="0.3">
      <c r="C40" s="21"/>
      <c r="D40" s="25">
        <v>16</v>
      </c>
      <c r="E40" s="334">
        <v>7</v>
      </c>
      <c r="F40" s="243">
        <v>9</v>
      </c>
      <c r="G40" s="242">
        <v>15</v>
      </c>
      <c r="H40" s="335">
        <v>8</v>
      </c>
      <c r="I40" s="344">
        <f t="shared" si="1"/>
        <v>1.667635197718351E-2</v>
      </c>
      <c r="J40" s="239">
        <f t="shared" si="1"/>
        <v>4.5331024544565009E-2</v>
      </c>
      <c r="K40" s="238">
        <f t="shared" si="1"/>
        <v>0.91049796725578691</v>
      </c>
      <c r="L40" s="237">
        <f t="shared" si="1"/>
        <v>2.7494656222464591E-2</v>
      </c>
      <c r="M40" s="513">
        <f t="shared" si="8"/>
        <v>0.92717431923297045</v>
      </c>
      <c r="N40" s="537">
        <f t="shared" si="9"/>
        <v>7.2825680767029596E-2</v>
      </c>
      <c r="O40" s="536">
        <f t="shared" si="10"/>
        <v>6.2007376521748481E-2</v>
      </c>
      <c r="P40" s="499">
        <f t="shared" si="11"/>
        <v>0.93799262347825152</v>
      </c>
      <c r="Q40" s="513">
        <f t="shared" si="12"/>
        <v>927.17431923297045</v>
      </c>
      <c r="R40" s="537">
        <f t="shared" si="13"/>
        <v>72.825680767029596</v>
      </c>
      <c r="S40" s="536">
        <f t="shared" si="14"/>
        <v>6.2007376521748481E-2</v>
      </c>
      <c r="T40" s="499">
        <f t="shared" si="15"/>
        <v>0.93799262347825152</v>
      </c>
      <c r="U40" s="513">
        <f t="shared" si="2"/>
        <v>0.98201379003790845</v>
      </c>
      <c r="V40" s="537">
        <f t="shared" si="3"/>
        <v>0.37754066879814546</v>
      </c>
      <c r="W40" s="536">
        <f t="shared" si="4"/>
        <v>0.7310585786300049</v>
      </c>
      <c r="X40" s="499">
        <f t="shared" si="5"/>
        <v>2.9312230751356316E-2</v>
      </c>
      <c r="Y40" s="513">
        <f t="shared" si="24"/>
        <v>982.01379003790851</v>
      </c>
      <c r="Z40" s="537">
        <f t="shared" si="25"/>
        <v>377.54066879814548</v>
      </c>
      <c r="AA40" s="536">
        <f t="shared" si="26"/>
        <v>0.7310585786300049</v>
      </c>
      <c r="AB40" s="499">
        <f t="shared" si="27"/>
        <v>2.9312230751356316E-2</v>
      </c>
      <c r="AC40" s="350">
        <f t="shared" si="18"/>
        <v>927.23632660949215</v>
      </c>
      <c r="AD40" s="227">
        <f t="shared" si="19"/>
        <v>928.11231185644874</v>
      </c>
      <c r="AE40" s="226">
        <f t="shared" si="20"/>
        <v>72.887688143551344</v>
      </c>
      <c r="AF40" s="351">
        <f t="shared" si="21"/>
        <v>73.763673390507847</v>
      </c>
      <c r="AG40" s="563">
        <f t="shared" si="22"/>
        <v>30405.429503950043</v>
      </c>
      <c r="AH40" s="564">
        <f t="shared" si="28"/>
        <v>1844.0921678995437</v>
      </c>
      <c r="AP40" s="8"/>
      <c r="AQ40" s="203"/>
      <c r="AR40" s="8"/>
      <c r="AS40" s="8"/>
      <c r="AT40" s="504"/>
      <c r="AU40" s="8"/>
      <c r="AV40" s="8"/>
      <c r="AW40" s="8"/>
      <c r="AX40" s="256"/>
      <c r="AY40" s="8"/>
      <c r="AZ40" s="189"/>
      <c r="BA40" s="189"/>
    </row>
    <row r="41" spans="3:53" s="7" customFormat="1" ht="18.75" x14ac:dyDescent="0.3">
      <c r="C41" s="21"/>
      <c r="D41" s="25">
        <v>17</v>
      </c>
      <c r="E41" s="334">
        <v>9</v>
      </c>
      <c r="F41" s="243">
        <v>13</v>
      </c>
      <c r="G41" s="242">
        <v>15</v>
      </c>
      <c r="H41" s="335">
        <v>12</v>
      </c>
      <c r="I41" s="344">
        <f t="shared" si="1"/>
        <v>3.0343228559416225E-2</v>
      </c>
      <c r="J41" s="239">
        <f t="shared" si="1"/>
        <v>0.22420781804820114</v>
      </c>
      <c r="K41" s="238">
        <f t="shared" si="1"/>
        <v>0.60946003759887712</v>
      </c>
      <c r="L41" s="237">
        <f t="shared" si="1"/>
        <v>0.13598891579350553</v>
      </c>
      <c r="M41" s="513">
        <f t="shared" si="8"/>
        <v>0.6398032661582933</v>
      </c>
      <c r="N41" s="537">
        <f t="shared" si="9"/>
        <v>0.3601967338417067</v>
      </c>
      <c r="O41" s="536">
        <f t="shared" si="10"/>
        <v>0.25455104660761729</v>
      </c>
      <c r="P41" s="499">
        <f t="shared" si="11"/>
        <v>0.74544895339238271</v>
      </c>
      <c r="Q41" s="513">
        <f t="shared" si="12"/>
        <v>639.80326615829335</v>
      </c>
      <c r="R41" s="537">
        <f t="shared" si="13"/>
        <v>360.1967338417067</v>
      </c>
      <c r="S41" s="536">
        <f t="shared" si="14"/>
        <v>0.25455104660761729</v>
      </c>
      <c r="T41" s="499">
        <f t="shared" si="15"/>
        <v>0.74544895339238271</v>
      </c>
      <c r="U41" s="513">
        <f t="shared" si="2"/>
        <v>0.95257412682243325</v>
      </c>
      <c r="V41" s="537">
        <f t="shared" si="3"/>
        <v>0.37754066879814541</v>
      </c>
      <c r="W41" s="536">
        <f t="shared" si="4"/>
        <v>0.88079707797788254</v>
      </c>
      <c r="X41" s="499">
        <f t="shared" si="5"/>
        <v>0.18242552380635635</v>
      </c>
      <c r="Y41" s="513">
        <f t="shared" si="24"/>
        <v>952.5741268224333</v>
      </c>
      <c r="Z41" s="537">
        <f t="shared" si="25"/>
        <v>377.54066879814542</v>
      </c>
      <c r="AA41" s="536">
        <f t="shared" si="26"/>
        <v>0.88079707797788254</v>
      </c>
      <c r="AB41" s="499">
        <f t="shared" si="27"/>
        <v>0.18242552380635635</v>
      </c>
      <c r="AC41" s="350">
        <f t="shared" si="18"/>
        <v>640.05781720490097</v>
      </c>
      <c r="AD41" s="227">
        <f t="shared" si="19"/>
        <v>640.54871511168574</v>
      </c>
      <c r="AE41" s="226">
        <f t="shared" si="20"/>
        <v>360.45128488831432</v>
      </c>
      <c r="AF41" s="351">
        <f t="shared" si="21"/>
        <v>360.94218279509909</v>
      </c>
      <c r="AG41" s="563">
        <f t="shared" si="22"/>
        <v>32012.708319935766</v>
      </c>
      <c r="AH41" s="564">
        <f t="shared" si="28"/>
        <v>1607.2788159857228</v>
      </c>
      <c r="AQ41" s="203"/>
      <c r="AT41" s="184"/>
      <c r="AX41" s="186"/>
      <c r="AZ41" s="189"/>
      <c r="BA41" s="189"/>
    </row>
    <row r="42" spans="3:53" s="7" customFormat="1" ht="18.75" x14ac:dyDescent="0.3">
      <c r="C42" s="21"/>
      <c r="D42" s="25">
        <v>18</v>
      </c>
      <c r="E42" s="334">
        <v>10</v>
      </c>
      <c r="F42" s="243">
        <v>13</v>
      </c>
      <c r="G42" s="242">
        <v>15</v>
      </c>
      <c r="H42" s="335">
        <v>12</v>
      </c>
      <c r="I42" s="344">
        <f t="shared" si="1"/>
        <v>4.9061779666647355E-2</v>
      </c>
      <c r="J42" s="239">
        <f t="shared" si="1"/>
        <v>0.21987964170334776</v>
      </c>
      <c r="K42" s="238">
        <f t="shared" si="1"/>
        <v>0.59769483449029581</v>
      </c>
      <c r="L42" s="237">
        <f t="shared" si="1"/>
        <v>0.13336374413970897</v>
      </c>
      <c r="M42" s="513">
        <f t="shared" si="8"/>
        <v>0.6467566141569433</v>
      </c>
      <c r="N42" s="537">
        <f t="shared" si="9"/>
        <v>0.3532433858430567</v>
      </c>
      <c r="O42" s="536">
        <f t="shared" si="10"/>
        <v>0.26894142136999521</v>
      </c>
      <c r="P42" s="499">
        <f t="shared" si="11"/>
        <v>0.73105857863000479</v>
      </c>
      <c r="Q42" s="513">
        <f t="shared" si="12"/>
        <v>646.75661415694333</v>
      </c>
      <c r="R42" s="537">
        <f t="shared" si="13"/>
        <v>353.24338584305673</v>
      </c>
      <c r="S42" s="536">
        <f t="shared" si="14"/>
        <v>0.26894142136999521</v>
      </c>
      <c r="T42" s="499">
        <f t="shared" si="15"/>
        <v>0.73105857863000479</v>
      </c>
      <c r="U42" s="513">
        <f t="shared" si="2"/>
        <v>0.92414181997875644</v>
      </c>
      <c r="V42" s="537">
        <f t="shared" si="3"/>
        <v>0.37754066879814546</v>
      </c>
      <c r="W42" s="536">
        <f t="shared" si="4"/>
        <v>0.81757447619364365</v>
      </c>
      <c r="X42" s="499">
        <f t="shared" si="5"/>
        <v>0.18242552380635635</v>
      </c>
      <c r="Y42" s="513">
        <f t="shared" si="24"/>
        <v>924.14181997875642</v>
      </c>
      <c r="Z42" s="537">
        <f t="shared" si="25"/>
        <v>377.54066879814548</v>
      </c>
      <c r="AA42" s="536">
        <f t="shared" si="26"/>
        <v>0.81757447619364365</v>
      </c>
      <c r="AB42" s="499">
        <f t="shared" si="27"/>
        <v>0.18242552380635635</v>
      </c>
      <c r="AC42" s="350">
        <f t="shared" si="18"/>
        <v>647.02555557831329</v>
      </c>
      <c r="AD42" s="227">
        <f t="shared" si="19"/>
        <v>647.48767273557337</v>
      </c>
      <c r="AE42" s="226">
        <f t="shared" si="20"/>
        <v>353.51232726442674</v>
      </c>
      <c r="AF42" s="351">
        <f t="shared" si="21"/>
        <v>353.97444442168671</v>
      </c>
      <c r="AG42" s="563">
        <f t="shared" si="22"/>
        <v>32090.758561865903</v>
      </c>
      <c r="AH42" s="564">
        <f t="shared" si="28"/>
        <v>78.050241930137418</v>
      </c>
      <c r="AQ42" s="203"/>
      <c r="AT42" s="184"/>
      <c r="AX42" s="186"/>
      <c r="AZ42" s="189"/>
      <c r="BA42" s="189"/>
    </row>
    <row r="43" spans="3:53" s="7" customFormat="1" ht="18.75" x14ac:dyDescent="0.3">
      <c r="C43" s="21"/>
      <c r="D43" s="25">
        <v>19</v>
      </c>
      <c r="E43" s="334">
        <v>11</v>
      </c>
      <c r="F43" s="243">
        <v>12</v>
      </c>
      <c r="G43" s="242">
        <v>16</v>
      </c>
      <c r="H43" s="335">
        <v>11</v>
      </c>
      <c r="I43" s="344">
        <f t="shared" si="1"/>
        <v>6.3166344805694344E-2</v>
      </c>
      <c r="J43" s="239">
        <f t="shared" si="1"/>
        <v>0.10414369627352682</v>
      </c>
      <c r="K43" s="238">
        <f t="shared" si="1"/>
        <v>0.76952361411508452</v>
      </c>
      <c r="L43" s="237">
        <f t="shared" si="1"/>
        <v>6.3166344805694344E-2</v>
      </c>
      <c r="M43" s="513">
        <f t="shared" si="8"/>
        <v>0.83268995892077879</v>
      </c>
      <c r="N43" s="537">
        <f t="shared" si="9"/>
        <v>0.16731004107922115</v>
      </c>
      <c r="O43" s="536">
        <f t="shared" si="10"/>
        <v>0.16731004107922109</v>
      </c>
      <c r="P43" s="499">
        <f t="shared" si="11"/>
        <v>0.83268995892077891</v>
      </c>
      <c r="Q43" s="513">
        <f t="shared" si="12"/>
        <v>832.68995892077885</v>
      </c>
      <c r="R43" s="537">
        <f t="shared" si="13"/>
        <v>167.31004107922115</v>
      </c>
      <c r="S43" s="536">
        <f t="shared" si="14"/>
        <v>0.16731004107922109</v>
      </c>
      <c r="T43" s="499">
        <f t="shared" si="15"/>
        <v>0.83268995892077891</v>
      </c>
      <c r="U43" s="513">
        <f t="shared" si="2"/>
        <v>0.92414181997875644</v>
      </c>
      <c r="V43" s="537">
        <f t="shared" si="3"/>
        <v>0.37754066879814546</v>
      </c>
      <c r="W43" s="536">
        <f t="shared" si="4"/>
        <v>0.62245933120185459</v>
      </c>
      <c r="X43" s="499">
        <f t="shared" si="5"/>
        <v>7.5858180021243546E-2</v>
      </c>
      <c r="Y43" s="513">
        <f t="shared" si="24"/>
        <v>924.14181997875642</v>
      </c>
      <c r="Z43" s="537">
        <f t="shared" si="25"/>
        <v>377.54066879814548</v>
      </c>
      <c r="AA43" s="536">
        <f t="shared" si="26"/>
        <v>0.62245933120185459</v>
      </c>
      <c r="AB43" s="499">
        <f t="shared" si="27"/>
        <v>7.5858180021243546E-2</v>
      </c>
      <c r="AC43" s="350">
        <f t="shared" si="18"/>
        <v>832.85726896185804</v>
      </c>
      <c r="AD43" s="227">
        <f t="shared" si="19"/>
        <v>833.52264887969966</v>
      </c>
      <c r="AE43" s="226">
        <f t="shared" si="20"/>
        <v>167.47735112030037</v>
      </c>
      <c r="AF43" s="351">
        <f t="shared" si="21"/>
        <v>168.14273103814193</v>
      </c>
      <c r="AG43" s="563">
        <f t="shared" si="22"/>
        <v>33080.982488814705</v>
      </c>
      <c r="AH43" s="564">
        <f t="shared" si="28"/>
        <v>990.22392694880182</v>
      </c>
      <c r="AQ43" s="203"/>
      <c r="AT43" s="184"/>
      <c r="AX43" s="186"/>
      <c r="AZ43" s="189"/>
      <c r="BA43" s="189"/>
    </row>
    <row r="44" spans="3:53" s="7" customFormat="1" ht="18.75" x14ac:dyDescent="0.3">
      <c r="C44" s="21"/>
      <c r="D44" s="25">
        <v>20</v>
      </c>
      <c r="E44" s="334">
        <v>9</v>
      </c>
      <c r="F44" s="243">
        <v>15</v>
      </c>
      <c r="G44" s="242">
        <v>15.1</v>
      </c>
      <c r="H44" s="335">
        <v>12</v>
      </c>
      <c r="I44" s="344">
        <f t="shared" si="1"/>
        <v>2.1421271174387569E-2</v>
      </c>
      <c r="J44" s="239">
        <f t="shared" si="1"/>
        <v>0.43025773311477722</v>
      </c>
      <c r="K44" s="238">
        <f t="shared" si="1"/>
        <v>0.45231751881583454</v>
      </c>
      <c r="L44" s="237">
        <f t="shared" si="1"/>
        <v>9.600347689500062E-2</v>
      </c>
      <c r="M44" s="513">
        <f t="shared" si="8"/>
        <v>0.47373878999022212</v>
      </c>
      <c r="N44" s="537">
        <f t="shared" si="9"/>
        <v>0.52626121000977788</v>
      </c>
      <c r="O44" s="536">
        <f t="shared" si="10"/>
        <v>0.45167900428916485</v>
      </c>
      <c r="P44" s="499">
        <f t="shared" si="11"/>
        <v>0.54832099571083515</v>
      </c>
      <c r="Q44" s="513">
        <f t="shared" si="12"/>
        <v>473.73878999022213</v>
      </c>
      <c r="R44" s="537">
        <f t="shared" si="13"/>
        <v>526.26121000977787</v>
      </c>
      <c r="S44" s="536">
        <f t="shared" si="14"/>
        <v>0.45167900428916485</v>
      </c>
      <c r="T44" s="499">
        <f t="shared" si="15"/>
        <v>0.54832099571083515</v>
      </c>
      <c r="U44" s="513">
        <f t="shared" si="2"/>
        <v>0.95478252651671247</v>
      </c>
      <c r="V44" s="537">
        <f t="shared" si="3"/>
        <v>0.18242552380635632</v>
      </c>
      <c r="W44" s="536">
        <f t="shared" si="4"/>
        <v>0.95257412682243325</v>
      </c>
      <c r="X44" s="499">
        <f t="shared" si="5"/>
        <v>0.17508626816403983</v>
      </c>
      <c r="Y44" s="513">
        <f t="shared" si="24"/>
        <v>954.78252651671244</v>
      </c>
      <c r="Z44" s="537">
        <f t="shared" si="25"/>
        <v>182.42552380635632</v>
      </c>
      <c r="AA44" s="536">
        <f t="shared" si="26"/>
        <v>0.95257412682243325</v>
      </c>
      <c r="AB44" s="499">
        <f t="shared" si="27"/>
        <v>0.17508626816403983</v>
      </c>
      <c r="AC44" s="350">
        <f t="shared" si="18"/>
        <v>474.19046899451132</v>
      </c>
      <c r="AD44" s="227">
        <f t="shared" si="19"/>
        <v>474.28711098593294</v>
      </c>
      <c r="AE44" s="226">
        <f t="shared" si="20"/>
        <v>526.71288901406706</v>
      </c>
      <c r="AF44" s="351">
        <f t="shared" si="21"/>
        <v>526.80953100548868</v>
      </c>
      <c r="AG44" s="563">
        <f t="shared" si="22"/>
        <v>33406.856965537612</v>
      </c>
      <c r="AH44" s="564">
        <f t="shared" si="28"/>
        <v>325.87447672290727</v>
      </c>
      <c r="AQ44" s="203"/>
      <c r="AT44" s="184"/>
      <c r="AX44" s="186"/>
      <c r="AZ44" s="189"/>
      <c r="BA44" s="189"/>
    </row>
    <row r="45" spans="3:53" s="7" customFormat="1" ht="18.75" x14ac:dyDescent="0.3">
      <c r="C45" s="21"/>
      <c r="D45" s="25">
        <v>21</v>
      </c>
      <c r="E45" s="334">
        <v>10</v>
      </c>
      <c r="F45" s="243">
        <v>13</v>
      </c>
      <c r="G45" s="242">
        <v>17</v>
      </c>
      <c r="H45" s="335">
        <v>12</v>
      </c>
      <c r="I45" s="344">
        <f t="shared" si="1"/>
        <v>2.4204036430882751E-2</v>
      </c>
      <c r="J45" s="239">
        <f t="shared" si="1"/>
        <v>0.10847496553035156</v>
      </c>
      <c r="K45" s="238">
        <f t="shared" si="1"/>
        <v>0.80152760563333636</v>
      </c>
      <c r="L45" s="237">
        <f t="shared" si="1"/>
        <v>6.5793392405429307E-2</v>
      </c>
      <c r="M45" s="513">
        <f t="shared" si="8"/>
        <v>0.82573164206421912</v>
      </c>
      <c r="N45" s="537">
        <f t="shared" si="9"/>
        <v>0.17426835793578088</v>
      </c>
      <c r="O45" s="536">
        <f t="shared" si="10"/>
        <v>0.13267900196123428</v>
      </c>
      <c r="P45" s="499">
        <f t="shared" si="11"/>
        <v>0.86732099803876572</v>
      </c>
      <c r="Q45" s="513">
        <f t="shared" si="12"/>
        <v>825.73164206421916</v>
      </c>
      <c r="R45" s="537">
        <f t="shared" si="13"/>
        <v>174.26835793578087</v>
      </c>
      <c r="S45" s="536">
        <f t="shared" si="14"/>
        <v>0.13267900196123428</v>
      </c>
      <c r="T45" s="499">
        <f t="shared" si="15"/>
        <v>0.86732099803876572</v>
      </c>
      <c r="U45" s="513">
        <f t="shared" si="2"/>
        <v>0.97068776924864364</v>
      </c>
      <c r="V45" s="537">
        <f t="shared" si="3"/>
        <v>0.37754066879814541</v>
      </c>
      <c r="W45" s="536">
        <f t="shared" si="4"/>
        <v>0.81757447619364365</v>
      </c>
      <c r="X45" s="499">
        <f t="shared" si="5"/>
        <v>7.5858180021243546E-2</v>
      </c>
      <c r="Y45" s="513">
        <f t="shared" si="24"/>
        <v>970.68776924864369</v>
      </c>
      <c r="Z45" s="537">
        <f t="shared" si="25"/>
        <v>377.54066879814542</v>
      </c>
      <c r="AA45" s="536">
        <f t="shared" si="26"/>
        <v>0.81757447619364365</v>
      </c>
      <c r="AB45" s="499">
        <f t="shared" si="27"/>
        <v>7.5858180021243546E-2</v>
      </c>
      <c r="AC45" s="350">
        <f t="shared" si="18"/>
        <v>825.86432106618042</v>
      </c>
      <c r="AD45" s="227">
        <f t="shared" si="19"/>
        <v>826.59896306225789</v>
      </c>
      <c r="AE45" s="226">
        <f t="shared" si="20"/>
        <v>174.40103693774211</v>
      </c>
      <c r="AF45" s="351">
        <f t="shared" si="21"/>
        <v>175.13567893381963</v>
      </c>
      <c r="AG45" s="563">
        <f t="shared" si="22"/>
        <v>34919.828403714666</v>
      </c>
      <c r="AH45" s="564">
        <f t="shared" si="28"/>
        <v>1512.9714381770536</v>
      </c>
      <c r="AQ45" s="203"/>
      <c r="AT45" s="184"/>
      <c r="AX45" s="186"/>
      <c r="AZ45" s="189"/>
      <c r="BA45" s="189"/>
    </row>
    <row r="46" spans="3:53" s="7" customFormat="1" ht="18.75" x14ac:dyDescent="0.3">
      <c r="C46" s="21"/>
      <c r="D46" s="25">
        <v>22</v>
      </c>
      <c r="E46" s="334">
        <v>11</v>
      </c>
      <c r="F46" s="243">
        <v>12</v>
      </c>
      <c r="G46" s="242">
        <v>13</v>
      </c>
      <c r="H46" s="335">
        <v>12</v>
      </c>
      <c r="I46" s="344">
        <f t="shared" si="1"/>
        <v>0.14253695659655094</v>
      </c>
      <c r="J46" s="239">
        <f t="shared" si="1"/>
        <v>0.23500371220159449</v>
      </c>
      <c r="K46" s="238">
        <f t="shared" si="1"/>
        <v>0.38745561900026004</v>
      </c>
      <c r="L46" s="237">
        <f t="shared" si="1"/>
        <v>0.23500371220159449</v>
      </c>
      <c r="M46" s="513">
        <f t="shared" si="8"/>
        <v>0.52999257559681101</v>
      </c>
      <c r="N46" s="537">
        <f t="shared" si="9"/>
        <v>0.47000742440318899</v>
      </c>
      <c r="O46" s="536">
        <f t="shared" si="10"/>
        <v>0.37754066879814552</v>
      </c>
      <c r="P46" s="499">
        <f t="shared" si="11"/>
        <v>0.62245933120185448</v>
      </c>
      <c r="Q46" s="513">
        <f t="shared" si="12"/>
        <v>529.99257559681098</v>
      </c>
      <c r="R46" s="537">
        <f t="shared" si="13"/>
        <v>470.00742440318896</v>
      </c>
      <c r="S46" s="536">
        <f t="shared" si="14"/>
        <v>0.37754066879814552</v>
      </c>
      <c r="T46" s="499">
        <f t="shared" si="15"/>
        <v>0.62245933120185448</v>
      </c>
      <c r="U46" s="513">
        <f t="shared" si="2"/>
        <v>0.73105857863000479</v>
      </c>
      <c r="V46" s="537">
        <f t="shared" si="3"/>
        <v>0.5</v>
      </c>
      <c r="W46" s="536">
        <f t="shared" si="4"/>
        <v>0.62245933120185459</v>
      </c>
      <c r="X46" s="499">
        <f t="shared" si="5"/>
        <v>0.37754066879814552</v>
      </c>
      <c r="Y46" s="513">
        <f t="shared" si="24"/>
        <v>731.05857863000483</v>
      </c>
      <c r="Z46" s="537">
        <f t="shared" si="25"/>
        <v>500</v>
      </c>
      <c r="AA46" s="536">
        <f t="shared" si="26"/>
        <v>0.62245933120185459</v>
      </c>
      <c r="AB46" s="499">
        <f t="shared" si="27"/>
        <v>0.37754066879814552</v>
      </c>
      <c r="AC46" s="350">
        <f t="shared" si="18"/>
        <v>530.37011626560911</v>
      </c>
      <c r="AD46" s="227">
        <f t="shared" si="19"/>
        <v>530.61503492801285</v>
      </c>
      <c r="AE46" s="226">
        <f t="shared" si="20"/>
        <v>470.3849650719871</v>
      </c>
      <c r="AF46" s="351">
        <f t="shared" si="21"/>
        <v>470.62988373439083</v>
      </c>
      <c r="AG46" s="563">
        <f t="shared" si="22"/>
        <v>29822.408489314294</v>
      </c>
      <c r="AH46" s="564">
        <f t="shared" si="28"/>
        <v>-5097.4199144003724</v>
      </c>
      <c r="AQ46" s="203"/>
      <c r="AT46" s="184"/>
      <c r="AX46" s="186"/>
      <c r="AZ46" s="189"/>
      <c r="BA46" s="189"/>
    </row>
    <row r="47" spans="3:53" s="7" customFormat="1" ht="18.75" x14ac:dyDescent="0.3">
      <c r="C47" s="21"/>
      <c r="D47" s="25">
        <v>23</v>
      </c>
      <c r="E47" s="334">
        <v>9</v>
      </c>
      <c r="F47" s="243">
        <v>6</v>
      </c>
      <c r="G47" s="242">
        <v>12</v>
      </c>
      <c r="H47" s="335">
        <v>4</v>
      </c>
      <c r="I47" s="344">
        <f t="shared" si="1"/>
        <v>0.17280396571445034</v>
      </c>
      <c r="J47" s="239">
        <f t="shared" si="1"/>
        <v>3.8557776544149082E-2</v>
      </c>
      <c r="K47" s="238">
        <f t="shared" si="1"/>
        <v>0.77445364445352571</v>
      </c>
      <c r="L47" s="237">
        <f t="shared" si="1"/>
        <v>1.418461328787491E-2</v>
      </c>
      <c r="M47" s="513">
        <f t="shared" si="8"/>
        <v>0.94725761016797605</v>
      </c>
      <c r="N47" s="537">
        <f t="shared" si="9"/>
        <v>5.2742389832023992E-2</v>
      </c>
      <c r="O47" s="536">
        <f t="shared" si="10"/>
        <v>0.21136174225859938</v>
      </c>
      <c r="P47" s="499">
        <f t="shared" si="11"/>
        <v>0.78863825774140062</v>
      </c>
      <c r="Q47" s="513">
        <f t="shared" si="12"/>
        <v>947.25761016797605</v>
      </c>
      <c r="R47" s="537">
        <f t="shared" si="13"/>
        <v>52.742389832023989</v>
      </c>
      <c r="S47" s="536">
        <f t="shared" si="14"/>
        <v>0.21136174225859938</v>
      </c>
      <c r="T47" s="499">
        <f t="shared" si="15"/>
        <v>0.78863825774140062</v>
      </c>
      <c r="U47" s="513">
        <f t="shared" si="2"/>
        <v>0.81757447619364365</v>
      </c>
      <c r="V47" s="537">
        <f t="shared" si="3"/>
        <v>0.2689414213699951</v>
      </c>
      <c r="W47" s="536">
        <f t="shared" si="4"/>
        <v>0.18242552380635635</v>
      </c>
      <c r="X47" s="499">
        <f t="shared" si="5"/>
        <v>1.7986209962091559E-2</v>
      </c>
      <c r="Y47" s="513">
        <f t="shared" si="24"/>
        <v>817.5744761936437</v>
      </c>
      <c r="Z47" s="537">
        <f t="shared" si="25"/>
        <v>268.94142136999511</v>
      </c>
      <c r="AA47" s="536">
        <f t="shared" si="26"/>
        <v>0.18242552380635635</v>
      </c>
      <c r="AB47" s="499">
        <f t="shared" si="27"/>
        <v>1.7986209962091559E-2</v>
      </c>
      <c r="AC47" s="350">
        <f t="shared" si="18"/>
        <v>947.4689719102347</v>
      </c>
      <c r="AD47" s="227">
        <f t="shared" si="19"/>
        <v>948.04624842571741</v>
      </c>
      <c r="AE47" s="226">
        <f t="shared" si="20"/>
        <v>52.953751574282585</v>
      </c>
      <c r="AF47" s="351">
        <f t="shared" si="21"/>
        <v>53.531028089765393</v>
      </c>
      <c r="AG47" s="563">
        <f t="shared" si="22"/>
        <v>25047.412282449041</v>
      </c>
      <c r="AH47" s="564">
        <f t="shared" si="28"/>
        <v>-4774.996206865253</v>
      </c>
      <c r="AQ47" s="203"/>
      <c r="AT47" s="184"/>
      <c r="AX47" s="186"/>
      <c r="AZ47" s="189"/>
      <c r="BA47" s="189"/>
    </row>
    <row r="48" spans="3:53" s="7" customFormat="1" ht="18.75" x14ac:dyDescent="0.3">
      <c r="C48" s="21"/>
      <c r="D48" s="25">
        <v>24</v>
      </c>
      <c r="E48" s="334">
        <v>9</v>
      </c>
      <c r="F48" s="243">
        <v>8</v>
      </c>
      <c r="G48" s="242">
        <v>14</v>
      </c>
      <c r="H48" s="335">
        <v>5</v>
      </c>
      <c r="I48" s="344">
        <f t="shared" si="1"/>
        <v>7.1816586681135289E-2</v>
      </c>
      <c r="J48" s="239">
        <f t="shared" si="1"/>
        <v>4.3558961698018511E-2</v>
      </c>
      <c r="K48" s="238">
        <f t="shared" si="1"/>
        <v>0.8749051335212682</v>
      </c>
      <c r="L48" s="237">
        <f t="shared" si="1"/>
        <v>9.7193180995781923E-3</v>
      </c>
      <c r="M48" s="513">
        <f t="shared" si="8"/>
        <v>0.94672172020240331</v>
      </c>
      <c r="N48" s="537">
        <f t="shared" si="9"/>
        <v>5.3278279797596702E-2</v>
      </c>
      <c r="O48" s="536">
        <f t="shared" si="10"/>
        <v>0.11537554837915365</v>
      </c>
      <c r="P48" s="499">
        <f t="shared" si="11"/>
        <v>0.88462445162084635</v>
      </c>
      <c r="Q48" s="513">
        <f t="shared" si="12"/>
        <v>946.72172020240328</v>
      </c>
      <c r="R48" s="537">
        <f t="shared" si="13"/>
        <v>53.278279797596703</v>
      </c>
      <c r="S48" s="536">
        <f t="shared" si="14"/>
        <v>0.11537554837915365</v>
      </c>
      <c r="T48" s="499">
        <f t="shared" si="15"/>
        <v>0.88462445162084635</v>
      </c>
      <c r="U48" s="513">
        <f t="shared" si="2"/>
        <v>0.92414181997875644</v>
      </c>
      <c r="V48" s="537">
        <f t="shared" si="3"/>
        <v>0.18242552380635635</v>
      </c>
      <c r="W48" s="536">
        <f t="shared" si="4"/>
        <v>0.37754066879814546</v>
      </c>
      <c r="X48" s="499">
        <f t="shared" si="5"/>
        <v>1.0986942630593181E-2</v>
      </c>
      <c r="Y48" s="513">
        <f t="shared" si="24"/>
        <v>924.14181997875642</v>
      </c>
      <c r="Z48" s="537">
        <f t="shared" si="25"/>
        <v>182.42552380635635</v>
      </c>
      <c r="AA48" s="536">
        <f t="shared" si="26"/>
        <v>0.37754066879814546</v>
      </c>
      <c r="AB48" s="499">
        <f t="shared" si="27"/>
        <v>1.0986942630593181E-2</v>
      </c>
      <c r="AC48" s="350">
        <f t="shared" si="18"/>
        <v>946.8370957507824</v>
      </c>
      <c r="AD48" s="227">
        <f t="shared" si="19"/>
        <v>947.60634465402416</v>
      </c>
      <c r="AE48" s="226">
        <f t="shared" si="20"/>
        <v>53.393655345975858</v>
      </c>
      <c r="AF48" s="351">
        <f t="shared" si="21"/>
        <v>54.162904249217547</v>
      </c>
      <c r="AG48" s="563">
        <f t="shared" si="22"/>
        <v>28563.093828609759</v>
      </c>
      <c r="AH48" s="564">
        <f t="shared" si="28"/>
        <v>3515.6815461607184</v>
      </c>
      <c r="AQ48" s="203"/>
      <c r="AT48" s="184"/>
      <c r="AX48" s="186"/>
      <c r="AZ48" s="189"/>
      <c r="BA48" s="189"/>
    </row>
    <row r="49" spans="2:53" s="7" customFormat="1" ht="19.5" thickBot="1" x14ac:dyDescent="0.35">
      <c r="C49" s="21"/>
      <c r="D49" s="25">
        <v>25</v>
      </c>
      <c r="E49" s="336">
        <v>10</v>
      </c>
      <c r="F49" s="235">
        <v>3</v>
      </c>
      <c r="G49" s="234">
        <v>12</v>
      </c>
      <c r="H49" s="337">
        <v>3</v>
      </c>
      <c r="I49" s="346">
        <f t="shared" si="1"/>
        <v>0.26464291790486838</v>
      </c>
      <c r="J49" s="231">
        <f t="shared" si="1"/>
        <v>7.9915236619744669E-3</v>
      </c>
      <c r="K49" s="230">
        <f t="shared" si="1"/>
        <v>0.71937403477118256</v>
      </c>
      <c r="L49" s="229">
        <f t="shared" si="1"/>
        <v>7.9915236619744669E-3</v>
      </c>
      <c r="M49" s="514">
        <f t="shared" si="8"/>
        <v>0.98401695267605105</v>
      </c>
      <c r="N49" s="553">
        <f t="shared" si="9"/>
        <v>1.5983047323948934E-2</v>
      </c>
      <c r="O49" s="544">
        <f t="shared" si="10"/>
        <v>0.27263444156684302</v>
      </c>
      <c r="P49" s="500">
        <f t="shared" si="11"/>
        <v>0.72736555843315698</v>
      </c>
      <c r="Q49" s="514">
        <f t="shared" si="12"/>
        <v>984.01695267605101</v>
      </c>
      <c r="R49" s="553">
        <f t="shared" si="13"/>
        <v>15.983047323948934</v>
      </c>
      <c r="S49" s="544">
        <f t="shared" si="14"/>
        <v>0.27263444156684302</v>
      </c>
      <c r="T49" s="500">
        <f t="shared" si="15"/>
        <v>0.72736555843315698</v>
      </c>
      <c r="U49" s="514">
        <f t="shared" si="2"/>
        <v>0.7310585786300049</v>
      </c>
      <c r="V49" s="553">
        <f t="shared" si="3"/>
        <v>0.5</v>
      </c>
      <c r="W49" s="544">
        <f t="shared" si="4"/>
        <v>2.9312230751356312E-2</v>
      </c>
      <c r="X49" s="500">
        <f t="shared" si="5"/>
        <v>1.098694263059318E-2</v>
      </c>
      <c r="Y49" s="514">
        <f t="shared" si="24"/>
        <v>731.05857863000494</v>
      </c>
      <c r="Z49" s="553">
        <f t="shared" si="25"/>
        <v>500</v>
      </c>
      <c r="AA49" s="544">
        <f t="shared" si="26"/>
        <v>2.9312230751356312E-2</v>
      </c>
      <c r="AB49" s="500">
        <f t="shared" si="27"/>
        <v>1.098694263059318E-2</v>
      </c>
      <c r="AC49" s="352">
        <f t="shared" si="18"/>
        <v>984.28958711761788</v>
      </c>
      <c r="AD49" s="298">
        <f t="shared" si="19"/>
        <v>984.74431823448413</v>
      </c>
      <c r="AE49" s="299">
        <f t="shared" si="20"/>
        <v>16.255681765515778</v>
      </c>
      <c r="AF49" s="353">
        <f t="shared" si="21"/>
        <v>16.710412882382091</v>
      </c>
      <c r="AG49" s="565">
        <f t="shared" si="22"/>
        <v>25342.812860433838</v>
      </c>
      <c r="AH49" s="566">
        <f t="shared" si="28"/>
        <v>-3220.2809681759209</v>
      </c>
      <c r="AQ49" s="203"/>
      <c r="AT49" s="184"/>
      <c r="AX49" s="186"/>
      <c r="AZ49" s="189"/>
      <c r="BA49" s="189"/>
    </row>
    <row r="50" spans="2:53" s="7" customFormat="1" ht="16.5" thickTop="1" thickBot="1" x14ac:dyDescent="0.3">
      <c r="D50" s="25" t="s">
        <v>97</v>
      </c>
      <c r="E50" s="338">
        <f>E49</f>
        <v>10</v>
      </c>
      <c r="F50" s="339">
        <f t="shared" ref="F50:H50" si="31">F49</f>
        <v>3</v>
      </c>
      <c r="G50" s="340">
        <f t="shared" si="31"/>
        <v>12</v>
      </c>
      <c r="H50" s="341">
        <f t="shared" si="31"/>
        <v>3</v>
      </c>
      <c r="I50" s="495">
        <f>F54*F53</f>
        <v>0.25</v>
      </c>
      <c r="J50" s="496">
        <f>F53*E54</f>
        <v>0</v>
      </c>
      <c r="K50" s="496">
        <f>E53*F54</f>
        <v>0.75</v>
      </c>
      <c r="L50" s="496">
        <f>E53*E54</f>
        <v>0</v>
      </c>
      <c r="M50" s="515">
        <f>1-N50</f>
        <v>1</v>
      </c>
      <c r="N50" s="538">
        <f>SUM(J50,L50)</f>
        <v>0</v>
      </c>
      <c r="O50" s="539">
        <f>1-P50</f>
        <v>0.25</v>
      </c>
      <c r="P50" s="501">
        <f>SUM(K50:L50)</f>
        <v>0.75</v>
      </c>
      <c r="Q50" s="515">
        <f>M50*$E$7</f>
        <v>1000</v>
      </c>
      <c r="R50" s="538">
        <f t="shared" si="13"/>
        <v>0</v>
      </c>
      <c r="S50" s="539">
        <f>O50*1</f>
        <v>0.25</v>
      </c>
      <c r="T50" s="501">
        <f t="shared" si="15"/>
        <v>0.75</v>
      </c>
      <c r="U50" s="515">
        <f t="shared" si="2"/>
        <v>0.75</v>
      </c>
      <c r="V50" s="538">
        <f t="shared" si="3"/>
        <v>0</v>
      </c>
      <c r="W50" s="539">
        <f t="shared" si="4"/>
        <v>0</v>
      </c>
      <c r="X50" s="501">
        <f t="shared" si="5"/>
        <v>0</v>
      </c>
      <c r="Y50" s="515">
        <f t="shared" si="24"/>
        <v>750</v>
      </c>
      <c r="Z50" s="538">
        <f t="shared" si="25"/>
        <v>0</v>
      </c>
      <c r="AA50" s="539">
        <f t="shared" si="26"/>
        <v>0</v>
      </c>
      <c r="AB50" s="501">
        <f t="shared" si="27"/>
        <v>0</v>
      </c>
      <c r="AC50" s="293">
        <f>SUM(Q50,S50)</f>
        <v>1000.25</v>
      </c>
      <c r="AD50" s="294">
        <f>SUM(Q50,T50)</f>
        <v>1000.75</v>
      </c>
      <c r="AE50" s="295">
        <f t="shared" si="20"/>
        <v>0.25</v>
      </c>
      <c r="AF50" s="296">
        <f t="shared" si="21"/>
        <v>0.75</v>
      </c>
      <c r="AG50" s="563">
        <f t="shared" si="22"/>
        <v>25342.812860433838</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67">
        <f>SUMPRODUCT(E50:H50,AC50:AF50)</f>
        <v>13010</v>
      </c>
      <c r="AH51" s="485" t="s">
        <v>110</v>
      </c>
      <c r="AK51" s="33"/>
      <c r="AL51" s="33"/>
      <c r="AM51" s="33"/>
      <c r="AN51" s="33"/>
    </row>
    <row r="52" spans="2:53" s="7" customFormat="1" ht="15.75" thickBot="1" x14ac:dyDescent="0.3">
      <c r="C52" s="1"/>
      <c r="D52" s="152" t="s">
        <v>180</v>
      </c>
      <c r="E52" s="303" t="s">
        <v>157</v>
      </c>
      <c r="F52" s="250" t="s">
        <v>177</v>
      </c>
      <c r="G52" s="142"/>
      <c r="H52" s="17"/>
      <c r="I52" s="17"/>
      <c r="J52" s="17"/>
      <c r="K52" s="17"/>
      <c r="L52" s="17"/>
      <c r="M52" s="17"/>
      <c r="N52" s="17"/>
      <c r="Q52" s="17"/>
      <c r="R52" s="17"/>
      <c r="S52" s="216"/>
      <c r="T52" s="17"/>
      <c r="AG52" s="567">
        <f>AG50-AG51</f>
        <v>12332.812860433838</v>
      </c>
      <c r="AH52" s="162" t="s">
        <v>102</v>
      </c>
      <c r="AK52" s="17"/>
      <c r="AL52" s="17"/>
      <c r="AM52" s="17"/>
      <c r="AN52" s="17"/>
    </row>
    <row r="53" spans="2:53" s="7" customFormat="1" ht="15.75" thickBot="1" x14ac:dyDescent="0.3">
      <c r="C53" s="5" t="s">
        <v>178</v>
      </c>
      <c r="D53" s="559">
        <v>750</v>
      </c>
      <c r="E53" s="558">
        <f>(D53-E5)/(E6-E5)</f>
        <v>0.75</v>
      </c>
      <c r="F53" s="557">
        <f>1-E53</f>
        <v>0.25</v>
      </c>
      <c r="H53" s="33"/>
      <c r="J53" s="33"/>
      <c r="K53" s="33"/>
      <c r="L53" s="162">
        <f>SUM(I48:L48)</f>
        <v>1.0000000000000002</v>
      </c>
      <c r="M53" s="17"/>
      <c r="N53" s="17"/>
      <c r="P53" s="162">
        <f>SUM(M48:P48)</f>
        <v>2</v>
      </c>
      <c r="Q53" s="17"/>
      <c r="R53" s="17"/>
      <c r="S53" s="216"/>
      <c r="T53" s="162">
        <f>SUM(Q48:T48)</f>
        <v>1001</v>
      </c>
      <c r="X53" s="162"/>
      <c r="AB53" s="162"/>
      <c r="AC53" s="162">
        <f>SUM(AC48:AF48)</f>
        <v>2002</v>
      </c>
      <c r="AG53" s="568">
        <f>AG25-AG52</f>
        <v>-6782.0902385097961</v>
      </c>
      <c r="AH53" s="569" t="s">
        <v>103</v>
      </c>
      <c r="AK53" s="17"/>
      <c r="AL53" s="17"/>
      <c r="AM53" s="17"/>
      <c r="AN53" s="17"/>
      <c r="AU53" s="8"/>
      <c r="AV53" s="8"/>
      <c r="AW53" s="8"/>
      <c r="AX53" s="28"/>
      <c r="AY53" s="28"/>
    </row>
    <row r="54" spans="2:53" ht="15.75" thickBot="1" x14ac:dyDescent="0.3">
      <c r="C54" s="304" t="s">
        <v>179</v>
      </c>
      <c r="D54" s="560">
        <v>0</v>
      </c>
      <c r="E54" s="555">
        <f>D54</f>
        <v>0</v>
      </c>
      <c r="F54" s="556">
        <f>1-E54</f>
        <v>1</v>
      </c>
      <c r="G54" s="17"/>
      <c r="L54" s="162">
        <f t="shared" ref="L54:L55" si="32">SUM(I49:L49)</f>
        <v>0.99999999999999989</v>
      </c>
      <c r="P54" s="162">
        <f t="shared" ref="P54:P55" si="33">SUM(M49:P49)</f>
        <v>2</v>
      </c>
      <c r="S54" s="216"/>
      <c r="T54" s="162">
        <f t="shared" ref="T54:T55" si="34">SUM(Q49:T49)</f>
        <v>1000.9999999999999</v>
      </c>
      <c r="X54" s="162"/>
      <c r="Z54" s="190"/>
      <c r="AB54" s="162"/>
      <c r="AC54" s="162">
        <f>SUM(AC49:AF49)</f>
        <v>2002</v>
      </c>
    </row>
    <row r="55" spans="2:53" x14ac:dyDescent="0.25">
      <c r="C55" s="142"/>
      <c r="D55" s="579"/>
      <c r="E55" s="505"/>
      <c r="F55" s="28"/>
      <c r="G55" s="142"/>
      <c r="L55" s="162">
        <f t="shared" si="32"/>
        <v>1</v>
      </c>
      <c r="P55" s="162">
        <f t="shared" si="33"/>
        <v>2</v>
      </c>
      <c r="S55" s="216"/>
      <c r="T55" s="162">
        <f t="shared" si="34"/>
        <v>1001</v>
      </c>
      <c r="X55" s="162"/>
      <c r="Z55" s="190"/>
      <c r="AB55" s="162"/>
      <c r="AC55" s="162">
        <f>SUM(AC50:AF50)</f>
        <v>2002</v>
      </c>
    </row>
    <row r="56" spans="2:53" x14ac:dyDescent="0.25">
      <c r="C56" s="142"/>
      <c r="D56" s="579"/>
      <c r="E56" s="505"/>
      <c r="F56" s="28"/>
      <c r="G56" s="142"/>
      <c r="S56" s="216"/>
      <c r="Z56" s="190"/>
      <c r="AB56" s="162"/>
      <c r="AC56" s="162"/>
    </row>
    <row r="57" spans="2:53" x14ac:dyDescent="0.25">
      <c r="C57" s="142"/>
      <c r="D57" s="579"/>
      <c r="E57" s="505"/>
      <c r="F57" s="28"/>
      <c r="G57" s="142"/>
      <c r="S57" s="216"/>
      <c r="Z57" s="190"/>
      <c r="AB57" s="162"/>
      <c r="AC57" s="162"/>
    </row>
    <row r="58" spans="2:53" x14ac:dyDescent="0.25">
      <c r="C58" s="17"/>
      <c r="D58" s="216"/>
      <c r="E58" s="17"/>
      <c r="F58" s="7"/>
      <c r="G58" s="17"/>
      <c r="Q58" s="190"/>
      <c r="AB58" s="162"/>
    </row>
    <row r="59" spans="2:53" x14ac:dyDescent="0.25">
      <c r="B59" s="1" t="s">
        <v>255</v>
      </c>
      <c r="C59" s="278"/>
      <c r="D59" s="570"/>
      <c r="E59" s="278"/>
      <c r="F59" s="152"/>
      <c r="G59" s="278"/>
      <c r="H59" s="278"/>
      <c r="I59" s="278"/>
      <c r="J59" s="278"/>
      <c r="K59" s="278"/>
      <c r="L59" s="278"/>
      <c r="M59" s="278"/>
      <c r="N59" s="278"/>
      <c r="O59" s="278"/>
      <c r="P59" s="278"/>
      <c r="Q59" s="570"/>
      <c r="R59" s="278"/>
      <c r="S59" s="278"/>
      <c r="T59" s="278"/>
      <c r="U59" s="278"/>
      <c r="V59" s="278"/>
      <c r="W59" s="278"/>
      <c r="X59" s="273"/>
    </row>
    <row r="60" spans="2:53" x14ac:dyDescent="0.25">
      <c r="B60" s="5"/>
      <c r="C60" s="7"/>
      <c r="D60" s="7"/>
      <c r="E60" s="17"/>
      <c r="F60" s="17"/>
      <c r="G60" s="216"/>
      <c r="H60" s="216"/>
      <c r="I60" s="17"/>
      <c r="J60" s="292"/>
      <c r="K60" s="17"/>
      <c r="L60" s="292"/>
      <c r="M60" s="17"/>
      <c r="N60" s="292"/>
      <c r="O60" s="17"/>
      <c r="P60" s="292"/>
      <c r="Q60" s="17"/>
      <c r="R60" s="216"/>
      <c r="S60" s="17"/>
      <c r="T60" s="17"/>
      <c r="U60" s="17"/>
      <c r="V60" s="17"/>
      <c r="W60" s="17"/>
      <c r="X60" s="252"/>
    </row>
    <row r="61" spans="2:53" ht="15.75" thickBot="1" x14ac:dyDescent="0.3">
      <c r="B61" s="5"/>
      <c r="C61" s="7"/>
      <c r="D61" s="7" t="s">
        <v>12</v>
      </c>
      <c r="E61" s="17"/>
      <c r="F61" s="17"/>
      <c r="G61" s="216"/>
      <c r="H61" s="17" t="s">
        <v>200</v>
      </c>
      <c r="I61" s="17"/>
      <c r="J61" s="17"/>
      <c r="K61" s="17" t="s">
        <v>201</v>
      </c>
      <c r="L61" s="17"/>
      <c r="M61" s="571">
        <f>K62/SUM(K62:L62)</f>
        <v>0.5</v>
      </c>
      <c r="N61" s="17"/>
      <c r="O61" s="17"/>
      <c r="P61" s="887" t="s">
        <v>204</v>
      </c>
      <c r="Q61" s="17"/>
      <c r="R61" s="17"/>
      <c r="S61" s="17"/>
      <c r="T61" s="17"/>
      <c r="U61" s="17"/>
      <c r="V61" s="17"/>
      <c r="W61" s="17"/>
      <c r="X61" s="252"/>
      <c r="AB61" s="33"/>
    </row>
    <row r="62" spans="2:53" s="8" customFormat="1" x14ac:dyDescent="0.25">
      <c r="B62" s="572">
        <v>1</v>
      </c>
      <c r="D62" s="398">
        <v>1</v>
      </c>
      <c r="E62" s="399">
        <v>1</v>
      </c>
      <c r="F62" s="28">
        <f>SUM(D62:E62)</f>
        <v>2</v>
      </c>
      <c r="H62" s="398">
        <f>EXP(D62)</f>
        <v>2.7182818284590451</v>
      </c>
      <c r="I62" s="399">
        <f>EXP(E62)</f>
        <v>2.7182818284590451</v>
      </c>
      <c r="J62" s="142"/>
      <c r="K62" s="402">
        <f>EXP(D62/$E$18)/(EXP($D62/$E$18)+EXP($E62/$E$18)+EXP($D63/$E$18)+EXP($E63/$E$18))</f>
        <v>0.25</v>
      </c>
      <c r="L62" s="403">
        <f>EXP(E62/$E$18)/(EXP($D62/$E$18)+EXP($E62/$E$18)+EXP($D63/$E$18)+EXP($E63/$E$18))</f>
        <v>0.25</v>
      </c>
      <c r="M62" s="404">
        <f>SUM(K62:L62)</f>
        <v>0.5</v>
      </c>
      <c r="O62" s="142"/>
      <c r="P62" s="888"/>
      <c r="X62" s="573"/>
      <c r="AB62" s="142"/>
    </row>
    <row r="63" spans="2:53" s="8" customFormat="1" ht="15.75" thickBot="1" x14ac:dyDescent="0.3">
      <c r="B63" s="572"/>
      <c r="D63" s="400">
        <v>1</v>
      </c>
      <c r="E63" s="341">
        <v>1</v>
      </c>
      <c r="F63" s="401">
        <f>SUM(D63:E63)</f>
        <v>2</v>
      </c>
      <c r="H63" s="400">
        <f>EXP(D63)</f>
        <v>2.7182818284590451</v>
      </c>
      <c r="I63" s="341">
        <f>EXP(E63)</f>
        <v>2.7182818284590451</v>
      </c>
      <c r="J63" s="142"/>
      <c r="K63" s="405">
        <f>EXP(D63/$E$18)/(EXP($D62/$E$18)+EXP($E62/$E$18)+EXP($D63/$E$18)+EXP($E63/$E$18))</f>
        <v>0.25</v>
      </c>
      <c r="L63" s="406">
        <f>EXP(E63/$E$18)/(EXP($D62/$E$18)+EXP($E62/$E$18)+EXP($D63/$E$18)+EXP($E63/$E$18))</f>
        <v>0.25</v>
      </c>
      <c r="M63" s="407">
        <f>SUM(K63:L63)</f>
        <v>0.5</v>
      </c>
      <c r="N63" s="396"/>
      <c r="O63" s="142"/>
      <c r="P63" s="888"/>
      <c r="X63" s="573"/>
      <c r="AB63" s="142"/>
    </row>
    <row r="64" spans="2:53" s="8" customFormat="1" x14ac:dyDescent="0.25">
      <c r="B64" s="572"/>
      <c r="D64" s="395">
        <f>SUM(D62:D63)</f>
        <v>2</v>
      </c>
      <c r="E64" s="395">
        <f>SUM(E62:E63)</f>
        <v>2</v>
      </c>
      <c r="F64" s="395"/>
      <c r="H64" s="397"/>
      <c r="I64" s="142"/>
      <c r="J64" s="142"/>
      <c r="K64" s="408">
        <f>SUM(K62:K63)</f>
        <v>0.5</v>
      </c>
      <c r="L64" s="408">
        <f>SUM(L62:L63)</f>
        <v>0.5</v>
      </c>
      <c r="M64" s="408"/>
      <c r="N64" s="396"/>
      <c r="O64" s="142"/>
      <c r="P64" s="889"/>
      <c r="X64" s="573"/>
      <c r="AB64" s="142"/>
    </row>
    <row r="65" spans="2:28" s="8" customFormat="1" x14ac:dyDescent="0.25">
      <c r="B65" s="572"/>
      <c r="D65" s="395"/>
      <c r="E65" s="395"/>
      <c r="F65" s="395"/>
      <c r="H65" s="397"/>
      <c r="I65" s="142"/>
      <c r="J65" s="142"/>
      <c r="K65" s="396"/>
      <c r="L65" s="396"/>
      <c r="M65" s="396"/>
      <c r="N65" s="396"/>
      <c r="O65" s="142"/>
      <c r="X65" s="573"/>
      <c r="AB65" s="142"/>
    </row>
    <row r="66" spans="2:28" ht="15.75" thickBot="1" x14ac:dyDescent="0.3">
      <c r="B66" s="5"/>
      <c r="C66" s="7"/>
      <c r="D66" s="17"/>
      <c r="E66" s="17"/>
      <c r="F66" s="17"/>
      <c r="G66" s="17"/>
      <c r="H66" s="17"/>
      <c r="I66" s="17"/>
      <c r="J66" s="17"/>
      <c r="K66" s="17"/>
      <c r="L66" s="17"/>
      <c r="M66" s="292">
        <f>K67/SUM(K67:L67)</f>
        <v>0.5</v>
      </c>
      <c r="N66" s="17" t="b">
        <f>M66=M61</f>
        <v>1</v>
      </c>
      <c r="O66" s="17"/>
      <c r="P66" s="887" t="s">
        <v>202</v>
      </c>
      <c r="Q66" s="17"/>
      <c r="R66" s="574" t="s">
        <v>197</v>
      </c>
      <c r="S66" s="17"/>
      <c r="T66" s="17"/>
      <c r="U66" s="17"/>
      <c r="V66" s="17"/>
      <c r="W66" s="17"/>
      <c r="X66" s="252"/>
    </row>
    <row r="67" spans="2:28" x14ac:dyDescent="0.25">
      <c r="B67" s="572">
        <v>2</v>
      </c>
      <c r="C67" s="8"/>
      <c r="D67" s="398">
        <f>D62</f>
        <v>1</v>
      </c>
      <c r="E67" s="399">
        <f t="shared" ref="E67:E68" si="35">E62</f>
        <v>1</v>
      </c>
      <c r="F67" s="28">
        <f>SUM(D67:E67)</f>
        <v>2</v>
      </c>
      <c r="G67" s="17"/>
      <c r="H67" s="398">
        <f>EXP(D67)</f>
        <v>2.7182818284590451</v>
      </c>
      <c r="I67" s="399">
        <f>EXP(E67)</f>
        <v>2.7182818284590451</v>
      </c>
      <c r="J67" s="17"/>
      <c r="K67" s="418">
        <f>K62+(K62/SUM(K62:L62))*O67</f>
        <v>0.27500000000000002</v>
      </c>
      <c r="L67" s="416">
        <f>L62+(L62/SUM(K62:L62))*O67</f>
        <v>0.27500000000000002</v>
      </c>
      <c r="M67" s="554">
        <v>0.55000000000000004</v>
      </c>
      <c r="N67" s="8" t="b">
        <f>SUM(K67:L67)=M67</f>
        <v>1</v>
      </c>
      <c r="O67" s="571">
        <f>M67-M62</f>
        <v>5.0000000000000044E-2</v>
      </c>
      <c r="P67" s="888"/>
      <c r="Q67" s="17"/>
      <c r="R67" s="17"/>
      <c r="S67" s="17"/>
      <c r="T67" s="17"/>
      <c r="U67" s="17"/>
      <c r="V67" s="17"/>
      <c r="W67" s="17"/>
      <c r="X67" s="252"/>
      <c r="AB67" s="33"/>
    </row>
    <row r="68" spans="2:28" ht="15.75" thickBot="1" x14ac:dyDescent="0.3">
      <c r="B68" s="572"/>
      <c r="C68" s="8"/>
      <c r="D68" s="400">
        <f t="shared" ref="D68" si="36">D63</f>
        <v>1</v>
      </c>
      <c r="E68" s="341">
        <f t="shared" si="35"/>
        <v>1</v>
      </c>
      <c r="F68" s="401">
        <f>SUM(D68:E68)</f>
        <v>2</v>
      </c>
      <c r="G68" s="17"/>
      <c r="H68" s="400">
        <f>EXP(D68)</f>
        <v>2.7182818284590451</v>
      </c>
      <c r="I68" s="341">
        <f>EXP(E68)</f>
        <v>2.7182818284590451</v>
      </c>
      <c r="J68" s="17"/>
      <c r="K68" s="419">
        <f>K63+(K63/SUM(K63:L63))*O68</f>
        <v>0.22499999999999998</v>
      </c>
      <c r="L68" s="420">
        <f>L63+(L63/SUM(K63:L63))*O68</f>
        <v>0.22499999999999998</v>
      </c>
      <c r="M68" s="404">
        <f>M63+O68</f>
        <v>0.44999999999999996</v>
      </c>
      <c r="N68" s="8" t="b">
        <f>SUM(K68:L68)=M68</f>
        <v>1</v>
      </c>
      <c r="O68" s="571">
        <f>-1*O67</f>
        <v>-5.0000000000000044E-2</v>
      </c>
      <c r="P68" s="888"/>
      <c r="Q68" s="17"/>
      <c r="R68" s="17"/>
      <c r="S68" s="17"/>
      <c r="T68" s="17"/>
      <c r="U68" s="17"/>
      <c r="V68" s="17"/>
      <c r="W68" s="17"/>
      <c r="X68" s="252"/>
      <c r="AB68" s="33"/>
    </row>
    <row r="69" spans="2:28" x14ac:dyDescent="0.25">
      <c r="B69" s="572"/>
      <c r="C69" s="8"/>
      <c r="D69" s="395">
        <f>SUM(D67:D68)</f>
        <v>2</v>
      </c>
      <c r="E69" s="395">
        <f>SUM(E67:E68)</f>
        <v>2</v>
      </c>
      <c r="F69" s="395"/>
      <c r="G69" s="17"/>
      <c r="H69" s="17"/>
      <c r="I69" s="17"/>
      <c r="J69" s="17"/>
      <c r="K69" s="408">
        <f>SUM(K67:K68)</f>
        <v>0.5</v>
      </c>
      <c r="L69" s="408">
        <f>SUM(L67:L68)</f>
        <v>0.5</v>
      </c>
      <c r="M69" s="408"/>
      <c r="N69" s="396" t="b">
        <f>K69=K64</f>
        <v>1</v>
      </c>
      <c r="O69" s="17"/>
      <c r="P69" s="889"/>
      <c r="Q69" s="17"/>
      <c r="R69" s="17"/>
      <c r="S69" s="17"/>
      <c r="T69" s="17"/>
      <c r="U69" s="17"/>
      <c r="V69" s="17"/>
      <c r="W69" s="17"/>
      <c r="X69" s="252"/>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52"/>
      <c r="AB70" s="33"/>
    </row>
    <row r="71" spans="2:28" ht="15.75" thickBot="1" x14ac:dyDescent="0.3">
      <c r="B71" s="5"/>
      <c r="C71" s="7"/>
      <c r="D71" s="17"/>
      <c r="E71" s="17"/>
      <c r="F71" s="17"/>
      <c r="G71" s="17"/>
      <c r="H71" s="17"/>
      <c r="I71" s="17"/>
      <c r="J71" s="17"/>
      <c r="K71" s="17"/>
      <c r="L71" s="17"/>
      <c r="M71" s="571">
        <f>K72/SUM(K72:L72)</f>
        <v>0.5</v>
      </c>
      <c r="N71" s="540">
        <f>M66/M71</f>
        <v>1</v>
      </c>
      <c r="O71" s="17"/>
      <c r="P71" s="887" t="s">
        <v>203</v>
      </c>
      <c r="Q71" s="17"/>
      <c r="R71" s="17"/>
      <c r="S71" s="17"/>
      <c r="T71" s="17"/>
      <c r="U71" s="17"/>
      <c r="V71" s="17"/>
      <c r="W71" s="17"/>
      <c r="X71" s="252"/>
      <c r="AB71" s="33"/>
    </row>
    <row r="72" spans="2:28" x14ac:dyDescent="0.25">
      <c r="B72" s="572">
        <v>3</v>
      </c>
      <c r="C72" s="8"/>
      <c r="D72" s="409">
        <v>1.4013357524397883</v>
      </c>
      <c r="E72" s="413">
        <v>1.4013357524397883</v>
      </c>
      <c r="F72" s="28">
        <f>SUM(D72:E72)</f>
        <v>2.8026715048795765</v>
      </c>
      <c r="G72" s="17"/>
      <c r="H72" s="398">
        <f>EXP(D72)</f>
        <v>4.0606203294195504</v>
      </c>
      <c r="I72" s="399">
        <f>EXP(E72)</f>
        <v>4.0606203294195504</v>
      </c>
      <c r="J72" s="17"/>
      <c r="K72" s="402">
        <f>EXP(D72/$E$18)/(EXP($D72/$E$18)+EXP($E72/$E$18)+EXP($D73/$E$18)+EXP($E73/$E$18))</f>
        <v>0.27499964865177878</v>
      </c>
      <c r="L72" s="403">
        <f>EXP(E72/$E$18)/(EXP($D72/$E$18)+EXP($E72/$E$18)+EXP($D73/$E$18)+EXP($E73/$E$18))</f>
        <v>0.27499964865177878</v>
      </c>
      <c r="M72" s="404">
        <f>SUM(K72:L72)</f>
        <v>0.54999929730355757</v>
      </c>
      <c r="N72" s="540">
        <f>M67/M72</f>
        <v>1.0000012776315277</v>
      </c>
      <c r="O72" s="17"/>
      <c r="P72" s="888"/>
      <c r="Q72" s="17"/>
      <c r="R72" s="17"/>
      <c r="S72" s="17"/>
      <c r="T72" s="17"/>
      <c r="U72" s="17"/>
      <c r="V72" s="17"/>
      <c r="W72" s="17"/>
      <c r="X72" s="252"/>
      <c r="AB72" s="33"/>
    </row>
    <row r="73" spans="2:28" ht="15.75" thickBot="1" x14ac:dyDescent="0.3">
      <c r="B73" s="572"/>
      <c r="C73" s="8"/>
      <c r="D73" s="414">
        <v>1.0000000797395387</v>
      </c>
      <c r="E73" s="415">
        <v>1</v>
      </c>
      <c r="F73" s="401">
        <f>SUM(D73:E73)</f>
        <v>2.0000000797395385</v>
      </c>
      <c r="G73" s="17"/>
      <c r="H73" s="400">
        <f>EXP(D73)</f>
        <v>2.7182820452135932</v>
      </c>
      <c r="I73" s="341">
        <f>EXP(E73)</f>
        <v>2.7182818284590451</v>
      </c>
      <c r="J73" s="17"/>
      <c r="K73" s="405">
        <f>EXP(D73/$E$18)/(EXP($D72/$E$18)+EXP($E72/$E$18)+EXP($D73/$E$18)+EXP($E73/$E$18))</f>
        <v>0.22500035583357725</v>
      </c>
      <c r="L73" s="406">
        <f>EXP(E73/$E$18)/(EXP($D72/$E$18)+EXP($E72/$E$18)+EXP($D73/$E$18)+EXP($E73/$E$18))</f>
        <v>0.22500034686286513</v>
      </c>
      <c r="M73" s="407">
        <f>SUM(K73:L73)</f>
        <v>0.45000070269644238</v>
      </c>
      <c r="N73" s="540">
        <f>M68/M73</f>
        <v>0.99999843845478864</v>
      </c>
      <c r="O73" s="17"/>
      <c r="P73" s="888"/>
      <c r="Q73" s="17"/>
      <c r="R73" s="17"/>
      <c r="S73" s="17"/>
      <c r="T73" s="17"/>
      <c r="U73" s="17"/>
      <c r="V73" s="17"/>
      <c r="W73" s="17"/>
      <c r="X73" s="252"/>
      <c r="AB73" s="33"/>
    </row>
    <row r="74" spans="2:28" x14ac:dyDescent="0.25">
      <c r="B74" s="572"/>
      <c r="C74" s="8"/>
      <c r="D74" s="395">
        <f>SUM(D72:D73)</f>
        <v>2.4013358321793268</v>
      </c>
      <c r="E74" s="395">
        <f>SUM(E72:E73)</f>
        <v>2.4013357524397883</v>
      </c>
      <c r="F74" s="395"/>
      <c r="G74" s="17"/>
      <c r="H74" s="17"/>
      <c r="I74" s="17"/>
      <c r="J74" s="17"/>
      <c r="K74" s="408">
        <f>SUM(K72:K73)</f>
        <v>0.50000000448535609</v>
      </c>
      <c r="L74" s="408">
        <f>SUM(L72:L73)</f>
        <v>0.49999999551464391</v>
      </c>
      <c r="M74" s="408"/>
      <c r="N74" s="541">
        <f>K74/K69</f>
        <v>1.0000000089707122</v>
      </c>
      <c r="O74" s="17"/>
      <c r="P74" s="889"/>
      <c r="Q74" s="17"/>
      <c r="R74" s="17"/>
      <c r="S74" s="17"/>
      <c r="T74" s="17"/>
      <c r="U74" s="17"/>
      <c r="V74" s="17"/>
      <c r="W74" s="17"/>
      <c r="X74" s="252"/>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52"/>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52"/>
    </row>
    <row r="77" spans="2:28" ht="15.75" thickBot="1" x14ac:dyDescent="0.3">
      <c r="B77" s="5"/>
      <c r="C77" s="7"/>
      <c r="D77" s="7"/>
      <c r="E77" s="17"/>
      <c r="F77" s="17"/>
      <c r="G77" s="17"/>
      <c r="H77" s="17"/>
      <c r="I77" s="17"/>
      <c r="J77" s="410" t="s">
        <v>36</v>
      </c>
      <c r="K77" s="411" t="s">
        <v>184</v>
      </c>
      <c r="L77" s="17"/>
      <c r="M77" s="17"/>
      <c r="N77" s="17"/>
      <c r="O77" s="17"/>
      <c r="P77" s="17"/>
      <c r="Q77" s="17"/>
      <c r="R77" s="17"/>
      <c r="S77" s="17"/>
      <c r="T77" s="17"/>
      <c r="U77" s="17"/>
      <c r="V77" s="17"/>
      <c r="W77" s="17"/>
      <c r="X77" s="252"/>
    </row>
    <row r="78" spans="2:28" ht="15.75" thickTop="1" x14ac:dyDescent="0.25">
      <c r="B78" s="5"/>
      <c r="C78" s="7"/>
      <c r="D78" s="7"/>
      <c r="E78" s="17"/>
      <c r="F78" s="17"/>
      <c r="G78" s="17"/>
      <c r="H78" s="17"/>
      <c r="I78" s="17">
        <v>2</v>
      </c>
      <c r="J78" s="82">
        <f>$E$18*$E$7*LN(EXP($D67/$E$18) + EXP($E67/$E$18) + EXP($D68/$E$18) +EXP($E68/$E$18) )</f>
        <v>3772.588722239781</v>
      </c>
      <c r="K78" s="215" t="s">
        <v>198</v>
      </c>
      <c r="L78" s="17"/>
      <c r="M78" s="17"/>
      <c r="N78" s="17"/>
      <c r="O78" s="17"/>
      <c r="P78" s="17"/>
      <c r="Q78" s="17"/>
      <c r="R78" s="17"/>
      <c r="S78" s="17"/>
      <c r="T78" s="17"/>
      <c r="U78" s="17"/>
      <c r="V78" s="17"/>
      <c r="W78" s="17"/>
      <c r="X78" s="252"/>
    </row>
    <row r="79" spans="2:28" ht="15.75" thickBot="1" x14ac:dyDescent="0.3">
      <c r="B79" s="5"/>
      <c r="C79" s="7"/>
      <c r="D79" s="575"/>
      <c r="E79" s="576"/>
      <c r="F79" s="17"/>
      <c r="G79" s="17"/>
      <c r="H79" s="17"/>
      <c r="I79" s="17">
        <v>3</v>
      </c>
      <c r="J79" s="83">
        <f>$E$18*$E$7*LN(EXP($D72/$E$18) + EXP($E72/$E$18) + EXP($D73/$E$18) +EXP($E73/$E$18) )</f>
        <v>3983.3066703323429</v>
      </c>
      <c r="K79" s="412">
        <f>J79-J78</f>
        <v>210.71794809256198</v>
      </c>
      <c r="L79" s="17"/>
      <c r="M79" s="17" t="s">
        <v>199</v>
      </c>
      <c r="N79" s="17"/>
      <c r="O79" s="17"/>
      <c r="P79" s="17"/>
      <c r="Q79" s="17"/>
      <c r="R79" s="17"/>
      <c r="S79" s="17"/>
      <c r="T79" s="17"/>
      <c r="U79" s="17"/>
      <c r="V79" s="17"/>
      <c r="W79" s="17"/>
      <c r="X79" s="252"/>
    </row>
    <row r="80" spans="2:28" x14ac:dyDescent="0.25">
      <c r="B80" s="5"/>
      <c r="C80" s="7"/>
      <c r="D80" s="7"/>
      <c r="E80" s="17"/>
      <c r="F80" s="17"/>
      <c r="G80" s="17"/>
      <c r="H80" s="17"/>
      <c r="I80" s="17"/>
      <c r="J80" s="17"/>
      <c r="K80" s="17"/>
      <c r="L80" s="17"/>
      <c r="M80" s="17" t="s">
        <v>205</v>
      </c>
      <c r="N80" s="17"/>
      <c r="O80" s="17"/>
      <c r="P80" s="17"/>
      <c r="Q80" s="17"/>
      <c r="R80" s="17"/>
      <c r="S80" s="17"/>
      <c r="T80" s="17"/>
      <c r="U80" s="17"/>
      <c r="V80" s="17"/>
      <c r="W80" s="17"/>
      <c r="X80" s="252"/>
    </row>
    <row r="81" spans="2:24" x14ac:dyDescent="0.25">
      <c r="B81" s="5"/>
      <c r="C81" s="7"/>
      <c r="D81" s="7"/>
      <c r="E81" s="17"/>
      <c r="F81" s="17"/>
      <c r="G81" s="17"/>
      <c r="H81" s="17"/>
      <c r="I81" s="17"/>
      <c r="J81" s="17"/>
      <c r="K81" s="17"/>
      <c r="L81" s="17"/>
      <c r="M81" s="17" t="s">
        <v>207</v>
      </c>
      <c r="N81" s="17" t="s">
        <v>208</v>
      </c>
      <c r="O81" s="17"/>
      <c r="P81" s="17"/>
      <c r="Q81" s="17"/>
      <c r="R81" s="17"/>
      <c r="S81" s="17"/>
      <c r="T81" s="17"/>
      <c r="U81" s="17"/>
      <c r="V81" s="17"/>
      <c r="W81" s="17"/>
      <c r="X81" s="252"/>
    </row>
    <row r="82" spans="2:24" x14ac:dyDescent="0.25">
      <c r="B82" s="5"/>
      <c r="C82" s="7"/>
      <c r="D82" s="7"/>
      <c r="E82" s="17"/>
      <c r="F82" s="17"/>
      <c r="G82" s="17"/>
      <c r="H82" s="17"/>
      <c r="I82" s="17"/>
      <c r="J82" s="17"/>
      <c r="K82" s="17"/>
      <c r="L82" s="17"/>
      <c r="M82" s="17" t="s">
        <v>209</v>
      </c>
      <c r="N82" s="17" t="s">
        <v>210</v>
      </c>
      <c r="O82" s="17"/>
      <c r="P82" s="17"/>
      <c r="Q82" s="17"/>
      <c r="R82" s="17"/>
      <c r="S82" s="17"/>
      <c r="T82" s="17"/>
      <c r="U82" s="17"/>
      <c r="V82" s="17"/>
      <c r="W82" s="17"/>
      <c r="X82" s="252"/>
    </row>
    <row r="83" spans="2:24" x14ac:dyDescent="0.25">
      <c r="B83" s="5"/>
      <c r="C83" s="7"/>
      <c r="D83" s="7"/>
      <c r="E83" s="17"/>
      <c r="F83" s="17"/>
      <c r="G83" s="17"/>
      <c r="H83" s="17"/>
      <c r="I83" s="17"/>
      <c r="J83" s="17"/>
      <c r="K83" s="17"/>
      <c r="L83" s="17"/>
      <c r="M83" s="17"/>
      <c r="N83" s="17" t="s">
        <v>211</v>
      </c>
      <c r="O83" s="17"/>
      <c r="P83" s="17"/>
      <c r="Q83" s="17"/>
      <c r="R83" s="17"/>
      <c r="S83" s="17"/>
      <c r="T83" s="17"/>
      <c r="U83" s="17"/>
      <c r="V83" s="17"/>
      <c r="W83" s="17"/>
      <c r="X83" s="252"/>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52"/>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52"/>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52"/>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52"/>
    </row>
    <row r="88" spans="2:24" x14ac:dyDescent="0.25">
      <c r="B88" s="5"/>
      <c r="C88" s="7"/>
      <c r="D88" s="292"/>
      <c r="E88" s="575"/>
      <c r="F88" s="17"/>
      <c r="G88" s="17"/>
      <c r="H88" s="17"/>
      <c r="I88" s="17"/>
      <c r="J88" s="17"/>
      <c r="K88" s="17"/>
      <c r="L88" s="17"/>
      <c r="M88" s="17"/>
      <c r="N88" s="17"/>
      <c r="O88" s="17"/>
      <c r="P88" s="17"/>
      <c r="Q88" s="17"/>
      <c r="R88" s="17"/>
      <c r="S88" s="17"/>
      <c r="T88" s="17"/>
      <c r="U88" s="17"/>
      <c r="V88" s="17"/>
      <c r="W88" s="17"/>
      <c r="X88" s="252"/>
    </row>
    <row r="89" spans="2:24" x14ac:dyDescent="0.25">
      <c r="B89" s="5"/>
      <c r="C89" s="7"/>
      <c r="D89" s="17"/>
      <c r="E89" s="577"/>
      <c r="F89" s="17"/>
      <c r="G89" s="17"/>
      <c r="H89" s="17"/>
      <c r="I89" s="17"/>
      <c r="J89" s="17"/>
      <c r="K89" s="17"/>
      <c r="L89" s="17"/>
      <c r="M89" s="17"/>
      <c r="N89" s="17"/>
      <c r="O89" s="17"/>
      <c r="P89" s="17"/>
      <c r="Q89" s="17"/>
      <c r="R89" s="17"/>
      <c r="S89" s="17"/>
      <c r="T89" s="17"/>
      <c r="U89" s="17"/>
      <c r="V89" s="17"/>
      <c r="W89" s="17"/>
      <c r="X89" s="252"/>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52"/>
    </row>
    <row r="91" spans="2:24" x14ac:dyDescent="0.25">
      <c r="B91" s="5"/>
      <c r="C91" s="7"/>
      <c r="D91" s="571"/>
      <c r="E91" s="578"/>
      <c r="F91" s="17"/>
      <c r="G91" s="17"/>
      <c r="H91" s="17"/>
      <c r="I91" s="17"/>
      <c r="J91" s="17"/>
      <c r="K91" s="17"/>
      <c r="L91" s="17"/>
      <c r="M91" s="17"/>
      <c r="N91" s="17"/>
      <c r="O91" s="17"/>
      <c r="P91" s="17"/>
      <c r="Q91" s="17"/>
      <c r="R91" s="17"/>
      <c r="S91" s="17"/>
      <c r="T91" s="17"/>
      <c r="U91" s="17"/>
      <c r="V91" s="17"/>
      <c r="W91" s="17"/>
      <c r="X91" s="252"/>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52"/>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52"/>
    </row>
    <row r="94" spans="2:24" x14ac:dyDescent="0.25">
      <c r="B94" s="2"/>
      <c r="C94" s="259"/>
      <c r="D94" s="305"/>
      <c r="E94" s="271"/>
      <c r="F94" s="271"/>
      <c r="G94" s="271"/>
      <c r="H94" s="271"/>
      <c r="I94" s="271"/>
      <c r="J94" s="271"/>
      <c r="K94" s="271"/>
      <c r="L94" s="271"/>
      <c r="M94" s="271"/>
      <c r="N94" s="271"/>
      <c r="O94" s="271"/>
      <c r="P94" s="271"/>
      <c r="Q94" s="271"/>
      <c r="R94" s="271"/>
      <c r="S94" s="271"/>
      <c r="T94" s="271"/>
      <c r="U94" s="271"/>
      <c r="V94" s="271"/>
      <c r="W94" s="271"/>
      <c r="X94" s="274"/>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P24"/>
  <sheetViews>
    <sheetView zoomScale="70" zoomScaleNormal="70" workbookViewId="0">
      <selection activeCell="I26" sqref="I26"/>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310">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16">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17">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17">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17">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17">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17">
        <f t="shared" si="2"/>
        <v>0.10835975671694488</v>
      </c>
      <c r="M14" s="82">
        <f t="shared" si="6"/>
        <v>14.611492534524269</v>
      </c>
      <c r="N14" s="75">
        <f t="shared" si="5"/>
        <v>4.1900627405953461</v>
      </c>
      <c r="O14" s="7"/>
      <c r="P14" s="7"/>
      <c r="Q14" s="5" t="b">
        <f>N17&gt;M17</f>
        <v>0</v>
      </c>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18">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15">
        <f>H15</f>
        <v>0</v>
      </c>
      <c r="I16" s="585">
        <v>6.1440991013794134E-6</v>
      </c>
      <c r="J16" s="586">
        <v>0.99998156770269597</v>
      </c>
      <c r="K16" s="586">
        <v>6.1440991013794134E-6</v>
      </c>
      <c r="L16" s="586">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57">
        <f>(SUMPRODUCT(I16:L16,E16:H16))</f>
        <v>11.999778812432352</v>
      </c>
      <c r="N17" s="319"/>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115</v>
      </c>
      <c r="C21" s="17"/>
      <c r="D21" s="17"/>
      <c r="E21" s="17"/>
      <c r="F21" s="17"/>
      <c r="G21" s="143"/>
      <c r="H21" s="142"/>
      <c r="I21" s="145"/>
      <c r="J21" s="145"/>
      <c r="K21" s="8"/>
      <c r="L21" s="8"/>
      <c r="M21" s="8"/>
      <c r="N21" s="8"/>
      <c r="O21" s="8"/>
      <c r="P21" s="8"/>
      <c r="Q21" s="8"/>
      <c r="R21" s="8"/>
    </row>
    <row r="22" spans="1:18" x14ac:dyDescent="0.25">
      <c r="A22" s="7"/>
      <c r="B22" s="7">
        <f>$N$13</f>
        <v>3.0661964806343143</v>
      </c>
      <c r="C22" s="7" t="s">
        <v>116</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117</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T86"/>
  <sheetViews>
    <sheetView workbookViewId="0">
      <selection activeCell="B6" sqref="B6"/>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90"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R73"/>
  <sheetViews>
    <sheetView workbookViewId="0">
      <selection activeCell="K29" sqref="K29"/>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N51"/>
  <sheetViews>
    <sheetView workbookViewId="0">
      <selection activeCell="I8" sqref="I8"/>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91" t="s">
        <v>386</v>
      </c>
    </row>
    <row r="3" spans="2:14" ht="15.75" thickBot="1" x14ac:dyDescent="0.3">
      <c r="I3" s="7"/>
      <c r="J3" s="7"/>
      <c r="K3" s="7"/>
      <c r="L3" s="7"/>
      <c r="M3" s="7"/>
      <c r="N3" s="7"/>
    </row>
    <row r="4" spans="2:14" ht="35.25" customHeight="1" thickBot="1" x14ac:dyDescent="0.3">
      <c r="B4" s="766" t="s">
        <v>329</v>
      </c>
      <c r="C4" s="288"/>
      <c r="D4" s="767" t="s">
        <v>330</v>
      </c>
      <c r="F4" s="96" t="s">
        <v>331</v>
      </c>
      <c r="G4" s="97"/>
      <c r="I4" s="7"/>
      <c r="J4" s="7"/>
      <c r="K4" s="7"/>
      <c r="L4" s="7"/>
      <c r="M4" s="7"/>
      <c r="N4" s="7"/>
    </row>
    <row r="5" spans="2:14" ht="15.75" thickTop="1" x14ac:dyDescent="0.25">
      <c r="B5" s="182" t="s">
        <v>332</v>
      </c>
      <c r="C5" s="768">
        <v>8</v>
      </c>
      <c r="D5" s="183">
        <f>C5^1</f>
        <v>8</v>
      </c>
      <c r="F5" s="116" t="s">
        <v>333</v>
      </c>
      <c r="G5" s="769">
        <f>C5</f>
        <v>8</v>
      </c>
      <c r="I5" s="7"/>
      <c r="J5" s="7"/>
      <c r="K5" s="7"/>
      <c r="L5" s="7"/>
      <c r="M5" s="7"/>
      <c r="N5" s="7"/>
    </row>
    <row r="6" spans="2:14" x14ac:dyDescent="0.25">
      <c r="B6" s="182" t="s">
        <v>334</v>
      </c>
      <c r="C6" s="770">
        <v>90</v>
      </c>
      <c r="D6" s="183">
        <f>C5^2</f>
        <v>64</v>
      </c>
      <c r="F6" s="116" t="s">
        <v>335</v>
      </c>
      <c r="G6" s="769">
        <f>C6-(C5^2)</f>
        <v>26</v>
      </c>
      <c r="I6" s="7"/>
      <c r="J6" s="7"/>
      <c r="K6" s="7"/>
      <c r="L6" s="7"/>
      <c r="M6" s="7"/>
      <c r="N6" s="7"/>
    </row>
    <row r="7" spans="2:14" x14ac:dyDescent="0.25">
      <c r="B7" s="182" t="s">
        <v>336</v>
      </c>
      <c r="C7" s="770">
        <v>1040.3858530267407</v>
      </c>
      <c r="D7" s="183">
        <f>C5^3</f>
        <v>512</v>
      </c>
      <c r="F7" s="116" t="s">
        <v>337</v>
      </c>
      <c r="G7" s="769">
        <f>(C7-(3*C5*G6)-(C5^3))/(G6^(3/2))</f>
        <v>-0.72121065265114992</v>
      </c>
      <c r="I7" s="7"/>
      <c r="J7" s="7"/>
      <c r="K7" s="7"/>
      <c r="L7" s="7"/>
      <c r="M7" s="7"/>
      <c r="N7" s="7"/>
    </row>
    <row r="8" spans="2:14" ht="15.75" thickBot="1" x14ac:dyDescent="0.3">
      <c r="B8" s="182" t="s">
        <v>338</v>
      </c>
      <c r="C8" s="771">
        <v>3136.0049314625335</v>
      </c>
      <c r="D8" s="183">
        <f>C5^4</f>
        <v>4096</v>
      </c>
      <c r="F8" s="121" t="s">
        <v>339</v>
      </c>
      <c r="G8" s="772">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340</v>
      </c>
      <c r="D11" s="97"/>
    </row>
    <row r="12" spans="2:14" ht="15.75" thickBot="1" x14ac:dyDescent="0.3">
      <c r="C12" s="773" t="s">
        <v>341</v>
      </c>
      <c r="D12" s="774" t="s">
        <v>342</v>
      </c>
      <c r="E12" s="775" t="s">
        <v>343</v>
      </c>
      <c r="F12" s="776" t="s">
        <v>344</v>
      </c>
    </row>
    <row r="13" spans="2:14" ht="15.75" thickTop="1" x14ac:dyDescent="0.25">
      <c r="C13" s="116" t="s">
        <v>309</v>
      </c>
      <c r="D13" s="704">
        <f>G5</f>
        <v>8</v>
      </c>
      <c r="E13" s="705"/>
      <c r="F13" s="777" t="str">
        <f>"Goal: "&amp;G6</f>
        <v>Goal: 26</v>
      </c>
    </row>
    <row r="14" spans="2:14" x14ac:dyDescent="0.25">
      <c r="C14" s="116" t="s">
        <v>312</v>
      </c>
      <c r="D14" s="704">
        <f>SQRT(G6)</f>
        <v>5.0990195135927845</v>
      </c>
      <c r="E14" s="705"/>
      <c r="F14" s="777" t="str">
        <f>"Goal: "&amp;G5</f>
        <v>Goal: 8</v>
      </c>
      <c r="H14" t="s">
        <v>345</v>
      </c>
      <c r="I14" t="s">
        <v>198</v>
      </c>
    </row>
    <row r="15" spans="2:14" x14ac:dyDescent="0.25">
      <c r="C15" s="116" t="s">
        <v>346</v>
      </c>
      <c r="D15" s="704" t="s">
        <v>347</v>
      </c>
      <c r="E15" s="705"/>
      <c r="F15" s="777" t="s">
        <v>348</v>
      </c>
    </row>
    <row r="16" spans="2:14" x14ac:dyDescent="0.25">
      <c r="C16" s="116" t="s">
        <v>349</v>
      </c>
      <c r="D16" s="704" t="s">
        <v>350</v>
      </c>
      <c r="E16" s="705"/>
      <c r="F16" s="777" t="s">
        <v>351</v>
      </c>
    </row>
    <row r="17" spans="2:6" x14ac:dyDescent="0.25">
      <c r="C17" s="116" t="s">
        <v>4</v>
      </c>
      <c r="D17" s="704"/>
      <c r="E17" s="705">
        <v>0</v>
      </c>
      <c r="F17" s="777"/>
    </row>
    <row r="18" spans="2:6" x14ac:dyDescent="0.25">
      <c r="C18" s="116" t="s">
        <v>5</v>
      </c>
      <c r="D18" s="704"/>
      <c r="E18" s="705">
        <f>G5+3*SQRT(G6)</f>
        <v>23.297058540778352</v>
      </c>
      <c r="F18" s="777"/>
    </row>
    <row r="19" spans="2:6" x14ac:dyDescent="0.25">
      <c r="C19" s="116" t="s">
        <v>352</v>
      </c>
      <c r="D19" s="704"/>
      <c r="E19" s="705">
        <f>( (G5-E17)*(E18-G5)/G6 ) -1</f>
        <v>3.7067872433164162</v>
      </c>
      <c r="F19" s="777">
        <f>AVERAGE(1/G5,SQRT(1/G6))</f>
        <v>0.16055806756909202</v>
      </c>
    </row>
    <row r="20" spans="2:6" x14ac:dyDescent="0.25">
      <c r="C20" s="116" t="s">
        <v>353</v>
      </c>
      <c r="D20" s="704"/>
      <c r="E20" s="705">
        <f>E19*(G5-E17)/(E18-E17)</f>
        <v>1.2728773417736616</v>
      </c>
      <c r="F20" s="777"/>
    </row>
    <row r="21" spans="2:6" ht="15.75" thickBot="1" x14ac:dyDescent="0.3">
      <c r="C21" s="121" t="s">
        <v>343</v>
      </c>
      <c r="D21" s="778"/>
      <c r="E21" s="779">
        <f>E19*(E18-G5)/(E18-E17)</f>
        <v>2.4339099015427546</v>
      </c>
      <c r="F21" s="780"/>
    </row>
    <row r="23" spans="2:6" ht="15.75" thickBot="1" x14ac:dyDescent="0.3"/>
    <row r="24" spans="2:6" ht="15.75" thickBot="1" x14ac:dyDescent="0.3">
      <c r="C24" s="96" t="s">
        <v>354</v>
      </c>
      <c r="D24" s="97"/>
    </row>
    <row r="25" spans="2:6" x14ac:dyDescent="0.25">
      <c r="C25" s="9" t="s">
        <v>72</v>
      </c>
      <c r="D25" s="890" t="s">
        <v>355</v>
      </c>
      <c r="E25" s="891"/>
      <c r="F25" s="892"/>
    </row>
    <row r="26" spans="2:6" ht="15.75" thickBot="1" x14ac:dyDescent="0.3">
      <c r="C26" s="131" t="s">
        <v>332</v>
      </c>
      <c r="D26" s="781" t="s">
        <v>342</v>
      </c>
      <c r="E26" s="13" t="s">
        <v>343</v>
      </c>
      <c r="F26" s="132" t="s">
        <v>344</v>
      </c>
    </row>
    <row r="27" spans="2:6" ht="15.75" thickTop="1" x14ac:dyDescent="0.25">
      <c r="B27">
        <f>-3</f>
        <v>-3</v>
      </c>
      <c r="C27" s="782">
        <f t="shared" ref="C27:C51" si="0">$G$5+(B27*SQRT($G$6))</f>
        <v>-7.2970585407783535</v>
      </c>
      <c r="D27" s="783">
        <f t="shared" ref="D27:D51" si="1">_xlfn.NORM.DIST(C27,$D$13,$D$14,FALSE)</f>
        <v>8.6915698206758052E-4</v>
      </c>
      <c r="E27" s="784">
        <f t="shared" ref="E27:E51" si="2">IF( C27 &lt; 0.001, 0, _xlfn.BETA.DIST(C27,$E$20,$E$21,FALSE,$E$17,$E$18))</f>
        <v>0</v>
      </c>
      <c r="F27" s="785">
        <f t="shared" ref="F27:F51" si="3">IF( C27 &lt; 0.001, 0, _xlfn.EXPON.DIST(C27,$F$19,FALSE) )</f>
        <v>0</v>
      </c>
    </row>
    <row r="28" spans="2:6" x14ac:dyDescent="0.25">
      <c r="B28">
        <f t="shared" ref="B28:B51" si="4">B27+0.25</f>
        <v>-2.75</v>
      </c>
      <c r="C28" s="782">
        <f t="shared" si="0"/>
        <v>-6.0223036623801569</v>
      </c>
      <c r="D28" s="783">
        <f t="shared" si="1"/>
        <v>1.7833943324495538E-3</v>
      </c>
      <c r="E28" s="784">
        <f t="shared" si="2"/>
        <v>0</v>
      </c>
      <c r="F28" s="785">
        <f t="shared" si="3"/>
        <v>0</v>
      </c>
    </row>
    <row r="29" spans="2:6" x14ac:dyDescent="0.25">
      <c r="B29">
        <f t="shared" si="4"/>
        <v>-2.5</v>
      </c>
      <c r="C29" s="782">
        <f t="shared" si="0"/>
        <v>-4.7475487839819621</v>
      </c>
      <c r="D29" s="783">
        <f t="shared" si="1"/>
        <v>3.4375825483393858E-3</v>
      </c>
      <c r="E29" s="784">
        <f t="shared" si="2"/>
        <v>0</v>
      </c>
      <c r="F29" s="785">
        <f t="shared" si="3"/>
        <v>0</v>
      </c>
    </row>
    <row r="30" spans="2:6" x14ac:dyDescent="0.25">
      <c r="B30">
        <f t="shared" si="4"/>
        <v>-2.25</v>
      </c>
      <c r="C30" s="782">
        <f t="shared" si="0"/>
        <v>-3.4727939055837656</v>
      </c>
      <c r="D30" s="783">
        <f t="shared" si="1"/>
        <v>6.2246578486426628E-3</v>
      </c>
      <c r="E30" s="784">
        <f t="shared" si="2"/>
        <v>0</v>
      </c>
      <c r="F30" s="785">
        <f t="shared" si="3"/>
        <v>0</v>
      </c>
    </row>
    <row r="31" spans="2:6" x14ac:dyDescent="0.25">
      <c r="B31">
        <f t="shared" si="4"/>
        <v>-2</v>
      </c>
      <c r="C31" s="782">
        <f t="shared" si="0"/>
        <v>-2.198039027185569</v>
      </c>
      <c r="D31" s="783">
        <f t="shared" si="1"/>
        <v>1.058849968494156E-2</v>
      </c>
      <c r="E31" s="784">
        <f t="shared" si="2"/>
        <v>0</v>
      </c>
      <c r="F31" s="785">
        <f t="shared" si="3"/>
        <v>0</v>
      </c>
    </row>
    <row r="32" spans="2:6" x14ac:dyDescent="0.25">
      <c r="B32">
        <f t="shared" si="4"/>
        <v>-1.75</v>
      </c>
      <c r="C32" s="782">
        <f t="shared" si="0"/>
        <v>-0.92328414878737242</v>
      </c>
      <c r="D32" s="783">
        <f t="shared" si="1"/>
        <v>1.6920374318340325E-2</v>
      </c>
      <c r="E32" s="784">
        <f t="shared" si="2"/>
        <v>0</v>
      </c>
      <c r="F32" s="785">
        <f t="shared" si="3"/>
        <v>0</v>
      </c>
    </row>
    <row r="33" spans="2:6" x14ac:dyDescent="0.25">
      <c r="B33">
        <f t="shared" si="4"/>
        <v>-1.5</v>
      </c>
      <c r="C33" s="782">
        <f t="shared" si="0"/>
        <v>0.35147072961082326</v>
      </c>
      <c r="D33" s="783">
        <f t="shared" si="1"/>
        <v>2.5400490294384705E-2</v>
      </c>
      <c r="E33" s="784">
        <f t="shared" si="2"/>
        <v>4.9061143884288699E-2</v>
      </c>
      <c r="F33" s="785">
        <f t="shared" si="3"/>
        <v>0.15174844878209037</v>
      </c>
    </row>
    <row r="34" spans="2:6" x14ac:dyDescent="0.25">
      <c r="B34">
        <f t="shared" si="4"/>
        <v>-1.25</v>
      </c>
      <c r="C34" s="782">
        <f t="shared" si="0"/>
        <v>1.6262256080090189</v>
      </c>
      <c r="D34" s="783">
        <f t="shared" si="1"/>
        <v>3.5820432713019143E-2</v>
      </c>
      <c r="E34" s="784">
        <f t="shared" si="2"/>
        <v>6.8657170213610924E-2</v>
      </c>
      <c r="F34" s="785">
        <f t="shared" si="3"/>
        <v>0.12366199881475126</v>
      </c>
    </row>
    <row r="35" spans="2:6" x14ac:dyDescent="0.25">
      <c r="B35">
        <f t="shared" si="4"/>
        <v>-1</v>
      </c>
      <c r="C35" s="782">
        <f t="shared" si="0"/>
        <v>2.9009804864072155</v>
      </c>
      <c r="D35" s="783">
        <f t="shared" si="1"/>
        <v>4.7454363309280621E-2</v>
      </c>
      <c r="E35" s="784">
        <f t="shared" si="2"/>
        <v>7.3709610614823118E-2</v>
      </c>
      <c r="F35" s="785">
        <f t="shared" si="3"/>
        <v>0.10077394578720968</v>
      </c>
    </row>
    <row r="36" spans="2:6" x14ac:dyDescent="0.25">
      <c r="B36">
        <f t="shared" si="4"/>
        <v>-0.75</v>
      </c>
      <c r="C36" s="782">
        <f t="shared" si="0"/>
        <v>4.1757353648054121</v>
      </c>
      <c r="D36" s="783">
        <f t="shared" si="1"/>
        <v>5.9057909339637359E-2</v>
      </c>
      <c r="E36" s="784">
        <f t="shared" si="2"/>
        <v>7.4216320197830199E-2</v>
      </c>
      <c r="F36" s="785">
        <f t="shared" si="3"/>
        <v>8.2122141376159516E-2</v>
      </c>
    </row>
    <row r="37" spans="2:6" x14ac:dyDescent="0.25">
      <c r="B37">
        <f t="shared" si="4"/>
        <v>-0.5</v>
      </c>
      <c r="C37" s="782">
        <f t="shared" si="0"/>
        <v>5.4504902432036078</v>
      </c>
      <c r="D37" s="783">
        <f t="shared" si="1"/>
        <v>6.904569120117629E-2</v>
      </c>
      <c r="E37" s="784">
        <f t="shared" si="2"/>
        <v>7.229486852368415E-2</v>
      </c>
      <c r="F37" s="785">
        <f t="shared" si="3"/>
        <v>6.6922517040727922E-2</v>
      </c>
    </row>
    <row r="38" spans="2:6" x14ac:dyDescent="0.25">
      <c r="B38">
        <f t="shared" si="4"/>
        <v>-0.25</v>
      </c>
      <c r="C38" s="782">
        <f t="shared" si="0"/>
        <v>6.7252451216018034</v>
      </c>
      <c r="D38" s="783">
        <f t="shared" si="1"/>
        <v>7.5831856648534715E-2</v>
      </c>
      <c r="E38" s="784">
        <f t="shared" si="2"/>
        <v>6.8843627702764296E-2</v>
      </c>
      <c r="F38" s="785">
        <f t="shared" si="3"/>
        <v>5.4536124022293062E-2</v>
      </c>
    </row>
    <row r="39" spans="2:6" x14ac:dyDescent="0.25">
      <c r="B39">
        <f t="shared" si="4"/>
        <v>0</v>
      </c>
      <c r="C39" s="782">
        <f t="shared" si="0"/>
        <v>8</v>
      </c>
      <c r="D39" s="783">
        <f t="shared" si="1"/>
        <v>7.8239018175542685E-2</v>
      </c>
      <c r="E39" s="784">
        <f t="shared" si="2"/>
        <v>6.4355848844021221E-2</v>
      </c>
      <c r="F39" s="785">
        <f t="shared" si="3"/>
        <v>4.4442273765119868E-2</v>
      </c>
    </row>
    <row r="40" spans="2:6" x14ac:dyDescent="0.25">
      <c r="B40">
        <f t="shared" si="4"/>
        <v>0.25</v>
      </c>
      <c r="C40" s="782">
        <f t="shared" si="0"/>
        <v>9.2747548783981966</v>
      </c>
      <c r="D40" s="783">
        <f t="shared" si="1"/>
        <v>7.5831856648534715E-2</v>
      </c>
      <c r="E40" s="784">
        <f t="shared" si="2"/>
        <v>5.9145915020795303E-2</v>
      </c>
      <c r="F40" s="785">
        <f t="shared" si="3"/>
        <v>3.6216649657875966E-2</v>
      </c>
    </row>
    <row r="41" spans="2:6" x14ac:dyDescent="0.25">
      <c r="B41">
        <f t="shared" si="4"/>
        <v>0.5</v>
      </c>
      <c r="C41" s="782">
        <f t="shared" si="0"/>
        <v>10.549509756796393</v>
      </c>
      <c r="D41" s="783">
        <f t="shared" si="1"/>
        <v>6.9045691201176276E-2</v>
      </c>
      <c r="E41" s="784">
        <f t="shared" si="2"/>
        <v>5.3435928402381032E-2</v>
      </c>
      <c r="F41" s="785">
        <f t="shared" si="3"/>
        <v>2.9513469976209038E-2</v>
      </c>
    </row>
    <row r="42" spans="2:6" x14ac:dyDescent="0.25">
      <c r="B42">
        <f t="shared" si="4"/>
        <v>0.75</v>
      </c>
      <c r="C42" s="782">
        <f t="shared" si="0"/>
        <v>11.824264635194588</v>
      </c>
      <c r="D42" s="783">
        <f t="shared" si="1"/>
        <v>5.9057909339637359E-2</v>
      </c>
      <c r="E42" s="784">
        <f t="shared" si="2"/>
        <v>4.7395825553637964E-2</v>
      </c>
      <c r="F42" s="785">
        <f t="shared" si="3"/>
        <v>2.4050952207479187E-2</v>
      </c>
    </row>
    <row r="43" spans="2:6" x14ac:dyDescent="0.25">
      <c r="B43">
        <f t="shared" si="4"/>
        <v>1</v>
      </c>
      <c r="C43" s="782">
        <f t="shared" si="0"/>
        <v>13.099019513592784</v>
      </c>
      <c r="D43" s="783">
        <f t="shared" si="1"/>
        <v>4.7454363309280621E-2</v>
      </c>
      <c r="E43" s="784">
        <f t="shared" si="2"/>
        <v>4.116474020631463E-2</v>
      </c>
      <c r="F43" s="785">
        <f t="shared" si="3"/>
        <v>1.9599467719408729E-2</v>
      </c>
    </row>
    <row r="44" spans="2:6" x14ac:dyDescent="0.25">
      <c r="B44">
        <f t="shared" si="4"/>
        <v>1.25</v>
      </c>
      <c r="C44" s="782">
        <f t="shared" si="0"/>
        <v>14.373774391990981</v>
      </c>
      <c r="D44" s="783">
        <f t="shared" si="1"/>
        <v>3.5820432713019143E-2</v>
      </c>
      <c r="E44" s="784">
        <f t="shared" si="2"/>
        <v>3.4863890619943209E-2</v>
      </c>
      <c r="F44" s="785">
        <f t="shared" si="3"/>
        <v>1.5971888828779434E-2</v>
      </c>
    </row>
    <row r="45" spans="2:6" x14ac:dyDescent="0.25">
      <c r="B45">
        <f t="shared" si="4"/>
        <v>1.5</v>
      </c>
      <c r="C45" s="782">
        <f t="shared" si="0"/>
        <v>15.648529270389176</v>
      </c>
      <c r="D45" s="783">
        <f t="shared" si="1"/>
        <v>2.5400490294384712E-2</v>
      </c>
      <c r="E45" s="784">
        <f t="shared" si="2"/>
        <v>2.8605536487675005E-2</v>
      </c>
      <c r="F45" s="785">
        <f t="shared" si="3"/>
        <v>1.3015722488538337E-2</v>
      </c>
    </row>
    <row r="46" spans="2:6" x14ac:dyDescent="0.25">
      <c r="B46">
        <f t="shared" si="4"/>
        <v>1.75</v>
      </c>
      <c r="C46" s="782">
        <f t="shared" si="0"/>
        <v>16.923284148787374</v>
      </c>
      <c r="D46" s="783">
        <f t="shared" si="1"/>
        <v>1.6920374318340318E-2</v>
      </c>
      <c r="E46" s="784">
        <f t="shared" si="2"/>
        <v>2.2500501010848325E-2</v>
      </c>
      <c r="F46" s="785">
        <f t="shared" si="3"/>
        <v>1.0606699916004153E-2</v>
      </c>
    </row>
    <row r="47" spans="2:6" x14ac:dyDescent="0.25">
      <c r="B47">
        <f t="shared" si="4"/>
        <v>2</v>
      </c>
      <c r="C47" s="782">
        <f t="shared" si="0"/>
        <v>18.198039027185569</v>
      </c>
      <c r="D47" s="783">
        <f t="shared" si="1"/>
        <v>1.058849968494156E-2</v>
      </c>
      <c r="E47" s="784">
        <f t="shared" si="2"/>
        <v>1.666627324349855E-2</v>
      </c>
      <c r="F47" s="785">
        <f t="shared" si="3"/>
        <v>8.6435526884682777E-3</v>
      </c>
    </row>
    <row r="48" spans="2:6" x14ac:dyDescent="0.25">
      <c r="B48">
        <f t="shared" si="4"/>
        <v>2.25</v>
      </c>
      <c r="C48" s="782">
        <f t="shared" si="0"/>
        <v>19.472793905583764</v>
      </c>
      <c r="D48" s="783">
        <f t="shared" si="1"/>
        <v>6.2246578486426681E-3</v>
      </c>
      <c r="E48" s="784">
        <f t="shared" si="2"/>
        <v>1.1238573832862787E-2</v>
      </c>
      <c r="F48" s="785">
        <f t="shared" si="3"/>
        <v>7.0437557081819407E-3</v>
      </c>
    </row>
    <row r="49" spans="2:6" x14ac:dyDescent="0.25">
      <c r="B49">
        <f t="shared" si="4"/>
        <v>2.5</v>
      </c>
      <c r="C49" s="782">
        <f t="shared" si="0"/>
        <v>20.747548783981962</v>
      </c>
      <c r="D49" s="783">
        <f t="shared" si="1"/>
        <v>3.4375825483393858E-3</v>
      </c>
      <c r="E49" s="784">
        <f t="shared" si="2"/>
        <v>6.3933258999749228E-3</v>
      </c>
      <c r="F49" s="785">
        <f t="shared" si="3"/>
        <v>5.7400580831465774E-3</v>
      </c>
    </row>
    <row r="50" spans="2:6" x14ac:dyDescent="0.25">
      <c r="B50">
        <f t="shared" si="4"/>
        <v>2.75</v>
      </c>
      <c r="C50" s="782">
        <f t="shared" si="0"/>
        <v>22.022303662380157</v>
      </c>
      <c r="D50" s="783">
        <f t="shared" si="1"/>
        <v>1.7833943324495538E-3</v>
      </c>
      <c r="E50" s="784">
        <f t="shared" si="2"/>
        <v>2.405156665219062E-3</v>
      </c>
      <c r="F50" s="785">
        <f t="shared" si="3"/>
        <v>4.677656091852259E-3</v>
      </c>
    </row>
    <row r="51" spans="2:6" ht="15.75" thickBot="1" x14ac:dyDescent="0.3">
      <c r="B51">
        <f t="shared" si="4"/>
        <v>3</v>
      </c>
      <c r="C51" s="786">
        <f t="shared" si="0"/>
        <v>23.297058540778352</v>
      </c>
      <c r="D51" s="787">
        <f t="shared" si="1"/>
        <v>8.6915698206758226E-4</v>
      </c>
      <c r="E51" s="788">
        <f t="shared" si="2"/>
        <v>0</v>
      </c>
      <c r="F51" s="789">
        <f t="shared" si="3"/>
        <v>3.8118893914829751E-3</v>
      </c>
    </row>
  </sheetData>
  <mergeCells count="1">
    <mergeCell ref="D25:F2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U22"/>
  <sheetViews>
    <sheetView zoomScale="70" zoomScaleNormal="70" workbookViewId="0">
      <selection activeCell="O56" sqref="O56"/>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893" t="s">
        <v>60</v>
      </c>
      <c r="G4" s="894"/>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895" t="s">
        <v>61</v>
      </c>
      <c r="S22" s="879"/>
      <c r="T22" s="879"/>
      <c r="U22" s="896"/>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Simple Example</vt:lpstr>
      <vt:lpstr>LMSR</vt:lpstr>
      <vt:lpstr>Scaled Claims</vt:lpstr>
      <vt:lpstr>Conditional Scaled</vt:lpstr>
      <vt:lpstr>MV Scaled</vt:lpstr>
      <vt:lpstr>LongVariability</vt:lpstr>
      <vt:lpstr>CounterfactualRefund</vt:lpstr>
      <vt:lpstr>Conditional Charity</vt:lpstr>
      <vt:lpstr>Changing b mid contract</vt:lpstr>
      <vt:lpstr>Insurance Fraud Experiments</vt:lpstr>
      <vt:lpstr>Some Accounting</vt:lpstr>
      <vt:lpstr>DistCalculator</vt:lpstr>
      <vt:lpstr>2x2 Update Calculator</vt:lpstr>
    </vt:vector>
  </TitlesOfParts>
  <Company>Faculty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2014-10-13T06:02:39Z</dcterms:modified>
</cp:coreProperties>
</file>