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2" i="1" l="1"/>
  <c r="F41" i="1"/>
  <c r="B9" i="1" l="1"/>
  <c r="B8" i="1"/>
  <c r="Q19" i="1"/>
  <c r="B18" i="1"/>
  <c r="B20" i="1" l="1"/>
  <c r="I16" i="1"/>
  <c r="R13" i="1" l="1"/>
  <c r="I13" i="1"/>
  <c r="I17" i="1"/>
  <c r="P19" i="1"/>
  <c r="R29" i="1"/>
  <c r="P30" i="1" s="1"/>
  <c r="I31" i="1"/>
  <c r="J31" i="1"/>
  <c r="K31" i="1"/>
  <c r="L31" i="1"/>
  <c r="M31" i="1"/>
  <c r="N31" i="1"/>
  <c r="O31" i="1"/>
  <c r="P31" i="1"/>
  <c r="I28" i="1"/>
  <c r="O18" i="1"/>
  <c r="I21" i="1"/>
  <c r="R27" i="1" l="1"/>
  <c r="K28" i="1" s="1"/>
  <c r="I24" i="1"/>
  <c r="I22" i="1"/>
  <c r="I20" i="1"/>
  <c r="H20" i="1"/>
  <c r="I12" i="1"/>
  <c r="I14" i="1" s="1"/>
  <c r="R11" i="1"/>
  <c r="J9" i="1"/>
  <c r="K9" i="1"/>
  <c r="L9" i="1"/>
  <c r="M9" i="1"/>
  <c r="N9" i="1"/>
  <c r="O9" i="1"/>
  <c r="P9" i="1"/>
  <c r="P10" i="1" s="1"/>
  <c r="K13" i="1"/>
  <c r="L13" i="1"/>
  <c r="M13" i="1"/>
  <c r="N13" i="1"/>
  <c r="O13" i="1"/>
  <c r="P13" i="1"/>
  <c r="K12" i="1"/>
  <c r="L14" i="1" s="1"/>
  <c r="P12" i="1"/>
  <c r="M12" i="1"/>
  <c r="N12" i="1"/>
  <c r="O12" i="1"/>
  <c r="O14" i="1" s="1"/>
  <c r="Q13" i="1"/>
  <c r="J13" i="1"/>
  <c r="L12" i="1"/>
  <c r="J12" i="1"/>
  <c r="K14" i="1" s="1"/>
  <c r="I9" i="1"/>
  <c r="I10" i="1" s="1"/>
  <c r="B16" i="1" l="1"/>
  <c r="O19" i="1"/>
  <c r="O20" i="1" s="1"/>
  <c r="N18" i="1"/>
  <c r="N19" i="1"/>
  <c r="N20" i="1" s="1"/>
  <c r="M18" i="1"/>
  <c r="M19" i="1"/>
  <c r="M20" i="1" s="1"/>
  <c r="L18" i="1"/>
  <c r="I18" i="1"/>
  <c r="I15" i="1"/>
  <c r="K19" i="1"/>
  <c r="K20" i="1" s="1"/>
  <c r="J18" i="1"/>
  <c r="L19" i="1"/>
  <c r="L20" i="1" s="1"/>
  <c r="K18" i="1"/>
  <c r="M14" i="1"/>
  <c r="L10" i="1"/>
  <c r="P14" i="1"/>
  <c r="M10" i="1"/>
  <c r="O10" i="1"/>
  <c r="K10" i="1"/>
  <c r="J19" i="1"/>
  <c r="J20" i="1" s="1"/>
  <c r="N14" i="1"/>
  <c r="N10" i="1"/>
  <c r="J10" i="1"/>
  <c r="Q20" i="1"/>
  <c r="Q14" i="1"/>
  <c r="P20" i="1"/>
  <c r="O15" i="1"/>
  <c r="N15" i="1"/>
  <c r="J15" i="1"/>
  <c r="M15" i="1"/>
  <c r="L15" i="1"/>
  <c r="K15" i="1"/>
  <c r="N28" i="1"/>
  <c r="J28" i="1"/>
  <c r="M28" i="1"/>
  <c r="P28" i="1"/>
  <c r="L28" i="1"/>
  <c r="O28" i="1"/>
  <c r="J14" i="1"/>
  <c r="R12" i="1"/>
  <c r="Y28" i="1" l="1"/>
  <c r="Z28" i="1"/>
  <c r="AA28" i="1" s="1"/>
  <c r="J21" i="1"/>
  <c r="R19" i="1"/>
  <c r="R20" i="1"/>
  <c r="U28" i="1"/>
  <c r="T28" i="1"/>
  <c r="R28" i="1"/>
  <c r="R15" i="1"/>
  <c r="R14" i="1"/>
  <c r="J24" i="1" l="1"/>
  <c r="J22" i="1"/>
  <c r="K21" i="1"/>
  <c r="V28" i="1"/>
  <c r="K24" i="1" l="1"/>
  <c r="K22" i="1"/>
  <c r="L21" i="1"/>
  <c r="R16" i="1"/>
  <c r="L24" i="1" l="1"/>
  <c r="M21" i="1"/>
  <c r="L22" i="1"/>
  <c r="N21" i="1" l="1"/>
  <c r="M22" i="1"/>
  <c r="M24" i="1"/>
  <c r="N24" i="1" l="1"/>
  <c r="O21" i="1"/>
  <c r="N22" i="1"/>
  <c r="O24" i="1" l="1"/>
  <c r="P21" i="1"/>
  <c r="O22" i="1"/>
  <c r="W28" i="1" l="1"/>
  <c r="X28" i="1" s="1"/>
  <c r="Q21" i="1"/>
  <c r="P22" i="1"/>
  <c r="AB28" i="1" s="1"/>
  <c r="AC28" i="1" s="1"/>
  <c r="P24" i="1"/>
  <c r="K30" i="1" l="1"/>
  <c r="I30" i="1"/>
  <c r="M30" i="1"/>
  <c r="J30" i="1"/>
  <c r="N30" i="1"/>
  <c r="L30" i="1"/>
  <c r="O30" i="1"/>
  <c r="R21" i="1"/>
  <c r="Q24" i="1"/>
  <c r="Q22" i="1"/>
  <c r="R22" i="1" s="1"/>
  <c r="AB30" i="1" l="1"/>
  <c r="W30" i="1"/>
  <c r="Z30" i="1"/>
  <c r="T30" i="1"/>
  <c r="Y30" i="1"/>
  <c r="U30" i="1"/>
  <c r="R30" i="1"/>
  <c r="V30" i="1" l="1"/>
  <c r="X30" i="1"/>
  <c r="AC30" i="1"/>
  <c r="AA30" i="1"/>
  <c r="F37" i="1" l="1"/>
  <c r="R31" i="1"/>
  <c r="N32" i="1" s="1"/>
  <c r="M32" i="1" l="1"/>
  <c r="I32" i="1"/>
  <c r="K32" i="1"/>
  <c r="L32" i="1"/>
  <c r="O32" i="1"/>
  <c r="J32" i="1"/>
  <c r="P32" i="1"/>
  <c r="Y32" i="1" l="1"/>
  <c r="T32" i="1"/>
  <c r="AB32" i="1"/>
  <c r="R32" i="1"/>
  <c r="Z32" i="1"/>
  <c r="U32" i="1"/>
  <c r="W32" i="1"/>
  <c r="AA32" i="1" l="1"/>
  <c r="X32" i="1"/>
  <c r="AC32" i="1"/>
  <c r="F38" i="1" s="1"/>
  <c r="F39" i="1" s="1"/>
  <c r="F40" i="1" s="1"/>
  <c r="V32" i="1"/>
</calcChain>
</file>

<file path=xl/sharedStrings.xml><?xml version="1.0" encoding="utf-8"?>
<sst xmlns="http://schemas.openxmlformats.org/spreadsheetml/2006/main" count="67" uniqueCount="48">
  <si>
    <t>Uniform</t>
  </si>
  <si>
    <t>Cost</t>
  </si>
  <si>
    <t>+INF</t>
  </si>
  <si>
    <t>Greater</t>
  </si>
  <si>
    <t>Less</t>
  </si>
  <si>
    <t>Weight</t>
  </si>
  <si>
    <t>Shares</t>
  </si>
  <si>
    <t>Market
Quantiles</t>
  </si>
  <si>
    <t>Private
Quantiles</t>
  </si>
  <si>
    <t>Private Benefit</t>
  </si>
  <si>
    <t>Market
Prices P(x&lt;X)</t>
  </si>
  <si>
    <t>Private
Prices P(x&lt;X)</t>
  </si>
  <si>
    <t>Market Benefit</t>
  </si>
  <si>
    <t>Market Return</t>
  </si>
  <si>
    <t>Private Return</t>
  </si>
  <si>
    <t>Midpoints</t>
  </si>
  <si>
    <t>Strike (X_raw)</t>
  </si>
  <si>
    <t>LogStrike Ln(X_raw)</t>
  </si>
  <si>
    <t>Reweighting*</t>
  </si>
  <si>
    <t>* Probably could use something for this, but safest to just ignore.</t>
  </si>
  <si>
    <t>-INF</t>
  </si>
  <si>
    <t>LESS (Betting on downward movement)</t>
  </si>
  <si>
    <t>GREATER (Betting on upward movement)</t>
  </si>
  <si>
    <t>Market Estimated Value</t>
  </si>
  <si>
    <t>Private Estimated Excess Return</t>
  </si>
  <si>
    <t>Private Estimated Value</t>
  </si>
  <si>
    <t>Private Return*</t>
  </si>
  <si>
    <t>h</t>
  </si>
  <si>
    <t>spent on shares</t>
  </si>
  <si>
    <t>return on shares</t>
  </si>
  <si>
    <t>share value</t>
  </si>
  <si>
    <t>porfolio return</t>
  </si>
  <si>
    <t>portfolio value (cash + sold)</t>
  </si>
  <si>
    <t>initial funds ($)</t>
  </si>
  <si>
    <t>Altered</t>
  </si>
  <si>
    <t>**</t>
  </si>
  <si>
    <t>Notice that in E41 I acheved the 'portfolio return' I aimed for in B18.</t>
  </si>
  <si>
    <t>*By law of one price, this should equal the expected appreciation. It does not, so we use hedging/leverage.</t>
  </si>
  <si>
    <t>Experimenting with continous variables, put-call parity, portfolio construction.</t>
  </si>
  <si>
    <t>Central Estimate</t>
  </si>
  <si>
    <t>** For similicity, I chose (4.2/4), so as to approximate something that should shift the quantiles over one column (and be a simple 5%).
You'll notice that the purple quantiles have not truly been subjectively input, and are merely shifted (with a leftmost zero and rightmost sum(a,b)).</t>
  </si>
  <si>
    <t>Prices
Post-Trade</t>
  </si>
  <si>
    <t>Relevant Markets</t>
  </si>
  <si>
    <t>Binomial Option Technique</t>
  </si>
  <si>
    <t>(Binomial Option Technique only works to the degree that someone can purchase the underlying, and conduct arbitrage, so I'm not sure if there will be any benefit (many idea-futures lack such arbitrage-opportunities, and commodities already have futures markets [and the US CFTC did not allow InTrade to offer commodity futures markets]).</t>
  </si>
  <si>
    <t>Market Prices
Pre-Trade</t>
  </si>
  <si>
    <t>Market Belief about Mean</t>
  </si>
  <si>
    <t>Private Belief about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</si>
</sst>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23" xfId="0" applyBorder="1" applyAlignment="1">
      <alignment horizontal="center" vertical="center"/>
    </xf>
    <xf numFmtId="0" fontId="0" fillId="0" borderId="1" xfId="0" applyBorder="1"/>
    <xf numFmtId="0" fontId="0" fillId="2" borderId="2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/>
    </xf>
    <xf numFmtId="10" fontId="0" fillId="0" borderId="22" xfId="0" applyNumberFormat="1" applyBorder="1"/>
    <xf numFmtId="10" fontId="0" fillId="0" borderId="2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3" borderId="29" xfId="0" applyFill="1" applyBorder="1" applyAlignment="1">
      <alignment horizontal="center"/>
    </xf>
    <xf numFmtId="0" fontId="0" fillId="0" borderId="30" xfId="0" applyBorder="1"/>
    <xf numFmtId="0" fontId="1" fillId="3" borderId="27" xfId="0" applyFont="1" applyFill="1" applyBorder="1" applyAlignment="1">
      <alignment horizontal="center"/>
    </xf>
    <xf numFmtId="0" fontId="0" fillId="2" borderId="28" xfId="0" applyFill="1" applyBorder="1"/>
    <xf numFmtId="9" fontId="0" fillId="0" borderId="0" xfId="0" applyNumberFormat="1" applyAlignment="1">
      <alignment horizontal="left"/>
    </xf>
    <xf numFmtId="0" fontId="0" fillId="0" borderId="31" xfId="0" applyBorder="1"/>
    <xf numFmtId="0" fontId="0" fillId="0" borderId="13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165" fontId="0" fillId="0" borderId="12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left" indent="5"/>
    </xf>
    <xf numFmtId="0" fontId="3" fillId="0" borderId="0" xfId="0" applyFont="1"/>
    <xf numFmtId="0" fontId="1" fillId="3" borderId="2" xfId="0" applyFont="1" applyFill="1" applyBorder="1"/>
    <xf numFmtId="0" fontId="1" fillId="5" borderId="2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5" fontId="0" fillId="3" borderId="27" xfId="0" applyNumberFormat="1" applyFill="1" applyBorder="1" applyAlignment="1">
      <alignment horizontal="center"/>
    </xf>
    <xf numFmtId="166" fontId="1" fillId="4" borderId="27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0" xfId="0" applyFill="1"/>
    <xf numFmtId="0" fontId="0" fillId="0" borderId="14" xfId="0" applyBorder="1"/>
    <xf numFmtId="0" fontId="0" fillId="2" borderId="36" xfId="0" quotePrefix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9" xfId="0" applyBorder="1"/>
    <xf numFmtId="0" fontId="0" fillId="0" borderId="25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P(x between this and left-neighbor-value, zero not shown)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P(x between this and right neighbor-value)</c:v>
          </c:tx>
          <c:invertIfNegative val="0"/>
          <c:cat>
            <c:strRef>
              <c:f>Sheet1!$I$8:$Q$8</c:f>
              <c:strCache>
                <c:ptCount val="9"/>
                <c:pt idx="0">
                  <c:v>3.2</c:v>
                </c:pt>
                <c:pt idx="1">
                  <c:v>3.4</c:v>
                </c:pt>
                <c:pt idx="2">
                  <c:v>3.6</c:v>
                </c:pt>
                <c:pt idx="3">
                  <c:v>3.8</c:v>
                </c:pt>
                <c:pt idx="4">
                  <c:v>4</c:v>
                </c:pt>
                <c:pt idx="5">
                  <c:v>4.2</c:v>
                </c:pt>
                <c:pt idx="6">
                  <c:v>4.4</c:v>
                </c:pt>
                <c:pt idx="7">
                  <c:v>4.6</c:v>
                </c:pt>
                <c:pt idx="8">
                  <c:v>+INF</c:v>
                </c:pt>
              </c:strCache>
            </c:strRef>
          </c:cat>
          <c:val>
            <c:numRef>
              <c:f>Sheet1!$I$13:$Q$13</c:f>
              <c:numCache>
                <c:formatCode>General</c:formatCode>
                <c:ptCount val="9"/>
                <c:pt idx="0">
                  <c:v>0.03</c:v>
                </c:pt>
                <c:pt idx="1">
                  <c:v>0.1</c:v>
                </c:pt>
                <c:pt idx="2">
                  <c:v>0.12</c:v>
                </c:pt>
                <c:pt idx="3">
                  <c:v>0.15000000000000002</c:v>
                </c:pt>
                <c:pt idx="4">
                  <c:v>0.19999999999999996</c:v>
                </c:pt>
                <c:pt idx="5">
                  <c:v>0.15000000000000002</c:v>
                </c:pt>
                <c:pt idx="6">
                  <c:v>0.12</c:v>
                </c:pt>
                <c:pt idx="7">
                  <c:v>9.9999999999999978E-2</c:v>
                </c:pt>
                <c:pt idx="8">
                  <c:v>3.0000000000000027E-2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42560"/>
        <c:axId val="155044096"/>
      </c:barChart>
      <c:catAx>
        <c:axId val="1550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44096"/>
        <c:crosses val="autoZero"/>
        <c:auto val="1"/>
        <c:lblAlgn val="ctr"/>
        <c:lblOffset val="100"/>
        <c:noMultiLvlLbl val="0"/>
      </c:catAx>
      <c:valAx>
        <c:axId val="1550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4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537879</xdr:colOff>
      <xdr:row>0</xdr:row>
      <xdr:rowOff>179294</xdr:rowOff>
    </xdr:from>
    <xdr:to>
      <xdr:col>24</xdr:col>
      <xdr:colOff>22410</xdr:colOff>
      <xdr:row>13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tabSelected="1" zoomScale="85" zoomScaleNormal="85" workbookViewId="0">
      <selection activeCell="Q37" sqref="Q37"/>
    </sheetView>
  </sheetViews>
  <sheetFormatPr defaultRowHeight="15" x14ac:dyDescent="0.25"/>
  <cols>
    <col min="2" max="2" width="30.7109375" customWidth="1"/>
    <col min="3" max="3" width="10" customWidth="1"/>
    <col min="5" max="5" width="12.85546875" customWidth="1"/>
    <col min="6" max="6" width="19.42578125" customWidth="1"/>
    <col min="7" max="7" width="21.42578125" customWidth="1"/>
    <col min="18" max="18" width="13.140625" customWidth="1"/>
    <col min="19" max="19" width="13.28515625" customWidth="1"/>
    <col min="20" max="20" width="9.28515625" customWidth="1"/>
    <col min="21" max="21" width="18.140625" customWidth="1"/>
    <col min="22" max="24" width="16" customWidth="1"/>
    <col min="25" max="25" width="10.42578125" customWidth="1"/>
    <col min="26" max="26" width="16.140625" customWidth="1"/>
    <col min="27" max="27" width="14.28515625" customWidth="1"/>
    <col min="28" max="29" width="15" customWidth="1"/>
  </cols>
  <sheetData>
    <row r="2" spans="1:25" ht="21" x14ac:dyDescent="0.35">
      <c r="F2" s="70" t="s">
        <v>38</v>
      </c>
    </row>
    <row r="3" spans="1:25" ht="15" customHeight="1" x14ac:dyDescent="0.25">
      <c r="F3" s="107" t="s">
        <v>44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93"/>
      <c r="T3" s="93"/>
      <c r="U3" s="93"/>
    </row>
    <row r="4" spans="1:25" x14ac:dyDescent="0.25"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93"/>
      <c r="T4" s="93"/>
      <c r="U4" s="93"/>
    </row>
    <row r="5" spans="1:25" x14ac:dyDescent="0.25"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7" spans="1:25" x14ac:dyDescent="0.25">
      <c r="H7" s="78"/>
      <c r="L7" s="1"/>
      <c r="R7" s="1"/>
    </row>
    <row r="8" spans="1:25" x14ac:dyDescent="0.25">
      <c r="B8" s="49" t="str">
        <f>COUNT(I11:P11)&amp;" Markets"</f>
        <v>8 Markets</v>
      </c>
      <c r="D8" s="101" t="s">
        <v>42</v>
      </c>
      <c r="E8" s="102"/>
      <c r="F8" s="77"/>
      <c r="G8" s="79" t="s">
        <v>16</v>
      </c>
      <c r="H8" s="80">
        <v>0</v>
      </c>
      <c r="I8" s="81">
        <v>3.2</v>
      </c>
      <c r="J8" s="81">
        <v>3.4</v>
      </c>
      <c r="K8" s="81">
        <v>3.6</v>
      </c>
      <c r="L8" s="81">
        <v>3.8</v>
      </c>
      <c r="M8" s="81">
        <v>4</v>
      </c>
      <c r="N8" s="81">
        <v>4.2</v>
      </c>
      <c r="O8" s="81">
        <v>4.4000000000000004</v>
      </c>
      <c r="P8" s="81">
        <v>4.5999999999999996</v>
      </c>
      <c r="Q8" s="80" t="s">
        <v>2</v>
      </c>
      <c r="R8" s="82"/>
    </row>
    <row r="9" spans="1:25" x14ac:dyDescent="0.25">
      <c r="B9" s="49" t="str">
        <f>COUNT(I13:Q13)&amp;" Partitions"</f>
        <v>9 Partitions</v>
      </c>
      <c r="D9" s="103"/>
      <c r="E9" s="104"/>
      <c r="F9" s="56"/>
      <c r="G9" s="29" t="s">
        <v>17</v>
      </c>
      <c r="H9" s="83" t="s">
        <v>20</v>
      </c>
      <c r="I9" s="16">
        <f>LN(I8)</f>
        <v>1.1631508098056809</v>
      </c>
      <c r="J9" s="16">
        <f t="shared" ref="J9:P9" si="0">LN(J8)</f>
        <v>1.2237754316221157</v>
      </c>
      <c r="K9" s="16">
        <f t="shared" si="0"/>
        <v>1.2809338454620642</v>
      </c>
      <c r="L9" s="16">
        <f t="shared" si="0"/>
        <v>1.33500106673234</v>
      </c>
      <c r="M9" s="16">
        <f t="shared" si="0"/>
        <v>1.3862943611198906</v>
      </c>
      <c r="N9" s="16">
        <f t="shared" si="0"/>
        <v>1.4350845252893227</v>
      </c>
      <c r="O9" s="16">
        <f t="shared" si="0"/>
        <v>1.4816045409242156</v>
      </c>
      <c r="P9" s="16">
        <f t="shared" si="0"/>
        <v>1.5260563034950492</v>
      </c>
      <c r="Q9" s="83" t="s">
        <v>2</v>
      </c>
      <c r="R9" s="84"/>
    </row>
    <row r="10" spans="1:25" ht="15.75" thickBot="1" x14ac:dyDescent="0.3">
      <c r="D10" s="105"/>
      <c r="E10" s="106"/>
      <c r="F10" s="91"/>
      <c r="G10" s="50" t="s">
        <v>15</v>
      </c>
      <c r="H10" s="48" t="s">
        <v>20</v>
      </c>
      <c r="I10" s="9">
        <f t="shared" ref="I10:P10" si="1">IFERROR(AVERAGE(I9:J9),"")</f>
        <v>1.1934631207138984</v>
      </c>
      <c r="J10" s="9">
        <f t="shared" si="1"/>
        <v>1.2523546385420898</v>
      </c>
      <c r="K10" s="9">
        <f t="shared" si="1"/>
        <v>1.3079674560972021</v>
      </c>
      <c r="L10" s="9">
        <f t="shared" si="1"/>
        <v>1.3606477139261153</v>
      </c>
      <c r="M10" s="9">
        <f t="shared" si="1"/>
        <v>1.4106894432046067</v>
      </c>
      <c r="N10" s="9">
        <f t="shared" si="1"/>
        <v>1.4583445331067693</v>
      </c>
      <c r="O10" s="9">
        <f t="shared" si="1"/>
        <v>1.5038304222096324</v>
      </c>
      <c r="P10" s="9">
        <f t="shared" si="1"/>
        <v>1.5260563034950492</v>
      </c>
      <c r="Q10" s="48" t="s">
        <v>2</v>
      </c>
      <c r="R10" s="6"/>
    </row>
    <row r="11" spans="1:25" ht="16.5" customHeight="1" thickTop="1" thickBot="1" x14ac:dyDescent="0.3">
      <c r="D11" s="95" t="s">
        <v>45</v>
      </c>
      <c r="E11" s="96"/>
      <c r="F11" s="117" t="s">
        <v>10</v>
      </c>
      <c r="G11" s="7" t="s">
        <v>4</v>
      </c>
      <c r="H11" s="7">
        <v>0</v>
      </c>
      <c r="I11" s="66">
        <v>0.03</v>
      </c>
      <c r="J11" s="67">
        <v>0.13</v>
      </c>
      <c r="K11" s="67">
        <v>0.25</v>
      </c>
      <c r="L11" s="67">
        <v>0.4</v>
      </c>
      <c r="M11" s="67">
        <v>0.6</v>
      </c>
      <c r="N11" s="67">
        <v>0.75</v>
      </c>
      <c r="O11" s="67">
        <v>0.87</v>
      </c>
      <c r="P11" s="68">
        <v>0.97</v>
      </c>
      <c r="Q11" s="2">
        <v>1</v>
      </c>
      <c r="R11" s="47">
        <f>AVERAGE(H11:Q11)</f>
        <v>0.5</v>
      </c>
    </row>
    <row r="12" spans="1:25" ht="15.75" thickBot="1" x14ac:dyDescent="0.3">
      <c r="D12" s="97"/>
      <c r="E12" s="98"/>
      <c r="F12" s="118"/>
      <c r="G12" s="4" t="s">
        <v>3</v>
      </c>
      <c r="H12" s="4">
        <v>1</v>
      </c>
      <c r="I12" s="5">
        <f>1-I11</f>
        <v>0.97</v>
      </c>
      <c r="J12" s="5">
        <f t="shared" ref="J12:K12" si="2">1-J11</f>
        <v>0.87</v>
      </c>
      <c r="K12" s="5">
        <f t="shared" si="2"/>
        <v>0.75</v>
      </c>
      <c r="L12" s="5">
        <f t="shared" ref="L12" si="3">1-L11</f>
        <v>0.6</v>
      </c>
      <c r="M12" s="5">
        <f>1-M11</f>
        <v>0.4</v>
      </c>
      <c r="N12" s="5">
        <f>1-N11</f>
        <v>0.25</v>
      </c>
      <c r="O12" s="5">
        <f>1-O11</f>
        <v>0.13</v>
      </c>
      <c r="P12" s="5">
        <f>1-P11</f>
        <v>3.0000000000000027E-2</v>
      </c>
      <c r="Q12" s="6">
        <v>0</v>
      </c>
      <c r="R12" s="13">
        <f>AVERAGE(H12:Q12)</f>
        <v>0.5</v>
      </c>
    </row>
    <row r="13" spans="1:25" ht="16.5" customHeight="1" thickTop="1" x14ac:dyDescent="0.25">
      <c r="A13" s="10"/>
      <c r="B13" s="10"/>
      <c r="D13" s="97"/>
      <c r="E13" s="98"/>
      <c r="F13" s="120" t="s">
        <v>7</v>
      </c>
      <c r="G13" s="7" t="s">
        <v>4</v>
      </c>
      <c r="H13" s="7">
        <v>0</v>
      </c>
      <c r="I13" s="9">
        <f>I11-H11</f>
        <v>0.03</v>
      </c>
      <c r="J13" s="9">
        <f>J11-I11</f>
        <v>0.1</v>
      </c>
      <c r="K13" s="9">
        <f t="shared" ref="K13:P13" si="4">K11-J11</f>
        <v>0.12</v>
      </c>
      <c r="L13" s="9">
        <f t="shared" si="4"/>
        <v>0.15000000000000002</v>
      </c>
      <c r="M13" s="9">
        <f t="shared" si="4"/>
        <v>0.19999999999999996</v>
      </c>
      <c r="N13" s="9">
        <f t="shared" si="4"/>
        <v>0.15000000000000002</v>
      </c>
      <c r="O13" s="9">
        <f t="shared" si="4"/>
        <v>0.12</v>
      </c>
      <c r="P13" s="9">
        <f t="shared" si="4"/>
        <v>9.9999999999999978E-2</v>
      </c>
      <c r="Q13" s="9">
        <f>Q11-P11</f>
        <v>3.0000000000000027E-2</v>
      </c>
      <c r="R13" s="12">
        <f>SUM(I13:Q13)</f>
        <v>1</v>
      </c>
      <c r="S13" s="10"/>
    </row>
    <row r="14" spans="1:25" ht="16.5" customHeight="1" thickBot="1" x14ac:dyDescent="0.3">
      <c r="A14" s="10"/>
      <c r="B14" s="10"/>
      <c r="C14" s="10"/>
      <c r="D14" s="99"/>
      <c r="E14" s="100"/>
      <c r="F14" s="121"/>
      <c r="G14" s="4" t="s">
        <v>3</v>
      </c>
      <c r="H14" s="4">
        <v>0</v>
      </c>
      <c r="I14" s="5">
        <f>H12-I12</f>
        <v>3.0000000000000027E-2</v>
      </c>
      <c r="J14" s="5">
        <f t="shared" ref="J14:P14" si="5">I12-J12</f>
        <v>9.9999999999999978E-2</v>
      </c>
      <c r="K14" s="5">
        <f t="shared" si="5"/>
        <v>0.12</v>
      </c>
      <c r="L14" s="5">
        <f t="shared" si="5"/>
        <v>0.15000000000000002</v>
      </c>
      <c r="M14" s="5">
        <f t="shared" si="5"/>
        <v>0.19999999999999996</v>
      </c>
      <c r="N14" s="5">
        <f t="shared" si="5"/>
        <v>0.15000000000000002</v>
      </c>
      <c r="O14" s="5">
        <f t="shared" si="5"/>
        <v>0.12</v>
      </c>
      <c r="P14" s="5">
        <f t="shared" si="5"/>
        <v>9.9999999999999978E-2</v>
      </c>
      <c r="Q14" s="5">
        <f>P12-Q12</f>
        <v>3.0000000000000027E-2</v>
      </c>
      <c r="R14" s="14">
        <f>SUM(I14:Q14)</f>
        <v>1</v>
      </c>
      <c r="S14" s="10"/>
    </row>
    <row r="15" spans="1:25" ht="20.25" customHeight="1" thickTop="1" thickBot="1" x14ac:dyDescent="0.3">
      <c r="A15" s="10"/>
      <c r="B15" s="52" t="s">
        <v>23</v>
      </c>
      <c r="D15" s="108" t="s">
        <v>46</v>
      </c>
      <c r="E15" s="109"/>
      <c r="F15" s="85" t="s">
        <v>18</v>
      </c>
      <c r="G15" s="7"/>
      <c r="H15" s="7"/>
      <c r="I15" s="9">
        <f t="shared" ref="I15:O15" si="6">I13/SUM($I$13:$O$13)</f>
        <v>3.4482758620689655E-2</v>
      </c>
      <c r="J15" s="9">
        <f t="shared" si="6"/>
        <v>0.1149425287356322</v>
      </c>
      <c r="K15" s="9">
        <f t="shared" si="6"/>
        <v>0.13793103448275862</v>
      </c>
      <c r="L15" s="9">
        <f t="shared" si="6"/>
        <v>0.17241379310344832</v>
      </c>
      <c r="M15" s="9">
        <f t="shared" si="6"/>
        <v>0.22988505747126431</v>
      </c>
      <c r="N15" s="9">
        <f t="shared" si="6"/>
        <v>0.17241379310344832</v>
      </c>
      <c r="O15" s="9">
        <f t="shared" si="6"/>
        <v>0.13793103448275862</v>
      </c>
      <c r="P15" s="9"/>
      <c r="Q15" s="9"/>
      <c r="R15" s="2">
        <f>SUM(I15:O15)</f>
        <v>1</v>
      </c>
      <c r="S15" s="10" t="s">
        <v>19</v>
      </c>
      <c r="Y15" s="10"/>
    </row>
    <row r="16" spans="1:25" ht="15.75" thickBot="1" x14ac:dyDescent="0.3">
      <c r="A16" s="10"/>
      <c r="B16" s="75">
        <f>EXP(I16)</f>
        <v>3.9879067517565376</v>
      </c>
      <c r="C16" s="92"/>
      <c r="D16" s="110"/>
      <c r="E16" s="111"/>
      <c r="F16" s="86" t="s">
        <v>39</v>
      </c>
      <c r="G16" s="54"/>
      <c r="H16" s="54"/>
      <c r="I16" s="71">
        <f>SUMPRODUCT(I10:O10,I15:O15)</f>
        <v>1.3832664696187358</v>
      </c>
      <c r="J16" s="11"/>
      <c r="K16" s="11"/>
      <c r="L16" s="11"/>
      <c r="M16" s="11"/>
      <c r="N16" s="11"/>
      <c r="O16" s="11"/>
      <c r="P16" s="11"/>
      <c r="Q16" s="11"/>
      <c r="R16" s="6">
        <f>SUM(I16:O16)</f>
        <v>1.3832664696187358</v>
      </c>
      <c r="S16" s="11"/>
      <c r="Y16" s="10"/>
    </row>
    <row r="17" spans="1:29" ht="16.5" customHeight="1" thickBot="1" x14ac:dyDescent="0.3">
      <c r="A17" s="10"/>
      <c r="B17" s="52" t="s">
        <v>24</v>
      </c>
      <c r="D17" s="108" t="s">
        <v>47</v>
      </c>
      <c r="E17" s="109"/>
      <c r="F17" s="87" t="s">
        <v>39</v>
      </c>
      <c r="G17" s="20"/>
      <c r="H17" s="20"/>
      <c r="I17" s="46">
        <f>LN(B20)</f>
        <v>1.4320566337881677</v>
      </c>
      <c r="J17" s="10"/>
      <c r="K17" s="10"/>
      <c r="L17" s="10"/>
      <c r="M17" s="10"/>
      <c r="N17" s="10"/>
      <c r="O17" s="10"/>
      <c r="P17" s="10"/>
      <c r="Q17" s="10"/>
      <c r="R17" s="2"/>
      <c r="S17" s="10"/>
      <c r="Y17" s="10"/>
    </row>
    <row r="18" spans="1:29" ht="15.75" thickBot="1" x14ac:dyDescent="0.3">
      <c r="A18" s="10"/>
      <c r="B18" s="76">
        <f>(N8-M8)/M8</f>
        <v>5.0000000000000044E-2</v>
      </c>
      <c r="C18" t="s">
        <v>35</v>
      </c>
      <c r="D18" s="110"/>
      <c r="E18" s="111"/>
      <c r="F18" s="85" t="s">
        <v>18</v>
      </c>
      <c r="G18" s="19"/>
      <c r="H18" s="19"/>
      <c r="I18" s="51">
        <f>I13/SUM($I$13:$O$13)</f>
        <v>3.4482758620689655E-2</v>
      </c>
      <c r="J18" s="5">
        <f t="shared" ref="J18:N18" si="7">J13/SUM($I$13:$O$13)</f>
        <v>0.1149425287356322</v>
      </c>
      <c r="K18" s="5">
        <f t="shared" si="7"/>
        <v>0.13793103448275862</v>
      </c>
      <c r="L18" s="5">
        <f t="shared" si="7"/>
        <v>0.17241379310344832</v>
      </c>
      <c r="M18" s="5">
        <f t="shared" si="7"/>
        <v>0.22988505747126431</v>
      </c>
      <c r="N18" s="5">
        <f t="shared" si="7"/>
        <v>0.17241379310344832</v>
      </c>
      <c r="O18" s="32">
        <f>O13/SUM($I$13:$O$13)</f>
        <v>0.13793103448275862</v>
      </c>
      <c r="P18" s="11"/>
      <c r="Q18" s="11"/>
      <c r="R18" s="6"/>
      <c r="S18" s="10"/>
      <c r="Y18" s="10"/>
    </row>
    <row r="19" spans="1:29" ht="16.5" thickTop="1" thickBot="1" x14ac:dyDescent="0.3">
      <c r="A19" s="10"/>
      <c r="B19" s="52" t="s">
        <v>25</v>
      </c>
      <c r="D19" s="95" t="s">
        <v>41</v>
      </c>
      <c r="E19" s="96"/>
      <c r="F19" s="115" t="s">
        <v>8</v>
      </c>
      <c r="G19" s="7" t="s">
        <v>4</v>
      </c>
      <c r="H19" s="7">
        <v>0</v>
      </c>
      <c r="I19" s="72">
        <v>0</v>
      </c>
      <c r="J19" s="73">
        <f>I13</f>
        <v>0.03</v>
      </c>
      <c r="K19" s="73">
        <f t="shared" ref="K19:O19" si="8">J13</f>
        <v>0.1</v>
      </c>
      <c r="L19" s="73">
        <f t="shared" si="8"/>
        <v>0.12</v>
      </c>
      <c r="M19" s="73">
        <f t="shared" si="8"/>
        <v>0.15000000000000002</v>
      </c>
      <c r="N19" s="73">
        <f t="shared" si="8"/>
        <v>0.19999999999999996</v>
      </c>
      <c r="O19" s="73">
        <f t="shared" si="8"/>
        <v>0.15000000000000002</v>
      </c>
      <c r="P19" s="73">
        <f>O13</f>
        <v>0.12</v>
      </c>
      <c r="Q19" s="74">
        <f>SUM(P13:Q13)</f>
        <v>0.13</v>
      </c>
      <c r="R19" s="2">
        <f>SUM(I19:Q19)</f>
        <v>1</v>
      </c>
      <c r="T19" s="1"/>
      <c r="U19" s="1"/>
      <c r="V19" s="1"/>
      <c r="W19" s="1"/>
      <c r="X19" s="1"/>
      <c r="Y19" s="16"/>
      <c r="Z19" s="3"/>
      <c r="AA19" s="3"/>
      <c r="AB19" s="3"/>
    </row>
    <row r="20" spans="1:29" ht="15.75" thickBot="1" x14ac:dyDescent="0.3">
      <c r="B20" s="53">
        <f>B16*(1+B18)</f>
        <v>4.1873020893443647</v>
      </c>
      <c r="D20" s="97"/>
      <c r="E20" s="98"/>
      <c r="F20" s="116"/>
      <c r="G20" s="4" t="s">
        <v>3</v>
      </c>
      <c r="H20" s="4">
        <f>H19</f>
        <v>0</v>
      </c>
      <c r="I20" s="22">
        <f t="shared" ref="I20:Q20" si="9">I19</f>
        <v>0</v>
      </c>
      <c r="J20" s="22">
        <f>J19</f>
        <v>0.03</v>
      </c>
      <c r="K20" s="22">
        <f t="shared" si="9"/>
        <v>0.1</v>
      </c>
      <c r="L20" s="22">
        <f t="shared" si="9"/>
        <v>0.12</v>
      </c>
      <c r="M20" s="22">
        <f t="shared" si="9"/>
        <v>0.15000000000000002</v>
      </c>
      <c r="N20" s="22">
        <f t="shared" si="9"/>
        <v>0.19999999999999996</v>
      </c>
      <c r="O20" s="22">
        <f t="shared" si="9"/>
        <v>0.15000000000000002</v>
      </c>
      <c r="P20" s="22">
        <f t="shared" si="9"/>
        <v>0.12</v>
      </c>
      <c r="Q20" s="23">
        <f t="shared" si="9"/>
        <v>0.13</v>
      </c>
      <c r="R20" s="6">
        <f>SUM(I20:Q20)</f>
        <v>1</v>
      </c>
      <c r="T20" s="1"/>
      <c r="U20" s="1"/>
      <c r="V20" s="1"/>
      <c r="W20" s="1"/>
      <c r="X20" s="1"/>
      <c r="Y20" s="16"/>
      <c r="Z20" s="3"/>
      <c r="AA20" s="3"/>
      <c r="AB20" s="3"/>
    </row>
    <row r="21" spans="1:29" x14ac:dyDescent="0.25">
      <c r="D21" s="97"/>
      <c r="E21" s="98"/>
      <c r="F21" s="117" t="s">
        <v>11</v>
      </c>
      <c r="G21" s="7" t="s">
        <v>4</v>
      </c>
      <c r="H21" s="7">
        <v>0</v>
      </c>
      <c r="I21" s="9">
        <f>I19+H21</f>
        <v>0</v>
      </c>
      <c r="J21" s="9">
        <f>J19+I21</f>
        <v>0.03</v>
      </c>
      <c r="K21" s="9">
        <f t="shared" ref="K21:P21" si="10">K19+J21</f>
        <v>0.13</v>
      </c>
      <c r="L21" s="9">
        <f t="shared" si="10"/>
        <v>0.25</v>
      </c>
      <c r="M21" s="9">
        <f t="shared" si="10"/>
        <v>0.4</v>
      </c>
      <c r="N21" s="9">
        <f t="shared" si="10"/>
        <v>0.6</v>
      </c>
      <c r="O21" s="9">
        <f t="shared" si="10"/>
        <v>0.75</v>
      </c>
      <c r="P21" s="9">
        <f t="shared" si="10"/>
        <v>0.87</v>
      </c>
      <c r="Q21" s="31">
        <f t="shared" ref="Q21" si="11">Q19+P21</f>
        <v>1</v>
      </c>
      <c r="R21" s="21">
        <f>AVERAGE(H21:Q21)</f>
        <v>0.40300000000000002</v>
      </c>
      <c r="T21" s="1"/>
      <c r="U21" s="1"/>
      <c r="V21" s="1"/>
      <c r="W21" s="1"/>
      <c r="X21" s="1"/>
      <c r="Y21" s="1"/>
      <c r="Z21" s="3"/>
      <c r="AA21" s="3"/>
      <c r="AB21" s="3"/>
    </row>
    <row r="22" spans="1:29" x14ac:dyDescent="0.25">
      <c r="D22" s="99"/>
      <c r="E22" s="100"/>
      <c r="F22" s="119"/>
      <c r="G22" s="88" t="s">
        <v>3</v>
      </c>
      <c r="H22" s="88">
        <v>1</v>
      </c>
      <c r="I22" s="89">
        <f>1-I21</f>
        <v>1</v>
      </c>
      <c r="J22" s="89">
        <f t="shared" ref="J22:O22" si="12">1-J21</f>
        <v>0.97</v>
      </c>
      <c r="K22" s="89">
        <f t="shared" si="12"/>
        <v>0.87</v>
      </c>
      <c r="L22" s="89">
        <f t="shared" si="12"/>
        <v>0.75</v>
      </c>
      <c r="M22" s="89">
        <f t="shared" si="12"/>
        <v>0.6</v>
      </c>
      <c r="N22" s="89">
        <f t="shared" si="12"/>
        <v>0.4</v>
      </c>
      <c r="O22" s="89">
        <f t="shared" si="12"/>
        <v>0.25</v>
      </c>
      <c r="P22" s="89">
        <f>1-P21</f>
        <v>0.13</v>
      </c>
      <c r="Q22" s="90">
        <f>1-Q21</f>
        <v>0</v>
      </c>
      <c r="R22" s="30">
        <f>AVERAGE(H22:Q22)</f>
        <v>0.59699999999999998</v>
      </c>
      <c r="T22" s="1"/>
      <c r="U22" s="1"/>
      <c r="V22" s="1"/>
      <c r="W22" s="1"/>
      <c r="X22" s="1"/>
      <c r="Y22" s="1"/>
      <c r="Z22" s="3"/>
      <c r="AA22" s="3"/>
      <c r="AB22" s="3"/>
    </row>
    <row r="23" spans="1:29" ht="15.75" thickBot="1" x14ac:dyDescent="0.3">
      <c r="C23" s="69"/>
      <c r="H23" s="1"/>
      <c r="I23" s="1"/>
      <c r="J23" s="1"/>
      <c r="K23" s="1"/>
      <c r="L23" s="1"/>
      <c r="M23" s="1"/>
      <c r="N23" s="1"/>
      <c r="O23" s="1"/>
      <c r="P23" s="1"/>
      <c r="Q23" s="1"/>
      <c r="R23" s="8"/>
      <c r="T23" s="1"/>
      <c r="U23" s="1"/>
      <c r="V23" s="1"/>
      <c r="W23" s="1"/>
      <c r="X23" s="1"/>
      <c r="Y23" s="1"/>
      <c r="Z23" s="3"/>
      <c r="AA23" s="3"/>
      <c r="AB23" s="3"/>
    </row>
    <row r="24" spans="1:29" ht="15" customHeight="1" x14ac:dyDescent="0.25">
      <c r="B24" s="94" t="s">
        <v>40</v>
      </c>
      <c r="H24" s="1"/>
      <c r="I24" s="1">
        <f t="shared" ref="I24:Q24" si="13">I21-I11</f>
        <v>-0.03</v>
      </c>
      <c r="J24" s="1">
        <f t="shared" si="13"/>
        <v>-0.1</v>
      </c>
      <c r="K24" s="1">
        <f t="shared" si="13"/>
        <v>-0.12</v>
      </c>
      <c r="L24" s="1">
        <f t="shared" si="13"/>
        <v>-0.15000000000000002</v>
      </c>
      <c r="M24" s="1">
        <f t="shared" si="13"/>
        <v>-0.19999999999999996</v>
      </c>
      <c r="N24" s="1">
        <f t="shared" si="13"/>
        <v>-0.15000000000000002</v>
      </c>
      <c r="O24" s="1">
        <f t="shared" si="13"/>
        <v>-0.12</v>
      </c>
      <c r="P24" s="1">
        <f t="shared" si="13"/>
        <v>-9.9999999999999978E-2</v>
      </c>
      <c r="Q24" s="1">
        <f t="shared" si="13"/>
        <v>0</v>
      </c>
      <c r="R24" s="8"/>
      <c r="T24" s="122" t="s">
        <v>21</v>
      </c>
      <c r="U24" s="123"/>
      <c r="V24" s="123"/>
      <c r="W24" s="123"/>
      <c r="X24" s="124"/>
      <c r="Y24" s="122" t="s">
        <v>22</v>
      </c>
      <c r="Z24" s="123"/>
      <c r="AA24" s="123"/>
      <c r="AB24" s="123"/>
      <c r="AC24" s="124"/>
    </row>
    <row r="25" spans="1:29" ht="15.75" thickBot="1" x14ac:dyDescent="0.3">
      <c r="B25" s="94"/>
      <c r="H25" s="1"/>
      <c r="I25" s="1"/>
      <c r="J25" s="1"/>
      <c r="K25" s="1"/>
      <c r="L25" s="1"/>
      <c r="M25" s="1"/>
      <c r="N25" s="1"/>
      <c r="O25" s="1"/>
      <c r="P25" s="1"/>
      <c r="Q25" s="1"/>
      <c r="R25" s="8"/>
      <c r="T25" s="125"/>
      <c r="U25" s="126"/>
      <c r="V25" s="126"/>
      <c r="W25" s="126"/>
      <c r="X25" s="127"/>
      <c r="Y25" s="125"/>
      <c r="Z25" s="126"/>
      <c r="AA25" s="126"/>
      <c r="AB25" s="126"/>
      <c r="AC25" s="127"/>
    </row>
    <row r="26" spans="1:29" x14ac:dyDescent="0.25">
      <c r="B26" s="94"/>
      <c r="H26" s="1"/>
      <c r="I26" s="1"/>
      <c r="J26" s="1"/>
      <c r="K26" s="1"/>
      <c r="L26" s="1"/>
      <c r="M26" s="1"/>
      <c r="N26" s="1"/>
      <c r="O26" s="1"/>
      <c r="P26" s="1"/>
      <c r="Q26" s="1"/>
      <c r="R26" s="8"/>
      <c r="T26" s="24" t="s">
        <v>1</v>
      </c>
      <c r="U26" s="16" t="s">
        <v>12</v>
      </c>
      <c r="V26" s="16" t="s">
        <v>13</v>
      </c>
      <c r="W26" s="16" t="s">
        <v>9</v>
      </c>
      <c r="X26" s="28" t="s">
        <v>26</v>
      </c>
      <c r="Y26" s="16" t="s">
        <v>1</v>
      </c>
      <c r="Z26" s="16" t="s">
        <v>12</v>
      </c>
      <c r="AA26" s="16" t="s">
        <v>13</v>
      </c>
      <c r="AB26" s="16" t="s">
        <v>9</v>
      </c>
      <c r="AC26" s="25" t="s">
        <v>14</v>
      </c>
    </row>
    <row r="27" spans="1:29" x14ac:dyDescent="0.25">
      <c r="B27" s="94"/>
      <c r="F27" s="94" t="s">
        <v>0</v>
      </c>
      <c r="G27" s="7" t="s">
        <v>5</v>
      </c>
      <c r="H27" s="16"/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16"/>
      <c r="R27" s="7">
        <f>SUM(I27:P27)</f>
        <v>8</v>
      </c>
      <c r="T27" s="24"/>
      <c r="U27" s="16"/>
      <c r="V27" s="16"/>
      <c r="W27" s="16"/>
      <c r="X27" s="29"/>
      <c r="Y27" s="16"/>
      <c r="Z27" s="16"/>
      <c r="AA27" s="16"/>
      <c r="AB27" s="16"/>
      <c r="AC27" s="26"/>
    </row>
    <row r="28" spans="1:29" ht="15.75" thickBot="1" x14ac:dyDescent="0.3">
      <c r="B28" s="94"/>
      <c r="F28" s="114"/>
      <c r="G28" s="4" t="s">
        <v>6</v>
      </c>
      <c r="H28" s="17"/>
      <c r="I28" s="9">
        <f>I27/$R$27</f>
        <v>0.125</v>
      </c>
      <c r="J28" s="9">
        <f t="shared" ref="J28:P28" si="14">J27/$R$27</f>
        <v>0.125</v>
      </c>
      <c r="K28" s="9">
        <f t="shared" si="14"/>
        <v>0.125</v>
      </c>
      <c r="L28" s="9">
        <f t="shared" si="14"/>
        <v>0.125</v>
      </c>
      <c r="M28" s="9">
        <f t="shared" si="14"/>
        <v>0.125</v>
      </c>
      <c r="N28" s="9">
        <f t="shared" si="14"/>
        <v>0.125</v>
      </c>
      <c r="O28" s="9">
        <f t="shared" si="14"/>
        <v>0.125</v>
      </c>
      <c r="P28" s="9">
        <f t="shared" si="14"/>
        <v>0.125</v>
      </c>
      <c r="Q28" s="17"/>
      <c r="R28" s="4">
        <f>SUM(I28:P28)</f>
        <v>1</v>
      </c>
      <c r="T28" s="33">
        <f>SUMPRODUCT($I28:$P28,$I$11:$P$11)</f>
        <v>0.5</v>
      </c>
      <c r="U28" s="34">
        <f>SUMPRODUCT($I28:$P28,$I$11:$P$11)</f>
        <v>0.5</v>
      </c>
      <c r="V28" s="38">
        <f>(U28-T28)/T28</f>
        <v>0</v>
      </c>
      <c r="W28" s="34">
        <f>SUMPRODUCT($I28:$P28,$I$21:$P$21)</f>
        <v>0.37875000000000003</v>
      </c>
      <c r="X28" s="40">
        <f>(W28-T28)/T28</f>
        <v>-0.24249999999999994</v>
      </c>
      <c r="Y28" s="34">
        <f>SUMPRODUCT($I28:$P28,$I$12:$P$12)</f>
        <v>0.5</v>
      </c>
      <c r="Z28" s="34">
        <f>SUMPRODUCT($I28:$P28,$I$12:$P$12)</f>
        <v>0.5</v>
      </c>
      <c r="AA28" s="38">
        <f>(Z28-Y28)/Y28</f>
        <v>0</v>
      </c>
      <c r="AB28" s="34">
        <f>SUMPRODUCT($I28:$P28,$I$22:$P$22)</f>
        <v>0.62124999999999997</v>
      </c>
      <c r="AC28" s="43">
        <f>(AB28-Y28)/Y28</f>
        <v>0.24249999999999994</v>
      </c>
    </row>
    <row r="29" spans="1:29" ht="16.5" thickTop="1" thickBot="1" x14ac:dyDescent="0.3">
      <c r="B29" s="94"/>
      <c r="F29" s="114" t="s">
        <v>34</v>
      </c>
      <c r="G29" s="7" t="s">
        <v>5</v>
      </c>
      <c r="H29" s="16"/>
      <c r="I29" s="66">
        <v>1</v>
      </c>
      <c r="J29" s="67">
        <v>1</v>
      </c>
      <c r="K29" s="67">
        <v>1</v>
      </c>
      <c r="L29" s="67">
        <v>1</v>
      </c>
      <c r="M29" s="67">
        <v>1</v>
      </c>
      <c r="N29" s="67">
        <v>1</v>
      </c>
      <c r="O29" s="67">
        <v>1</v>
      </c>
      <c r="P29" s="68">
        <v>1</v>
      </c>
      <c r="Q29" s="16"/>
      <c r="R29" s="7">
        <f>SUM(I29:P29)</f>
        <v>8</v>
      </c>
      <c r="T29" s="33"/>
      <c r="U29" s="34"/>
      <c r="V29" s="38"/>
      <c r="W29" s="34"/>
      <c r="X29" s="40"/>
      <c r="Y29" s="34"/>
      <c r="Z29" s="35"/>
      <c r="AA29" s="42"/>
      <c r="AB29" s="35"/>
      <c r="AC29" s="44"/>
    </row>
    <row r="30" spans="1:29" ht="15.75" thickBot="1" x14ac:dyDescent="0.3">
      <c r="B30" s="94"/>
      <c r="F30" s="114"/>
      <c r="G30" s="4" t="s">
        <v>6</v>
      </c>
      <c r="H30" s="17"/>
      <c r="I30" s="5">
        <f>I29/$R$29</f>
        <v>0.125</v>
      </c>
      <c r="J30" s="5">
        <f t="shared" ref="J30:O30" si="15">J29/$R$29</f>
        <v>0.125</v>
      </c>
      <c r="K30" s="5">
        <f t="shared" si="15"/>
        <v>0.125</v>
      </c>
      <c r="L30" s="5">
        <f t="shared" si="15"/>
        <v>0.125</v>
      </c>
      <c r="M30" s="5">
        <f t="shared" si="15"/>
        <v>0.125</v>
      </c>
      <c r="N30" s="5">
        <f t="shared" si="15"/>
        <v>0.125</v>
      </c>
      <c r="O30" s="5">
        <f t="shared" si="15"/>
        <v>0.125</v>
      </c>
      <c r="P30" s="5">
        <f>P29/$R$29</f>
        <v>0.125</v>
      </c>
      <c r="Q30" s="17"/>
      <c r="R30" s="4">
        <f>SUM(I30:P30)</f>
        <v>1</v>
      </c>
      <c r="T30" s="36">
        <f>SUMPRODUCT($I30:$P30,$I$11:$P$11)</f>
        <v>0.5</v>
      </c>
      <c r="U30" s="37">
        <f>SUMPRODUCT($I30:$P30,$I$11:$P$11)</f>
        <v>0.5</v>
      </c>
      <c r="V30" s="39">
        <f>(U30-T30)/T30</f>
        <v>0</v>
      </c>
      <c r="W30" s="37">
        <f>SUMPRODUCT($I30:$P30,$I$21:$P$21)</f>
        <v>0.37875000000000003</v>
      </c>
      <c r="X30" s="41">
        <f>(W30-T30)/T30</f>
        <v>-0.24249999999999994</v>
      </c>
      <c r="Y30" s="37">
        <f>SUMPRODUCT($I30:$P30,$I$12:$P$12)</f>
        <v>0.5</v>
      </c>
      <c r="Z30" s="37">
        <f>SUMPRODUCT($I30:$P30,$I$12:$P$12)</f>
        <v>0.5</v>
      </c>
      <c r="AA30" s="39">
        <f>(Z30-Y30)/Y30</f>
        <v>0</v>
      </c>
      <c r="AB30" s="37">
        <f>SUMPRODUCT($I30:$P30,$I$22:$P$22)</f>
        <v>0.62124999999999997</v>
      </c>
      <c r="AC30" s="45">
        <f>(AB30-Y30)/Y30</f>
        <v>0.24249999999999994</v>
      </c>
    </row>
    <row r="31" spans="1:29" ht="15.75" thickTop="1" x14ac:dyDescent="0.25">
      <c r="B31" s="94"/>
      <c r="E31" s="57" t="s">
        <v>27</v>
      </c>
      <c r="F31" s="112" t="s">
        <v>43</v>
      </c>
      <c r="G31" s="7" t="s">
        <v>5</v>
      </c>
      <c r="H31" s="16"/>
      <c r="I31" s="9">
        <f>I29</f>
        <v>1</v>
      </c>
      <c r="J31" s="9">
        <f t="shared" ref="J31:P31" si="16">J29</f>
        <v>1</v>
      </c>
      <c r="K31" s="9">
        <f t="shared" si="16"/>
        <v>1</v>
      </c>
      <c r="L31" s="9">
        <f t="shared" si="16"/>
        <v>1</v>
      </c>
      <c r="M31" s="9">
        <f t="shared" si="16"/>
        <v>1</v>
      </c>
      <c r="N31" s="9">
        <f t="shared" si="16"/>
        <v>1</v>
      </c>
      <c r="O31" s="9">
        <f t="shared" si="16"/>
        <v>1</v>
      </c>
      <c r="P31" s="9">
        <f t="shared" si="16"/>
        <v>1</v>
      </c>
      <c r="Q31" s="16"/>
      <c r="R31" s="7">
        <f>SUM(I31:P31)*(1/E32)</f>
        <v>38.799999999999955</v>
      </c>
      <c r="T31" s="33"/>
      <c r="U31" s="34"/>
      <c r="V31" s="38"/>
      <c r="W31" s="34"/>
      <c r="X31" s="40"/>
      <c r="Y31" s="34"/>
      <c r="Z31" s="35"/>
      <c r="AA31" s="42"/>
      <c r="AB31" s="35"/>
      <c r="AC31" s="44"/>
    </row>
    <row r="32" spans="1:29" ht="15.75" thickBot="1" x14ac:dyDescent="0.3">
      <c r="B32" s="94"/>
      <c r="E32" s="58">
        <f>B18/AC30</f>
        <v>0.20618556701030952</v>
      </c>
      <c r="F32" s="113"/>
      <c r="G32" s="4" t="s">
        <v>6</v>
      </c>
      <c r="H32" s="18"/>
      <c r="I32" s="5">
        <f>I31/$R$31</f>
        <v>2.577319587628869E-2</v>
      </c>
      <c r="J32" s="5">
        <f t="shared" ref="J32:P32" si="17">J31/$R$31</f>
        <v>2.577319587628869E-2</v>
      </c>
      <c r="K32" s="5">
        <f t="shared" si="17"/>
        <v>2.577319587628869E-2</v>
      </c>
      <c r="L32" s="5">
        <f t="shared" si="17"/>
        <v>2.577319587628869E-2</v>
      </c>
      <c r="M32" s="5">
        <f t="shared" si="17"/>
        <v>2.577319587628869E-2</v>
      </c>
      <c r="N32" s="5">
        <f t="shared" si="17"/>
        <v>2.577319587628869E-2</v>
      </c>
      <c r="O32" s="5">
        <f t="shared" si="17"/>
        <v>2.577319587628869E-2</v>
      </c>
      <c r="P32" s="5">
        <f t="shared" si="17"/>
        <v>2.577319587628869E-2</v>
      </c>
      <c r="Q32" s="18"/>
      <c r="R32" s="4">
        <f>SUM(I32:P32)</f>
        <v>0.20618556701030949</v>
      </c>
      <c r="T32" s="36">
        <f>SUMPRODUCT($I32:$P32,$I$11:$P$11)</f>
        <v>0.10309278350515474</v>
      </c>
      <c r="U32" s="37">
        <f>SUMPRODUCT($I32:$P32,$I$11:$P$11)</f>
        <v>0.10309278350515474</v>
      </c>
      <c r="V32" s="39">
        <f>(U32-T32)/T32</f>
        <v>0</v>
      </c>
      <c r="W32" s="37">
        <f>SUMPRODUCT($I32:$P32,$I$21:$P$21)</f>
        <v>7.8092783505154723E-2</v>
      </c>
      <c r="X32" s="41">
        <f>(W32-T32)/T32</f>
        <v>-0.24249999999999997</v>
      </c>
      <c r="Y32" s="37">
        <f>SUMPRODUCT($I32:$P32,$I$12:$P$12)</f>
        <v>0.10309278350515473</v>
      </c>
      <c r="Z32" s="37">
        <f>SUMPRODUCT($I32:$P32,$I$12:$P$12)</f>
        <v>0.10309278350515473</v>
      </c>
      <c r="AA32" s="39">
        <f>(Z32-Y32)/Y32</f>
        <v>0</v>
      </c>
      <c r="AB32" s="37">
        <f>SUMPRODUCT($I32:$P32,$I$22:$P$22)</f>
        <v>0.12809278350515477</v>
      </c>
      <c r="AC32" s="45">
        <f>(AB32-Y32)/Y32</f>
        <v>0.24250000000000013</v>
      </c>
    </row>
    <row r="33" spans="2:25" x14ac:dyDescent="0.25">
      <c r="B33" s="94"/>
      <c r="F33" s="6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T33" s="1"/>
      <c r="U33" s="1"/>
      <c r="V33" s="15"/>
      <c r="W33" s="1"/>
      <c r="X33" s="55" t="s">
        <v>37</v>
      </c>
      <c r="Y33" s="1"/>
    </row>
    <row r="34" spans="2:25" x14ac:dyDescent="0.25">
      <c r="B34" s="94"/>
      <c r="F34" s="56"/>
      <c r="R34" s="1"/>
      <c r="T34" s="1"/>
      <c r="U34" s="1"/>
      <c r="V34" s="15"/>
      <c r="W34" s="1"/>
      <c r="X34" s="15"/>
    </row>
    <row r="35" spans="2:25" ht="15.75" thickBot="1" x14ac:dyDescent="0.3">
      <c r="F35" s="65"/>
      <c r="R35" s="1"/>
      <c r="T35" s="1"/>
      <c r="U35" s="1"/>
      <c r="V35" s="15"/>
      <c r="W35" s="1"/>
      <c r="X35" s="15"/>
    </row>
    <row r="36" spans="2:25" x14ac:dyDescent="0.25">
      <c r="F36" s="59">
        <v>1</v>
      </c>
      <c r="G36" s="60" t="s">
        <v>33</v>
      </c>
      <c r="I36" s="1"/>
      <c r="J36" s="1"/>
      <c r="L36" s="1"/>
      <c r="N36" s="1"/>
      <c r="O36" s="1"/>
      <c r="T36" s="1"/>
      <c r="U36" s="1"/>
      <c r="V36" s="15"/>
      <c r="W36" s="1"/>
      <c r="X36" s="15"/>
    </row>
    <row r="37" spans="2:25" x14ac:dyDescent="0.25">
      <c r="F37" s="61">
        <f>E32</f>
        <v>0.20618556701030952</v>
      </c>
      <c r="G37" s="26" t="s">
        <v>28</v>
      </c>
      <c r="T37" s="1"/>
      <c r="U37" s="1"/>
      <c r="V37" s="15"/>
      <c r="W37" s="1"/>
      <c r="X37" s="15"/>
    </row>
    <row r="38" spans="2:25" x14ac:dyDescent="0.25">
      <c r="F38" s="62">
        <f>AC32</f>
        <v>0.24250000000000013</v>
      </c>
      <c r="G38" s="26" t="s">
        <v>29</v>
      </c>
      <c r="T38" s="1"/>
      <c r="U38" s="1"/>
      <c r="V38" s="15"/>
      <c r="W38" s="1"/>
      <c r="X38" s="15"/>
    </row>
    <row r="39" spans="2:25" x14ac:dyDescent="0.25">
      <c r="F39" s="24">
        <f>F37*(1+F38)</f>
        <v>0.25618556701030959</v>
      </c>
      <c r="G39" s="26" t="s">
        <v>30</v>
      </c>
      <c r="T39" s="1"/>
      <c r="U39" s="1"/>
      <c r="V39" s="15"/>
      <c r="W39" s="1"/>
      <c r="X39" s="15"/>
    </row>
    <row r="40" spans="2:25" x14ac:dyDescent="0.25">
      <c r="F40" s="61">
        <f>(1-E32)+F39</f>
        <v>1.05</v>
      </c>
      <c r="G40" s="26" t="s">
        <v>32</v>
      </c>
      <c r="T40" s="1"/>
      <c r="U40" s="1"/>
      <c r="V40" s="15"/>
      <c r="W40" s="1"/>
      <c r="X40" s="15"/>
    </row>
    <row r="41" spans="2:25" ht="15.75" thickBot="1" x14ac:dyDescent="0.3">
      <c r="F41" s="63">
        <f>(F40-F36)/F36</f>
        <v>5.0000000000000044E-2</v>
      </c>
      <c r="G41" s="27" t="s">
        <v>31</v>
      </c>
      <c r="T41" s="1"/>
      <c r="U41" s="1"/>
      <c r="V41" s="15"/>
      <c r="W41" s="1"/>
      <c r="X41" s="15"/>
    </row>
    <row r="42" spans="2:25" x14ac:dyDescent="0.25">
      <c r="T42" s="1"/>
      <c r="U42" s="1"/>
      <c r="V42" s="15"/>
      <c r="W42" s="1"/>
      <c r="X42" s="15"/>
    </row>
    <row r="43" spans="2:25" x14ac:dyDescent="0.25">
      <c r="T43" s="1"/>
      <c r="U43" s="1"/>
      <c r="V43" s="15"/>
      <c r="W43" s="1"/>
      <c r="X43" s="15"/>
    </row>
    <row r="44" spans="2:25" x14ac:dyDescent="0.25">
      <c r="F44" t="s">
        <v>36</v>
      </c>
    </row>
  </sheetData>
  <mergeCells count="16">
    <mergeCell ref="T24:X25"/>
    <mergeCell ref="Y24:AC25"/>
    <mergeCell ref="B24:B34"/>
    <mergeCell ref="D19:E22"/>
    <mergeCell ref="D11:E14"/>
    <mergeCell ref="D8:E10"/>
    <mergeCell ref="F3:R5"/>
    <mergeCell ref="D15:E16"/>
    <mergeCell ref="D17:E18"/>
    <mergeCell ref="F31:F32"/>
    <mergeCell ref="F29:F30"/>
    <mergeCell ref="F27:F28"/>
    <mergeCell ref="F19:F20"/>
    <mergeCell ref="F11:F12"/>
    <mergeCell ref="F21:F22"/>
    <mergeCell ref="F13:F1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Psztorc</dc:creator>
  <cp:lastModifiedBy>Sztorc, Paul</cp:lastModifiedBy>
  <dcterms:created xsi:type="dcterms:W3CDTF">2014-03-01T20:31:34Z</dcterms:created>
  <dcterms:modified xsi:type="dcterms:W3CDTF">2014-03-24T12:53:25Z</dcterms:modified>
</cp:coreProperties>
</file>