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1075" windowHeight="9975"/>
  </bookViews>
  <sheets>
    <sheet name="Simple Example" sheetId="10" r:id="rId1"/>
    <sheet name="LMSR" sheetId="6" r:id="rId2"/>
    <sheet name="Scaled Claims" sheetId="11" r:id="rId3"/>
    <sheet name="Conditional Scaled" sheetId="12" r:id="rId4"/>
    <sheet name="MV Scaled" sheetId="14" r:id="rId5"/>
    <sheet name="Changing b mid contract" sheetId="8" r:id="rId6"/>
    <sheet name="Insurance Fraud Experiments" sheetId="9" r:id="rId7"/>
    <sheet name="Some Accounting" sheetId="7" r:id="rId8"/>
    <sheet name="2x2 Update Calculator" sheetId="5" r:id="rId9"/>
  </sheets>
  <calcPr calcId="145621"/>
</workbook>
</file>

<file path=xl/calcChain.xml><?xml version="1.0" encoding="utf-8"?>
<calcChain xmlns="http://schemas.openxmlformats.org/spreadsheetml/2006/main">
  <c r="M18" i="8" l="1"/>
  <c r="M17" i="8"/>
  <c r="O31" i="14"/>
  <c r="N31" i="14"/>
  <c r="N33" i="14"/>
  <c r="S39" i="14"/>
  <c r="J32" i="11"/>
  <c r="H31" i="11"/>
  <c r="G31" i="11"/>
  <c r="F31" i="11"/>
  <c r="E31" i="11"/>
  <c r="J34" i="11"/>
  <c r="J33" i="11"/>
  <c r="I21" i="11"/>
  <c r="G21" i="11"/>
  <c r="S53" i="12" l="1"/>
  <c r="M27" i="12"/>
  <c r="Q27" i="12"/>
  <c r="P27" i="12"/>
  <c r="O27" i="12"/>
  <c r="N26" i="12"/>
  <c r="M26" i="12"/>
  <c r="H38" i="14"/>
  <c r="G38" i="14"/>
  <c r="F38" i="14"/>
  <c r="E38" i="14"/>
  <c r="S25" i="12"/>
  <c r="E19" i="12"/>
  <c r="E20" i="12"/>
  <c r="Q25" i="12"/>
  <c r="G50" i="12"/>
  <c r="E50" i="12"/>
  <c r="H50" i="12"/>
  <c r="F47" i="12"/>
  <c r="F48" i="12" s="1"/>
  <c r="F49" i="12" s="1"/>
  <c r="F50" i="12" s="1"/>
  <c r="Q50" i="12"/>
  <c r="I50" i="12"/>
  <c r="K50" i="12"/>
  <c r="J50" i="12"/>
  <c r="L50" i="12"/>
  <c r="E53" i="12"/>
  <c r="F53" i="12" s="1"/>
  <c r="J21" i="11"/>
  <c r="D16" i="11"/>
  <c r="E35" i="11"/>
  <c r="D35" i="11"/>
  <c r="H35" i="6"/>
  <c r="E33" i="6"/>
  <c r="L78" i="6"/>
  <c r="M75" i="6"/>
  <c r="G76" i="6"/>
  <c r="F76" i="6"/>
  <c r="E76" i="6"/>
  <c r="H28" i="14"/>
  <c r="L28" i="14" s="1"/>
  <c r="P28" i="14" s="1"/>
  <c r="G28" i="14"/>
  <c r="K28" i="14" s="1"/>
  <c r="O28" i="14" s="1"/>
  <c r="F28" i="14"/>
  <c r="J28" i="14" s="1"/>
  <c r="N28" i="14" s="1"/>
  <c r="E28" i="14"/>
  <c r="I28" i="14" s="1"/>
  <c r="M28" i="14" s="1"/>
  <c r="S51" i="12" l="1"/>
  <c r="W31" i="14"/>
  <c r="E15" i="14"/>
  <c r="W30" i="14"/>
  <c r="V30" i="14"/>
  <c r="L30" i="14"/>
  <c r="K30" i="14"/>
  <c r="J30" i="14"/>
  <c r="I30" i="14"/>
  <c r="L29" i="14"/>
  <c r="K29" i="14"/>
  <c r="J29" i="14"/>
  <c r="I29" i="14"/>
  <c r="W28" i="14"/>
  <c r="V28" i="14"/>
  <c r="E7" i="14"/>
  <c r="E41" i="14" s="1"/>
  <c r="E7" i="12"/>
  <c r="D11" i="10"/>
  <c r="I15" i="10"/>
  <c r="D18" i="6"/>
  <c r="M30" i="14" l="1"/>
  <c r="Q29" i="14"/>
  <c r="Q30" i="14"/>
  <c r="E23" i="14"/>
  <c r="P29" i="14" s="1"/>
  <c r="E42" i="14"/>
  <c r="F42" i="14" s="1"/>
  <c r="R30" i="14"/>
  <c r="R29" i="14"/>
  <c r="J32" i="14"/>
  <c r="N32" i="14" s="1"/>
  <c r="K31" i="14"/>
  <c r="L31" i="14"/>
  <c r="P31" i="14" s="1"/>
  <c r="V31" i="14"/>
  <c r="V32" i="14"/>
  <c r="I31" i="14"/>
  <c r="M31" i="14" s="1"/>
  <c r="J31" i="14"/>
  <c r="W30" i="12"/>
  <c r="W32" i="12"/>
  <c r="E24" i="12"/>
  <c r="V24" i="12" s="1"/>
  <c r="F24" i="12"/>
  <c r="G24" i="12"/>
  <c r="H24" i="12"/>
  <c r="W24" i="12" s="1"/>
  <c r="I24" i="12"/>
  <c r="J24" i="12"/>
  <c r="K24" i="12"/>
  <c r="L24" i="12"/>
  <c r="M24" i="12"/>
  <c r="N24" i="12"/>
  <c r="O24" i="12"/>
  <c r="P24" i="12"/>
  <c r="I25" i="12"/>
  <c r="J25" i="12"/>
  <c r="K25" i="12"/>
  <c r="L25" i="12"/>
  <c r="I26" i="12"/>
  <c r="J26" i="12"/>
  <c r="K26" i="12"/>
  <c r="L26" i="12"/>
  <c r="V26" i="12"/>
  <c r="W26" i="12"/>
  <c r="I27" i="12"/>
  <c r="J27" i="12"/>
  <c r="K27" i="12"/>
  <c r="L27" i="12"/>
  <c r="V27" i="12"/>
  <c r="Z27" i="12" s="1"/>
  <c r="W27" i="12"/>
  <c r="W28" i="12"/>
  <c r="W29" i="12"/>
  <c r="N50" i="12"/>
  <c r="P50" i="12"/>
  <c r="R50" i="12" s="1"/>
  <c r="O29" i="14" l="1"/>
  <c r="N30" i="14"/>
  <c r="S29" i="14"/>
  <c r="E24" i="14"/>
  <c r="N29" i="14"/>
  <c r="M29" i="14"/>
  <c r="O30" i="14"/>
  <c r="P30" i="14"/>
  <c r="K38" i="14"/>
  <c r="O38" i="14" s="1"/>
  <c r="F41" i="14"/>
  <c r="L38" i="14"/>
  <c r="P38" i="14" s="1"/>
  <c r="Q31" i="14"/>
  <c r="S37" i="14"/>
  <c r="S36" i="14"/>
  <c r="S35" i="14"/>
  <c r="S33" i="14"/>
  <c r="S32" i="14"/>
  <c r="T29" i="14"/>
  <c r="S31" i="14"/>
  <c r="S30" i="14"/>
  <c r="T30" i="14" s="1"/>
  <c r="S38" i="14"/>
  <c r="S34" i="14"/>
  <c r="R31" i="14"/>
  <c r="K32" i="14"/>
  <c r="O32" i="14" s="1"/>
  <c r="L32" i="14"/>
  <c r="P32" i="14" s="1"/>
  <c r="W32" i="14"/>
  <c r="I32" i="14"/>
  <c r="M32" i="14" s="1"/>
  <c r="V33" i="14"/>
  <c r="T25" i="12"/>
  <c r="V48" i="12"/>
  <c r="J28" i="12"/>
  <c r="N28" i="12" s="1"/>
  <c r="K28" i="12"/>
  <c r="O28" i="12" s="1"/>
  <c r="Q28" i="12" s="1"/>
  <c r="I28" i="12"/>
  <c r="V28" i="12"/>
  <c r="L28" i="12"/>
  <c r="P28" i="12" s="1"/>
  <c r="R28" i="12" s="1"/>
  <c r="W31" i="12"/>
  <c r="V49" i="12"/>
  <c r="P54" i="12"/>
  <c r="N25" i="12"/>
  <c r="S27" i="12"/>
  <c r="M25" i="12"/>
  <c r="N27" i="12"/>
  <c r="P26" i="12"/>
  <c r="R26" i="12" s="1"/>
  <c r="P25" i="12"/>
  <c r="R25" i="12" s="1"/>
  <c r="S28" i="12"/>
  <c r="S26" i="12"/>
  <c r="O26" i="12"/>
  <c r="Q26" i="12" s="1"/>
  <c r="O25" i="12"/>
  <c r="R27" i="12"/>
  <c r="T31" i="14" l="1"/>
  <c r="X31" i="14" s="1"/>
  <c r="AA31" i="14" s="1"/>
  <c r="Q32" i="14"/>
  <c r="T32" i="14"/>
  <c r="X32" i="14" s="1"/>
  <c r="AA32" i="14" s="1"/>
  <c r="I38" i="14"/>
  <c r="M38" i="14" s="1"/>
  <c r="J38" i="14"/>
  <c r="N38" i="14" s="1"/>
  <c r="Q38" i="14"/>
  <c r="R32" i="14"/>
  <c r="L33" i="14"/>
  <c r="P33" i="14" s="1"/>
  <c r="T34" i="14"/>
  <c r="W33" i="14"/>
  <c r="K33" i="14"/>
  <c r="O33" i="14" s="1"/>
  <c r="T33" i="14"/>
  <c r="X33" i="14" s="1"/>
  <c r="Z33" i="14" s="1"/>
  <c r="J33" i="14"/>
  <c r="I34" i="14"/>
  <c r="M34" i="14" s="1"/>
  <c r="V34" i="14"/>
  <c r="I33" i="14"/>
  <c r="M33" i="14" s="1"/>
  <c r="X30" i="14"/>
  <c r="M28" i="12"/>
  <c r="J33" i="12"/>
  <c r="N33" i="12" s="1"/>
  <c r="V33" i="12"/>
  <c r="T28" i="12"/>
  <c r="X28" i="12" s="1"/>
  <c r="W33" i="12"/>
  <c r="T27" i="12"/>
  <c r="X27" i="12" s="1"/>
  <c r="AA27" i="12" s="1"/>
  <c r="AB27" i="12" s="1"/>
  <c r="T26" i="12"/>
  <c r="X26" i="12" s="1"/>
  <c r="P42" i="14" l="1"/>
  <c r="S40" i="14"/>
  <c r="S41" i="14" s="1"/>
  <c r="Z32" i="14"/>
  <c r="AB32" i="14" s="1"/>
  <c r="Z31" i="14"/>
  <c r="AB31" i="14" s="1"/>
  <c r="R38" i="14"/>
  <c r="Q33" i="14"/>
  <c r="R33" i="14"/>
  <c r="AA33" i="14"/>
  <c r="AB33" i="14" s="1"/>
  <c r="J34" i="14"/>
  <c r="N34" i="14" s="1"/>
  <c r="K34" i="14"/>
  <c r="O34" i="14" s="1"/>
  <c r="W34" i="14"/>
  <c r="L34" i="14"/>
  <c r="P34" i="14" s="1"/>
  <c r="Z30" i="14"/>
  <c r="AA30" i="14"/>
  <c r="V29" i="12"/>
  <c r="K29" i="12"/>
  <c r="O29" i="12" s="1"/>
  <c r="Q29" i="12" s="1"/>
  <c r="J29" i="12"/>
  <c r="N29" i="12" s="1"/>
  <c r="I29" i="12"/>
  <c r="S29" i="12"/>
  <c r="T29" i="12" s="1"/>
  <c r="X29" i="12" s="1"/>
  <c r="AA29" i="12" s="1"/>
  <c r="L29" i="12"/>
  <c r="P29" i="12" s="1"/>
  <c r="R29" i="12" s="1"/>
  <c r="AA28" i="12"/>
  <c r="Z28" i="12"/>
  <c r="I33" i="12"/>
  <c r="M33" i="12" s="1"/>
  <c r="S33" i="12"/>
  <c r="L33" i="12"/>
  <c r="P33" i="12" s="1"/>
  <c r="R33" i="12" s="1"/>
  <c r="K33" i="12"/>
  <c r="O33" i="12" s="1"/>
  <c r="Q33" i="12" s="1"/>
  <c r="K34" i="12"/>
  <c r="O34" i="12" s="1"/>
  <c r="Q34" i="12" s="1"/>
  <c r="V34" i="12"/>
  <c r="J34" i="12"/>
  <c r="N34" i="12" s="1"/>
  <c r="S34" i="12"/>
  <c r="I34" i="12"/>
  <c r="M34" i="12" s="1"/>
  <c r="L34" i="12"/>
  <c r="P34" i="12" s="1"/>
  <c r="R34" i="12" s="1"/>
  <c r="W34" i="12"/>
  <c r="Z26" i="12"/>
  <c r="AA26" i="12"/>
  <c r="R34" i="14" l="1"/>
  <c r="Q34" i="14"/>
  <c r="X34" i="14"/>
  <c r="Z34" i="14" s="1"/>
  <c r="AB30" i="14"/>
  <c r="Z29" i="12"/>
  <c r="AB29" i="12" s="1"/>
  <c r="M29" i="12"/>
  <c r="AB28" i="12"/>
  <c r="T34" i="12"/>
  <c r="X34" i="12" s="1"/>
  <c r="Z34" i="12" s="1"/>
  <c r="V35" i="12"/>
  <c r="S35" i="12"/>
  <c r="T35" i="12" s="1"/>
  <c r="X35" i="12" s="1"/>
  <c r="W35" i="12"/>
  <c r="L35" i="12"/>
  <c r="P35" i="12" s="1"/>
  <c r="R35" i="12" s="1"/>
  <c r="J35" i="12"/>
  <c r="N35" i="12" s="1"/>
  <c r="I35" i="12"/>
  <c r="M35" i="12" s="1"/>
  <c r="K35" i="12"/>
  <c r="O35" i="12" s="1"/>
  <c r="Q35" i="12" s="1"/>
  <c r="W48" i="12"/>
  <c r="AB26" i="12"/>
  <c r="AA34" i="14" l="1"/>
  <c r="AB34" i="14" s="1"/>
  <c r="V30" i="12"/>
  <c r="S30" i="12"/>
  <c r="T30" i="12" s="1"/>
  <c r="X30" i="12" s="1"/>
  <c r="AA30" i="12" s="1"/>
  <c r="L30" i="12"/>
  <c r="P30" i="12" s="1"/>
  <c r="R30" i="12" s="1"/>
  <c r="J30" i="12"/>
  <c r="N30" i="12" s="1"/>
  <c r="K30" i="12"/>
  <c r="O30" i="12" s="1"/>
  <c r="Q30" i="12" s="1"/>
  <c r="I30" i="12"/>
  <c r="AA34" i="12"/>
  <c r="AB34" i="12" s="1"/>
  <c r="Z35" i="12"/>
  <c r="V36" i="12"/>
  <c r="I36" i="12"/>
  <c r="M36" i="12" s="1"/>
  <c r="AA35" i="12"/>
  <c r="K36" i="12"/>
  <c r="O36" i="12" s="1"/>
  <c r="Q36" i="12" s="1"/>
  <c r="S36" i="12"/>
  <c r="T36" i="12" s="1"/>
  <c r="X36" i="12" s="1"/>
  <c r="L36" i="12"/>
  <c r="P36" i="12" s="1"/>
  <c r="R36" i="12" s="1"/>
  <c r="W36" i="12"/>
  <c r="J36" i="12"/>
  <c r="N36" i="12" s="1"/>
  <c r="W49" i="12"/>
  <c r="D8" i="11"/>
  <c r="G15" i="10"/>
  <c r="Z30" i="12" l="1"/>
  <c r="AB30" i="12" s="1"/>
  <c r="M30" i="12"/>
  <c r="J37" i="12"/>
  <c r="N37" i="12" s="1"/>
  <c r="AB35" i="12"/>
  <c r="Z36" i="12"/>
  <c r="V37" i="12"/>
  <c r="W37" i="12"/>
  <c r="AA36" i="12"/>
  <c r="H20" i="11"/>
  <c r="F20" i="11"/>
  <c r="E20" i="11"/>
  <c r="D20" i="11"/>
  <c r="N20" i="11" s="1"/>
  <c r="C20" i="11"/>
  <c r="M20" i="11" s="1"/>
  <c r="M26" i="11"/>
  <c r="C31" i="11"/>
  <c r="K28" i="6"/>
  <c r="M30" i="11"/>
  <c r="M29" i="11"/>
  <c r="M28" i="11"/>
  <c r="M27" i="11"/>
  <c r="M25" i="11"/>
  <c r="N24" i="11"/>
  <c r="M24" i="11"/>
  <c r="F24" i="11"/>
  <c r="E24" i="11"/>
  <c r="G24" i="11" s="1"/>
  <c r="N23" i="11"/>
  <c r="M23" i="11"/>
  <c r="F23" i="11"/>
  <c r="E23" i="11"/>
  <c r="N22" i="11"/>
  <c r="M22" i="11"/>
  <c r="F22" i="11"/>
  <c r="E22" i="11"/>
  <c r="G22" i="11" s="1"/>
  <c r="F21" i="11"/>
  <c r="H21" i="11" s="1"/>
  <c r="E21" i="11"/>
  <c r="V31" i="12" l="1"/>
  <c r="S31" i="12"/>
  <c r="T31" i="12" s="1"/>
  <c r="X31" i="12" s="1"/>
  <c r="AA31" i="12" s="1"/>
  <c r="J31" i="12"/>
  <c r="N31" i="12" s="1"/>
  <c r="I31" i="12"/>
  <c r="L31" i="12"/>
  <c r="P31" i="12" s="1"/>
  <c r="R31" i="12" s="1"/>
  <c r="K31" i="12"/>
  <c r="O31" i="12" s="1"/>
  <c r="Q31" i="12" s="1"/>
  <c r="I37" i="12"/>
  <c r="M37" i="12" s="1"/>
  <c r="K37" i="12"/>
  <c r="O37" i="12" s="1"/>
  <c r="Q37" i="12" s="1"/>
  <c r="S37" i="12"/>
  <c r="T37" i="12" s="1"/>
  <c r="X37" i="12" s="1"/>
  <c r="AA37" i="12" s="1"/>
  <c r="L37" i="12"/>
  <c r="P37" i="12" s="1"/>
  <c r="R37" i="12" s="1"/>
  <c r="S38" i="12"/>
  <c r="K38" i="12"/>
  <c r="O38" i="12" s="1"/>
  <c r="Q38" i="12" s="1"/>
  <c r="V38" i="12"/>
  <c r="AB36" i="12"/>
  <c r="L38" i="12"/>
  <c r="P38" i="12" s="1"/>
  <c r="R38" i="12" s="1"/>
  <c r="I38" i="12"/>
  <c r="M38" i="12" s="1"/>
  <c r="J38" i="12"/>
  <c r="N38" i="12" s="1"/>
  <c r="W38" i="12"/>
  <c r="J23" i="11"/>
  <c r="J22" i="11"/>
  <c r="J29" i="11"/>
  <c r="J25" i="11"/>
  <c r="J28" i="11"/>
  <c r="D17" i="11"/>
  <c r="J27" i="11"/>
  <c r="J26" i="11"/>
  <c r="J24" i="11"/>
  <c r="H24" i="11"/>
  <c r="I24" i="11" s="1"/>
  <c r="G23" i="11"/>
  <c r="H23" i="11"/>
  <c r="I23" i="11" s="1"/>
  <c r="H22" i="11"/>
  <c r="I22" i="11" s="1"/>
  <c r="Q18" i="10"/>
  <c r="M14" i="10"/>
  <c r="L14" i="10"/>
  <c r="L17" i="10"/>
  <c r="P17" i="10" s="1"/>
  <c r="M17" i="10"/>
  <c r="L18" i="10"/>
  <c r="M18" i="10"/>
  <c r="L19" i="10"/>
  <c r="P19" i="10" s="1"/>
  <c r="M19" i="10"/>
  <c r="L20" i="10"/>
  <c r="M20" i="10"/>
  <c r="Q20" i="10" s="1"/>
  <c r="L21" i="10"/>
  <c r="P21" i="10" s="1"/>
  <c r="M21" i="10"/>
  <c r="L22" i="10"/>
  <c r="M22" i="10"/>
  <c r="Q22" i="10" s="1"/>
  <c r="L23" i="10"/>
  <c r="P23" i="10" s="1"/>
  <c r="M23" i="10"/>
  <c r="L24" i="10"/>
  <c r="M24" i="10"/>
  <c r="Q24" i="10" s="1"/>
  <c r="L25" i="10"/>
  <c r="P25" i="10" s="1"/>
  <c r="M25" i="10"/>
  <c r="L26" i="10"/>
  <c r="M26" i="10"/>
  <c r="Q26" i="10" s="1"/>
  <c r="L27" i="10"/>
  <c r="P27" i="10" s="1"/>
  <c r="M27" i="10"/>
  <c r="L28" i="10"/>
  <c r="M28" i="10"/>
  <c r="Q28" i="10" s="1"/>
  <c r="L29" i="10"/>
  <c r="P29" i="10" s="1"/>
  <c r="M29" i="10"/>
  <c r="L30" i="10"/>
  <c r="P30" i="10" s="1"/>
  <c r="M30" i="10"/>
  <c r="M16" i="10"/>
  <c r="Q16" i="10" s="1"/>
  <c r="L16" i="10"/>
  <c r="J15" i="10"/>
  <c r="I27" i="10"/>
  <c r="H27" i="10"/>
  <c r="G27" i="10"/>
  <c r="I30" i="10"/>
  <c r="H30" i="10"/>
  <c r="G30" i="10"/>
  <c r="I29" i="10"/>
  <c r="H29" i="10"/>
  <c r="G29" i="10"/>
  <c r="I28" i="10"/>
  <c r="H28" i="10"/>
  <c r="G28" i="10"/>
  <c r="I16" i="10"/>
  <c r="H16" i="10"/>
  <c r="G16" i="10"/>
  <c r="H15" i="10"/>
  <c r="M31" i="12" l="1"/>
  <c r="Z31" i="12"/>
  <c r="AB31" i="12" s="1"/>
  <c r="Z37" i="12"/>
  <c r="AB37" i="12" s="1"/>
  <c r="T38" i="12"/>
  <c r="X38" i="12" s="1"/>
  <c r="Z38" i="12" s="1"/>
  <c r="J39" i="12"/>
  <c r="N39" i="12" s="1"/>
  <c r="V39" i="12"/>
  <c r="W39" i="12"/>
  <c r="R32" i="10"/>
  <c r="I32" i="10"/>
  <c r="J16" i="10"/>
  <c r="N16" i="10" s="1"/>
  <c r="P16" i="10" s="1"/>
  <c r="R16" i="10" s="1"/>
  <c r="K23" i="11"/>
  <c r="O23" i="11" s="1"/>
  <c r="R23" i="11" s="1"/>
  <c r="K24" i="11"/>
  <c r="O24" i="11" s="1"/>
  <c r="Q24" i="11" s="1"/>
  <c r="K22" i="11"/>
  <c r="O22" i="11" s="1"/>
  <c r="K21" i="11"/>
  <c r="I31" i="11"/>
  <c r="K25" i="11"/>
  <c r="Q23" i="11"/>
  <c r="G17" i="10"/>
  <c r="J28" i="10"/>
  <c r="N28" i="10" s="1"/>
  <c r="P28" i="10" s="1"/>
  <c r="R28" i="10" s="1"/>
  <c r="J30" i="10"/>
  <c r="N30" i="10" s="1"/>
  <c r="Q30" i="10" s="1"/>
  <c r="R30" i="10" s="1"/>
  <c r="J29" i="10"/>
  <c r="N29" i="10" s="1"/>
  <c r="Q29" i="10" s="1"/>
  <c r="R29" i="10" s="1"/>
  <c r="I17" i="10"/>
  <c r="I31" i="10"/>
  <c r="H17" i="10"/>
  <c r="J38" i="9"/>
  <c r="J37" i="9"/>
  <c r="V32" i="12" l="1"/>
  <c r="J32" i="12"/>
  <c r="N32" i="12" s="1"/>
  <c r="S32" i="12"/>
  <c r="K32" i="12"/>
  <c r="O32" i="12" s="1"/>
  <c r="Q32" i="12" s="1"/>
  <c r="L32" i="12"/>
  <c r="P32" i="12" s="1"/>
  <c r="R32" i="12" s="1"/>
  <c r="I32" i="12"/>
  <c r="M32" i="12" s="1"/>
  <c r="I39" i="12"/>
  <c r="M39" i="12" s="1"/>
  <c r="S39" i="12"/>
  <c r="T39" i="12" s="1"/>
  <c r="X39" i="12" s="1"/>
  <c r="AA39" i="12" s="1"/>
  <c r="AA38" i="12"/>
  <c r="AB38" i="12" s="1"/>
  <c r="L39" i="12"/>
  <c r="P39" i="12" s="1"/>
  <c r="R39" i="12" s="1"/>
  <c r="K39" i="12"/>
  <c r="O39" i="12" s="1"/>
  <c r="Q39" i="12" s="1"/>
  <c r="J40" i="12"/>
  <c r="N40" i="12" s="1"/>
  <c r="V40" i="12"/>
  <c r="W40" i="12"/>
  <c r="I33" i="10"/>
  <c r="R33" i="10" s="1"/>
  <c r="S23" i="11"/>
  <c r="R22" i="11"/>
  <c r="Q22" i="11"/>
  <c r="R24" i="11"/>
  <c r="S24" i="11" s="1"/>
  <c r="N28" i="11"/>
  <c r="F27" i="11"/>
  <c r="H27" i="11" s="1"/>
  <c r="I27" i="11" s="1"/>
  <c r="N27" i="11"/>
  <c r="E27" i="11"/>
  <c r="G27" i="11" s="1"/>
  <c r="F26" i="11"/>
  <c r="H26" i="11" s="1"/>
  <c r="I26" i="11" s="1"/>
  <c r="E26" i="11"/>
  <c r="G26" i="11" s="1"/>
  <c r="K28" i="11"/>
  <c r="F28" i="11"/>
  <c r="H28" i="11" s="1"/>
  <c r="I28" i="11" s="1"/>
  <c r="E28" i="11"/>
  <c r="G28" i="11" s="1"/>
  <c r="N26" i="11"/>
  <c r="E25" i="11"/>
  <c r="G25" i="11" s="1"/>
  <c r="F25" i="11"/>
  <c r="H25" i="11" s="1"/>
  <c r="I25" i="11" s="1"/>
  <c r="N25" i="11"/>
  <c r="K29" i="11"/>
  <c r="F29" i="11"/>
  <c r="H29" i="11" s="1"/>
  <c r="I29" i="11" s="1"/>
  <c r="N29" i="11"/>
  <c r="E29" i="11"/>
  <c r="G29" i="11" s="1"/>
  <c r="H18" i="10"/>
  <c r="G18" i="10"/>
  <c r="I18" i="10"/>
  <c r="J18" i="10" s="1"/>
  <c r="N18" i="10" s="1"/>
  <c r="P18" i="10" s="1"/>
  <c r="R18" i="10" s="1"/>
  <c r="J17" i="10"/>
  <c r="N17" i="10" s="1"/>
  <c r="Q17" i="10" s="1"/>
  <c r="R17" i="10" s="1"/>
  <c r="F62" i="9"/>
  <c r="L22" i="9"/>
  <c r="J22" i="9"/>
  <c r="J15" i="9"/>
  <c r="J26" i="9"/>
  <c r="N87" i="9"/>
  <c r="E78" i="9"/>
  <c r="N77" i="9"/>
  <c r="M77" i="9"/>
  <c r="L77" i="9"/>
  <c r="N76" i="9"/>
  <c r="M76" i="9"/>
  <c r="N75" i="9"/>
  <c r="M74" i="9"/>
  <c r="N73" i="9"/>
  <c r="M72" i="9"/>
  <c r="N71" i="9"/>
  <c r="M70" i="9"/>
  <c r="N69" i="9"/>
  <c r="M68" i="9"/>
  <c r="N67" i="9"/>
  <c r="M66" i="9"/>
  <c r="N65" i="9"/>
  <c r="M64" i="9"/>
  <c r="N63" i="9"/>
  <c r="M62" i="9"/>
  <c r="N61" i="9"/>
  <c r="I60" i="9"/>
  <c r="J60" i="9" s="1"/>
  <c r="N60" i="9" s="1"/>
  <c r="E61" i="9"/>
  <c r="N59" i="9"/>
  <c r="I59" i="9"/>
  <c r="J59" i="9" s="1"/>
  <c r="H59" i="9"/>
  <c r="G59" i="9"/>
  <c r="T54" i="9"/>
  <c r="I54" i="9"/>
  <c r="M14" i="9"/>
  <c r="N13" i="9"/>
  <c r="N40" i="9"/>
  <c r="N14" i="9"/>
  <c r="N24" i="9"/>
  <c r="E13" i="9"/>
  <c r="G13" i="9" s="1"/>
  <c r="N30" i="9"/>
  <c r="N29" i="9"/>
  <c r="N28" i="9"/>
  <c r="N26" i="9"/>
  <c r="N22" i="9"/>
  <c r="N20" i="9"/>
  <c r="N18" i="9"/>
  <c r="N16" i="9"/>
  <c r="N12" i="9"/>
  <c r="M30" i="9"/>
  <c r="M29" i="9"/>
  <c r="M27" i="9"/>
  <c r="M25" i="9"/>
  <c r="M23" i="9"/>
  <c r="M21" i="9"/>
  <c r="M19" i="9"/>
  <c r="M17" i="9"/>
  <c r="M15" i="9"/>
  <c r="L30" i="9"/>
  <c r="E31" i="9"/>
  <c r="T7" i="9"/>
  <c r="I12" i="9"/>
  <c r="J12" i="9" s="1"/>
  <c r="H12" i="9"/>
  <c r="G12" i="9"/>
  <c r="I7" i="9"/>
  <c r="T32" i="12" l="1"/>
  <c r="X32" i="12" s="1"/>
  <c r="AA32" i="12" s="1"/>
  <c r="T33" i="12"/>
  <c r="X33" i="12" s="1"/>
  <c r="S40" i="12"/>
  <c r="T40" i="12" s="1"/>
  <c r="X40" i="12" s="1"/>
  <c r="Z40" i="12" s="1"/>
  <c r="Z39" i="12"/>
  <c r="AB39" i="12" s="1"/>
  <c r="J41" i="12"/>
  <c r="N41" i="12" s="1"/>
  <c r="I40" i="12"/>
  <c r="M40" i="12" s="1"/>
  <c r="K40" i="12"/>
  <c r="O40" i="12" s="1"/>
  <c r="Q40" i="12" s="1"/>
  <c r="L40" i="12"/>
  <c r="P40" i="12" s="1"/>
  <c r="R40" i="12" s="1"/>
  <c r="V41" i="12"/>
  <c r="W41" i="12"/>
  <c r="S22" i="11"/>
  <c r="K26" i="11"/>
  <c r="K27" i="11"/>
  <c r="O27" i="11" s="1"/>
  <c r="Q27" i="11" s="1"/>
  <c r="O29" i="11"/>
  <c r="Q29" i="11" s="1"/>
  <c r="O28" i="11"/>
  <c r="Q28" i="11" s="1"/>
  <c r="I19" i="10"/>
  <c r="J19" i="10" s="1"/>
  <c r="N19" i="10" s="1"/>
  <c r="Q19" i="10" s="1"/>
  <c r="R19" i="10" s="1"/>
  <c r="H19" i="10"/>
  <c r="G19" i="10"/>
  <c r="I61" i="9"/>
  <c r="J61" i="9" s="1"/>
  <c r="M61" i="9" s="1"/>
  <c r="L61" i="9"/>
  <c r="G61" i="9"/>
  <c r="K54" i="9"/>
  <c r="O82" i="9" s="1"/>
  <c r="G60" i="9"/>
  <c r="H61" i="9"/>
  <c r="H60" i="9"/>
  <c r="E14" i="9"/>
  <c r="I13" i="9"/>
  <c r="J13" i="9" s="1"/>
  <c r="E15" i="9"/>
  <c r="E16" i="9" s="1"/>
  <c r="E17" i="9" s="1"/>
  <c r="E18" i="9" s="1"/>
  <c r="E19" i="9" s="1"/>
  <c r="L19" i="9" s="1"/>
  <c r="L14" i="9"/>
  <c r="F14" i="9" s="1"/>
  <c r="H13" i="9"/>
  <c r="K7" i="9"/>
  <c r="O35" i="9" s="1"/>
  <c r="H12" i="8"/>
  <c r="H16" i="8"/>
  <c r="G16" i="8"/>
  <c r="E16" i="8"/>
  <c r="M15" i="8"/>
  <c r="M14" i="8"/>
  <c r="Z32" i="12" l="1"/>
  <c r="AB32" i="12" s="1"/>
  <c r="AA33" i="12"/>
  <c r="Z33" i="12"/>
  <c r="AA40" i="12"/>
  <c r="AB40" i="12" s="1"/>
  <c r="I41" i="12"/>
  <c r="M41" i="12" s="1"/>
  <c r="K41" i="12"/>
  <c r="O41" i="12" s="1"/>
  <c r="Q41" i="12" s="1"/>
  <c r="S41" i="12"/>
  <c r="T41" i="12" s="1"/>
  <c r="X41" i="12" s="1"/>
  <c r="AA41" i="12" s="1"/>
  <c r="L41" i="12"/>
  <c r="P41" i="12" s="1"/>
  <c r="R41" i="12" s="1"/>
  <c r="V42" i="12"/>
  <c r="V47" i="12"/>
  <c r="K42" i="12"/>
  <c r="O42" i="12" s="1"/>
  <c r="Q42" i="12" s="1"/>
  <c r="W42" i="12"/>
  <c r="W47" i="12"/>
  <c r="I42" i="12"/>
  <c r="M42" i="12" s="1"/>
  <c r="J42" i="12"/>
  <c r="N42" i="12" s="1"/>
  <c r="L42" i="12"/>
  <c r="P42" i="12" s="1"/>
  <c r="R42" i="12" s="1"/>
  <c r="S42" i="12"/>
  <c r="W43" i="12"/>
  <c r="R27" i="11"/>
  <c r="S27" i="11" s="1"/>
  <c r="M16" i="8"/>
  <c r="R29" i="11"/>
  <c r="S29" i="11" s="1"/>
  <c r="R28" i="11"/>
  <c r="S28" i="11" s="1"/>
  <c r="O26" i="11"/>
  <c r="O25" i="11"/>
  <c r="H20" i="10"/>
  <c r="G20" i="10"/>
  <c r="I20" i="10"/>
  <c r="J20" i="10" s="1"/>
  <c r="N20" i="10" s="1"/>
  <c r="P20" i="10" s="1"/>
  <c r="R20" i="10" s="1"/>
  <c r="L62" i="9"/>
  <c r="E20" i="9"/>
  <c r="L20" i="9" s="1"/>
  <c r="F20" i="9" s="1"/>
  <c r="G14" i="9"/>
  <c r="L17" i="9"/>
  <c r="L15" i="9"/>
  <c r="L18" i="9"/>
  <c r="F18" i="9" s="1"/>
  <c r="F19" i="9" s="1"/>
  <c r="F15" i="9"/>
  <c r="G15" i="9" s="1"/>
  <c r="L16" i="9"/>
  <c r="F16" i="9" s="1"/>
  <c r="L16" i="8"/>
  <c r="N15" i="8"/>
  <c r="M9" i="8"/>
  <c r="G13" i="8"/>
  <c r="F13" i="8"/>
  <c r="E13" i="8"/>
  <c r="M12" i="8"/>
  <c r="M10" i="8"/>
  <c r="I14" i="8"/>
  <c r="J15" i="8"/>
  <c r="L15" i="8"/>
  <c r="K15" i="8"/>
  <c r="I15" i="8"/>
  <c r="L14" i="8"/>
  <c r="K14" i="8"/>
  <c r="J14" i="8"/>
  <c r="L12" i="8"/>
  <c r="K12" i="8"/>
  <c r="J12" i="8"/>
  <c r="I12" i="8"/>
  <c r="L10" i="8"/>
  <c r="K10" i="8"/>
  <c r="J10" i="8"/>
  <c r="I10" i="8"/>
  <c r="L9" i="8"/>
  <c r="K9" i="8"/>
  <c r="J9" i="8"/>
  <c r="I9" i="8"/>
  <c r="I4" i="8"/>
  <c r="P13" i="8" s="1"/>
  <c r="AB33" i="12" l="1"/>
  <c r="Z41" i="12"/>
  <c r="AB41" i="12" s="1"/>
  <c r="T42" i="12"/>
  <c r="X42" i="12" s="1"/>
  <c r="AA42" i="12" s="1"/>
  <c r="J43" i="12"/>
  <c r="N43" i="12" s="1"/>
  <c r="V43" i="12"/>
  <c r="W44" i="12"/>
  <c r="R25" i="11"/>
  <c r="Q25" i="11"/>
  <c r="R26" i="11"/>
  <c r="Q26" i="11"/>
  <c r="H21" i="10"/>
  <c r="G21" i="10"/>
  <c r="H22" i="10"/>
  <c r="I21" i="10"/>
  <c r="J21" i="10" s="1"/>
  <c r="N21" i="10" s="1"/>
  <c r="Q21" i="10" s="1"/>
  <c r="R21" i="10" s="1"/>
  <c r="H62" i="9"/>
  <c r="I62" i="9"/>
  <c r="L63" i="9"/>
  <c r="G62" i="9"/>
  <c r="E21" i="9"/>
  <c r="H15" i="9"/>
  <c r="I15" i="9"/>
  <c r="I16" i="9"/>
  <c r="H16" i="9"/>
  <c r="F17" i="9"/>
  <c r="G16" i="9"/>
  <c r="F21" i="9"/>
  <c r="E22" i="9"/>
  <c r="L21" i="9"/>
  <c r="I18" i="9"/>
  <c r="G18" i="9"/>
  <c r="H18" i="9"/>
  <c r="N10" i="8"/>
  <c r="M13" i="8"/>
  <c r="N13" i="8" s="1"/>
  <c r="B22" i="8" s="1"/>
  <c r="K4" i="8"/>
  <c r="N9" i="8"/>
  <c r="K13" i="8"/>
  <c r="I13" i="8"/>
  <c r="L13" i="8"/>
  <c r="J13" i="8"/>
  <c r="K11" i="8"/>
  <c r="M11" i="8"/>
  <c r="N11" i="8" s="1"/>
  <c r="L11" i="8"/>
  <c r="I11" i="8"/>
  <c r="J11" i="8"/>
  <c r="I16" i="8"/>
  <c r="J16" i="8"/>
  <c r="K16" i="8"/>
  <c r="O71" i="6"/>
  <c r="D18" i="5"/>
  <c r="M15" i="5"/>
  <c r="N11" i="5"/>
  <c r="L7" i="5"/>
  <c r="M14" i="5"/>
  <c r="Z42" i="12" l="1"/>
  <c r="AB42" i="12" s="1"/>
  <c r="K43" i="12"/>
  <c r="O43" i="12" s="1"/>
  <c r="Q43" i="12" s="1"/>
  <c r="I43" i="12"/>
  <c r="M43" i="12" s="1"/>
  <c r="J44" i="12"/>
  <c r="N44" i="12" s="1"/>
  <c r="L43" i="12"/>
  <c r="P43" i="12" s="1"/>
  <c r="R43" i="12" s="1"/>
  <c r="S43" i="12"/>
  <c r="T43" i="12" s="1"/>
  <c r="X43" i="12" s="1"/>
  <c r="AA43" i="12" s="1"/>
  <c r="V44" i="12"/>
  <c r="W46" i="12"/>
  <c r="W45" i="12"/>
  <c r="S26" i="11"/>
  <c r="S25" i="11"/>
  <c r="G22" i="10"/>
  <c r="I22" i="10"/>
  <c r="J22" i="10" s="1"/>
  <c r="N22" i="10" s="1"/>
  <c r="P22" i="10" s="1"/>
  <c r="R22" i="10" s="1"/>
  <c r="J62" i="9"/>
  <c r="N62" i="9"/>
  <c r="I63" i="9"/>
  <c r="J63" i="9" s="1"/>
  <c r="H63" i="9"/>
  <c r="L64" i="9"/>
  <c r="G64" i="9" s="1"/>
  <c r="G63" i="9"/>
  <c r="J16" i="9"/>
  <c r="M16" i="9" s="1"/>
  <c r="H17" i="9"/>
  <c r="I17" i="9"/>
  <c r="J17" i="9" s="1"/>
  <c r="N17" i="9" s="1"/>
  <c r="G17" i="9"/>
  <c r="E23" i="9"/>
  <c r="F22" i="9"/>
  <c r="F23" i="9" s="1"/>
  <c r="I19" i="9"/>
  <c r="J19" i="9" s="1"/>
  <c r="N19" i="9" s="1"/>
  <c r="H19" i="9"/>
  <c r="G19" i="9"/>
  <c r="N12" i="8"/>
  <c r="N14" i="8"/>
  <c r="Q13" i="8"/>
  <c r="D71" i="6"/>
  <c r="M33" i="7"/>
  <c r="D62" i="6"/>
  <c r="L74" i="6"/>
  <c r="H70" i="6"/>
  <c r="S44" i="12" l="1"/>
  <c r="T44" i="12" s="1"/>
  <c r="X44" i="12" s="1"/>
  <c r="AA44" i="12" s="1"/>
  <c r="I44" i="12"/>
  <c r="M44" i="12" s="1"/>
  <c r="K44" i="12"/>
  <c r="O44" i="12" s="1"/>
  <c r="Q44" i="12" s="1"/>
  <c r="Z43" i="12"/>
  <c r="AB43" i="12" s="1"/>
  <c r="L44" i="12"/>
  <c r="P44" i="12" s="1"/>
  <c r="R44" i="12" s="1"/>
  <c r="V45" i="12"/>
  <c r="V46" i="12"/>
  <c r="I23" i="10"/>
  <c r="J23" i="10" s="1"/>
  <c r="N23" i="10" s="1"/>
  <c r="Q23" i="10" s="1"/>
  <c r="R23" i="10" s="1"/>
  <c r="G24" i="10"/>
  <c r="G23" i="10"/>
  <c r="H23" i="10"/>
  <c r="M63" i="9"/>
  <c r="L65" i="9"/>
  <c r="I64" i="9"/>
  <c r="J64" i="9" s="1"/>
  <c r="N64" i="9" s="1"/>
  <c r="H64" i="9"/>
  <c r="J18" i="9"/>
  <c r="M18" i="9" s="1"/>
  <c r="E24" i="9"/>
  <c r="L23" i="9"/>
  <c r="G20" i="9"/>
  <c r="I20" i="9"/>
  <c r="J20" i="9" s="1"/>
  <c r="M20" i="9" s="1"/>
  <c r="H20" i="9"/>
  <c r="Q14" i="8"/>
  <c r="C44" i="7"/>
  <c r="C45" i="7" s="1"/>
  <c r="M43" i="7"/>
  <c r="K43" i="7"/>
  <c r="J43" i="7"/>
  <c r="I43" i="7"/>
  <c r="H43" i="7"/>
  <c r="M42" i="7"/>
  <c r="K42" i="7"/>
  <c r="J42" i="7"/>
  <c r="I42" i="7"/>
  <c r="H42" i="7"/>
  <c r="M41" i="7"/>
  <c r="K41" i="7"/>
  <c r="J41" i="7"/>
  <c r="I41" i="7"/>
  <c r="H41" i="7"/>
  <c r="M40" i="7"/>
  <c r="K40" i="7"/>
  <c r="J40" i="7"/>
  <c r="I40" i="7"/>
  <c r="H40" i="7"/>
  <c r="M39" i="7"/>
  <c r="K39" i="7"/>
  <c r="J39" i="7"/>
  <c r="I39" i="7"/>
  <c r="H39" i="7"/>
  <c r="M38" i="7"/>
  <c r="K38" i="7"/>
  <c r="J38" i="7"/>
  <c r="I38" i="7"/>
  <c r="H38" i="7"/>
  <c r="M37" i="7"/>
  <c r="N37" i="7" s="1"/>
  <c r="K37" i="7"/>
  <c r="J37" i="7"/>
  <c r="I37" i="7"/>
  <c r="H37" i="7"/>
  <c r="M36" i="7"/>
  <c r="N36" i="7" s="1"/>
  <c r="K36" i="7"/>
  <c r="J36" i="7"/>
  <c r="I36" i="7"/>
  <c r="H36" i="7"/>
  <c r="M35" i="7"/>
  <c r="K35" i="7"/>
  <c r="J35" i="7"/>
  <c r="I35" i="7"/>
  <c r="H35" i="7"/>
  <c r="M34" i="7"/>
  <c r="N35" i="7" s="1"/>
  <c r="K34" i="7"/>
  <c r="J34" i="7"/>
  <c r="I34" i="7"/>
  <c r="H34" i="7"/>
  <c r="N33" i="7"/>
  <c r="K33" i="7"/>
  <c r="J33" i="7"/>
  <c r="I33" i="7"/>
  <c r="H33" i="7"/>
  <c r="M26" i="7"/>
  <c r="N26" i="7" s="1"/>
  <c r="K26" i="7"/>
  <c r="J26" i="7"/>
  <c r="I26" i="7"/>
  <c r="H26" i="7"/>
  <c r="M25" i="7"/>
  <c r="K25" i="7"/>
  <c r="J25" i="7"/>
  <c r="I25" i="7"/>
  <c r="H25" i="7"/>
  <c r="M24" i="7"/>
  <c r="N25" i="7" s="1"/>
  <c r="K24" i="7"/>
  <c r="J24" i="7"/>
  <c r="I24" i="7"/>
  <c r="H24" i="7"/>
  <c r="M23" i="7"/>
  <c r="K23" i="7"/>
  <c r="J23" i="7"/>
  <c r="I23" i="7"/>
  <c r="H23" i="7"/>
  <c r="M22" i="7"/>
  <c r="N22" i="7" s="1"/>
  <c r="K22" i="7"/>
  <c r="J22" i="7"/>
  <c r="I22" i="7"/>
  <c r="H22" i="7"/>
  <c r="M21" i="7"/>
  <c r="K21" i="7"/>
  <c r="J21" i="7"/>
  <c r="I21" i="7"/>
  <c r="H21" i="7"/>
  <c r="M20" i="7"/>
  <c r="K20" i="7"/>
  <c r="J20" i="7"/>
  <c r="I20" i="7"/>
  <c r="H20" i="7"/>
  <c r="M19" i="7"/>
  <c r="K19" i="7"/>
  <c r="J19" i="7"/>
  <c r="I19" i="7"/>
  <c r="H19" i="7"/>
  <c r="M18" i="7"/>
  <c r="N18" i="7" s="1"/>
  <c r="K18" i="7"/>
  <c r="J18" i="7"/>
  <c r="I18" i="7"/>
  <c r="H18" i="7"/>
  <c r="M14" i="7"/>
  <c r="K14" i="7"/>
  <c r="J14" i="7"/>
  <c r="I14" i="7"/>
  <c r="H14" i="7"/>
  <c r="M13" i="7"/>
  <c r="K13" i="7"/>
  <c r="J13" i="7"/>
  <c r="I13" i="7"/>
  <c r="H13" i="7"/>
  <c r="M12" i="7"/>
  <c r="N13" i="7" s="1"/>
  <c r="K12" i="7"/>
  <c r="J12" i="7"/>
  <c r="I12" i="7"/>
  <c r="H12" i="7"/>
  <c r="M11" i="7"/>
  <c r="K11" i="7"/>
  <c r="J11" i="7"/>
  <c r="I11" i="7"/>
  <c r="H11" i="7"/>
  <c r="M10" i="7"/>
  <c r="K10" i="7"/>
  <c r="J10" i="7"/>
  <c r="I10" i="7"/>
  <c r="H10" i="7"/>
  <c r="M9" i="7"/>
  <c r="K9" i="7"/>
  <c r="J9" i="7"/>
  <c r="I9" i="7"/>
  <c r="H9" i="7"/>
  <c r="M8" i="7"/>
  <c r="K8" i="7"/>
  <c r="J8" i="7"/>
  <c r="I8" i="7"/>
  <c r="H8" i="7"/>
  <c r="M7" i="7"/>
  <c r="K7" i="7"/>
  <c r="J7" i="7"/>
  <c r="I7" i="7"/>
  <c r="H7" i="7"/>
  <c r="M6" i="7"/>
  <c r="N6" i="7" s="1"/>
  <c r="K6" i="7"/>
  <c r="J6" i="7"/>
  <c r="I6" i="7"/>
  <c r="H6" i="7"/>
  <c r="N20" i="7" l="1"/>
  <c r="N10" i="7"/>
  <c r="N14" i="7"/>
  <c r="N21" i="7"/>
  <c r="N40" i="7"/>
  <c r="N43" i="7"/>
  <c r="N41" i="7"/>
  <c r="N8" i="7"/>
  <c r="N38" i="7"/>
  <c r="N42" i="7"/>
  <c r="J45" i="12"/>
  <c r="N45" i="12" s="1"/>
  <c r="I45" i="12"/>
  <c r="M45" i="12" s="1"/>
  <c r="S45" i="12"/>
  <c r="T45" i="12" s="1"/>
  <c r="X45" i="12" s="1"/>
  <c r="Z45" i="12" s="1"/>
  <c r="L45" i="12"/>
  <c r="P45" i="12" s="1"/>
  <c r="R45" i="12" s="1"/>
  <c r="L46" i="12"/>
  <c r="P46" i="12" s="1"/>
  <c r="R46" i="12" s="1"/>
  <c r="I46" i="12"/>
  <c r="M46" i="12" s="1"/>
  <c r="S46" i="12"/>
  <c r="J46" i="12"/>
  <c r="N46" i="12" s="1"/>
  <c r="K46" i="12"/>
  <c r="O46" i="12" s="1"/>
  <c r="Q46" i="12" s="1"/>
  <c r="Z44" i="12"/>
  <c r="AB44" i="12" s="1"/>
  <c r="K45" i="12"/>
  <c r="O45" i="12" s="1"/>
  <c r="Q45" i="12" s="1"/>
  <c r="I24" i="10"/>
  <c r="J24" i="10" s="1"/>
  <c r="N24" i="10" s="1"/>
  <c r="P24" i="10" s="1"/>
  <c r="R24" i="10" s="1"/>
  <c r="H24" i="10"/>
  <c r="I65" i="9"/>
  <c r="J65" i="9" s="1"/>
  <c r="H65" i="9"/>
  <c r="M65" i="9"/>
  <c r="G65" i="9"/>
  <c r="G66" i="9"/>
  <c r="L66" i="9"/>
  <c r="E25" i="9"/>
  <c r="L24" i="9"/>
  <c r="F24" i="9" s="1"/>
  <c r="F25" i="9" s="1"/>
  <c r="I21" i="9"/>
  <c r="J21" i="9" s="1"/>
  <c r="N21" i="9" s="1"/>
  <c r="H21" i="9"/>
  <c r="G21" i="9"/>
  <c r="Q33" i="7"/>
  <c r="K45" i="7"/>
  <c r="J45" i="7"/>
  <c r="I45" i="7"/>
  <c r="C46" i="7"/>
  <c r="M45" i="7"/>
  <c r="H45" i="7"/>
  <c r="N12" i="7"/>
  <c r="N24" i="7"/>
  <c r="I44" i="7"/>
  <c r="N7" i="7"/>
  <c r="O10" i="7" s="1"/>
  <c r="N9" i="7"/>
  <c r="N19" i="7"/>
  <c r="O22" i="7" s="1"/>
  <c r="J44" i="7"/>
  <c r="N11" i="7"/>
  <c r="O14" i="7" s="1"/>
  <c r="N23" i="7"/>
  <c r="N34" i="7"/>
  <c r="O37" i="7" s="1"/>
  <c r="N39" i="7"/>
  <c r="O41" i="7" s="1"/>
  <c r="K44" i="7"/>
  <c r="H44" i="7"/>
  <c r="M44" i="7"/>
  <c r="N44" i="7" s="1"/>
  <c r="O26" i="7" l="1"/>
  <c r="Q44" i="7"/>
  <c r="T46" i="12"/>
  <c r="X46" i="12" s="1"/>
  <c r="Z46" i="12" s="1"/>
  <c r="AA45" i="12"/>
  <c r="AB45" i="12" s="1"/>
  <c r="S50" i="12"/>
  <c r="S52" i="12" s="1"/>
  <c r="K47" i="12"/>
  <c r="O47" i="12" s="1"/>
  <c r="Q47" i="12" s="1"/>
  <c r="I47" i="12"/>
  <c r="M47" i="12" s="1"/>
  <c r="J47" i="12"/>
  <c r="N47" i="12" s="1"/>
  <c r="L47" i="12"/>
  <c r="P47" i="12" s="1"/>
  <c r="R47" i="12" s="1"/>
  <c r="S47" i="12"/>
  <c r="T47" i="12" s="1"/>
  <c r="X47" i="12" s="1"/>
  <c r="Z47" i="12" s="1"/>
  <c r="J48" i="12"/>
  <c r="N48" i="12" s="1"/>
  <c r="K48" i="12"/>
  <c r="O48" i="12" s="1"/>
  <c r="Q48" i="12" s="1"/>
  <c r="L48" i="12"/>
  <c r="P48" i="12" s="1"/>
  <c r="R48" i="12" s="1"/>
  <c r="S48" i="12"/>
  <c r="I48" i="12"/>
  <c r="M48" i="12" s="1"/>
  <c r="H25" i="10"/>
  <c r="I25" i="10"/>
  <c r="J25" i="10" s="1"/>
  <c r="N25" i="10" s="1"/>
  <c r="Q25" i="10" s="1"/>
  <c r="R25" i="10" s="1"/>
  <c r="G25" i="10"/>
  <c r="L67" i="9"/>
  <c r="I66" i="9"/>
  <c r="J66" i="9" s="1"/>
  <c r="N66" i="9" s="1"/>
  <c r="H66" i="9"/>
  <c r="E26" i="9"/>
  <c r="L25" i="9"/>
  <c r="I22" i="9"/>
  <c r="M22" i="9" s="1"/>
  <c r="G22" i="9"/>
  <c r="H22" i="9"/>
  <c r="Q38" i="7"/>
  <c r="Q35" i="7"/>
  <c r="Q39" i="7"/>
  <c r="N45" i="7"/>
  <c r="Q43" i="7"/>
  <c r="R43" i="7" s="1"/>
  <c r="Q36" i="7"/>
  <c r="Q40" i="7"/>
  <c r="J46" i="7"/>
  <c r="I46" i="7"/>
  <c r="C47" i="7"/>
  <c r="M46" i="7"/>
  <c r="N46" i="7" s="1"/>
  <c r="H46" i="7"/>
  <c r="K46" i="7"/>
  <c r="Q37" i="7"/>
  <c r="Q41" i="7"/>
  <c r="Q42" i="7"/>
  <c r="Q34" i="7"/>
  <c r="Q45" i="7" l="1"/>
  <c r="R44" i="7"/>
  <c r="R45" i="7" s="1"/>
  <c r="R46" i="7" s="1"/>
  <c r="R47" i="7" s="1"/>
  <c r="R48" i="7" s="1"/>
  <c r="AA46" i="12"/>
  <c r="AB46" i="12" s="1"/>
  <c r="T48" i="12"/>
  <c r="X48" i="12" s="1"/>
  <c r="AA47" i="12"/>
  <c r="AB47" i="12" s="1"/>
  <c r="P52" i="12"/>
  <c r="J49" i="12"/>
  <c r="N49" i="12" s="1"/>
  <c r="K49" i="12"/>
  <c r="O49" i="12" s="1"/>
  <c r="Q49" i="12" s="1"/>
  <c r="I49" i="12"/>
  <c r="M49" i="12" s="1"/>
  <c r="L49" i="12"/>
  <c r="P49" i="12" s="1"/>
  <c r="R49" i="12" s="1"/>
  <c r="S49" i="12"/>
  <c r="T49" i="12" s="1"/>
  <c r="X49" i="12" s="1"/>
  <c r="H26" i="10"/>
  <c r="I26" i="10"/>
  <c r="G26" i="10"/>
  <c r="H67" i="9"/>
  <c r="I67" i="9"/>
  <c r="J67" i="9" s="1"/>
  <c r="M67" i="9"/>
  <c r="G67" i="9"/>
  <c r="L68" i="9"/>
  <c r="E27" i="9"/>
  <c r="L26" i="9"/>
  <c r="F26" i="9" s="1"/>
  <c r="F27" i="9" s="1"/>
  <c r="G23" i="9"/>
  <c r="H23" i="9"/>
  <c r="I23" i="9"/>
  <c r="J23" i="9" s="1"/>
  <c r="N23" i="9" s="1"/>
  <c r="Q46" i="7"/>
  <c r="Q47" i="7"/>
  <c r="I47" i="7"/>
  <c r="C48" i="7"/>
  <c r="M47" i="7"/>
  <c r="N47" i="7" s="1"/>
  <c r="H47" i="7"/>
  <c r="K47" i="7"/>
  <c r="J47" i="7"/>
  <c r="AA49" i="12" l="1"/>
  <c r="Z49" i="12"/>
  <c r="AA48" i="12"/>
  <c r="Z48" i="12"/>
  <c r="P53" i="12"/>
  <c r="J26" i="10"/>
  <c r="N26" i="10" s="1"/>
  <c r="P26" i="10" s="1"/>
  <c r="R26" i="10" s="1"/>
  <c r="J27" i="10"/>
  <c r="N27" i="10" s="1"/>
  <c r="Q27" i="10" s="1"/>
  <c r="R27" i="10" s="1"/>
  <c r="I68" i="9"/>
  <c r="J68" i="9" s="1"/>
  <c r="N68" i="9" s="1"/>
  <c r="H68" i="9"/>
  <c r="L69" i="9"/>
  <c r="G68" i="9"/>
  <c r="E28" i="9"/>
  <c r="L27" i="9"/>
  <c r="I24" i="9"/>
  <c r="J24" i="9" s="1"/>
  <c r="M24" i="9" s="1"/>
  <c r="G24" i="9"/>
  <c r="H24" i="9"/>
  <c r="C49" i="7"/>
  <c r="M48" i="7"/>
  <c r="N48" i="7" s="1"/>
  <c r="H48" i="7"/>
  <c r="K48" i="7"/>
  <c r="J48" i="7"/>
  <c r="I48" i="7"/>
  <c r="V35" i="14" l="1"/>
  <c r="I35" i="14"/>
  <c r="M35" i="14" s="1"/>
  <c r="AB48" i="12"/>
  <c r="AB49" i="12"/>
  <c r="L70" i="9"/>
  <c r="G70" i="9"/>
  <c r="I69" i="9"/>
  <c r="J69" i="9" s="1"/>
  <c r="M69" i="9" s="1"/>
  <c r="H69" i="9"/>
  <c r="G69" i="9"/>
  <c r="E29" i="9"/>
  <c r="L29" i="9" s="1"/>
  <c r="L28" i="9"/>
  <c r="F28" i="9" s="1"/>
  <c r="F29" i="9" s="1"/>
  <c r="F30" i="9" s="1"/>
  <c r="F31" i="9" s="1"/>
  <c r="I25" i="9"/>
  <c r="J25" i="9" s="1"/>
  <c r="N25" i="9" s="1"/>
  <c r="H25" i="9"/>
  <c r="G25" i="9"/>
  <c r="K49" i="7"/>
  <c r="J49" i="7"/>
  <c r="I49" i="7"/>
  <c r="C50" i="7"/>
  <c r="M49" i="7"/>
  <c r="N49" i="7" s="1"/>
  <c r="H49" i="7"/>
  <c r="Q49" i="7"/>
  <c r="R49" i="7"/>
  <c r="R50" i="7" s="1"/>
  <c r="Q48" i="7"/>
  <c r="K35" i="14" l="1"/>
  <c r="O35" i="14" s="1"/>
  <c r="V36" i="14"/>
  <c r="W35" i="14"/>
  <c r="J36" i="14"/>
  <c r="N36" i="14" s="1"/>
  <c r="L35" i="14"/>
  <c r="P35" i="14" s="1"/>
  <c r="J35" i="14"/>
  <c r="N35" i="14" s="1"/>
  <c r="L71" i="9"/>
  <c r="I70" i="9"/>
  <c r="J70" i="9" s="1"/>
  <c r="N70" i="9" s="1"/>
  <c r="H70" i="9"/>
  <c r="G26" i="9"/>
  <c r="I26" i="9"/>
  <c r="M26" i="9" s="1"/>
  <c r="H26" i="9"/>
  <c r="R51" i="7"/>
  <c r="J50" i="7"/>
  <c r="I50" i="7"/>
  <c r="C51" i="7"/>
  <c r="M50" i="7"/>
  <c r="N50" i="7" s="1"/>
  <c r="H50" i="7"/>
  <c r="K50" i="7"/>
  <c r="R35" i="14" l="1"/>
  <c r="Q35" i="14"/>
  <c r="T35" i="14"/>
  <c r="X35" i="14" s="1"/>
  <c r="Z35" i="14" s="1"/>
  <c r="AA35" i="14"/>
  <c r="V37" i="14"/>
  <c r="K36" i="14"/>
  <c r="O36" i="14" s="1"/>
  <c r="I36" i="14"/>
  <c r="M36" i="14" s="1"/>
  <c r="J37" i="14"/>
  <c r="N37" i="14" s="1"/>
  <c r="W36" i="14"/>
  <c r="L36" i="14"/>
  <c r="P36" i="14" s="1"/>
  <c r="T36" i="14"/>
  <c r="X36" i="14" s="1"/>
  <c r="AA36" i="14" s="1"/>
  <c r="I71" i="9"/>
  <c r="J71" i="9" s="1"/>
  <c r="M71" i="9" s="1"/>
  <c r="H71" i="9"/>
  <c r="L72" i="9"/>
  <c r="G71" i="9"/>
  <c r="G27" i="9"/>
  <c r="H27" i="9"/>
  <c r="I27" i="9"/>
  <c r="J27" i="9" s="1"/>
  <c r="N27" i="9" s="1"/>
  <c r="N35" i="9" s="1"/>
  <c r="I51" i="7"/>
  <c r="C52" i="7"/>
  <c r="R52" i="7" s="1"/>
  <c r="M51" i="7"/>
  <c r="N51" i="7" s="1"/>
  <c r="Q51" i="7" s="1"/>
  <c r="H51" i="7"/>
  <c r="K51" i="7"/>
  <c r="J51" i="7"/>
  <c r="Q50" i="7"/>
  <c r="P40" i="14" l="1"/>
  <c r="R36" i="14"/>
  <c r="Q36" i="14"/>
  <c r="AB35" i="14"/>
  <c r="Z36" i="14"/>
  <c r="AB36" i="14" s="1"/>
  <c r="L37" i="14"/>
  <c r="P37" i="14" s="1"/>
  <c r="W37" i="14"/>
  <c r="K37" i="14"/>
  <c r="O37" i="14" s="1"/>
  <c r="T37" i="14"/>
  <c r="I37" i="14"/>
  <c r="M37" i="14" s="1"/>
  <c r="I72" i="9"/>
  <c r="J72" i="9" s="1"/>
  <c r="N72" i="9" s="1"/>
  <c r="H72" i="9"/>
  <c r="G73" i="9"/>
  <c r="L73" i="9"/>
  <c r="G72" i="9"/>
  <c r="G28" i="9"/>
  <c r="I28" i="9"/>
  <c r="J28" i="9" s="1"/>
  <c r="M28" i="9" s="1"/>
  <c r="H28" i="9"/>
  <c r="C53" i="7"/>
  <c r="M52" i="7"/>
  <c r="N52" i="7" s="1"/>
  <c r="Q52" i="7" s="1"/>
  <c r="H52" i="7"/>
  <c r="K52" i="7"/>
  <c r="J52" i="7"/>
  <c r="I52" i="7"/>
  <c r="P41" i="14" l="1"/>
  <c r="Q37" i="14"/>
  <c r="R37" i="14"/>
  <c r="X37" i="14"/>
  <c r="G74" i="9"/>
  <c r="L74" i="9"/>
  <c r="I73" i="9"/>
  <c r="J73" i="9" s="1"/>
  <c r="H73" i="9"/>
  <c r="M73" i="9"/>
  <c r="G29" i="9"/>
  <c r="I29" i="9"/>
  <c r="J29" i="9" s="1"/>
  <c r="H29" i="9"/>
  <c r="K53" i="7"/>
  <c r="J53" i="7"/>
  <c r="I53" i="7"/>
  <c r="C54" i="7"/>
  <c r="M53" i="7"/>
  <c r="N53" i="7" s="1"/>
  <c r="Q53" i="7" s="1"/>
  <c r="H53" i="7"/>
  <c r="R53" i="7"/>
  <c r="R54" i="7" s="1"/>
  <c r="AA37" i="14" l="1"/>
  <c r="Z37" i="14"/>
  <c r="I74" i="9"/>
  <c r="J74" i="9" s="1"/>
  <c r="N74" i="9" s="1"/>
  <c r="N82" i="9" s="1"/>
  <c r="H74" i="9"/>
  <c r="G75" i="9"/>
  <c r="L75" i="9"/>
  <c r="G30" i="9"/>
  <c r="I30" i="9"/>
  <c r="J30" i="9" s="1"/>
  <c r="H30" i="9"/>
  <c r="R55" i="7"/>
  <c r="J54" i="7"/>
  <c r="I54" i="7"/>
  <c r="C55" i="7"/>
  <c r="M54" i="7"/>
  <c r="N54" i="7" s="1"/>
  <c r="Q54" i="7" s="1"/>
  <c r="H54" i="7"/>
  <c r="K54" i="7"/>
  <c r="AB37" i="14" l="1"/>
  <c r="G76" i="9"/>
  <c r="L76" i="9"/>
  <c r="H75" i="9"/>
  <c r="I75" i="9"/>
  <c r="J75" i="9" s="1"/>
  <c r="M75" i="9" s="1"/>
  <c r="M82" i="9" s="1"/>
  <c r="G31" i="9"/>
  <c r="I31" i="9"/>
  <c r="H31" i="9"/>
  <c r="I55" i="7"/>
  <c r="C56" i="7"/>
  <c r="R56" i="7" s="1"/>
  <c r="M55" i="7"/>
  <c r="N55" i="7" s="1"/>
  <c r="Q55" i="7" s="1"/>
  <c r="H55" i="7"/>
  <c r="K55" i="7"/>
  <c r="J55" i="7"/>
  <c r="I76" i="9" l="1"/>
  <c r="J76" i="9" s="1"/>
  <c r="H76" i="9"/>
  <c r="C57" i="7"/>
  <c r="M56" i="7"/>
  <c r="N56" i="7" s="1"/>
  <c r="Q56" i="7" s="1"/>
  <c r="H56" i="7"/>
  <c r="K56" i="7"/>
  <c r="J56" i="7"/>
  <c r="I56" i="7"/>
  <c r="F78" i="9" l="1"/>
  <c r="G77" i="9"/>
  <c r="I77" i="9"/>
  <c r="J77" i="9" s="1"/>
  <c r="J78" i="9" s="1"/>
  <c r="H77" i="9"/>
  <c r="K57" i="7"/>
  <c r="J57" i="7"/>
  <c r="I57" i="7"/>
  <c r="C58" i="7"/>
  <c r="M57" i="7"/>
  <c r="N57" i="7" s="1"/>
  <c r="Q57" i="7" s="1"/>
  <c r="H57" i="7"/>
  <c r="R57" i="7"/>
  <c r="R58" i="7" s="1"/>
  <c r="I78" i="9" l="1"/>
  <c r="H78" i="9"/>
  <c r="G78" i="9"/>
  <c r="J79" i="9" s="1"/>
  <c r="J58" i="7"/>
  <c r="I58" i="7"/>
  <c r="C59" i="7"/>
  <c r="M58" i="7"/>
  <c r="N58" i="7" s="1"/>
  <c r="Q58" i="7" s="1"/>
  <c r="H58" i="7"/>
  <c r="K58" i="7"/>
  <c r="R59" i="7"/>
  <c r="I59" i="7" l="1"/>
  <c r="C60" i="7"/>
  <c r="R60" i="7" s="1"/>
  <c r="M59" i="7"/>
  <c r="N59" i="7" s="1"/>
  <c r="Q59" i="7" s="1"/>
  <c r="H59" i="7"/>
  <c r="K59" i="7"/>
  <c r="J59" i="7"/>
  <c r="C61" i="7" l="1"/>
  <c r="M60" i="7"/>
  <c r="N60" i="7" s="1"/>
  <c r="Q60" i="7" s="1"/>
  <c r="H60" i="7"/>
  <c r="K60" i="7"/>
  <c r="J60" i="7"/>
  <c r="I60" i="7"/>
  <c r="K61" i="7" l="1"/>
  <c r="J61" i="7"/>
  <c r="I61" i="7"/>
  <c r="C62" i="7"/>
  <c r="M61" i="7"/>
  <c r="N61" i="7" s="1"/>
  <c r="Q61" i="7" s="1"/>
  <c r="H61" i="7"/>
  <c r="R61" i="7"/>
  <c r="J62" i="7" l="1"/>
  <c r="I62" i="7"/>
  <c r="C63" i="7"/>
  <c r="M62" i="7"/>
  <c r="N62" i="7" s="1"/>
  <c r="Q62" i="7" s="1"/>
  <c r="H62" i="7"/>
  <c r="K62" i="7"/>
  <c r="R62" i="7"/>
  <c r="R63" i="7" s="1"/>
  <c r="I63" i="7" l="1"/>
  <c r="C64" i="7"/>
  <c r="R64" i="7" s="1"/>
  <c r="M63" i="7"/>
  <c r="N63" i="7" s="1"/>
  <c r="Q63" i="7" s="1"/>
  <c r="H63" i="7"/>
  <c r="K63" i="7"/>
  <c r="J63" i="7"/>
  <c r="C65" i="7" l="1"/>
  <c r="M64" i="7"/>
  <c r="N64" i="7" s="1"/>
  <c r="Q64" i="7" s="1"/>
  <c r="H64" i="7"/>
  <c r="K64" i="7"/>
  <c r="J64" i="7"/>
  <c r="I64" i="7"/>
  <c r="K65" i="7" l="1"/>
  <c r="J65" i="7"/>
  <c r="I65" i="7"/>
  <c r="C66" i="7"/>
  <c r="M65" i="7"/>
  <c r="N65" i="7" s="1"/>
  <c r="Q65" i="7" s="1"/>
  <c r="H65" i="7"/>
  <c r="R65" i="7"/>
  <c r="R66" i="7" s="1"/>
  <c r="R67" i="7" l="1"/>
  <c r="J66" i="7"/>
  <c r="I66" i="7"/>
  <c r="C67" i="7"/>
  <c r="M66" i="7"/>
  <c r="N66" i="7" s="1"/>
  <c r="Q66" i="7" s="1"/>
  <c r="H66" i="7"/>
  <c r="K66" i="7"/>
  <c r="I67" i="7" l="1"/>
  <c r="C68" i="7"/>
  <c r="R68" i="7" s="1"/>
  <c r="M67" i="7"/>
  <c r="N67" i="7" s="1"/>
  <c r="Q67" i="7" s="1"/>
  <c r="H67" i="7"/>
  <c r="K67" i="7"/>
  <c r="J67" i="7"/>
  <c r="C69" i="7" l="1"/>
  <c r="M68" i="7"/>
  <c r="N68" i="7" s="1"/>
  <c r="Q68" i="7" s="1"/>
  <c r="H68" i="7"/>
  <c r="K68" i="7"/>
  <c r="J68" i="7"/>
  <c r="I68" i="7"/>
  <c r="K69" i="7" l="1"/>
  <c r="J69" i="7"/>
  <c r="I69" i="7"/>
  <c r="C70" i="7"/>
  <c r="M69" i="7"/>
  <c r="N69" i="7" s="1"/>
  <c r="Q69" i="7" s="1"/>
  <c r="H69" i="7"/>
  <c r="R69" i="7"/>
  <c r="R70" i="7" s="1"/>
  <c r="J70" i="7" l="1"/>
  <c r="I70" i="7"/>
  <c r="C71" i="7"/>
  <c r="M70" i="7"/>
  <c r="N70" i="7" s="1"/>
  <c r="Q70" i="7" s="1"/>
  <c r="H70" i="7"/>
  <c r="K70" i="7"/>
  <c r="R71" i="7"/>
  <c r="I71" i="7" l="1"/>
  <c r="C72" i="7"/>
  <c r="R72" i="7" s="1"/>
  <c r="M71" i="7"/>
  <c r="N71" i="7" s="1"/>
  <c r="Q71" i="7" s="1"/>
  <c r="H71" i="7"/>
  <c r="K71" i="7"/>
  <c r="J71" i="7"/>
  <c r="C73" i="7" l="1"/>
  <c r="M72" i="7"/>
  <c r="N72" i="7" s="1"/>
  <c r="Q72" i="7" s="1"/>
  <c r="H72" i="7"/>
  <c r="K72" i="7"/>
  <c r="J72" i="7"/>
  <c r="I72" i="7"/>
  <c r="K73" i="7" l="1"/>
  <c r="J73" i="7"/>
  <c r="I73" i="7"/>
  <c r="M73" i="7"/>
  <c r="N73" i="7" s="1"/>
  <c r="Q73" i="7" s="1"/>
  <c r="H73" i="7"/>
  <c r="R73" i="7"/>
  <c r="L69" i="6" l="1"/>
  <c r="D64" i="6" s="1"/>
  <c r="L70" i="6"/>
  <c r="D28" i="6"/>
  <c r="H26" i="6"/>
  <c r="D20" i="6" s="1"/>
  <c r="F26" i="6"/>
  <c r="H32" i="6"/>
  <c r="H31" i="6"/>
  <c r="I32" i="6" l="1"/>
  <c r="I26" i="6"/>
  <c r="H30" i="6"/>
  <c r="G32" i="6"/>
  <c r="F32" i="6"/>
  <c r="G31" i="6"/>
  <c r="F31" i="6"/>
  <c r="G30" i="6"/>
  <c r="F30" i="6"/>
  <c r="H29" i="6"/>
  <c r="G29" i="6"/>
  <c r="F29" i="6"/>
  <c r="H28" i="6"/>
  <c r="G28" i="6"/>
  <c r="F28" i="6"/>
  <c r="L29" i="6" s="1"/>
  <c r="H27" i="6"/>
  <c r="I27" i="6" s="1"/>
  <c r="G27" i="6"/>
  <c r="F27" i="6"/>
  <c r="G26" i="6"/>
  <c r="H69" i="6"/>
  <c r="D33" i="6"/>
  <c r="D76" i="6"/>
  <c r="L77" i="6" s="1"/>
  <c r="L75" i="6"/>
  <c r="K75" i="6"/>
  <c r="J75" i="6"/>
  <c r="I75" i="6"/>
  <c r="H75" i="6"/>
  <c r="K74" i="6"/>
  <c r="J74" i="6"/>
  <c r="I74" i="6"/>
  <c r="H74" i="6"/>
  <c r="L73" i="6"/>
  <c r="K73" i="6"/>
  <c r="I109" i="6" s="1"/>
  <c r="J73" i="6"/>
  <c r="H109" i="6" s="1"/>
  <c r="I73" i="6"/>
  <c r="I108" i="6" s="1"/>
  <c r="H73" i="6"/>
  <c r="H108" i="6" s="1"/>
  <c r="L72" i="6"/>
  <c r="K72" i="6"/>
  <c r="I101" i="6" s="1"/>
  <c r="J72" i="6"/>
  <c r="H101" i="6" s="1"/>
  <c r="I72" i="6"/>
  <c r="I100" i="6" s="1"/>
  <c r="H72" i="6"/>
  <c r="H100" i="6" s="1"/>
  <c r="L71" i="6"/>
  <c r="K71" i="6"/>
  <c r="I95" i="6" s="1"/>
  <c r="J71" i="6"/>
  <c r="H95" i="6" s="1"/>
  <c r="I71" i="6"/>
  <c r="I94" i="6" s="1"/>
  <c r="H71" i="6"/>
  <c r="H94" i="6" s="1"/>
  <c r="K70" i="6"/>
  <c r="J70" i="6"/>
  <c r="I70" i="6"/>
  <c r="M69" i="6"/>
  <c r="K69" i="6"/>
  <c r="J69" i="6"/>
  <c r="I69" i="6"/>
  <c r="L100" i="6" l="1"/>
  <c r="L94" i="6"/>
  <c r="H34" i="6"/>
  <c r="L108" i="6"/>
  <c r="I110" i="6"/>
  <c r="J109" i="6"/>
  <c r="J108" i="6"/>
  <c r="J110" i="6"/>
  <c r="H110" i="6"/>
  <c r="I96" i="6"/>
  <c r="J95" i="6"/>
  <c r="I102" i="6"/>
  <c r="J102" i="6"/>
  <c r="J101" i="6"/>
  <c r="J100" i="6"/>
  <c r="H102" i="6"/>
  <c r="P72" i="6"/>
  <c r="M74" i="6"/>
  <c r="H33" i="6"/>
  <c r="L76" i="6"/>
  <c r="I29" i="6"/>
  <c r="I30" i="6"/>
  <c r="I28" i="6"/>
  <c r="I31" i="6"/>
  <c r="M70" i="6"/>
  <c r="M72" i="6"/>
  <c r="M71" i="6"/>
  <c r="M73" i="6"/>
  <c r="H36" i="6" l="1"/>
  <c r="J94" i="6"/>
  <c r="J96" i="6"/>
  <c r="H96" i="6"/>
  <c r="S16" i="5"/>
  <c r="J16" i="5"/>
  <c r="H16" i="5"/>
  <c r="F16" i="5"/>
  <c r="S15" i="5"/>
  <c r="J15" i="5"/>
  <c r="H15" i="5"/>
  <c r="F15" i="5"/>
  <c r="S14" i="5"/>
  <c r="J14" i="5"/>
  <c r="H14" i="5"/>
  <c r="F14" i="5"/>
  <c r="S13" i="5"/>
  <c r="J13" i="5"/>
  <c r="H13" i="5"/>
  <c r="F13" i="5"/>
  <c r="C13" i="5"/>
  <c r="S12" i="5"/>
  <c r="J12" i="5"/>
  <c r="H12" i="5"/>
  <c r="F12" i="5"/>
  <c r="C12" i="5"/>
  <c r="S11" i="5"/>
  <c r="J11" i="5"/>
  <c r="H11" i="5"/>
  <c r="F11" i="5"/>
  <c r="C11" i="5"/>
  <c r="S10" i="5"/>
  <c r="J10" i="5"/>
  <c r="H10" i="5"/>
  <c r="F10" i="5"/>
  <c r="C10" i="5"/>
  <c r="S9" i="5"/>
  <c r="J9" i="5"/>
  <c r="H9" i="5"/>
  <c r="F9" i="5"/>
  <c r="S8" i="5"/>
  <c r="J8" i="5"/>
  <c r="H8" i="5"/>
  <c r="F8" i="5"/>
  <c r="S7" i="5"/>
  <c r="J7" i="5"/>
  <c r="H7" i="5"/>
  <c r="I7" i="5" s="1"/>
  <c r="F7" i="5"/>
  <c r="L79" i="6" l="1"/>
  <c r="I13" i="5"/>
  <c r="K13" i="5" s="1"/>
  <c r="C18" i="5"/>
  <c r="K7" i="5"/>
  <c r="C16" i="5"/>
  <c r="I9" i="5"/>
  <c r="K9" i="5" s="1"/>
  <c r="L9" i="5" s="1"/>
  <c r="O9" i="5" s="1"/>
  <c r="I10" i="5"/>
  <c r="K10" i="5" s="1"/>
  <c r="I11" i="5"/>
  <c r="K11" i="5" s="1"/>
  <c r="I12" i="5"/>
  <c r="K12" i="5" s="1"/>
  <c r="C14" i="5"/>
  <c r="D14" i="5" s="1"/>
  <c r="C15" i="5"/>
  <c r="D15" i="5" s="1"/>
  <c r="I8" i="5"/>
  <c r="K8" i="5" s="1"/>
  <c r="L8" i="5" s="1"/>
  <c r="O8" i="5" s="1"/>
  <c r="L13" i="5" l="1"/>
  <c r="O13" i="5" s="1"/>
  <c r="L12" i="5"/>
  <c r="O12" i="5" s="1"/>
  <c r="O7" i="5"/>
  <c r="L11" i="5"/>
  <c r="L10" i="5"/>
  <c r="I15" i="5"/>
  <c r="K15" i="5" s="1"/>
  <c r="I16" i="5"/>
  <c r="K16" i="5" s="1"/>
  <c r="I14" i="5"/>
  <c r="K14" i="5" s="1"/>
  <c r="D16" i="5"/>
  <c r="P15" i="5" l="1"/>
  <c r="O11" i="5"/>
  <c r="L16" i="5"/>
  <c r="O16" i="5" s="1"/>
  <c r="D13" i="5"/>
  <c r="E13" i="5" s="1"/>
  <c r="N13" i="5" s="1"/>
  <c r="Q13" i="5" s="1"/>
  <c r="D12" i="5"/>
  <c r="D11" i="5"/>
  <c r="E11" i="5" s="1"/>
  <c r="D10" i="5"/>
  <c r="E10" i="5" s="1"/>
  <c r="M16" i="5"/>
  <c r="P16" i="5" s="1"/>
  <c r="O10" i="5"/>
  <c r="L15" i="5"/>
  <c r="O15" i="5" s="1"/>
  <c r="L14" i="5"/>
  <c r="O14" i="5" s="1"/>
  <c r="L18" i="5"/>
  <c r="P14" i="5" l="1"/>
  <c r="M13" i="5"/>
  <c r="P13" i="5" s="1"/>
  <c r="R13" i="5" s="1"/>
  <c r="U20" i="5" s="1"/>
  <c r="M12" i="5"/>
  <c r="M11" i="5"/>
  <c r="P11" i="5" s="1"/>
  <c r="M10" i="5"/>
  <c r="E12" i="5"/>
  <c r="D9" i="5"/>
  <c r="E16" i="5"/>
  <c r="O18" i="5"/>
  <c r="D7" i="5"/>
  <c r="D8" i="5"/>
  <c r="M7" i="5" l="1"/>
  <c r="P7" i="5" s="1"/>
  <c r="M18" i="5"/>
  <c r="M8" i="5"/>
  <c r="P8" i="5" s="1"/>
  <c r="P10" i="5"/>
  <c r="P12" i="5"/>
  <c r="M9" i="5"/>
  <c r="P9" i="5" s="1"/>
  <c r="E8" i="5"/>
  <c r="E18" i="5"/>
  <c r="E15" i="5"/>
  <c r="E14" i="5"/>
  <c r="N10" i="5"/>
  <c r="E7" i="5"/>
  <c r="N16" i="5"/>
  <c r="Q16" i="5" s="1"/>
  <c r="R16" i="5" s="1"/>
  <c r="Q11" i="5"/>
  <c r="R11" i="5" s="1"/>
  <c r="S20" i="5" s="1"/>
  <c r="N12" i="5"/>
  <c r="E9" i="5"/>
  <c r="N9" i="5" l="1"/>
  <c r="Q9" i="5" s="1"/>
  <c r="R9" i="5" s="1"/>
  <c r="Q12" i="5"/>
  <c r="R12" i="5" s="1"/>
  <c r="T20" i="5" s="1"/>
  <c r="N18" i="5"/>
  <c r="N8" i="5"/>
  <c r="Q8" i="5" s="1"/>
  <c r="R8" i="5" s="1"/>
  <c r="N7" i="5"/>
  <c r="Q7" i="5" s="1"/>
  <c r="R7" i="5" s="1"/>
  <c r="N15" i="5"/>
  <c r="Q15" i="5" s="1"/>
  <c r="R15" i="5" s="1"/>
  <c r="N14" i="5"/>
  <c r="Q14" i="5" s="1"/>
  <c r="R14" i="5" s="1"/>
  <c r="Q10" i="5"/>
  <c r="P18" i="5"/>
  <c r="Q18" i="5" l="1"/>
  <c r="R10" i="5"/>
  <c r="R20" i="5" s="1"/>
  <c r="H14" i="9" l="1"/>
  <c r="I14" i="9"/>
  <c r="J14" i="9" s="1"/>
  <c r="M35" i="9" s="1"/>
  <c r="N15" i="9" l="1"/>
  <c r="J31" i="9" l="1"/>
  <c r="J32" i="9" s="1"/>
  <c r="Q30" i="11" l="1"/>
  <c r="J31" i="11"/>
  <c r="E30" i="11"/>
  <c r="G30" i="11"/>
  <c r="F30" i="11"/>
  <c r="H30" i="11" s="1"/>
  <c r="I30" i="11" s="1"/>
  <c r="J30" i="11"/>
  <c r="K30" i="11"/>
  <c r="O30" i="11" s="1"/>
  <c r="D31" i="11"/>
  <c r="N30" i="11"/>
  <c r="R30" i="11"/>
  <c r="S30" i="11" s="1"/>
</calcChain>
</file>

<file path=xl/sharedStrings.xml><?xml version="1.0" encoding="utf-8"?>
<sst xmlns="http://schemas.openxmlformats.org/spreadsheetml/2006/main" count="562" uniqueCount="194">
  <si>
    <t>Final</t>
  </si>
  <si>
    <t>Update Cost</t>
  </si>
  <si>
    <t>Yes</t>
  </si>
  <si>
    <t>No</t>
  </si>
  <si>
    <t>a</t>
  </si>
  <si>
    <t>b</t>
  </si>
  <si>
    <t>i=0,0</t>
  </si>
  <si>
    <t>i=0,1</t>
  </si>
  <si>
    <t>i=1,0</t>
  </si>
  <si>
    <t>i=1,1</t>
  </si>
  <si>
    <t>a=Yes</t>
  </si>
  <si>
    <t>a=No</t>
  </si>
  <si>
    <t>Shares</t>
  </si>
  <si>
    <t>Probability</t>
  </si>
  <si>
    <t>b|a</t>
  </si>
  <si>
    <t>a|b</t>
  </si>
  <si>
    <t>b|~a</t>
  </si>
  <si>
    <t>a|~b</t>
  </si>
  <si>
    <t>4 cases</t>
  </si>
  <si>
    <t>Side 1</t>
  </si>
  <si>
    <t>Side 2</t>
  </si>
  <si>
    <t>a &amp; b</t>
  </si>
  <si>
    <t>a &amp; ~b</t>
  </si>
  <si>
    <t>~a &amp; b</t>
  </si>
  <si>
    <t>~a &amp; ~b</t>
  </si>
  <si>
    <t>Side 3</t>
  </si>
  <si>
    <t>Old</t>
  </si>
  <si>
    <t>New</t>
  </si>
  <si>
    <t>Edit</t>
  </si>
  <si>
    <t>Net Total Adjustment</t>
  </si>
  <si>
    <t>Adj Edit</t>
  </si>
  <si>
    <t>Cat Change</t>
  </si>
  <si>
    <t>Changed</t>
  </si>
  <si>
    <t>Cat Prob</t>
  </si>
  <si>
    <t>Desc</t>
  </si>
  <si>
    <t xml:space="preserve">Update Cost
</t>
  </si>
  <si>
    <t>LMSR</t>
  </si>
  <si>
    <t>trading begins</t>
  </si>
  <si>
    <t>losers sell</t>
  </si>
  <si>
    <t>Prior (uniform)</t>
  </si>
  <si>
    <t>trading continues</t>
  </si>
  <si>
    <t>sale to recover funds today</t>
  </si>
  <si>
    <t># States</t>
  </si>
  <si>
    <t>Escrow Account Balance: enough to pay off the shareholders at p=$1</t>
  </si>
  <si>
    <t>Initial Capital Required to 'Make Market'</t>
  </si>
  <si>
    <t>Time</t>
  </si>
  <si>
    <t>S1</t>
  </si>
  <si>
    <t>S2</t>
  </si>
  <si>
    <t>S3</t>
  </si>
  <si>
    <t>S4</t>
  </si>
  <si>
    <t>p1</t>
  </si>
  <si>
    <t>p2</t>
  </si>
  <si>
    <t>p3</t>
  </si>
  <si>
    <t>p4</t>
  </si>
  <si>
    <t>P(b|a)</t>
  </si>
  <si>
    <t>From t=3 to t=4, the probability of b (column=1) remaned the same, but the marginal probability of experiencing b changed.</t>
  </si>
  <si>
    <t>From t=4 to t=5, the probability of b (column=1) changed from 43 to 34, but the marginal probability of experiencing b remained the same.</t>
  </si>
  <si>
    <t>Left over (positive, arbitrarily small)</t>
  </si>
  <si>
    <t>Some experiments to explore the 'trading additivity' of MSRs generally.</t>
  </si>
  <si>
    <t>A Calculator I threw together for solving for various probability changes….possibly a more general way to do this.</t>
  </si>
  <si>
    <t>Inputs</t>
  </si>
  <si>
    <t>Output</t>
  </si>
  <si>
    <t>b2</t>
  </si>
  <si>
    <t>b1</t>
  </si>
  <si>
    <t>Do we still have enough money?</t>
  </si>
  <si>
    <t>Yes.</t>
  </si>
  <si>
    <t>Multivariate - Increasing b while trading</t>
  </si>
  <si>
    <t>Insurance Fraud</t>
  </si>
  <si>
    <t>Assume unit price is 1$, insured facility worth $500.</t>
  </si>
  <si>
    <t>Burn Down?</t>
  </si>
  <si>
    <t>No-Fraud Actuarial Risk</t>
  </si>
  <si>
    <t>Increments</t>
  </si>
  <si>
    <t>Value</t>
  </si>
  <si>
    <t>Target</t>
  </si>
  <si>
    <t>Ins Profit</t>
  </si>
  <si>
    <t>Buyer</t>
  </si>
  <si>
    <t>Seller</t>
  </si>
  <si>
    <t>NA</t>
  </si>
  <si>
    <t>Owner Cost</t>
  </si>
  <si>
    <t>Note HIGH sensitivity to increments, particularly increments/value ratio</t>
  </si>
  <si>
    <t>Ins</t>
  </si>
  <si>
    <t>Owner</t>
  </si>
  <si>
    <t>Market</t>
  </si>
  <si>
    <t>Insurance</t>
  </si>
  <si>
    <t>Very interesting…converges to $20 (which is 4% * 500) only at high increments</t>
  </si>
  <si>
    <t>capital tie up</t>
  </si>
  <si>
    <t>problem</t>
  </si>
  <si>
    <t>insurance strategy</t>
  </si>
  <si>
    <t>ROCE</t>
  </si>
  <si>
    <t>(return on capital employed)</t>
  </si>
  <si>
    <t>Very capital intensive (but no counter-party risk)</t>
  </si>
  <si>
    <t>Will likely only work in situations</t>
  </si>
  <si>
    <t>only insure events like natural disasters (hurricane/tornado)</t>
  </si>
  <si>
    <t>works good for events where $ is potentially high (hurricane), because individuals can purchase as much insurance as they need (potentially a great deal), and insurance providers face a deep market</t>
  </si>
  <si>
    <t>include price of arson (unravel?)</t>
  </si>
  <si>
    <t>demand arson protections</t>
  </si>
  <si>
    <t>augmentation - see note on manipulation (this would certainly work IF the augmentation were ungameable [which will probably not be met])</t>
  </si>
  <si>
    <t>i=0</t>
  </si>
  <si>
    <t>End</t>
  </si>
  <si>
    <t>Trade</t>
  </si>
  <si>
    <t>Trade Cost</t>
  </si>
  <si>
    <t>Interpretation</t>
  </si>
  <si>
    <t>i</t>
  </si>
  <si>
    <t>Refund</t>
  </si>
  <si>
    <t>Post-Hoc Net Cost</t>
  </si>
  <si>
    <t>Market Author can "get back" the "left over" money, this encourages him to set appropriate min/max as this refund value is low when final value crashes into these limits.</t>
  </si>
  <si>
    <t>Max and Min must be set in advance - The Taleb Criticism</t>
  </si>
  <si>
    <t>http://measuringworth.com/DJA/</t>
  </si>
  <si>
    <t>http://finance.yahoo.com/echarts?s=%5Edji+interactive</t>
  </si>
  <si>
    <t>https://research.stlouisfed.org/fred2/series/DJIA/downloaddata</t>
  </si>
  <si>
    <t>Escrow Account Balance: enough to pay off the shareholders</t>
  </si>
  <si>
    <t>Redemptions</t>
  </si>
  <si>
    <t>i2=1 is better for the DJIA</t>
  </si>
  <si>
    <t>i|1</t>
  </si>
  <si>
    <t>i|0</t>
  </si>
  <si>
    <t>Index (Same Units)</t>
  </si>
  <si>
    <t>Index (Units)</t>
  </si>
  <si>
    <t>What happened to that money?</t>
  </si>
  <si>
    <t>was paid for 0 shares.</t>
  </si>
  <si>
    <t>If probabilities increase toward 100%, this amount is used. A higher b allows this number to increase higher before reaching 100%.</t>
  </si>
  <si>
    <t>Post-Hoc Net Cost - This cost will be lowest when the outcome is more central (ie far from both extremes).</t>
  </si>
  <si>
    <t>Targeting Calculator - Use this to "make a trade such that i=0,0 is at this price"</t>
  </si>
  <si>
    <t>LMSR Account</t>
  </si>
  <si>
    <t>Refund - For binary claims this will always be reduced to zero by traders.</t>
  </si>
  <si>
    <r>
      <t xml:space="preserve">Why the </t>
    </r>
    <r>
      <rPr>
        <b/>
        <u/>
        <sz val="11"/>
        <color theme="1"/>
        <rFont val="Calibri"/>
        <family val="2"/>
        <scheme val="minor"/>
      </rPr>
      <t>logarithmic</t>
    </r>
    <r>
      <rPr>
        <sz val="11"/>
        <color theme="1"/>
        <rFont val="Calibri"/>
        <family val="2"/>
        <scheme val="minor"/>
      </rPr>
      <t xml:space="preserve"> market scoring rule?</t>
    </r>
  </si>
  <si>
    <t>The classic InTrade Binary PM, for example "Mitt Romney to be elected US president in 2012?". State 0 trades 'No' and State 1 trades 'Yes', and over time it becomes clear that State 0 will win.
This market does not require the 'double-auction' features of normal markets, such as buy and sell orders. Instead only a incremental update is required. Each row is an update and the cost to preform this update is in the "Update Cost" column. Traders never need to know that they (potentially) aren't even trading with anyone else. This is easier to implement and ensures that low/zero trading volume is never a problem.</t>
  </si>
  <si>
    <t>A more sophisticated PM, with two dimentions [a,b] each true/false. Event "a" could be "Mitt Romney to be elected US president in 2012?", and event "b" could be "Will the US declare war on Russia in 2013?". As it became clear that neither would happen, the price of state [0,0] would converge to 100%.
Having two dimensions in one market allows us to examine the relationship between each dimension, ie (b|a=1) or "Will the US declare war on Russia given that Mitt Romney was elected president?"</t>
  </si>
  <si>
    <t>LMSR (Market Account)</t>
  </si>
  <si>
    <t>Scaled Contracts [ Bounded Scalar instead of Boolean]</t>
  </si>
  <si>
    <t>User Provides</t>
  </si>
  <si>
    <t>Calculated</t>
  </si>
  <si>
    <t xml:space="preserve">Update Cost (User Pays)
</t>
  </si>
  <si>
    <t>The Logarithmic Market Scoring Rule</t>
  </si>
  <si>
    <t>On this page I'll provide two examples of prediction markets which have permanent liquidity (ie, there is always someone to buy and sell against). Instead of placing Bid/Ask orders (which might go unfilled), individuals pay immediately for an immediate update to the market price. Traders can buy and sell shares at any time, with the economic consequences being idential to those of a traditional double-auction market.</t>
  </si>
  <si>
    <t>Example 1: Univariate</t>
  </si>
  <si>
    <t>Example 2: Multivariate</t>
  </si>
  <si>
    <t>Minimal Example</t>
  </si>
  <si>
    <t>Notice:</t>
  </si>
  <si>
    <t>More liquidity = higher upfront cost.</t>
  </si>
  <si>
    <t>Account Balance</t>
  </si>
  <si>
    <t>"Mitt Romney to be elected US president in 2012?"</t>
  </si>
  <si>
    <t>a=0</t>
  </si>
  <si>
    <t>a=1</t>
  </si>
  <si>
    <t>Targeting Calculator - Use this to "make a trade such that a=0 is at this price"</t>
  </si>
  <si>
    <t>a=0 seems likely</t>
  </si>
  <si>
    <t>a=0 known</t>
  </si>
  <si>
    <t>n</t>
  </si>
  <si>
    <t>"total number of states"</t>
  </si>
  <si>
    <t>k</t>
  </si>
  <si>
    <t>"Capital Required"</t>
  </si>
  <si>
    <t>"liquidity parameter (freely chosen)"</t>
  </si>
  <si>
    <t>"Will the US declare war on Russia in 2013?"</t>
  </si>
  <si>
    <t>Notice that the highlighted yellow and orange cells have the same values.
The L-msr allows individuals to bet on ONLY ONE of [liklihood of a, liklihood of b,  relationship between a and b], without having to think about (or risk money on) the other two.
These benefits become extremely attractive in high-dimensional markets, as humans  typically find it difficult to think about the relationship between 5 or 6 things (itself hundreds of possible relationships).</t>
  </si>
  <si>
    <t>"Hillary Clinton to be elected US president in 2016?"</t>
  </si>
  <si>
    <t>Notes:</t>
  </si>
  <si>
    <t>Keep in mind that you are betting on "what X claims is the DJIA" and not owning the true DJIA. The same goes for inflation, GDP, etc. you are betting on a publication of information.</t>
  </si>
  <si>
    <t>Market resolves at a=0, (a=1 shares are worthless)</t>
  </si>
  <si>
    <t>"What will the Dow Jones Industrial Average closing price be on Feb 13th, 2014? (two decimal places, rounded)"</t>
  </si>
  <si>
    <t>m</t>
  </si>
  <si>
    <t>minimum</t>
  </si>
  <si>
    <t>maximum</t>
  </si>
  <si>
    <t>M</t>
  </si>
  <si>
    <t>s</t>
  </si>
  <si>
    <t>scale</t>
  </si>
  <si>
    <t>S</t>
  </si>
  <si>
    <t>cumulative scale</t>
  </si>
  <si>
    <t>u1</t>
  </si>
  <si>
    <t>u2</t>
  </si>
  <si>
    <t>u3</t>
  </si>
  <si>
    <t>Source 1</t>
  </si>
  <si>
    <t>Source 2</t>
  </si>
  <si>
    <t>Source 3</t>
  </si>
  <si>
    <t>Re: consensus, must switch to median and remove .5-disincentive (switch disincentive to max)</t>
  </si>
  <si>
    <t>d1</t>
  </si>
  <si>
    <t>D</t>
  </si>
  <si>
    <t>[d1]</t>
  </si>
  <si>
    <t>"decision-dimensionality"</t>
  </si>
  <si>
    <t>d2</t>
  </si>
  <si>
    <t>[d1,d2]</t>
  </si>
  <si>
    <t>Stock Market Volatility</t>
  </si>
  <si>
    <t>"What will the NYSE:GE closing price be on May 2nd, 2014? (three decimal places, rounded)"</t>
  </si>
  <si>
    <t>https://www.google.com/finance?q=NYSE:GE&amp;sa=X&amp;ei=AihpU5eVJrHeyQGx5YG4DQ&amp;ved=0CDMQ2AEwAA</t>
  </si>
  <si>
    <t>"Jeffrey R. Immelt to remain CEO of GE, Jan 1, 2014?"</t>
  </si>
  <si>
    <t>Conditional Scaled Contracts</t>
  </si>
  <si>
    <t>Multivariate Scaled Contracts</t>
  </si>
  <si>
    <t>"What will the BTC/LTC exchange rate be on May 2nd, 2014? (three decimal places, rounded)"</t>
  </si>
  <si>
    <t>"What will the USD / TRU exchange rate be on May 2nd, 2014? (three decimal places, rounded)"</t>
  </si>
  <si>
    <t>null</t>
  </si>
  <si>
    <t>Outcome1</t>
  </si>
  <si>
    <t>Outcome2</t>
  </si>
  <si>
    <t>value</t>
  </si>
  <si>
    <t>Becomes clear that a=1</t>
  </si>
  <si>
    <t>This market believes that the GE share price would be higher under Immelt's leadership. Which CEOs aren't pulling their weight?</t>
  </si>
  <si>
    <t>cumulative scales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</si>
</sst>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
    <numFmt numFmtId="165" formatCode="0.0000"/>
    <numFmt numFmtId="166" formatCode="0.0%"/>
    <numFmt numFmtId="167" formatCode="0.0"/>
    <numFmt numFmtId="168" formatCode="0.00000"/>
    <numFmt numFmtId="169" formatCode="0.0000000"/>
    <numFmt numFmtId="170" formatCode="0.00000%"/>
    <numFmt numFmtId="171" formatCode="0.000000"/>
  </numFmts>
  <fonts count="15"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u/>
      <sz val="11"/>
      <color theme="10"/>
      <name val="Calibri"/>
      <family val="2"/>
      <scheme val="minor"/>
    </font>
    <font>
      <b/>
      <sz val="16"/>
      <color theme="1"/>
      <name val="Calibri"/>
      <family val="2"/>
      <scheme val="minor"/>
    </font>
    <font>
      <b/>
      <sz val="12"/>
      <color theme="1"/>
      <name val="Calibri"/>
      <family val="2"/>
      <scheme val="minor"/>
    </font>
    <font>
      <sz val="14"/>
      <color theme="1"/>
      <name val="Calibri"/>
      <family val="2"/>
      <scheme val="minor"/>
    </font>
    <font>
      <sz val="24"/>
      <color theme="1"/>
      <name val="Calibri"/>
      <family val="2"/>
      <scheme val="minor"/>
    </font>
    <font>
      <b/>
      <u/>
      <sz val="11"/>
      <color theme="1"/>
      <name val="Calibri"/>
      <family val="2"/>
      <scheme val="minor"/>
    </font>
    <font>
      <sz val="22"/>
      <color theme="1"/>
      <name val="Calibri"/>
      <family val="2"/>
      <scheme val="minor"/>
    </font>
    <font>
      <sz val="26"/>
      <color theme="1"/>
      <name val="Calibri"/>
      <family val="2"/>
      <scheme val="minor"/>
    </font>
    <font>
      <sz val="28"/>
      <color theme="1"/>
      <name val="Calibri"/>
      <family val="2"/>
      <scheme val="minor"/>
    </font>
    <font>
      <sz val="36"/>
      <color theme="1"/>
      <name val="Calibri"/>
      <family val="2"/>
      <scheme val="minor"/>
    </font>
    <font>
      <sz val="72"/>
      <color theme="1"/>
      <name val="Calibri"/>
      <family val="2"/>
      <scheme val="minor"/>
    </font>
  </fonts>
  <fills count="16">
    <fill>
      <patternFill patternType="none"/>
    </fill>
    <fill>
      <patternFill patternType="gray125"/>
    </fill>
    <fill>
      <patternFill patternType="solid">
        <fgColor theme="6" tint="0.59999389629810485"/>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5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double">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double">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medium">
        <color indexed="64"/>
      </left>
      <right/>
      <top/>
      <bottom style="double">
        <color indexed="64"/>
      </bottom>
      <diagonal/>
    </border>
    <border>
      <left style="medium">
        <color indexed="64"/>
      </left>
      <right style="medium">
        <color indexed="64"/>
      </right>
      <top/>
      <bottom style="double">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medium">
        <color indexed="64"/>
      </right>
      <top/>
      <bottom style="double">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medium">
        <color indexed="64"/>
      </top>
      <bottom/>
      <diagonal/>
    </border>
    <border>
      <left style="medium">
        <color indexed="64"/>
      </left>
      <right/>
      <top style="thin">
        <color indexed="64"/>
      </top>
      <bottom style="double">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s>
  <cellStyleXfs count="3">
    <xf numFmtId="0" fontId="0" fillId="0" borderId="0"/>
    <xf numFmtId="9" fontId="2" fillId="0" borderId="0" applyFont="0" applyFill="0" applyBorder="0" applyAlignment="0" applyProtection="0"/>
    <xf numFmtId="0" fontId="4" fillId="0" borderId="0" applyNumberFormat="0" applyFill="0" applyBorder="0" applyAlignment="0" applyProtection="0"/>
  </cellStyleXfs>
  <cellXfs count="412">
    <xf numFmtId="0" fontId="0" fillId="0" borderId="0" xfId="0"/>
    <xf numFmtId="0" fontId="0" fillId="0" borderId="1" xfId="0" applyBorder="1"/>
    <xf numFmtId="0" fontId="0" fillId="0" borderId="3" xfId="0" applyBorder="1"/>
    <xf numFmtId="0" fontId="0" fillId="0" borderId="4" xfId="0" applyBorder="1"/>
    <xf numFmtId="165" fontId="0" fillId="0" borderId="0" xfId="0" applyNumberFormat="1"/>
    <xf numFmtId="0" fontId="0" fillId="0" borderId="5" xfId="0" applyBorder="1"/>
    <xf numFmtId="0" fontId="0" fillId="0" borderId="6" xfId="0" applyBorder="1"/>
    <xf numFmtId="0" fontId="0" fillId="0" borderId="0" xfId="0" applyBorder="1"/>
    <xf numFmtId="0" fontId="0" fillId="0" borderId="0" xfId="0" applyFill="1"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8" xfId="0" applyBorder="1"/>
    <xf numFmtId="0" fontId="0" fillId="0" borderId="1"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0" xfId="0" applyBorder="1" applyAlignment="1"/>
    <xf numFmtId="0" fontId="0" fillId="0" borderId="0" xfId="0" applyBorder="1" applyAlignment="1">
      <alignment horizontal="center"/>
    </xf>
    <xf numFmtId="166" fontId="0" fillId="0" borderId="0" xfId="1" applyNumberFormat="1" applyFont="1" applyBorder="1" applyAlignment="1">
      <alignment horizontal="center"/>
    </xf>
    <xf numFmtId="0" fontId="0" fillId="0" borderId="0" xfId="0" applyBorder="1" applyAlignment="1">
      <alignment horizontal="left" vertical="center"/>
    </xf>
    <xf numFmtId="0" fontId="0" fillId="0" borderId="0" xfId="0" applyBorder="1" applyAlignment="1">
      <alignment horizontal="right"/>
    </xf>
    <xf numFmtId="0" fontId="0" fillId="0" borderId="24" xfId="0" applyBorder="1"/>
    <xf numFmtId="0" fontId="0" fillId="0" borderId="25" xfId="0" applyBorder="1"/>
    <xf numFmtId="0" fontId="0" fillId="0" borderId="26" xfId="0" applyBorder="1"/>
    <xf numFmtId="0" fontId="0" fillId="0" borderId="0" xfId="0" applyAlignment="1">
      <alignment horizontal="right"/>
    </xf>
    <xf numFmtId="0" fontId="0" fillId="0" borderId="0" xfId="0" applyAlignment="1">
      <alignment horizontal="left"/>
    </xf>
    <xf numFmtId="165" fontId="0" fillId="0" borderId="25" xfId="0" applyNumberFormat="1" applyBorder="1"/>
    <xf numFmtId="2" fontId="0" fillId="0" borderId="0" xfId="0" applyNumberFormat="1" applyFill="1" applyBorder="1"/>
    <xf numFmtId="167" fontId="0" fillId="0" borderId="0" xfId="0" applyNumberFormat="1" applyFill="1" applyBorder="1"/>
    <xf numFmtId="0" fontId="0" fillId="0" borderId="0" xfId="0" applyBorder="1" applyAlignment="1">
      <alignment horizontal="left" vertical="center" wrapText="1"/>
    </xf>
    <xf numFmtId="0" fontId="0" fillId="0" borderId="0" xfId="0" applyBorder="1" applyAlignment="1">
      <alignment wrapText="1"/>
    </xf>
    <xf numFmtId="0" fontId="0" fillId="0" borderId="0" xfId="0" applyFont="1" applyBorder="1"/>
    <xf numFmtId="0" fontId="0" fillId="0" borderId="0" xfId="0" applyAlignment="1"/>
    <xf numFmtId="0" fontId="0" fillId="0" borderId="14" xfId="0" applyFont="1" applyBorder="1" applyAlignment="1">
      <alignment horizontal="right"/>
    </xf>
    <xf numFmtId="0" fontId="0" fillId="7" borderId="14" xfId="0" applyFill="1" applyBorder="1"/>
    <xf numFmtId="0" fontId="0" fillId="8" borderId="1" xfId="0" applyFill="1" applyBorder="1" applyAlignment="1">
      <alignment horizontal="left" vertical="center"/>
    </xf>
    <xf numFmtId="0" fontId="0" fillId="8" borderId="9" xfId="0" applyFill="1" applyBorder="1" applyAlignment="1">
      <alignment horizontal="left" vertical="center"/>
    </xf>
    <xf numFmtId="0" fontId="0" fillId="8" borderId="2" xfId="0" applyFill="1" applyBorder="1" applyAlignment="1">
      <alignment horizontal="left" vertical="center"/>
    </xf>
    <xf numFmtId="0" fontId="0" fillId="5" borderId="13" xfId="0" applyFill="1" applyBorder="1" applyAlignment="1"/>
    <xf numFmtId="0" fontId="0" fillId="3" borderId="8" xfId="0" applyFill="1" applyBorder="1" applyAlignment="1"/>
    <xf numFmtId="0" fontId="0" fillId="3" borderId="0" xfId="0" applyFill="1" applyBorder="1" applyAlignment="1"/>
    <xf numFmtId="0" fontId="0" fillId="2" borderId="5" xfId="0" applyFill="1" applyBorder="1" applyAlignment="1"/>
    <xf numFmtId="0" fontId="0" fillId="7" borderId="14" xfId="0" applyFill="1" applyBorder="1" applyAlignment="1"/>
    <xf numFmtId="0" fontId="0" fillId="5" borderId="3" xfId="0" applyFill="1" applyBorder="1" applyAlignment="1"/>
    <xf numFmtId="0" fontId="0" fillId="3" borderId="7" xfId="0" applyFill="1" applyBorder="1" applyAlignment="1"/>
    <xf numFmtId="164" fontId="0" fillId="7" borderId="4" xfId="0" applyNumberFormat="1" applyFill="1" applyBorder="1" applyAlignment="1"/>
    <xf numFmtId="0" fontId="0" fillId="5" borderId="5" xfId="0" applyFill="1" applyBorder="1" applyAlignment="1"/>
    <xf numFmtId="166" fontId="0" fillId="5" borderId="21" xfId="1" applyNumberFormat="1" applyFont="1" applyFill="1" applyBorder="1" applyAlignment="1"/>
    <xf numFmtId="164" fontId="0" fillId="7" borderId="6" xfId="0" applyNumberFormat="1" applyFill="1" applyBorder="1" applyAlignment="1"/>
    <xf numFmtId="166" fontId="0" fillId="5" borderId="27" xfId="1" applyNumberFormat="1" applyFont="1" applyFill="1" applyBorder="1" applyAlignment="1"/>
    <xf numFmtId="0" fontId="0" fillId="5" borderId="18" xfId="0" applyFill="1" applyBorder="1" applyAlignment="1"/>
    <xf numFmtId="0" fontId="0" fillId="3" borderId="23" xfId="0" applyFill="1" applyBorder="1" applyAlignment="1"/>
    <xf numFmtId="166" fontId="0" fillId="5" borderId="18" xfId="1" applyNumberFormat="1" applyFont="1" applyFill="1" applyBorder="1" applyAlignment="1"/>
    <xf numFmtId="9" fontId="1" fillId="0" borderId="0" xfId="1" applyNumberFormat="1" applyFont="1" applyBorder="1" applyAlignment="1"/>
    <xf numFmtId="9" fontId="0" fillId="0" borderId="0" xfId="1" applyNumberFormat="1" applyFont="1" applyBorder="1" applyAlignment="1"/>
    <xf numFmtId="0" fontId="0" fillId="4" borderId="8" xfId="0" applyFill="1" applyBorder="1" applyAlignment="1"/>
    <xf numFmtId="0" fontId="0" fillId="6" borderId="14" xfId="0" applyFill="1" applyBorder="1" applyAlignment="1"/>
    <xf numFmtId="0" fontId="0" fillId="4" borderId="7" xfId="0" applyFill="1" applyBorder="1" applyAlignment="1"/>
    <xf numFmtId="0" fontId="0" fillId="6" borderId="4" xfId="0" applyFill="1" applyBorder="1" applyAlignment="1"/>
    <xf numFmtId="0" fontId="0" fillId="4" borderId="0" xfId="0" applyFill="1" applyBorder="1" applyAlignment="1"/>
    <xf numFmtId="0" fontId="0" fillId="6" borderId="6" xfId="0" applyFill="1" applyBorder="1" applyAlignment="1"/>
    <xf numFmtId="0" fontId="0" fillId="4" borderId="23" xfId="0" applyFill="1" applyBorder="1" applyAlignment="1"/>
    <xf numFmtId="0" fontId="0" fillId="6" borderId="19" xfId="0" applyFill="1" applyBorder="1" applyAlignment="1"/>
    <xf numFmtId="0" fontId="3" fillId="8" borderId="1" xfId="0" applyFont="1" applyFill="1" applyBorder="1" applyAlignment="1">
      <alignment horizontal="left" vertical="center"/>
    </xf>
    <xf numFmtId="0" fontId="3" fillId="8" borderId="9" xfId="0" applyFont="1" applyFill="1" applyBorder="1" applyAlignment="1">
      <alignment horizontal="left" vertical="center"/>
    </xf>
    <xf numFmtId="0" fontId="3" fillId="8" borderId="2" xfId="0" applyFont="1" applyFill="1" applyBorder="1" applyAlignment="1">
      <alignment horizontal="left" vertical="center"/>
    </xf>
    <xf numFmtId="9" fontId="0" fillId="5" borderId="13" xfId="1" applyNumberFormat="1" applyFont="1" applyFill="1" applyBorder="1" applyAlignment="1"/>
    <xf numFmtId="9" fontId="0" fillId="4" borderId="8" xfId="1" applyNumberFormat="1" applyFont="1" applyFill="1" applyBorder="1" applyAlignment="1"/>
    <xf numFmtId="9" fontId="0" fillId="3" borderId="8" xfId="1" applyNumberFormat="1" applyFont="1" applyFill="1" applyBorder="1" applyAlignment="1"/>
    <xf numFmtId="9" fontId="0" fillId="6" borderId="14" xfId="1" applyNumberFormat="1" applyFont="1" applyFill="1" applyBorder="1" applyAlignment="1"/>
    <xf numFmtId="9" fontId="0" fillId="5" borderId="3" xfId="1" applyNumberFormat="1" applyFont="1" applyFill="1" applyBorder="1" applyAlignment="1"/>
    <xf numFmtId="9" fontId="0" fillId="4" borderId="7" xfId="1" applyNumberFormat="1" applyFont="1" applyFill="1" applyBorder="1" applyAlignment="1"/>
    <xf numFmtId="9" fontId="0" fillId="3" borderId="7" xfId="1" applyNumberFormat="1" applyFont="1" applyFill="1" applyBorder="1" applyAlignment="1"/>
    <xf numFmtId="9" fontId="0" fillId="6" borderId="4" xfId="1" applyNumberFormat="1" applyFont="1" applyFill="1" applyBorder="1" applyAlignment="1"/>
    <xf numFmtId="9" fontId="0" fillId="5" borderId="5" xfId="1" applyNumberFormat="1" applyFont="1" applyFill="1" applyBorder="1" applyAlignment="1"/>
    <xf numFmtId="9" fontId="0" fillId="4" borderId="0" xfId="1" applyNumberFormat="1" applyFont="1" applyFill="1" applyBorder="1" applyAlignment="1"/>
    <xf numFmtId="9" fontId="0" fillId="3" borderId="0" xfId="1" applyNumberFormat="1" applyFont="1" applyFill="1" applyBorder="1" applyAlignment="1"/>
    <xf numFmtId="9" fontId="0" fillId="6" borderId="6" xfId="1" applyNumberFormat="1" applyFont="1" applyFill="1" applyBorder="1" applyAlignment="1"/>
    <xf numFmtId="9" fontId="0" fillId="5" borderId="18" xfId="1" applyNumberFormat="1" applyFont="1" applyFill="1" applyBorder="1" applyAlignment="1"/>
    <xf numFmtId="9" fontId="0" fillId="4" borderId="23" xfId="1" applyNumberFormat="1" applyFont="1" applyFill="1" applyBorder="1" applyAlignment="1"/>
    <xf numFmtId="9" fontId="0" fillId="3" borderId="23" xfId="1" applyNumberFormat="1" applyFont="1" applyFill="1" applyBorder="1" applyAlignment="1"/>
    <xf numFmtId="9" fontId="0" fillId="6" borderId="19" xfId="1" applyNumberFormat="1" applyFont="1" applyFill="1" applyBorder="1" applyAlignment="1"/>
    <xf numFmtId="0" fontId="0" fillId="7" borderId="4" xfId="0" applyFill="1" applyBorder="1"/>
    <xf numFmtId="0" fontId="0" fillId="7" borderId="6" xfId="0" applyFill="1" applyBorder="1"/>
    <xf numFmtId="0" fontId="0" fillId="5" borderId="8" xfId="0" applyFill="1" applyBorder="1" applyAlignment="1"/>
    <xf numFmtId="0" fontId="0" fillId="3" borderId="14" xfId="0" applyFill="1" applyBorder="1" applyAlignment="1"/>
    <xf numFmtId="166" fontId="0" fillId="3" borderId="7" xfId="1" applyNumberFormat="1" applyFont="1" applyFill="1" applyBorder="1" applyAlignment="1"/>
    <xf numFmtId="166" fontId="0" fillId="3" borderId="0" xfId="1" applyNumberFormat="1" applyFont="1" applyFill="1" applyBorder="1" applyAlignment="1"/>
    <xf numFmtId="166" fontId="0" fillId="3" borderId="23" xfId="1" applyNumberFormat="1" applyFont="1" applyFill="1" applyBorder="1" applyAlignment="1"/>
    <xf numFmtId="0" fontId="0" fillId="2" borderId="15" xfId="0" applyFill="1" applyBorder="1" applyAlignment="1"/>
    <xf numFmtId="0" fontId="0" fillId="2" borderId="16" xfId="0" applyFill="1" applyBorder="1" applyAlignment="1"/>
    <xf numFmtId="0" fontId="0" fillId="2" borderId="17" xfId="0" applyFill="1" applyBorder="1" applyAlignment="1"/>
    <xf numFmtId="166" fontId="0" fillId="5" borderId="28" xfId="1" applyNumberFormat="1" applyFont="1" applyFill="1" applyBorder="1" applyAlignment="1"/>
    <xf numFmtId="9" fontId="0" fillId="0" borderId="28" xfId="0" applyNumberFormat="1" applyBorder="1"/>
    <xf numFmtId="168" fontId="0" fillId="0" borderId="28" xfId="0" applyNumberFormat="1" applyBorder="1"/>
    <xf numFmtId="168" fontId="0" fillId="5" borderId="28" xfId="0" applyNumberFormat="1" applyFill="1" applyBorder="1" applyAlignment="1"/>
    <xf numFmtId="0" fontId="0" fillId="0" borderId="0" xfId="0" applyAlignment="1">
      <alignment horizontal="center"/>
    </xf>
    <xf numFmtId="10" fontId="0" fillId="5" borderId="10" xfId="1" applyNumberFormat="1" applyFont="1" applyFill="1" applyBorder="1" applyAlignment="1"/>
    <xf numFmtId="10" fontId="0" fillId="4" borderId="12" xfId="1" applyNumberFormat="1" applyFont="1" applyFill="1" applyBorder="1" applyAlignment="1"/>
    <xf numFmtId="10" fontId="0" fillId="0" borderId="27" xfId="0" applyNumberFormat="1" applyBorder="1"/>
    <xf numFmtId="10" fontId="0" fillId="3" borderId="18" xfId="1" applyNumberFormat="1" applyFont="1" applyFill="1" applyBorder="1" applyAlignment="1"/>
    <xf numFmtId="10" fontId="0" fillId="6" borderId="19" xfId="1" applyNumberFormat="1" applyFont="1" applyFill="1" applyBorder="1" applyAlignment="1"/>
    <xf numFmtId="10" fontId="0" fillId="0" borderId="0" xfId="0" applyNumberFormat="1"/>
    <xf numFmtId="10" fontId="0" fillId="0" borderId="0" xfId="0" applyNumberFormat="1" applyAlignment="1"/>
    <xf numFmtId="10" fontId="0" fillId="0" borderId="28" xfId="0" applyNumberFormat="1" applyBorder="1"/>
    <xf numFmtId="1" fontId="0" fillId="0" borderId="0" xfId="0" applyNumberFormat="1" applyAlignment="1">
      <alignment horizontal="center"/>
    </xf>
    <xf numFmtId="0" fontId="0" fillId="0" borderId="30" xfId="0" applyBorder="1"/>
    <xf numFmtId="0" fontId="0" fillId="0" borderId="31" xfId="0" applyBorder="1"/>
    <xf numFmtId="0" fontId="0" fillId="10" borderId="0" xfId="0" applyFill="1"/>
    <xf numFmtId="0" fontId="0" fillId="11" borderId="0" xfId="0" applyFill="1"/>
    <xf numFmtId="0" fontId="0" fillId="9" borderId="10" xfId="0" applyFill="1" applyBorder="1"/>
    <xf numFmtId="0" fontId="0" fillId="9" borderId="21" xfId="0" applyFill="1" applyBorder="1"/>
    <xf numFmtId="0" fontId="0" fillId="0" borderId="22" xfId="0" applyBorder="1"/>
    <xf numFmtId="0" fontId="0" fillId="9" borderId="18" xfId="0" applyFill="1" applyBorder="1"/>
    <xf numFmtId="0" fontId="0" fillId="0" borderId="19" xfId="0" applyBorder="1"/>
    <xf numFmtId="0" fontId="0" fillId="11" borderId="10" xfId="0" applyFill="1" applyBorder="1"/>
    <xf numFmtId="0" fontId="0" fillId="11" borderId="21" xfId="0" applyFill="1" applyBorder="1"/>
    <xf numFmtId="0" fontId="0" fillId="11" borderId="18" xfId="0" applyFill="1" applyBorder="1"/>
    <xf numFmtId="0" fontId="0" fillId="0" borderId="28" xfId="0" applyBorder="1"/>
    <xf numFmtId="0" fontId="0" fillId="0" borderId="32" xfId="0" applyBorder="1"/>
    <xf numFmtId="0" fontId="0" fillId="0" borderId="33" xfId="0" applyBorder="1"/>
    <xf numFmtId="0" fontId="0" fillId="0" borderId="33" xfId="0" applyFill="1" applyBorder="1"/>
    <xf numFmtId="0" fontId="0" fillId="0" borderId="0" xfId="0" applyFill="1"/>
    <xf numFmtId="0" fontId="0" fillId="2" borderId="34" xfId="0" applyFill="1" applyBorder="1" applyAlignment="1"/>
    <xf numFmtId="166" fontId="0" fillId="5" borderId="36" xfId="1" applyNumberFormat="1" applyFont="1" applyFill="1" applyBorder="1" applyAlignment="1"/>
    <xf numFmtId="166" fontId="0" fillId="3" borderId="8" xfId="1" applyNumberFormat="1" applyFont="1" applyFill="1" applyBorder="1" applyAlignment="1"/>
    <xf numFmtId="0" fontId="0" fillId="2" borderId="37" xfId="0" applyFill="1" applyBorder="1" applyAlignment="1"/>
    <xf numFmtId="164" fontId="0" fillId="7" borderId="35" xfId="0" applyNumberFormat="1" applyFill="1" applyBorder="1" applyAlignment="1"/>
    <xf numFmtId="0" fontId="0" fillId="0" borderId="21" xfId="0" applyBorder="1"/>
    <xf numFmtId="0" fontId="0" fillId="0" borderId="8" xfId="0" applyFont="1" applyBorder="1" applyAlignment="1">
      <alignment horizontal="right"/>
    </xf>
    <xf numFmtId="0" fontId="0" fillId="5" borderId="38" xfId="0" applyFill="1" applyBorder="1" applyAlignment="1"/>
    <xf numFmtId="166" fontId="0" fillId="0" borderId="0" xfId="0" applyNumberFormat="1"/>
    <xf numFmtId="166" fontId="0" fillId="12" borderId="0" xfId="0" applyNumberFormat="1" applyFill="1"/>
    <xf numFmtId="10" fontId="0" fillId="0" borderId="29" xfId="0" applyNumberFormat="1" applyFill="1" applyBorder="1" applyAlignment="1"/>
    <xf numFmtId="10" fontId="0" fillId="13" borderId="0" xfId="0" applyNumberFormat="1" applyFill="1" applyAlignment="1"/>
    <xf numFmtId="0" fontId="0" fillId="0" borderId="21" xfId="0" applyBorder="1" applyAlignment="1">
      <alignment horizontal="right"/>
    </xf>
    <xf numFmtId="0" fontId="0" fillId="0" borderId="18" xfId="0" applyBorder="1"/>
    <xf numFmtId="165" fontId="0" fillId="0" borderId="0" xfId="0" applyNumberFormat="1" applyBorder="1"/>
    <xf numFmtId="165" fontId="0" fillId="0" borderId="2" xfId="0" applyNumberFormat="1" applyBorder="1"/>
    <xf numFmtId="165" fontId="0" fillId="0" borderId="6" xfId="0" applyNumberFormat="1" applyBorder="1"/>
    <xf numFmtId="165" fontId="0" fillId="0" borderId="4" xfId="0" applyNumberFormat="1" applyBorder="1"/>
    <xf numFmtId="0" fontId="0" fillId="0" borderId="40" xfId="0" applyBorder="1"/>
    <xf numFmtId="0" fontId="0" fillId="0" borderId="16"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39" xfId="0" applyBorder="1" applyAlignment="1">
      <alignment horizontal="center"/>
    </xf>
    <xf numFmtId="0" fontId="0" fillId="0" borderId="36" xfId="0" applyBorder="1"/>
    <xf numFmtId="0" fontId="0" fillId="0" borderId="41" xfId="0" applyBorder="1"/>
    <xf numFmtId="0" fontId="0" fillId="0" borderId="35" xfId="0" applyBorder="1"/>
    <xf numFmtId="0" fontId="0" fillId="0" borderId="8" xfId="0" applyBorder="1" applyAlignment="1">
      <alignment horizontal="right"/>
    </xf>
    <xf numFmtId="0" fontId="0" fillId="0" borderId="20" xfId="0" applyBorder="1"/>
    <xf numFmtId="0" fontId="0" fillId="0" borderId="36" xfId="0" applyBorder="1" applyAlignment="1">
      <alignment horizontal="right"/>
    </xf>
    <xf numFmtId="0" fontId="0" fillId="0" borderId="37" xfId="0" applyBorder="1" applyAlignment="1">
      <alignment horizontal="center"/>
    </xf>
    <xf numFmtId="165" fontId="0" fillId="0" borderId="20" xfId="0" applyNumberFormat="1" applyBorder="1"/>
    <xf numFmtId="165" fontId="0" fillId="0" borderId="8" xfId="0" applyNumberFormat="1" applyBorder="1"/>
    <xf numFmtId="0" fontId="0" fillId="0" borderId="8" xfId="0" applyBorder="1" applyAlignment="1">
      <alignment horizontal="left"/>
    </xf>
    <xf numFmtId="0" fontId="5" fillId="0" borderId="0" xfId="0" applyFont="1"/>
    <xf numFmtId="0" fontId="0" fillId="0" borderId="0" xfId="0" applyFill="1" applyBorder="1" applyAlignment="1"/>
    <xf numFmtId="0" fontId="0" fillId="0" borderId="0" xfId="0" applyFill="1" applyBorder="1" applyAlignment="1">
      <alignment horizontal="left" vertical="center"/>
    </xf>
    <xf numFmtId="0" fontId="0" fillId="0" borderId="0" xfId="0" applyFill="1" applyBorder="1" applyAlignment="1">
      <alignment horizontal="right"/>
    </xf>
    <xf numFmtId="0" fontId="0" fillId="0" borderId="0" xfId="0" applyFill="1" applyBorder="1" applyAlignment="1">
      <alignment horizontal="center"/>
    </xf>
    <xf numFmtId="10" fontId="0" fillId="0" borderId="0" xfId="1" applyNumberFormat="1" applyFont="1" applyFill="1" applyBorder="1" applyAlignment="1"/>
    <xf numFmtId="10" fontId="0" fillId="0" borderId="0" xfId="0" applyNumberFormat="1" applyFill="1" applyBorder="1"/>
    <xf numFmtId="166" fontId="0" fillId="0" borderId="0" xfId="0" applyNumberFormat="1" applyFill="1" applyBorder="1"/>
    <xf numFmtId="10" fontId="0" fillId="0" borderId="0" xfId="0" applyNumberFormat="1" applyFill="1" applyBorder="1" applyAlignment="1"/>
    <xf numFmtId="9" fontId="0" fillId="0" borderId="0" xfId="0" applyNumberFormat="1" applyBorder="1"/>
    <xf numFmtId="168" fontId="0" fillId="0" borderId="9" xfId="0" applyNumberFormat="1" applyBorder="1"/>
    <xf numFmtId="0" fontId="0" fillId="0" borderId="9" xfId="0" applyBorder="1"/>
    <xf numFmtId="0" fontId="6" fillId="0" borderId="0" xfId="0" applyFont="1" applyAlignment="1">
      <alignment horizontal="center"/>
    </xf>
    <xf numFmtId="0" fontId="6" fillId="0" borderId="0" xfId="0" applyFont="1" applyBorder="1" applyAlignment="1">
      <alignment horizontal="center"/>
    </xf>
    <xf numFmtId="0" fontId="6" fillId="0" borderId="0" xfId="0" applyFont="1" applyFill="1" applyBorder="1" applyAlignment="1">
      <alignment horizontal="center"/>
    </xf>
    <xf numFmtId="169" fontId="0" fillId="7" borderId="4" xfId="0" applyNumberFormat="1" applyFill="1" applyBorder="1" applyAlignment="1"/>
    <xf numFmtId="169" fontId="0" fillId="7" borderId="6" xfId="0" applyNumberFormat="1" applyFill="1" applyBorder="1" applyAlignment="1"/>
    <xf numFmtId="169" fontId="0" fillId="7" borderId="35" xfId="0" applyNumberFormat="1" applyFill="1" applyBorder="1" applyAlignment="1"/>
    <xf numFmtId="169" fontId="0" fillId="7" borderId="14" xfId="0" applyNumberFormat="1" applyFill="1" applyBorder="1" applyAlignment="1"/>
    <xf numFmtId="169" fontId="0" fillId="7" borderId="17" xfId="0" applyNumberFormat="1" applyFill="1" applyBorder="1" applyAlignment="1"/>
    <xf numFmtId="168" fontId="0" fillId="3" borderId="0" xfId="0" applyNumberFormat="1" applyFill="1" applyBorder="1" applyAlignment="1"/>
    <xf numFmtId="2" fontId="0" fillId="0" borderId="0" xfId="0" applyNumberFormat="1" applyBorder="1"/>
    <xf numFmtId="164" fontId="0" fillId="3" borderId="0" xfId="0" applyNumberFormat="1" applyFill="1" applyBorder="1" applyAlignment="1"/>
    <xf numFmtId="169" fontId="0" fillId="0" borderId="0" xfId="0" applyNumberFormat="1"/>
    <xf numFmtId="164" fontId="0" fillId="3" borderId="23" xfId="0" applyNumberFormat="1" applyFill="1" applyBorder="1" applyAlignment="1"/>
    <xf numFmtId="0" fontId="0" fillId="0" borderId="10" xfId="0" applyBorder="1" applyAlignment="1">
      <alignment horizontal="center"/>
    </xf>
    <xf numFmtId="0" fontId="0" fillId="0" borderId="12" xfId="0" applyBorder="1" applyAlignment="1">
      <alignment horizontal="center"/>
    </xf>
    <xf numFmtId="0" fontId="0" fillId="0" borderId="23" xfId="0" applyBorder="1"/>
    <xf numFmtId="9" fontId="0" fillId="0" borderId="18" xfId="0" applyNumberFormat="1" applyBorder="1"/>
    <xf numFmtId="9" fontId="0" fillId="0" borderId="19" xfId="0" applyNumberFormat="1" applyBorder="1"/>
    <xf numFmtId="168" fontId="0" fillId="0" borderId="0" xfId="0" applyNumberFormat="1"/>
    <xf numFmtId="0" fontId="0" fillId="0" borderId="0" xfId="0" quotePrefix="1" applyFill="1" applyBorder="1"/>
    <xf numFmtId="170" fontId="0" fillId="0" borderId="0" xfId="1" applyNumberFormat="1" applyFont="1"/>
    <xf numFmtId="0" fontId="0" fillId="5" borderId="13" xfId="0" applyFill="1" applyBorder="1" applyAlignment="1">
      <alignment horizontal="center"/>
    </xf>
    <xf numFmtId="0" fontId="0" fillId="3" borderId="8" xfId="0" applyFill="1" applyBorder="1" applyAlignment="1">
      <alignment horizontal="center"/>
    </xf>
    <xf numFmtId="0" fontId="0" fillId="5" borderId="8" xfId="0" applyFill="1" applyBorder="1" applyAlignment="1">
      <alignment horizontal="center"/>
    </xf>
    <xf numFmtId="0" fontId="0" fillId="3" borderId="14" xfId="0" applyFill="1" applyBorder="1" applyAlignment="1">
      <alignment horizontal="center"/>
    </xf>
    <xf numFmtId="0" fontId="0" fillId="4" borderId="8" xfId="0" applyFill="1" applyBorder="1" applyAlignment="1">
      <alignment horizontal="center"/>
    </xf>
    <xf numFmtId="0" fontId="0" fillId="6" borderId="14" xfId="0" applyFill="1" applyBorder="1" applyAlignment="1">
      <alignment horizontal="center"/>
    </xf>
    <xf numFmtId="0" fontId="0" fillId="0" borderId="12" xfId="0" applyBorder="1" applyAlignment="1">
      <alignment horizontal="left"/>
    </xf>
    <xf numFmtId="0" fontId="0" fillId="0" borderId="19" xfId="0" applyBorder="1" applyAlignment="1">
      <alignment horizontal="left"/>
    </xf>
    <xf numFmtId="0" fontId="0" fillId="0" borderId="21" xfId="0" applyBorder="1" applyAlignment="1">
      <alignment horizontal="center"/>
    </xf>
    <xf numFmtId="0" fontId="0" fillId="0" borderId="22" xfId="0" applyBorder="1" applyAlignment="1">
      <alignment horizontal="center"/>
    </xf>
    <xf numFmtId="164" fontId="0" fillId="0" borderId="0" xfId="0" applyNumberFormat="1" applyBorder="1"/>
    <xf numFmtId="0" fontId="6" fillId="0" borderId="0" xfId="0" applyFont="1" applyBorder="1" applyAlignment="1">
      <alignment horizontal="center" vertical="center"/>
    </xf>
    <xf numFmtId="0" fontId="7" fillId="0" borderId="0" xfId="0" applyFont="1" applyBorder="1"/>
    <xf numFmtId="0" fontId="7" fillId="0" borderId="0" xfId="0" applyFont="1"/>
    <xf numFmtId="0" fontId="8" fillId="0" borderId="0" xfId="0" applyFont="1"/>
    <xf numFmtId="166" fontId="0" fillId="0" borderId="0" xfId="0" applyNumberFormat="1" applyBorder="1"/>
    <xf numFmtId="2" fontId="0" fillId="0" borderId="0" xfId="0" applyNumberFormat="1" applyAlignment="1"/>
    <xf numFmtId="0" fontId="0" fillId="0" borderId="0" xfId="0" applyBorder="1" applyAlignment="1">
      <alignment horizontal="left"/>
    </xf>
    <xf numFmtId="0" fontId="4" fillId="0" borderId="0" xfId="2" applyBorder="1"/>
    <xf numFmtId="0" fontId="0" fillId="14" borderId="14" xfId="0" applyFill="1" applyBorder="1" applyAlignment="1">
      <alignment horizontal="center"/>
    </xf>
    <xf numFmtId="2" fontId="0" fillId="14" borderId="39" xfId="1" applyNumberFormat="1" applyFont="1" applyFill="1" applyBorder="1" applyAlignment="1"/>
    <xf numFmtId="2" fontId="0" fillId="14" borderId="22" xfId="1" applyNumberFormat="1" applyFont="1" applyFill="1" applyBorder="1" applyAlignment="1"/>
    <xf numFmtId="2" fontId="0" fillId="14" borderId="41" xfId="1" applyNumberFormat="1" applyFont="1" applyFill="1" applyBorder="1" applyAlignment="1"/>
    <xf numFmtId="2" fontId="0" fillId="14" borderId="19" xfId="1" applyNumberFormat="1" applyFont="1" applyFill="1" applyBorder="1" applyAlignment="1"/>
    <xf numFmtId="0" fontId="0" fillId="15" borderId="14" xfId="0" applyFill="1" applyBorder="1" applyAlignment="1">
      <alignment horizontal="center"/>
    </xf>
    <xf numFmtId="2" fontId="0" fillId="15" borderId="39" xfId="1" applyNumberFormat="1" applyFont="1" applyFill="1" applyBorder="1" applyAlignment="1"/>
    <xf numFmtId="2" fontId="0" fillId="15" borderId="22" xfId="1" applyNumberFormat="1" applyFont="1" applyFill="1" applyBorder="1" applyAlignment="1"/>
    <xf numFmtId="2" fontId="0" fillId="15" borderId="41" xfId="1" applyNumberFormat="1" applyFont="1" applyFill="1" applyBorder="1" applyAlignment="1"/>
    <xf numFmtId="0" fontId="3" fillId="0" borderId="0" xfId="0" applyFont="1" applyFill="1" applyBorder="1" applyAlignment="1">
      <alignment horizontal="left" vertical="center"/>
    </xf>
    <xf numFmtId="164" fontId="0" fillId="0" borderId="0" xfId="0" applyNumberFormat="1" applyFill="1" applyBorder="1" applyAlignment="1"/>
    <xf numFmtId="0" fontId="0" fillId="0" borderId="22" xfId="0" applyBorder="1" applyAlignment="1"/>
    <xf numFmtId="0" fontId="0" fillId="5" borderId="44" xfId="0" applyFill="1" applyBorder="1" applyAlignment="1">
      <alignment horizontal="center"/>
    </xf>
    <xf numFmtId="0" fontId="0" fillId="3" borderId="45" xfId="0" applyFill="1" applyBorder="1" applyAlignment="1">
      <alignment horizontal="center"/>
    </xf>
    <xf numFmtId="2" fontId="0" fillId="3" borderId="4" xfId="1" applyNumberFormat="1" applyFont="1" applyFill="1" applyBorder="1" applyAlignment="1"/>
    <xf numFmtId="2" fontId="0" fillId="3" borderId="6" xfId="1" applyNumberFormat="1" applyFont="1" applyFill="1" applyBorder="1" applyAlignment="1"/>
    <xf numFmtId="2" fontId="0" fillId="3" borderId="14" xfId="1" applyNumberFormat="1" applyFont="1" applyFill="1" applyBorder="1" applyAlignment="1"/>
    <xf numFmtId="0" fontId="0" fillId="3" borderId="46" xfId="0" applyFill="1" applyBorder="1" applyAlignment="1">
      <alignment horizontal="center"/>
    </xf>
    <xf numFmtId="166" fontId="0" fillId="5" borderId="3" xfId="1" applyNumberFormat="1" applyFont="1" applyFill="1" applyBorder="1" applyAlignment="1"/>
    <xf numFmtId="166" fontId="0" fillId="3" borderId="4" xfId="1" applyNumberFormat="1" applyFont="1" applyFill="1" applyBorder="1" applyAlignment="1"/>
    <xf numFmtId="166" fontId="0" fillId="5" borderId="5" xfId="1" applyNumberFormat="1" applyFont="1" applyFill="1" applyBorder="1" applyAlignment="1"/>
    <xf numFmtId="166" fontId="0" fillId="3" borderId="6" xfId="1" applyNumberFormat="1" applyFont="1" applyFill="1" applyBorder="1" applyAlignment="1"/>
    <xf numFmtId="166" fontId="0" fillId="5" borderId="13" xfId="1" applyNumberFormat="1" applyFont="1" applyFill="1" applyBorder="1" applyAlignment="1"/>
    <xf numFmtId="166" fontId="0" fillId="3" borderId="14" xfId="1" applyNumberFormat="1" applyFont="1" applyFill="1" applyBorder="1" applyAlignment="1"/>
    <xf numFmtId="0" fontId="3" fillId="8" borderId="10" xfId="0" applyFont="1" applyFill="1" applyBorder="1" applyAlignment="1">
      <alignment horizontal="left" vertical="center"/>
    </xf>
    <xf numFmtId="0" fontId="3" fillId="8" borderId="11" xfId="0" applyFont="1" applyFill="1" applyBorder="1" applyAlignment="1">
      <alignment horizontal="left" vertical="center"/>
    </xf>
    <xf numFmtId="0" fontId="3" fillId="8" borderId="47" xfId="0" applyFont="1" applyFill="1" applyBorder="1" applyAlignment="1">
      <alignment horizontal="left" vertical="center"/>
    </xf>
    <xf numFmtId="0" fontId="3" fillId="8" borderId="29" xfId="0" applyFont="1" applyFill="1" applyBorder="1" applyAlignment="1">
      <alignment horizontal="left" vertical="center"/>
    </xf>
    <xf numFmtId="0" fontId="3" fillId="8" borderId="12" xfId="0" applyFont="1" applyFill="1" applyBorder="1" applyAlignment="1">
      <alignment horizontal="left" vertical="center"/>
    </xf>
    <xf numFmtId="0" fontId="0" fillId="5" borderId="48" xfId="0" applyFill="1" applyBorder="1" applyAlignment="1">
      <alignment horizontal="center"/>
    </xf>
    <xf numFmtId="0" fontId="0" fillId="7" borderId="41" xfId="0" applyFill="1" applyBorder="1" applyAlignment="1"/>
    <xf numFmtId="0" fontId="0" fillId="5" borderId="27" xfId="0" applyFill="1" applyBorder="1" applyAlignment="1"/>
    <xf numFmtId="164" fontId="0" fillId="7" borderId="39" xfId="0" applyNumberFormat="1" applyFill="1" applyBorder="1" applyAlignment="1"/>
    <xf numFmtId="0" fontId="0" fillId="5" borderId="21" xfId="0" applyFill="1" applyBorder="1" applyAlignment="1"/>
    <xf numFmtId="164" fontId="0" fillId="7" borderId="22" xfId="0" applyNumberFormat="1" applyFill="1" applyBorder="1" applyAlignment="1"/>
    <xf numFmtId="0" fontId="0" fillId="5" borderId="36" xfId="0" applyFill="1" applyBorder="1" applyAlignment="1"/>
    <xf numFmtId="166" fontId="0" fillId="5" borderId="38" xfId="1" applyNumberFormat="1" applyFont="1" applyFill="1" applyBorder="1" applyAlignment="1"/>
    <xf numFmtId="166" fontId="0" fillId="3" borderId="49" xfId="1" applyNumberFormat="1" applyFont="1" applyFill="1" applyBorder="1" applyAlignment="1"/>
    <xf numFmtId="2" fontId="0" fillId="3" borderId="49" xfId="1" applyNumberFormat="1" applyFont="1" applyFill="1" applyBorder="1" applyAlignment="1"/>
    <xf numFmtId="2" fontId="0" fillId="0" borderId="0" xfId="0" applyNumberFormat="1" applyBorder="1" applyAlignment="1"/>
    <xf numFmtId="166" fontId="0" fillId="6" borderId="7" xfId="1" applyNumberFormat="1" applyFont="1" applyFill="1" applyBorder="1" applyAlignment="1">
      <alignment horizontal="center"/>
    </xf>
    <xf numFmtId="166" fontId="0" fillId="3" borderId="7" xfId="1" applyNumberFormat="1" applyFont="1" applyFill="1" applyBorder="1" applyAlignment="1">
      <alignment horizontal="center"/>
    </xf>
    <xf numFmtId="166" fontId="0" fillId="4" borderId="7" xfId="1" applyNumberFormat="1" applyFont="1" applyFill="1" applyBorder="1" applyAlignment="1">
      <alignment horizontal="center"/>
    </xf>
    <xf numFmtId="166" fontId="0" fillId="5" borderId="7" xfId="1" applyNumberFormat="1" applyFont="1" applyFill="1" applyBorder="1" applyAlignment="1">
      <alignment horizontal="center"/>
    </xf>
    <xf numFmtId="2" fontId="0" fillId="6" borderId="4" xfId="0" applyNumberFormat="1" applyFill="1" applyBorder="1" applyAlignment="1">
      <alignment horizontal="center"/>
    </xf>
    <xf numFmtId="2" fontId="0" fillId="3" borderId="7" xfId="0" applyNumberFormat="1" applyFill="1" applyBorder="1" applyAlignment="1">
      <alignment horizontal="center"/>
    </xf>
    <xf numFmtId="2" fontId="0" fillId="4" borderId="7" xfId="0" applyNumberFormat="1" applyFill="1" applyBorder="1" applyAlignment="1">
      <alignment horizontal="center"/>
    </xf>
    <xf numFmtId="2" fontId="0" fillId="5" borderId="3" xfId="0" applyNumberFormat="1" applyFill="1" applyBorder="1" applyAlignment="1">
      <alignment horizontal="center"/>
    </xf>
    <xf numFmtId="2" fontId="0" fillId="6" borderId="6" xfId="1" applyNumberFormat="1" applyFont="1" applyFill="1" applyBorder="1" applyAlignment="1">
      <alignment horizontal="center"/>
    </xf>
    <xf numFmtId="2" fontId="0" fillId="3" borderId="0" xfId="1" applyNumberFormat="1" applyFont="1" applyFill="1" applyBorder="1" applyAlignment="1">
      <alignment horizontal="center"/>
    </xf>
    <xf numFmtId="2" fontId="0" fillId="4" borderId="0" xfId="1" applyNumberFormat="1" applyFont="1" applyFill="1" applyBorder="1" applyAlignment="1">
      <alignment horizontal="center"/>
    </xf>
    <xf numFmtId="2" fontId="0" fillId="5" borderId="5" xfId="1" applyNumberFormat="1" applyFont="1" applyFill="1" applyBorder="1" applyAlignment="1">
      <alignment horizontal="center"/>
    </xf>
    <xf numFmtId="166" fontId="0" fillId="6" borderId="8" xfId="1" applyNumberFormat="1" applyFont="1" applyFill="1" applyBorder="1" applyAlignment="1">
      <alignment horizontal="center"/>
    </xf>
    <xf numFmtId="166" fontId="0" fillId="3" borderId="8" xfId="1" applyNumberFormat="1" applyFont="1" applyFill="1" applyBorder="1" applyAlignment="1">
      <alignment horizontal="center"/>
    </xf>
    <xf numFmtId="166" fontId="0" fillId="4" borderId="8" xfId="1" applyNumberFormat="1" applyFont="1" applyFill="1" applyBorder="1" applyAlignment="1">
      <alignment horizontal="center"/>
    </xf>
    <xf numFmtId="166" fontId="0" fillId="5" borderId="8" xfId="1" applyNumberFormat="1" applyFont="1" applyFill="1" applyBorder="1" applyAlignment="1">
      <alignment horizontal="center"/>
    </xf>
    <xf numFmtId="2" fontId="0" fillId="6" borderId="14" xfId="0" applyNumberFormat="1" applyFill="1" applyBorder="1" applyAlignment="1">
      <alignment horizontal="center"/>
    </xf>
    <xf numFmtId="2" fontId="0" fillId="3" borderId="8" xfId="0" applyNumberFormat="1" applyFill="1" applyBorder="1" applyAlignment="1">
      <alignment horizontal="center"/>
    </xf>
    <xf numFmtId="2" fontId="0" fillId="4" borderId="8" xfId="0" applyNumberFormat="1" applyFill="1" applyBorder="1" applyAlignment="1">
      <alignment horizontal="center"/>
    </xf>
    <xf numFmtId="2" fontId="0" fillId="5" borderId="13" xfId="0" applyNumberFormat="1" applyFill="1" applyBorder="1" applyAlignment="1">
      <alignment horizontal="center"/>
    </xf>
    <xf numFmtId="166" fontId="0" fillId="6" borderId="0" xfId="1" applyNumberFormat="1" applyFont="1" applyFill="1" applyBorder="1" applyAlignment="1">
      <alignment horizontal="center"/>
    </xf>
    <xf numFmtId="166" fontId="0" fillId="3" borderId="0" xfId="1" applyNumberFormat="1" applyFont="1" applyFill="1" applyBorder="1" applyAlignment="1">
      <alignment horizontal="center"/>
    </xf>
    <xf numFmtId="166" fontId="0" fillId="4" borderId="0" xfId="1" applyNumberFormat="1" applyFont="1" applyFill="1" applyBorder="1" applyAlignment="1">
      <alignment horizontal="center"/>
    </xf>
    <xf numFmtId="166" fontId="0" fillId="5" borderId="0" xfId="1" applyNumberFormat="1" applyFont="1" applyFill="1" applyBorder="1" applyAlignment="1">
      <alignment horizontal="center"/>
    </xf>
    <xf numFmtId="2" fontId="0" fillId="6" borderId="6" xfId="0" applyNumberFormat="1" applyFill="1" applyBorder="1" applyAlignment="1">
      <alignment horizontal="center"/>
    </xf>
    <xf numFmtId="2" fontId="0" fillId="3" borderId="0" xfId="0" applyNumberFormat="1" applyFill="1" applyBorder="1" applyAlignment="1">
      <alignment horizontal="center"/>
    </xf>
    <xf numFmtId="2" fontId="0" fillId="4" borderId="0" xfId="0" applyNumberFormat="1" applyFill="1" applyBorder="1" applyAlignment="1">
      <alignment horizontal="center"/>
    </xf>
    <xf numFmtId="2" fontId="0" fillId="5" borderId="5" xfId="0" applyNumberFormat="1" applyFill="1" applyBorder="1" applyAlignment="1">
      <alignment horizontal="center"/>
    </xf>
    <xf numFmtId="2" fontId="0" fillId="6" borderId="4" xfId="1" applyNumberFormat="1" applyFont="1" applyFill="1" applyBorder="1" applyAlignment="1">
      <alignment horizontal="center"/>
    </xf>
    <xf numFmtId="2" fontId="0" fillId="3" borderId="7" xfId="1" applyNumberFormat="1" applyFont="1" applyFill="1" applyBorder="1" applyAlignment="1">
      <alignment horizontal="center"/>
    </xf>
    <xf numFmtId="2" fontId="0" fillId="4" borderId="7" xfId="1" applyNumberFormat="1" applyFont="1" applyFill="1" applyBorder="1" applyAlignment="1">
      <alignment horizontal="center"/>
    </xf>
    <xf numFmtId="2" fontId="0" fillId="5" borderId="3" xfId="1" applyNumberFormat="1" applyFont="1" applyFill="1" applyBorder="1" applyAlignment="1">
      <alignment horizontal="center"/>
    </xf>
    <xf numFmtId="0" fontId="0" fillId="6" borderId="8" xfId="0" applyFill="1" applyBorder="1" applyAlignment="1">
      <alignment horizontal="center"/>
    </xf>
    <xf numFmtId="0" fontId="0" fillId="0" borderId="2" xfId="0" applyBorder="1"/>
    <xf numFmtId="0" fontId="3" fillId="8" borderId="50" xfId="0" applyFont="1" applyFill="1" applyBorder="1" applyAlignment="1">
      <alignment horizontal="left" vertical="center"/>
    </xf>
    <xf numFmtId="0" fontId="0" fillId="0" borderId="8" xfId="0" applyBorder="1" applyAlignment="1"/>
    <xf numFmtId="0" fontId="0" fillId="0" borderId="6" xfId="0" applyBorder="1" applyAlignment="1"/>
    <xf numFmtId="0" fontId="3" fillId="8" borderId="2" xfId="0" applyFont="1" applyFill="1" applyBorder="1" applyAlignment="1">
      <alignment horizontal="center" vertical="center"/>
    </xf>
    <xf numFmtId="0" fontId="12" fillId="0" borderId="0" xfId="0" applyFont="1"/>
    <xf numFmtId="0" fontId="14" fillId="0" borderId="0" xfId="0" applyFont="1"/>
    <xf numFmtId="0" fontId="0" fillId="0" borderId="29" xfId="0" applyBorder="1" applyAlignment="1"/>
    <xf numFmtId="0" fontId="7" fillId="0" borderId="0" xfId="0" applyFont="1" applyFill="1" applyBorder="1"/>
    <xf numFmtId="0" fontId="0" fillId="2" borderId="28" xfId="0" applyFill="1" applyBorder="1" applyAlignment="1"/>
    <xf numFmtId="2" fontId="0" fillId="15" borderId="23" xfId="1" applyNumberFormat="1" applyFont="1" applyFill="1" applyBorder="1" applyAlignment="1"/>
    <xf numFmtId="0" fontId="0" fillId="0" borderId="7" xfId="0" applyBorder="1"/>
    <xf numFmtId="164" fontId="0" fillId="2" borderId="17" xfId="0" applyNumberFormat="1" applyFill="1" applyBorder="1" applyAlignment="1"/>
    <xf numFmtId="0" fontId="0" fillId="5" borderId="36" xfId="0" applyFill="1" applyBorder="1" applyAlignment="1">
      <alignment horizontal="center"/>
    </xf>
    <xf numFmtId="0" fontId="0" fillId="3" borderId="41" xfId="0" applyFill="1" applyBorder="1" applyAlignment="1">
      <alignment horizontal="center"/>
    </xf>
    <xf numFmtId="0" fontId="0" fillId="0" borderId="12" xfId="0" applyBorder="1" applyAlignment="1"/>
    <xf numFmtId="0" fontId="0" fillId="0" borderId="19" xfId="0" applyBorder="1" applyAlignment="1"/>
    <xf numFmtId="0" fontId="0" fillId="0" borderId="11" xfId="0" applyBorder="1" applyAlignment="1"/>
    <xf numFmtId="0" fontId="0" fillId="0" borderId="23" xfId="0" applyBorder="1" applyAlignment="1"/>
    <xf numFmtId="164" fontId="0" fillId="0" borderId="0" xfId="0" applyNumberFormat="1" applyBorder="1" applyAlignment="1">
      <alignment horizontal="center"/>
    </xf>
    <xf numFmtId="1" fontId="0" fillId="0" borderId="0" xfId="0" applyNumberFormat="1"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0" fillId="0" borderId="7" xfId="0" applyBorder="1" applyAlignment="1"/>
    <xf numFmtId="2" fontId="0" fillId="0" borderId="7" xfId="1" applyNumberFormat="1" applyFont="1" applyBorder="1" applyAlignment="1"/>
    <xf numFmtId="9" fontId="0" fillId="0" borderId="7" xfId="1" applyNumberFormat="1" applyFont="1" applyBorder="1" applyAlignment="1"/>
    <xf numFmtId="0" fontId="0" fillId="0" borderId="2" xfId="0" applyBorder="1" applyAlignment="1"/>
    <xf numFmtId="0" fontId="0" fillId="0" borderId="4" xfId="0" applyBorder="1" applyAlignment="1"/>
    <xf numFmtId="165" fontId="0" fillId="2" borderId="17" xfId="0" applyNumberFormat="1" applyFill="1" applyBorder="1" applyAlignment="1"/>
    <xf numFmtId="165" fontId="0" fillId="2" borderId="15" xfId="0" applyNumberFormat="1" applyFill="1" applyBorder="1" applyAlignment="1"/>
    <xf numFmtId="165" fontId="0" fillId="2" borderId="28" xfId="0" applyNumberFormat="1" applyFill="1" applyBorder="1" applyAlignment="1"/>
    <xf numFmtId="0" fontId="0" fillId="0" borderId="9" xfId="0" applyBorder="1" applyAlignment="1"/>
    <xf numFmtId="0" fontId="0" fillId="0" borderId="7" xfId="0" applyFill="1" applyBorder="1" applyAlignment="1"/>
    <xf numFmtId="0" fontId="4" fillId="0" borderId="7" xfId="2" applyBorder="1"/>
    <xf numFmtId="0" fontId="0" fillId="0" borderId="7" xfId="0" applyFill="1" applyBorder="1"/>
    <xf numFmtId="0" fontId="0" fillId="0" borderId="9" xfId="0" applyBorder="1" applyAlignment="1">
      <alignment horizontal="center"/>
    </xf>
    <xf numFmtId="164" fontId="0" fillId="0" borderId="7" xfId="0" applyNumberFormat="1" applyBorder="1" applyAlignment="1">
      <alignment horizontal="center"/>
    </xf>
    <xf numFmtId="0" fontId="0" fillId="0" borderId="0" xfId="0" applyAlignment="1">
      <alignment horizontal="center" vertical="center"/>
    </xf>
    <xf numFmtId="0" fontId="0" fillId="0" borderId="9" xfId="0" applyBorder="1" applyAlignment="1">
      <alignment horizontal="left"/>
    </xf>
    <xf numFmtId="0" fontId="0" fillId="0" borderId="7" xfId="0" applyBorder="1" applyAlignment="1">
      <alignment horizontal="left"/>
    </xf>
    <xf numFmtId="0" fontId="0" fillId="0" borderId="11" xfId="0" applyFill="1" applyBorder="1" applyAlignment="1"/>
    <xf numFmtId="0" fontId="0" fillId="0" borderId="11" xfId="0" applyBorder="1" applyAlignment="1">
      <alignment horizontal="center"/>
    </xf>
    <xf numFmtId="164" fontId="0" fillId="0" borderId="23" xfId="0" applyNumberFormat="1" applyBorder="1" applyAlignment="1">
      <alignment horizontal="center"/>
    </xf>
    <xf numFmtId="0" fontId="0" fillId="0" borderId="11" xfId="0" applyFill="1" applyBorder="1" applyAlignment="1">
      <alignment horizontal="center"/>
    </xf>
    <xf numFmtId="0" fontId="0" fillId="0" borderId="22" xfId="0" applyBorder="1" applyAlignment="1">
      <alignment horizontal="left"/>
    </xf>
    <xf numFmtId="166" fontId="0" fillId="0" borderId="0" xfId="0" applyNumberFormat="1" applyBorder="1" applyAlignment="1"/>
    <xf numFmtId="2" fontId="0" fillId="5" borderId="18" xfId="1" applyNumberFormat="1" applyFont="1" applyFill="1" applyBorder="1" applyAlignment="1">
      <alignment horizontal="center"/>
    </xf>
    <xf numFmtId="2" fontId="0" fillId="4" borderId="23" xfId="1" applyNumberFormat="1" applyFont="1" applyFill="1" applyBorder="1" applyAlignment="1">
      <alignment horizontal="center"/>
    </xf>
    <xf numFmtId="2" fontId="0" fillId="3" borderId="23" xfId="1" applyNumberFormat="1" applyFont="1" applyFill="1" applyBorder="1" applyAlignment="1">
      <alignment horizontal="center"/>
    </xf>
    <xf numFmtId="2" fontId="0" fillId="6" borderId="19" xfId="1" applyNumberFormat="1" applyFont="1" applyFill="1" applyBorder="1" applyAlignment="1">
      <alignment horizontal="center"/>
    </xf>
    <xf numFmtId="2" fontId="0" fillId="5" borderId="13" xfId="1" applyNumberFormat="1" applyFont="1" applyFill="1" applyBorder="1" applyAlignment="1">
      <alignment horizontal="center"/>
    </xf>
    <xf numFmtId="2" fontId="0" fillId="4" borderId="8" xfId="1" applyNumberFormat="1" applyFont="1" applyFill="1" applyBorder="1" applyAlignment="1">
      <alignment horizontal="center"/>
    </xf>
    <xf numFmtId="2" fontId="0" fillId="3" borderId="8" xfId="1" applyNumberFormat="1" applyFont="1" applyFill="1" applyBorder="1" applyAlignment="1">
      <alignment horizontal="center"/>
    </xf>
    <xf numFmtId="2" fontId="0" fillId="6" borderId="14" xfId="1" applyNumberFormat="1" applyFont="1" applyFill="1" applyBorder="1" applyAlignment="1">
      <alignment horizontal="center"/>
    </xf>
    <xf numFmtId="165" fontId="0" fillId="2" borderId="16" xfId="0" applyNumberFormat="1" applyFill="1" applyBorder="1" applyAlignment="1"/>
    <xf numFmtId="165" fontId="0" fillId="2" borderId="37" xfId="0" applyNumberFormat="1" applyFill="1" applyBorder="1" applyAlignment="1"/>
    <xf numFmtId="0" fontId="0" fillId="0" borderId="9" xfId="0" applyFill="1" applyBorder="1" applyAlignment="1"/>
    <xf numFmtId="0" fontId="0" fillId="0" borderId="3" xfId="0" applyBorder="1" applyAlignment="1"/>
    <xf numFmtId="2" fontId="0" fillId="0" borderId="7" xfId="0" applyNumberFormat="1" applyBorder="1" applyAlignment="1"/>
    <xf numFmtId="0" fontId="0" fillId="0" borderId="5" xfId="0" applyBorder="1" applyAlignment="1"/>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52" xfId="0" applyBorder="1" applyAlignment="1">
      <alignment horizontal="center" vertical="center"/>
    </xf>
    <xf numFmtId="0" fontId="0" fillId="0" borderId="40" xfId="0" applyBorder="1" applyAlignment="1">
      <alignment horizontal="center" vertical="center"/>
    </xf>
    <xf numFmtId="0" fontId="0" fillId="0" borderId="51" xfId="0" applyBorder="1" applyAlignment="1">
      <alignment horizontal="center" vertical="center"/>
    </xf>
    <xf numFmtId="0" fontId="1" fillId="8" borderId="42" xfId="0" applyFont="1" applyFill="1" applyBorder="1" applyAlignment="1">
      <alignment horizontal="center" vertical="center"/>
    </xf>
    <xf numFmtId="0" fontId="1" fillId="8" borderId="43" xfId="0" applyFont="1" applyFill="1" applyBorder="1" applyAlignment="1">
      <alignment horizontal="center" vertical="center"/>
    </xf>
    <xf numFmtId="0" fontId="10" fillId="0" borderId="0" xfId="0" applyFont="1" applyBorder="1" applyAlignment="1">
      <alignment horizontal="center" wrapText="1"/>
    </xf>
    <xf numFmtId="0" fontId="11" fillId="0" borderId="0" xfId="0" applyFont="1"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wrapText="1"/>
    </xf>
    <xf numFmtId="0" fontId="0" fillId="0" borderId="30" xfId="0" applyBorder="1" applyAlignment="1">
      <alignment horizontal="center"/>
    </xf>
    <xf numFmtId="0" fontId="0" fillId="0" borderId="31" xfId="0" applyBorder="1" applyAlignment="1">
      <alignment horizontal="center"/>
    </xf>
    <xf numFmtId="0" fontId="0" fillId="0" borderId="18" xfId="0" applyBorder="1" applyAlignment="1">
      <alignment horizontal="center"/>
    </xf>
    <xf numFmtId="0" fontId="0" fillId="0" borderId="23" xfId="0" applyBorder="1" applyAlignment="1">
      <alignment horizontal="center"/>
    </xf>
    <xf numFmtId="0" fontId="0" fillId="0" borderId="19" xfId="0" applyBorder="1" applyAlignment="1">
      <alignment horizontal="center"/>
    </xf>
    <xf numFmtId="166" fontId="0" fillId="5" borderId="0" xfId="1" applyNumberFormat="1" applyFont="1" applyFill="1" applyBorder="1" applyAlignment="1"/>
    <xf numFmtId="0" fontId="0" fillId="3" borderId="22" xfId="0" applyFill="1" applyBorder="1" applyAlignment="1"/>
    <xf numFmtId="166" fontId="0" fillId="3" borderId="31" xfId="1" applyNumberFormat="1" applyFont="1" applyFill="1" applyBorder="1" applyAlignment="1"/>
    <xf numFmtId="0" fontId="0" fillId="2" borderId="14" xfId="0" applyFill="1" applyBorder="1" applyAlignment="1"/>
    <xf numFmtId="0" fontId="0" fillId="2" borderId="0" xfId="0" applyFill="1" applyBorder="1" applyAlignment="1"/>
    <xf numFmtId="0" fontId="0" fillId="3" borderId="23" xfId="0" applyFill="1" applyBorder="1"/>
    <xf numFmtId="0" fontId="3" fillId="8" borderId="54" xfId="0" applyFont="1" applyFill="1" applyBorder="1" applyAlignment="1">
      <alignment horizontal="left" vertical="center"/>
    </xf>
    <xf numFmtId="0" fontId="13" fillId="0" borderId="0" xfId="0" applyFont="1" applyBorder="1" applyAlignment="1">
      <alignment vertical="center"/>
    </xf>
    <xf numFmtId="0" fontId="11" fillId="0" borderId="5" xfId="0" applyFont="1" applyBorder="1" applyAlignment="1">
      <alignment horizontal="center" vertical="center" wrapText="1"/>
    </xf>
    <xf numFmtId="0" fontId="11" fillId="0" borderId="0" xfId="0" applyFont="1" applyBorder="1" applyAlignment="1">
      <alignment vertical="center" wrapText="1"/>
    </xf>
    <xf numFmtId="0" fontId="10" fillId="0" borderId="1" xfId="0" applyFont="1" applyBorder="1" applyAlignment="1">
      <alignment horizontal="center" wrapText="1"/>
    </xf>
    <xf numFmtId="0" fontId="10" fillId="0" borderId="9" xfId="0" applyFont="1" applyBorder="1" applyAlignment="1">
      <alignment horizontal="center" wrapText="1"/>
    </xf>
    <xf numFmtId="0" fontId="11" fillId="0" borderId="1"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 xfId="0" applyFont="1" applyBorder="1" applyAlignment="1">
      <alignment horizontal="center" wrapText="1"/>
    </xf>
    <xf numFmtId="0" fontId="11" fillId="0" borderId="6" xfId="0" applyFont="1" applyBorder="1" applyAlignment="1">
      <alignment horizontal="center" vertical="center" wrapText="1"/>
    </xf>
    <xf numFmtId="0" fontId="10" fillId="0" borderId="3" xfId="0" applyFont="1" applyBorder="1" applyAlignment="1">
      <alignment horizontal="center" wrapText="1"/>
    </xf>
    <xf numFmtId="0" fontId="10" fillId="0" borderId="7" xfId="0" applyFont="1" applyBorder="1" applyAlignment="1">
      <alignment horizontal="center" wrapText="1"/>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4" xfId="0" applyFont="1" applyBorder="1" applyAlignment="1">
      <alignment horizontal="center" vertical="center" wrapText="1"/>
    </xf>
    <xf numFmtId="166" fontId="0" fillId="5" borderId="30" xfId="1" applyNumberFormat="1" applyFont="1" applyFill="1" applyBorder="1"/>
    <xf numFmtId="0" fontId="0" fillId="6" borderId="39" xfId="0" applyFill="1" applyBorder="1" applyAlignment="1"/>
    <xf numFmtId="9" fontId="0" fillId="5" borderId="27" xfId="1" applyNumberFormat="1" applyFont="1" applyFill="1" applyBorder="1" applyAlignment="1"/>
    <xf numFmtId="9" fontId="0" fillId="6" borderId="7" xfId="1" applyNumberFormat="1" applyFont="1" applyFill="1" applyBorder="1" applyAlignment="1"/>
    <xf numFmtId="9" fontId="0" fillId="6" borderId="0" xfId="1" applyNumberFormat="1" applyFont="1" applyFill="1" applyBorder="1" applyAlignment="1"/>
    <xf numFmtId="9" fontId="0" fillId="6" borderId="8" xfId="1" applyNumberFormat="1" applyFont="1" applyFill="1" applyBorder="1" applyAlignment="1"/>
    <xf numFmtId="165" fontId="0" fillId="0" borderId="0" xfId="0" applyNumberFormat="1" applyFill="1" applyBorder="1"/>
    <xf numFmtId="165" fontId="0" fillId="2" borderId="6" xfId="0" applyNumberFormat="1" applyFill="1" applyBorder="1" applyAlignment="1"/>
    <xf numFmtId="165" fontId="0" fillId="2" borderId="14" xfId="0" applyNumberFormat="1" applyFill="1" applyBorder="1" applyAlignment="1"/>
    <xf numFmtId="165" fontId="0" fillId="2" borderId="4" xfId="0" applyNumberFormat="1" applyFill="1" applyBorder="1" applyAlignment="1"/>
    <xf numFmtId="165" fontId="0" fillId="2" borderId="53" xfId="0" applyNumberFormat="1" applyFill="1" applyBorder="1" applyAlignment="1"/>
    <xf numFmtId="171" fontId="0" fillId="7" borderId="4" xfId="0" applyNumberFormat="1" applyFill="1" applyBorder="1" applyAlignment="1"/>
    <xf numFmtId="171" fontId="0" fillId="7" borderId="6" xfId="0" applyNumberFormat="1" applyFill="1" applyBorder="1" applyAlignment="1"/>
    <xf numFmtId="171" fontId="0" fillId="7" borderId="14" xfId="0" applyNumberFormat="1" applyFill="1" applyBorder="1" applyAlignme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Probability that</a:t>
            </a:r>
            <a:r>
              <a:rPr lang="en-US" baseline="0"/>
              <a:t> Hillary Cllinton is Elected</a:t>
            </a:r>
            <a:endParaRPr lang="en-US"/>
          </a:p>
        </c:rich>
      </c:tx>
      <c:layout/>
      <c:overlay val="0"/>
    </c:title>
    <c:autoTitleDeleted val="0"/>
    <c:plotArea>
      <c:layout/>
      <c:lineChart>
        <c:grouping val="standard"/>
        <c:varyColors val="0"/>
        <c:ser>
          <c:idx val="0"/>
          <c:order val="0"/>
          <c:marker>
            <c:symbol val="none"/>
          </c:marker>
          <c:val>
            <c:numRef>
              <c:f>'Simple Example'!$H$15:$H$31</c:f>
              <c:numCache>
                <c:formatCode>0.0%</c:formatCode>
                <c:ptCount val="17"/>
                <c:pt idx="0">
                  <c:v>0.5</c:v>
                </c:pt>
                <c:pt idx="1">
                  <c:v>0.46434632916602836</c:v>
                </c:pt>
                <c:pt idx="2">
                  <c:v>0.67134745348273006</c:v>
                </c:pt>
                <c:pt idx="3">
                  <c:v>0.152608664842631</c:v>
                </c:pt>
                <c:pt idx="4">
                  <c:v>0.5</c:v>
                </c:pt>
                <c:pt idx="5">
                  <c:v>0.11920292202211759</c:v>
                </c:pt>
                <c:pt idx="6">
                  <c:v>0.42905340311653373</c:v>
                </c:pt>
                <c:pt idx="7">
                  <c:v>0.21657909576817599</c:v>
                </c:pt>
                <c:pt idx="8">
                  <c:v>0.63909274516285142</c:v>
                </c:pt>
                <c:pt idx="9">
                  <c:v>0.11920292202211764</c:v>
                </c:pt>
                <c:pt idx="10">
                  <c:v>0.63909274516285108</c:v>
                </c:pt>
                <c:pt idx="11">
                  <c:v>0.5</c:v>
                </c:pt>
                <c:pt idx="12">
                  <c:v>4.7425873177566823E-2</c:v>
                </c:pt>
                <c:pt idx="13">
                  <c:v>0.42905340311653378</c:v>
                </c:pt>
                <c:pt idx="14">
                  <c:v>8.8865887190879463E-3</c:v>
                </c:pt>
                <c:pt idx="15">
                  <c:v>4.3701795434443556E-3</c:v>
                </c:pt>
                <c:pt idx="16">
                  <c:v>0</c:v>
                </c:pt>
              </c:numCache>
            </c:numRef>
          </c:val>
          <c:smooth val="0"/>
        </c:ser>
        <c:dLbls>
          <c:showLegendKey val="0"/>
          <c:showVal val="0"/>
          <c:showCatName val="0"/>
          <c:showSerName val="0"/>
          <c:showPercent val="0"/>
          <c:showBubbleSize val="0"/>
        </c:dLbls>
        <c:marker val="1"/>
        <c:smooth val="0"/>
        <c:axId val="74860032"/>
        <c:axId val="77419008"/>
      </c:lineChart>
      <c:catAx>
        <c:axId val="74860032"/>
        <c:scaling>
          <c:orientation val="minMax"/>
        </c:scaling>
        <c:delete val="0"/>
        <c:axPos val="b"/>
        <c:majorTickMark val="out"/>
        <c:minorTickMark val="none"/>
        <c:tickLblPos val="nextTo"/>
        <c:crossAx val="77419008"/>
        <c:crosses val="autoZero"/>
        <c:auto val="1"/>
        <c:lblAlgn val="ctr"/>
        <c:lblOffset val="100"/>
        <c:noMultiLvlLbl val="0"/>
      </c:catAx>
      <c:valAx>
        <c:axId val="77419008"/>
        <c:scaling>
          <c:orientation val="minMax"/>
          <c:max val="1"/>
        </c:scaling>
        <c:delete val="0"/>
        <c:axPos val="l"/>
        <c:majorGridlines/>
        <c:numFmt formatCode="0.0%" sourceLinked="1"/>
        <c:majorTickMark val="out"/>
        <c:minorTickMark val="none"/>
        <c:tickLblPos val="nextTo"/>
        <c:crossAx val="7486003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LMSR!$H$68</c:f>
              <c:strCache>
                <c:ptCount val="1"/>
                <c:pt idx="0">
                  <c:v>i=0,0</c:v>
                </c:pt>
              </c:strCache>
            </c:strRef>
          </c:tx>
          <c:marker>
            <c:symbol val="none"/>
          </c:marker>
          <c:val>
            <c:numRef>
              <c:f>LMSR!$H$69:$H$76</c:f>
              <c:numCache>
                <c:formatCode>0%</c:formatCode>
                <c:ptCount val="8"/>
                <c:pt idx="0">
                  <c:v>0.25</c:v>
                </c:pt>
                <c:pt idx="1">
                  <c:v>0.30727329288510813</c:v>
                </c:pt>
                <c:pt idx="2">
                  <c:v>0.35000000000000003</c:v>
                </c:pt>
                <c:pt idx="3">
                  <c:v>0.27674497792592351</c:v>
                </c:pt>
                <c:pt idx="4">
                  <c:v>0.45139161074053508</c:v>
                </c:pt>
                <c:pt idx="5">
                  <c:v>0.72964302085108446</c:v>
                </c:pt>
                <c:pt idx="6">
                  <c:v>0.82763950929665231</c:v>
                </c:pt>
                <c:pt idx="7">
                  <c:v>1</c:v>
                </c:pt>
              </c:numCache>
            </c:numRef>
          </c:val>
          <c:smooth val="0"/>
        </c:ser>
        <c:ser>
          <c:idx val="2"/>
          <c:order val="1"/>
          <c:tx>
            <c:strRef>
              <c:f>LMSR!$I$68</c:f>
              <c:strCache>
                <c:ptCount val="1"/>
                <c:pt idx="0">
                  <c:v>i=0,1</c:v>
                </c:pt>
              </c:strCache>
            </c:strRef>
          </c:tx>
          <c:marker>
            <c:symbol val="none"/>
          </c:marker>
          <c:val>
            <c:numRef>
              <c:f>LMSR!$I$69:$I$76</c:f>
              <c:numCache>
                <c:formatCode>0%</c:formatCode>
                <c:ptCount val="8"/>
                <c:pt idx="0">
                  <c:v>0.25</c:v>
                </c:pt>
                <c:pt idx="1">
                  <c:v>0.23090890237163061</c:v>
                </c:pt>
                <c:pt idx="2">
                  <c:v>0.21666666666666667</c:v>
                </c:pt>
                <c:pt idx="3">
                  <c:v>0.21944385739095482</c:v>
                </c:pt>
                <c:pt idx="4">
                  <c:v>0.19155834236466296</c:v>
                </c:pt>
                <c:pt idx="5">
                  <c:v>0.13140309866768843</c:v>
                </c:pt>
                <c:pt idx="6">
                  <c:v>6.5086720451042357E-2</c:v>
                </c:pt>
                <c:pt idx="7">
                  <c:v>0</c:v>
                </c:pt>
              </c:numCache>
            </c:numRef>
          </c:val>
          <c:smooth val="0"/>
        </c:ser>
        <c:ser>
          <c:idx val="3"/>
          <c:order val="2"/>
          <c:tx>
            <c:strRef>
              <c:f>LMSR!$J$68</c:f>
              <c:strCache>
                <c:ptCount val="1"/>
                <c:pt idx="0">
                  <c:v>i=1,0</c:v>
                </c:pt>
              </c:strCache>
            </c:strRef>
          </c:tx>
          <c:marker>
            <c:symbol val="none"/>
          </c:marker>
          <c:val>
            <c:numRef>
              <c:f>LMSR!$J$69:$J$76</c:f>
              <c:numCache>
                <c:formatCode>0%</c:formatCode>
                <c:ptCount val="8"/>
                <c:pt idx="0">
                  <c:v>0.25</c:v>
                </c:pt>
                <c:pt idx="1">
                  <c:v>0.23090890237163061</c:v>
                </c:pt>
                <c:pt idx="2">
                  <c:v>0.21666666666666667</c:v>
                </c:pt>
                <c:pt idx="3">
                  <c:v>0.28993821640004058</c:v>
                </c:pt>
                <c:pt idx="4">
                  <c:v>0.20515460192968799</c:v>
                </c:pt>
                <c:pt idx="5">
                  <c:v>5.5763906912375968E-2</c:v>
                </c:pt>
                <c:pt idx="6">
                  <c:v>4.7533504828272281E-2</c:v>
                </c:pt>
                <c:pt idx="7">
                  <c:v>0</c:v>
                </c:pt>
              </c:numCache>
            </c:numRef>
          </c:val>
          <c:smooth val="0"/>
        </c:ser>
        <c:ser>
          <c:idx val="4"/>
          <c:order val="3"/>
          <c:tx>
            <c:strRef>
              <c:f>LMSR!$K$68</c:f>
              <c:strCache>
                <c:ptCount val="1"/>
                <c:pt idx="0">
                  <c:v>i=1,1</c:v>
                </c:pt>
              </c:strCache>
            </c:strRef>
          </c:tx>
          <c:marker>
            <c:symbol val="none"/>
          </c:marker>
          <c:val>
            <c:numRef>
              <c:f>LMSR!$K$69:$K$76</c:f>
              <c:numCache>
                <c:formatCode>0%</c:formatCode>
                <c:ptCount val="8"/>
                <c:pt idx="0">
                  <c:v>0.25</c:v>
                </c:pt>
                <c:pt idx="1">
                  <c:v>0.23090890237163061</c:v>
                </c:pt>
                <c:pt idx="2">
                  <c:v>0.21666666666666667</c:v>
                </c:pt>
                <c:pt idx="3">
                  <c:v>0.21387294828308109</c:v>
                </c:pt>
                <c:pt idx="4">
                  <c:v>0.15189544496511398</c:v>
                </c:pt>
                <c:pt idx="5">
                  <c:v>8.3189973568851217E-2</c:v>
                </c:pt>
                <c:pt idx="6">
                  <c:v>5.9740265424033136E-2</c:v>
                </c:pt>
                <c:pt idx="7">
                  <c:v>0</c:v>
                </c:pt>
              </c:numCache>
            </c:numRef>
          </c:val>
          <c:smooth val="0"/>
        </c:ser>
        <c:dLbls>
          <c:showLegendKey val="0"/>
          <c:showVal val="0"/>
          <c:showCatName val="0"/>
          <c:showSerName val="0"/>
          <c:showPercent val="0"/>
          <c:showBubbleSize val="0"/>
        </c:dLbls>
        <c:marker val="1"/>
        <c:smooth val="0"/>
        <c:axId val="74859008"/>
        <c:axId val="77420736"/>
      </c:lineChart>
      <c:catAx>
        <c:axId val="74859008"/>
        <c:scaling>
          <c:orientation val="minMax"/>
        </c:scaling>
        <c:delete val="0"/>
        <c:axPos val="b"/>
        <c:majorTickMark val="out"/>
        <c:minorTickMark val="none"/>
        <c:tickLblPos val="nextTo"/>
        <c:crossAx val="77420736"/>
        <c:crosses val="autoZero"/>
        <c:auto val="1"/>
        <c:lblAlgn val="ctr"/>
        <c:lblOffset val="100"/>
        <c:noMultiLvlLbl val="0"/>
      </c:catAx>
      <c:valAx>
        <c:axId val="77420736"/>
        <c:scaling>
          <c:orientation val="minMax"/>
          <c:max val="1"/>
        </c:scaling>
        <c:delete val="0"/>
        <c:axPos val="l"/>
        <c:majorGridlines/>
        <c:numFmt formatCode="0%" sourceLinked="1"/>
        <c:majorTickMark val="out"/>
        <c:minorTickMark val="none"/>
        <c:tickLblPos val="nextTo"/>
        <c:crossAx val="74859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LMSR!$AL$68</c:f>
              <c:strCache>
                <c:ptCount val="1"/>
              </c:strCache>
            </c:strRef>
          </c:tx>
          <c:val>
            <c:numRef>
              <c:f>LMSR!$AL$69:$AL$75</c:f>
              <c:numCache>
                <c:formatCode>0.0%</c:formatCode>
                <c:ptCount val="7"/>
              </c:numCache>
            </c:numRef>
          </c:val>
          <c:smooth val="0"/>
        </c:ser>
        <c:ser>
          <c:idx val="1"/>
          <c:order val="1"/>
          <c:tx>
            <c:strRef>
              <c:f>LMSR!$AM$68</c:f>
              <c:strCache>
                <c:ptCount val="1"/>
              </c:strCache>
            </c:strRef>
          </c:tx>
          <c:val>
            <c:numRef>
              <c:f>LMSR!$AM$69:$AM$75</c:f>
              <c:numCache>
                <c:formatCode>0.0%</c:formatCode>
                <c:ptCount val="7"/>
              </c:numCache>
            </c:numRef>
          </c:val>
          <c:smooth val="0"/>
        </c:ser>
        <c:ser>
          <c:idx val="2"/>
          <c:order val="2"/>
          <c:tx>
            <c:strRef>
              <c:f>LMSR!$AN$68</c:f>
              <c:strCache>
                <c:ptCount val="1"/>
              </c:strCache>
            </c:strRef>
          </c:tx>
          <c:val>
            <c:numRef>
              <c:f>LMSR!$AN$69:$AN$75</c:f>
              <c:numCache>
                <c:formatCode>0.0%</c:formatCode>
                <c:ptCount val="7"/>
              </c:numCache>
            </c:numRef>
          </c:val>
          <c:smooth val="0"/>
        </c:ser>
        <c:ser>
          <c:idx val="3"/>
          <c:order val="3"/>
          <c:tx>
            <c:strRef>
              <c:f>LMSR!$AO$68</c:f>
              <c:strCache>
                <c:ptCount val="1"/>
              </c:strCache>
            </c:strRef>
          </c:tx>
          <c:val>
            <c:numRef>
              <c:f>LMSR!$AO$69:$AO$75</c:f>
              <c:numCache>
                <c:formatCode>0.0%</c:formatCode>
                <c:ptCount val="7"/>
              </c:numCache>
            </c:numRef>
          </c:val>
          <c:smooth val="0"/>
        </c:ser>
        <c:dLbls>
          <c:showLegendKey val="0"/>
          <c:showVal val="0"/>
          <c:showCatName val="0"/>
          <c:showSerName val="0"/>
          <c:showPercent val="0"/>
          <c:showBubbleSize val="0"/>
        </c:dLbls>
        <c:marker val="1"/>
        <c:smooth val="0"/>
        <c:axId val="127211008"/>
        <c:axId val="128631360"/>
      </c:lineChart>
      <c:catAx>
        <c:axId val="127211008"/>
        <c:scaling>
          <c:orientation val="minMax"/>
        </c:scaling>
        <c:delete val="0"/>
        <c:axPos val="b"/>
        <c:majorTickMark val="out"/>
        <c:minorTickMark val="none"/>
        <c:tickLblPos val="nextTo"/>
        <c:crossAx val="128631360"/>
        <c:crosses val="autoZero"/>
        <c:auto val="1"/>
        <c:lblAlgn val="ctr"/>
        <c:lblOffset val="100"/>
        <c:noMultiLvlLbl val="0"/>
      </c:catAx>
      <c:valAx>
        <c:axId val="128631360"/>
        <c:scaling>
          <c:orientation val="minMax"/>
        </c:scaling>
        <c:delete val="0"/>
        <c:axPos val="l"/>
        <c:majorGridlines/>
        <c:numFmt formatCode="0.0%" sourceLinked="1"/>
        <c:majorTickMark val="out"/>
        <c:minorTickMark val="none"/>
        <c:tickLblPos val="nextTo"/>
        <c:crossAx val="12721100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LMSR!$F$26:$F$33</c:f>
              <c:numCache>
                <c:formatCode>0.0%</c:formatCode>
                <c:ptCount val="8"/>
                <c:pt idx="0">
                  <c:v>0.5</c:v>
                </c:pt>
                <c:pt idx="1">
                  <c:v>0.7310585786300049</c:v>
                </c:pt>
                <c:pt idx="2">
                  <c:v>0.75000000000000011</c:v>
                </c:pt>
                <c:pt idx="3">
                  <c:v>0.62245933120185459</c:v>
                </c:pt>
                <c:pt idx="4">
                  <c:v>0.78583498304255861</c:v>
                </c:pt>
                <c:pt idx="5">
                  <c:v>0.86989152563700223</c:v>
                </c:pt>
                <c:pt idx="6">
                  <c:v>0.94267582410113127</c:v>
                </c:pt>
                <c:pt idx="7">
                  <c:v>1</c:v>
                </c:pt>
              </c:numCache>
            </c:numRef>
          </c:val>
          <c:smooth val="0"/>
        </c:ser>
        <c:dLbls>
          <c:showLegendKey val="0"/>
          <c:showVal val="0"/>
          <c:showCatName val="0"/>
          <c:showSerName val="0"/>
          <c:showPercent val="0"/>
          <c:showBubbleSize val="0"/>
        </c:dLbls>
        <c:marker val="1"/>
        <c:smooth val="0"/>
        <c:axId val="127212032"/>
        <c:axId val="128633664"/>
      </c:lineChart>
      <c:catAx>
        <c:axId val="127212032"/>
        <c:scaling>
          <c:orientation val="minMax"/>
        </c:scaling>
        <c:delete val="0"/>
        <c:axPos val="b"/>
        <c:majorTickMark val="out"/>
        <c:minorTickMark val="none"/>
        <c:tickLblPos val="nextTo"/>
        <c:crossAx val="128633664"/>
        <c:crosses val="autoZero"/>
        <c:auto val="1"/>
        <c:lblAlgn val="ctr"/>
        <c:lblOffset val="100"/>
        <c:noMultiLvlLbl val="0"/>
      </c:catAx>
      <c:valAx>
        <c:axId val="128633664"/>
        <c:scaling>
          <c:orientation val="minMax"/>
          <c:max val="1"/>
        </c:scaling>
        <c:delete val="0"/>
        <c:axPos val="l"/>
        <c:majorGridlines/>
        <c:numFmt formatCode="0.0%" sourceLinked="1"/>
        <c:majorTickMark val="out"/>
        <c:minorTickMark val="none"/>
        <c:tickLblPos val="nextTo"/>
        <c:crossAx val="127212032"/>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layout/>
      <c:overlay val="0"/>
    </c:title>
    <c:autoTitleDeleted val="0"/>
    <c:plotArea>
      <c:layout/>
      <c:lineChart>
        <c:grouping val="standard"/>
        <c:varyColors val="0"/>
        <c:ser>
          <c:idx val="0"/>
          <c:order val="0"/>
          <c:marker>
            <c:symbol val="none"/>
          </c:marker>
          <c:val>
            <c:numRef>
              <c:f>'Scaled Claims'!$I$21:$I$31</c:f>
              <c:numCache>
                <c:formatCode>0.00</c:formatCode>
                <c:ptCount val="11"/>
                <c:pt idx="0">
                  <c:v>14000</c:v>
                </c:pt>
                <c:pt idx="1">
                  <c:v>8000.5447744244293</c:v>
                </c:pt>
                <c:pt idx="2">
                  <c:v>19999.45522557557</c:v>
                </c:pt>
                <c:pt idx="3">
                  <c:v>14000</c:v>
                </c:pt>
                <c:pt idx="4">
                  <c:v>20000</c:v>
                </c:pt>
                <c:pt idx="5">
                  <c:v>14000</c:v>
                </c:pt>
                <c:pt idx="6">
                  <c:v>8000.000024733843</c:v>
                </c:pt>
                <c:pt idx="7">
                  <c:v>19999.999975266153</c:v>
                </c:pt>
                <c:pt idx="8">
                  <c:v>8000.000024733843</c:v>
                </c:pt>
                <c:pt idx="9">
                  <c:v>8000.000024733843</c:v>
                </c:pt>
                <c:pt idx="10">
                  <c:v>16027.59</c:v>
                </c:pt>
              </c:numCache>
            </c:numRef>
          </c:val>
          <c:smooth val="0"/>
        </c:ser>
        <c:dLbls>
          <c:showLegendKey val="0"/>
          <c:showVal val="0"/>
          <c:showCatName val="0"/>
          <c:showSerName val="0"/>
          <c:showPercent val="0"/>
          <c:showBubbleSize val="0"/>
        </c:dLbls>
        <c:marker val="1"/>
        <c:smooth val="0"/>
        <c:axId val="130844160"/>
        <c:axId val="128635392"/>
      </c:lineChart>
      <c:catAx>
        <c:axId val="130844160"/>
        <c:scaling>
          <c:orientation val="minMax"/>
        </c:scaling>
        <c:delete val="0"/>
        <c:axPos val="b"/>
        <c:majorTickMark val="out"/>
        <c:minorTickMark val="none"/>
        <c:tickLblPos val="nextTo"/>
        <c:crossAx val="128635392"/>
        <c:crosses val="autoZero"/>
        <c:auto val="1"/>
        <c:lblAlgn val="ctr"/>
        <c:lblOffset val="100"/>
        <c:noMultiLvlLbl val="0"/>
      </c:catAx>
      <c:valAx>
        <c:axId val="128635392"/>
        <c:scaling>
          <c:orientation val="minMax"/>
          <c:max val="20000"/>
          <c:min val="8000"/>
        </c:scaling>
        <c:delete val="0"/>
        <c:axPos val="l"/>
        <c:majorGridlines/>
        <c:numFmt formatCode="0.00" sourceLinked="1"/>
        <c:majorTickMark val="out"/>
        <c:minorTickMark val="none"/>
        <c:tickLblPos val="nextTo"/>
        <c:crossAx val="130844160"/>
        <c:crosses val="autoZero"/>
        <c:crossBetween val="between"/>
        <c:majorUnit val="1000"/>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layout/>
      <c:overlay val="0"/>
    </c:title>
    <c:autoTitleDeleted val="0"/>
    <c:plotArea>
      <c:layout/>
      <c:lineChart>
        <c:grouping val="standard"/>
        <c:varyColors val="0"/>
        <c:ser>
          <c:idx val="0"/>
          <c:order val="0"/>
          <c:tx>
            <c:v>Not Remain CEO</c:v>
          </c:tx>
          <c:marker>
            <c:symbol val="none"/>
          </c:marker>
          <c:val>
            <c:numRef>
              <c:f>'Conditional Scaled'!$Q$25:$Q$50</c:f>
              <c:numCache>
                <c:formatCode>0.00</c:formatCode>
                <c:ptCount val="26"/>
                <c:pt idx="0">
                  <c:v>14</c:v>
                </c:pt>
                <c:pt idx="1">
                  <c:v>14</c:v>
                </c:pt>
                <c:pt idx="2">
                  <c:v>12.507763978740845</c:v>
                </c:pt>
                <c:pt idx="3">
                  <c:v>12.488243051364041</c:v>
                </c:pt>
                <c:pt idx="4">
                  <c:v>12.202863876572136</c:v>
                </c:pt>
                <c:pt idx="5">
                  <c:v>13.402882664067638</c:v>
                </c:pt>
                <c:pt idx="6">
                  <c:v>13.636149060484239</c:v>
                </c:pt>
                <c:pt idx="7">
                  <c:v>13.847361448131251</c:v>
                </c:pt>
                <c:pt idx="8">
                  <c:v>13.804039419765317</c:v>
                </c:pt>
                <c:pt idx="9">
                  <c:v>13.832366346243052</c:v>
                </c:pt>
                <c:pt idx="10">
                  <c:v>14.087238978785885</c:v>
                </c:pt>
                <c:pt idx="11">
                  <c:v>14.337463858773638</c:v>
                </c:pt>
                <c:pt idx="12">
                  <c:v>13.78058545959855</c:v>
                </c:pt>
                <c:pt idx="13">
                  <c:v>12.944251327136239</c:v>
                </c:pt>
                <c:pt idx="14">
                  <c:v>13.408711982523624</c:v>
                </c:pt>
                <c:pt idx="15">
                  <c:v>14.437738983065348</c:v>
                </c:pt>
                <c:pt idx="16">
                  <c:v>18.879359904383719</c:v>
                </c:pt>
                <c:pt idx="17">
                  <c:v>17.7370547167525</c:v>
                </c:pt>
                <c:pt idx="18">
                  <c:v>17.847657513803043</c:v>
                </c:pt>
                <c:pt idx="19">
                  <c:v>19.267813237924955</c:v>
                </c:pt>
                <c:pt idx="20">
                  <c:v>18.959703228775318</c:v>
                </c:pt>
                <c:pt idx="21">
                  <c:v>2.0000006462172233</c:v>
                </c:pt>
                <c:pt idx="22">
                  <c:v>2.0000004815811518</c:v>
                </c:pt>
                <c:pt idx="23">
                  <c:v>2.0000003497438068</c:v>
                </c:pt>
                <c:pt idx="24">
                  <c:v>2.0000002473845933</c:v>
                </c:pt>
                <c:pt idx="25">
                  <c:v>2</c:v>
                </c:pt>
              </c:numCache>
            </c:numRef>
          </c:val>
          <c:smooth val="0"/>
        </c:ser>
        <c:ser>
          <c:idx val="1"/>
          <c:order val="1"/>
          <c:tx>
            <c:v>Remain CEO</c:v>
          </c:tx>
          <c:marker>
            <c:symbol val="none"/>
          </c:marker>
          <c:val>
            <c:numRef>
              <c:f>'Conditional Scaled'!$R$25:$R$50</c:f>
              <c:numCache>
                <c:formatCode>0.00</c:formatCode>
                <c:ptCount val="26"/>
                <c:pt idx="0">
                  <c:v>14</c:v>
                </c:pt>
                <c:pt idx="1">
                  <c:v>14</c:v>
                </c:pt>
                <c:pt idx="2">
                  <c:v>15.492236021259156</c:v>
                </c:pt>
                <c:pt idx="3">
                  <c:v>15.467170654350019</c:v>
                </c:pt>
                <c:pt idx="4">
                  <c:v>15.100736540523842</c:v>
                </c:pt>
                <c:pt idx="5">
                  <c:v>16.641591164170876</c:v>
                </c:pt>
                <c:pt idx="6">
                  <c:v>16.941111146028945</c:v>
                </c:pt>
                <c:pt idx="7">
                  <c:v>17.212313220087015</c:v>
                </c:pt>
                <c:pt idx="8">
                  <c:v>17.156686634562686</c:v>
                </c:pt>
                <c:pt idx="9">
                  <c:v>17.193059128136742</c:v>
                </c:pt>
                <c:pt idx="10">
                  <c:v>17.520322066339858</c:v>
                </c:pt>
                <c:pt idx="11">
                  <c:v>17.841617172131773</c:v>
                </c:pt>
                <c:pt idx="12">
                  <c:v>17.126571153586575</c:v>
                </c:pt>
                <c:pt idx="13">
                  <c:v>16.052696870661482</c:v>
                </c:pt>
                <c:pt idx="14">
                  <c:v>16.649076157230326</c:v>
                </c:pt>
                <c:pt idx="15">
                  <c:v>17.970372980383846</c:v>
                </c:pt>
                <c:pt idx="16">
                  <c:v>23.673527134648666</c:v>
                </c:pt>
                <c:pt idx="17">
                  <c:v>22.206778240115916</c:v>
                </c:pt>
                <c:pt idx="18">
                  <c:v>22.348795042685573</c:v>
                </c:pt>
                <c:pt idx="19">
                  <c:v>24.172311088112693</c:v>
                </c:pt>
                <c:pt idx="20">
                  <c:v>23.77669000522852</c:v>
                </c:pt>
                <c:pt idx="21">
                  <c:v>17.609346495756078</c:v>
                </c:pt>
                <c:pt idx="22">
                  <c:v>21.178865544368293</c:v>
                </c:pt>
                <c:pt idx="23">
                  <c:v>24.964167553067245</c:v>
                </c:pt>
                <c:pt idx="24">
                  <c:v>28.780616094604319</c:v>
                </c:pt>
                <c:pt idx="25">
                  <c:v>26.704999999999998</c:v>
                </c:pt>
              </c:numCache>
            </c:numRef>
          </c:val>
          <c:smooth val="0"/>
        </c:ser>
        <c:dLbls>
          <c:showLegendKey val="0"/>
          <c:showVal val="0"/>
          <c:showCatName val="0"/>
          <c:showSerName val="0"/>
          <c:showPercent val="0"/>
          <c:showBubbleSize val="0"/>
        </c:dLbls>
        <c:marker val="1"/>
        <c:smooth val="0"/>
        <c:axId val="73675264"/>
        <c:axId val="128637120"/>
      </c:lineChart>
      <c:catAx>
        <c:axId val="73675264"/>
        <c:scaling>
          <c:orientation val="minMax"/>
        </c:scaling>
        <c:delete val="0"/>
        <c:axPos val="b"/>
        <c:majorTickMark val="out"/>
        <c:minorTickMark val="none"/>
        <c:tickLblPos val="nextTo"/>
        <c:crossAx val="128637120"/>
        <c:crosses val="autoZero"/>
        <c:auto val="1"/>
        <c:lblAlgn val="ctr"/>
        <c:lblOffset val="100"/>
        <c:noMultiLvlLbl val="0"/>
      </c:catAx>
      <c:valAx>
        <c:axId val="128637120"/>
        <c:scaling>
          <c:orientation val="minMax"/>
          <c:max val="50"/>
          <c:min val="2"/>
        </c:scaling>
        <c:delete val="0"/>
        <c:axPos val="l"/>
        <c:majorGridlines/>
        <c:numFmt formatCode="0.00" sourceLinked="1"/>
        <c:majorTickMark val="out"/>
        <c:minorTickMark val="none"/>
        <c:tickLblPos val="nextTo"/>
        <c:crossAx val="7367526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'MV Scaled'!$Q$28</c:f>
              <c:strCache>
                <c:ptCount val="1"/>
                <c:pt idx="0">
                  <c:v>d1</c:v>
                </c:pt>
              </c:strCache>
            </c:strRef>
          </c:tx>
          <c:marker>
            <c:symbol val="none"/>
          </c:marker>
          <c:val>
            <c:numRef>
              <c:f>'MV Scaled'!$Q$29:$Q$38</c:f>
              <c:numCache>
                <c:formatCode>0.00</c:formatCode>
                <c:ptCount val="10"/>
                <c:pt idx="0">
                  <c:v>26</c:v>
                </c:pt>
                <c:pt idx="1">
                  <c:v>26</c:v>
                </c:pt>
                <c:pt idx="2">
                  <c:v>26</c:v>
                </c:pt>
                <c:pt idx="3">
                  <c:v>20.121952102310978</c:v>
                </c:pt>
                <c:pt idx="4">
                  <c:v>26</c:v>
                </c:pt>
                <c:pt idx="5">
                  <c:v>26</c:v>
                </c:pt>
                <c:pt idx="6">
                  <c:v>2.0000000000000049</c:v>
                </c:pt>
                <c:pt idx="7">
                  <c:v>26</c:v>
                </c:pt>
                <c:pt idx="8">
                  <c:v>28.716346784718233</c:v>
                </c:pt>
                <c:pt idx="9">
                  <c:v>26.704999999999998</c:v>
                </c:pt>
              </c:numCache>
            </c:numRef>
          </c:val>
          <c:smooth val="0"/>
        </c:ser>
        <c:dLbls>
          <c:showLegendKey val="0"/>
          <c:showVal val="0"/>
          <c:showCatName val="0"/>
          <c:showSerName val="0"/>
          <c:showPercent val="0"/>
          <c:showBubbleSize val="0"/>
        </c:dLbls>
        <c:marker val="1"/>
        <c:smooth val="0"/>
        <c:axId val="128549376"/>
        <c:axId val="128327680"/>
      </c:lineChart>
      <c:catAx>
        <c:axId val="128549376"/>
        <c:scaling>
          <c:orientation val="minMax"/>
        </c:scaling>
        <c:delete val="0"/>
        <c:axPos val="b"/>
        <c:majorTickMark val="out"/>
        <c:minorTickMark val="none"/>
        <c:tickLblPos val="nextTo"/>
        <c:crossAx val="128327680"/>
        <c:crosses val="autoZero"/>
        <c:auto val="1"/>
        <c:lblAlgn val="ctr"/>
        <c:lblOffset val="100"/>
        <c:noMultiLvlLbl val="0"/>
      </c:catAx>
      <c:valAx>
        <c:axId val="128327680"/>
        <c:scaling>
          <c:orientation val="minMax"/>
        </c:scaling>
        <c:delete val="0"/>
        <c:axPos val="l"/>
        <c:majorGridlines/>
        <c:numFmt formatCode="0.00" sourceLinked="1"/>
        <c:majorTickMark val="out"/>
        <c:minorTickMark val="none"/>
        <c:tickLblPos val="nextTo"/>
        <c:crossAx val="128549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'MV Scaled'!$R$28</c:f>
              <c:strCache>
                <c:ptCount val="1"/>
                <c:pt idx="0">
                  <c:v>d2</c:v>
                </c:pt>
              </c:strCache>
            </c:strRef>
          </c:tx>
          <c:marker>
            <c:symbol val="none"/>
          </c:marker>
          <c:val>
            <c:numRef>
              <c:f>'MV Scaled'!$R$29:$R$38</c:f>
              <c:numCache>
                <c:formatCode>0.00</c:formatCode>
                <c:ptCount val="10"/>
                <c:pt idx="0">
                  <c:v>152.5</c:v>
                </c:pt>
                <c:pt idx="1">
                  <c:v>152.5</c:v>
                </c:pt>
                <c:pt idx="2">
                  <c:v>152.5</c:v>
                </c:pt>
                <c:pt idx="3">
                  <c:v>152.5</c:v>
                </c:pt>
                <c:pt idx="4">
                  <c:v>152.5</c:v>
                </c:pt>
                <c:pt idx="5">
                  <c:v>116.3744972954529</c:v>
                </c:pt>
                <c:pt idx="6">
                  <c:v>5.0000000000000302</c:v>
                </c:pt>
                <c:pt idx="7">
                  <c:v>152.5</c:v>
                </c:pt>
                <c:pt idx="8">
                  <c:v>220.66228069585148</c:v>
                </c:pt>
                <c:pt idx="9">
                  <c:v>297</c:v>
                </c:pt>
              </c:numCache>
            </c:numRef>
          </c:val>
          <c:smooth val="0"/>
        </c:ser>
        <c:dLbls>
          <c:showLegendKey val="0"/>
          <c:showVal val="0"/>
          <c:showCatName val="0"/>
          <c:showSerName val="0"/>
          <c:showPercent val="0"/>
          <c:showBubbleSize val="0"/>
        </c:dLbls>
        <c:marker val="1"/>
        <c:smooth val="0"/>
        <c:axId val="128550400"/>
        <c:axId val="128329408"/>
      </c:lineChart>
      <c:catAx>
        <c:axId val="128550400"/>
        <c:scaling>
          <c:orientation val="minMax"/>
        </c:scaling>
        <c:delete val="0"/>
        <c:axPos val="b"/>
        <c:majorTickMark val="out"/>
        <c:minorTickMark val="none"/>
        <c:tickLblPos val="nextTo"/>
        <c:crossAx val="128329408"/>
        <c:crosses val="autoZero"/>
        <c:auto val="1"/>
        <c:lblAlgn val="ctr"/>
        <c:lblOffset val="100"/>
        <c:noMultiLvlLbl val="0"/>
      </c:catAx>
      <c:valAx>
        <c:axId val="128329408"/>
        <c:scaling>
          <c:orientation val="minMax"/>
        </c:scaling>
        <c:delete val="0"/>
        <c:axPos val="l"/>
        <c:majorGridlines/>
        <c:numFmt formatCode="0.00" sourceLinked="1"/>
        <c:majorTickMark val="out"/>
        <c:minorTickMark val="none"/>
        <c:tickLblPos val="nextTo"/>
        <c:crossAx val="1285504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'Changing b mid contract'!$AM$8</c:f>
              <c:strCache>
                <c:ptCount val="1"/>
              </c:strCache>
            </c:strRef>
          </c:tx>
          <c:val>
            <c:numRef>
              <c:f>'Changing b mid contract'!$AM$9:$AM$15</c:f>
              <c:numCache>
                <c:formatCode>0.0%</c:formatCode>
                <c:ptCount val="7"/>
              </c:numCache>
            </c:numRef>
          </c:val>
          <c:smooth val="0"/>
        </c:ser>
        <c:ser>
          <c:idx val="1"/>
          <c:order val="1"/>
          <c:tx>
            <c:strRef>
              <c:f>'Changing b mid contract'!$AN$8</c:f>
              <c:strCache>
                <c:ptCount val="1"/>
              </c:strCache>
            </c:strRef>
          </c:tx>
          <c:val>
            <c:numRef>
              <c:f>'Changing b mid contract'!$AN$9:$AN$15</c:f>
              <c:numCache>
                <c:formatCode>0.0%</c:formatCode>
                <c:ptCount val="7"/>
              </c:numCache>
            </c:numRef>
          </c:val>
          <c:smooth val="0"/>
        </c:ser>
        <c:ser>
          <c:idx val="2"/>
          <c:order val="2"/>
          <c:tx>
            <c:strRef>
              <c:f>'Changing b mid contract'!$AO$8</c:f>
              <c:strCache>
                <c:ptCount val="1"/>
              </c:strCache>
            </c:strRef>
          </c:tx>
          <c:val>
            <c:numRef>
              <c:f>'Changing b mid contract'!$AO$9:$AO$15</c:f>
              <c:numCache>
                <c:formatCode>0.0%</c:formatCode>
                <c:ptCount val="7"/>
              </c:numCache>
            </c:numRef>
          </c:val>
          <c:smooth val="0"/>
        </c:ser>
        <c:ser>
          <c:idx val="3"/>
          <c:order val="3"/>
          <c:tx>
            <c:strRef>
              <c:f>'Changing b mid contract'!$AP$8</c:f>
              <c:strCache>
                <c:ptCount val="1"/>
              </c:strCache>
            </c:strRef>
          </c:tx>
          <c:val>
            <c:numRef>
              <c:f>'Changing b mid contract'!$AP$9:$AP$15</c:f>
              <c:numCache>
                <c:formatCode>0.0%</c:formatCode>
                <c:ptCount val="7"/>
              </c:numCache>
            </c:numRef>
          </c:val>
          <c:smooth val="0"/>
        </c:ser>
        <c:dLbls>
          <c:showLegendKey val="0"/>
          <c:showVal val="0"/>
          <c:showCatName val="0"/>
          <c:showSerName val="0"/>
          <c:showPercent val="0"/>
          <c:showBubbleSize val="0"/>
        </c:dLbls>
        <c:marker val="1"/>
        <c:smooth val="0"/>
        <c:axId val="128552448"/>
        <c:axId val="128331712"/>
      </c:lineChart>
      <c:catAx>
        <c:axId val="128552448"/>
        <c:scaling>
          <c:orientation val="minMax"/>
        </c:scaling>
        <c:delete val="0"/>
        <c:axPos val="b"/>
        <c:majorTickMark val="out"/>
        <c:minorTickMark val="none"/>
        <c:tickLblPos val="nextTo"/>
        <c:crossAx val="128331712"/>
        <c:crosses val="autoZero"/>
        <c:auto val="1"/>
        <c:lblAlgn val="ctr"/>
        <c:lblOffset val="100"/>
        <c:noMultiLvlLbl val="0"/>
      </c:catAx>
      <c:valAx>
        <c:axId val="128331712"/>
        <c:scaling>
          <c:orientation val="minMax"/>
        </c:scaling>
        <c:delete val="0"/>
        <c:axPos val="l"/>
        <c:majorGridlines/>
        <c:numFmt formatCode="0.0%" sourceLinked="1"/>
        <c:majorTickMark val="out"/>
        <c:minorTickMark val="none"/>
        <c:tickLblPos val="nextTo"/>
        <c:crossAx val="12855244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22</xdr:col>
      <xdr:colOff>557893</xdr:colOff>
      <xdr:row>14</xdr:row>
      <xdr:rowOff>220434</xdr:rowOff>
    </xdr:from>
    <xdr:to>
      <xdr:col>32</xdr:col>
      <xdr:colOff>285751</xdr:colOff>
      <xdr:row>29</xdr:row>
      <xdr:rowOff>99331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179297</xdr:colOff>
      <xdr:row>50</xdr:row>
      <xdr:rowOff>89647</xdr:rowOff>
    </xdr:from>
    <xdr:to>
      <xdr:col>26</xdr:col>
      <xdr:colOff>78441</xdr:colOff>
      <xdr:row>74</xdr:row>
      <xdr:rowOff>134471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285750</xdr:colOff>
      <xdr:row>65</xdr:row>
      <xdr:rowOff>190500</xdr:rowOff>
    </xdr:from>
    <xdr:to>
      <xdr:col>48</xdr:col>
      <xdr:colOff>590550</xdr:colOff>
      <xdr:row>91</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70</xdr:row>
      <xdr:rowOff>134470</xdr:rowOff>
    </xdr:from>
    <xdr:to>
      <xdr:col>5</xdr:col>
      <xdr:colOff>0</xdr:colOff>
      <xdr:row>92</xdr:row>
      <xdr:rowOff>44823</xdr:rowOff>
    </xdr:to>
    <xdr:cxnSp macro="">
      <xdr:nvCxnSpPr>
        <xdr:cNvPr id="4" name="Straight Arrow Connector 3"/>
        <xdr:cNvCxnSpPr/>
      </xdr:nvCxnSpPr>
      <xdr:spPr>
        <a:xfrm>
          <a:off x="1781735" y="8628529"/>
          <a:ext cx="1557618" cy="2095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71</xdr:row>
      <xdr:rowOff>145676</xdr:rowOff>
    </xdr:from>
    <xdr:to>
      <xdr:col>4</xdr:col>
      <xdr:colOff>739588</xdr:colOff>
      <xdr:row>98</xdr:row>
      <xdr:rowOff>33617</xdr:rowOff>
    </xdr:to>
    <xdr:cxnSp macro="">
      <xdr:nvCxnSpPr>
        <xdr:cNvPr id="5" name="Straight Arrow Connector 4"/>
        <xdr:cNvCxnSpPr/>
      </xdr:nvCxnSpPr>
      <xdr:spPr>
        <a:xfrm>
          <a:off x="1781735" y="8841441"/>
          <a:ext cx="1535206" cy="3048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72</xdr:row>
      <xdr:rowOff>134470</xdr:rowOff>
    </xdr:from>
    <xdr:to>
      <xdr:col>4</xdr:col>
      <xdr:colOff>750794</xdr:colOff>
      <xdr:row>106</xdr:row>
      <xdr:rowOff>44824</xdr:rowOff>
    </xdr:to>
    <xdr:cxnSp macro="">
      <xdr:nvCxnSpPr>
        <xdr:cNvPr id="12" name="Straight Arrow Connector 11"/>
        <xdr:cNvCxnSpPr/>
      </xdr:nvCxnSpPr>
      <xdr:spPr>
        <a:xfrm>
          <a:off x="1781735" y="9031941"/>
          <a:ext cx="1546412" cy="46168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246530</xdr:colOff>
      <xdr:row>20</xdr:row>
      <xdr:rowOff>156882</xdr:rowOff>
    </xdr:from>
    <xdr:to>
      <xdr:col>24</xdr:col>
      <xdr:colOff>123265</xdr:colOff>
      <xdr:row>34</xdr:row>
      <xdr:rowOff>190501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403411</xdr:colOff>
      <xdr:row>17</xdr:row>
      <xdr:rowOff>42600</xdr:rowOff>
    </xdr:from>
    <xdr:to>
      <xdr:col>38</xdr:col>
      <xdr:colOff>67235</xdr:colOff>
      <xdr:row>32</xdr:row>
      <xdr:rowOff>123266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488710</xdr:colOff>
      <xdr:row>1</xdr:row>
      <xdr:rowOff>109833</xdr:rowOff>
    </xdr:from>
    <xdr:to>
      <xdr:col>32</xdr:col>
      <xdr:colOff>22411</xdr:colOff>
      <xdr:row>18</xdr:row>
      <xdr:rowOff>11205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403411</xdr:colOff>
      <xdr:row>0</xdr:row>
      <xdr:rowOff>163606</xdr:rowOff>
    </xdr:from>
    <xdr:to>
      <xdr:col>20</xdr:col>
      <xdr:colOff>437030</xdr:colOff>
      <xdr:row>10</xdr:row>
      <xdr:rowOff>100852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403411</xdr:colOff>
      <xdr:row>11</xdr:row>
      <xdr:rowOff>29134</xdr:rowOff>
    </xdr:from>
    <xdr:to>
      <xdr:col>20</xdr:col>
      <xdr:colOff>448236</xdr:colOff>
      <xdr:row>23</xdr:row>
      <xdr:rowOff>145677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42</xdr:col>
      <xdr:colOff>285750</xdr:colOff>
      <xdr:row>5</xdr:row>
      <xdr:rowOff>190500</xdr:rowOff>
    </xdr:from>
    <xdr:to>
      <xdr:col>49</xdr:col>
      <xdr:colOff>590550</xdr:colOff>
      <xdr:row>19</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measuringworth.com/DJA/" TargetMode="External"/><Relationship Id="rId2" Type="http://schemas.openxmlformats.org/officeDocument/2006/relationships/hyperlink" Target="http://finance.yahoo.com/echarts?s=%5Edji+interactive" TargetMode="External"/><Relationship Id="rId1" Type="http://schemas.openxmlformats.org/officeDocument/2006/relationships/hyperlink" Target="https://research.stlouisfed.org/fred2/series/DJIA/downloaddata"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AH53"/>
  <sheetViews>
    <sheetView tabSelected="1" zoomScale="85" zoomScaleNormal="85" workbookViewId="0">
      <selection activeCell="K8" sqref="K8"/>
    </sheetView>
  </sheetViews>
  <sheetFormatPr defaultRowHeight="15" x14ac:dyDescent="0.25"/>
  <cols>
    <col min="3" max="3" width="10.7109375" bestFit="1" customWidth="1"/>
    <col min="5" max="8" width="11.42578125" style="33" customWidth="1"/>
    <col min="9" max="9" width="19.140625" style="33" customWidth="1"/>
    <col min="10" max="10" width="22.140625" style="33" customWidth="1"/>
    <col min="11" max="11" width="15.5703125" customWidth="1"/>
    <col min="12" max="12" width="0" hidden="1" customWidth="1"/>
    <col min="13" max="13" width="9.42578125" hidden="1" customWidth="1"/>
    <col min="14" max="14" width="12.7109375" hidden="1" customWidth="1"/>
    <col min="15" max="15" width="10.28515625" hidden="1" customWidth="1"/>
    <col min="16" max="16" width="10.7109375" hidden="1" customWidth="1"/>
    <col min="17" max="17" width="0" hidden="1" customWidth="1"/>
    <col min="18" max="18" width="9.42578125" customWidth="1"/>
    <col min="20" max="20" width="12.140625" customWidth="1"/>
    <col min="21" max="21" width="10.5703125" customWidth="1"/>
    <col min="24" max="24" width="11.140625" customWidth="1"/>
  </cols>
  <sheetData>
    <row r="2" spans="1:34" ht="36" x14ac:dyDescent="0.55000000000000004">
      <c r="B2" s="287" t="s">
        <v>136</v>
      </c>
      <c r="G2" s="17"/>
      <c r="H2" s="17"/>
      <c r="I2" s="17"/>
      <c r="W2" s="33"/>
    </row>
    <row r="3" spans="1:34" x14ac:dyDescent="0.25">
      <c r="A3" s="7"/>
      <c r="B3" s="7"/>
      <c r="C3" s="7"/>
      <c r="D3" s="7"/>
      <c r="E3" s="17"/>
      <c r="F3" s="285"/>
      <c r="G3" s="207"/>
      <c r="H3" s="17"/>
      <c r="I3" s="17"/>
      <c r="J3"/>
      <c r="N3" t="s">
        <v>138</v>
      </c>
      <c r="W3" s="33"/>
    </row>
    <row r="4" spans="1:34" x14ac:dyDescent="0.25">
      <c r="A4" s="7"/>
      <c r="B4" s="342" t="s">
        <v>173</v>
      </c>
      <c r="C4" s="168" t="s">
        <v>4</v>
      </c>
      <c r="D4" s="313" t="s">
        <v>153</v>
      </c>
      <c r="E4" s="168"/>
      <c r="F4" s="313"/>
      <c r="G4" s="320"/>
      <c r="H4" s="308"/>
      <c r="I4" s="207"/>
      <c r="J4"/>
      <c r="U4" s="33"/>
      <c r="V4" s="33"/>
      <c r="W4" s="33"/>
    </row>
    <row r="5" spans="1:34" x14ac:dyDescent="0.25">
      <c r="A5" s="7"/>
      <c r="B5" s="343"/>
      <c r="C5" s="17" t="s">
        <v>141</v>
      </c>
      <c r="D5" s="17" t="s">
        <v>3</v>
      </c>
      <c r="E5" s="7"/>
      <c r="F5" s="17"/>
      <c r="G5" s="207"/>
      <c r="H5" s="285"/>
      <c r="I5" s="207"/>
      <c r="J5"/>
      <c r="U5" s="33"/>
      <c r="V5" s="33"/>
      <c r="W5" s="33"/>
    </row>
    <row r="6" spans="1:34" x14ac:dyDescent="0.25">
      <c r="A6" s="7"/>
      <c r="B6" s="344"/>
      <c r="C6" s="305" t="s">
        <v>142</v>
      </c>
      <c r="D6" s="305" t="s">
        <v>2</v>
      </c>
      <c r="E6" s="293"/>
      <c r="F6" s="305"/>
      <c r="G6" s="321"/>
      <c r="H6" s="309"/>
      <c r="I6" s="207"/>
      <c r="J6"/>
      <c r="U6" s="33"/>
      <c r="V6" s="33"/>
      <c r="W6" s="33"/>
    </row>
    <row r="7" spans="1:34" ht="15.75" thickBot="1" x14ac:dyDescent="0.3">
      <c r="A7" s="7"/>
      <c r="B7" s="319"/>
      <c r="C7" s="17"/>
      <c r="D7" s="17"/>
      <c r="E7" s="7"/>
      <c r="F7" s="285"/>
      <c r="G7" s="207"/>
      <c r="H7" s="17"/>
      <c r="I7" s="207"/>
      <c r="J7"/>
      <c r="U7" s="33"/>
      <c r="V7" s="33"/>
      <c r="W7" s="33"/>
    </row>
    <row r="8" spans="1:34" x14ac:dyDescent="0.25">
      <c r="A8" s="7"/>
      <c r="B8" s="345" t="s">
        <v>161</v>
      </c>
      <c r="C8" s="322" t="s">
        <v>174</v>
      </c>
      <c r="D8" s="325" t="s">
        <v>175</v>
      </c>
      <c r="E8" s="299" t="s">
        <v>176</v>
      </c>
      <c r="F8" s="299"/>
      <c r="G8" s="196"/>
      <c r="H8" s="17"/>
      <c r="I8" s="207"/>
      <c r="J8"/>
      <c r="U8" s="33"/>
      <c r="V8" s="33"/>
      <c r="W8" s="33"/>
    </row>
    <row r="9" spans="1:34" x14ac:dyDescent="0.25">
      <c r="A9" s="7"/>
      <c r="B9" s="346"/>
      <c r="C9" s="17" t="s">
        <v>146</v>
      </c>
      <c r="D9" s="302">
        <v>2</v>
      </c>
      <c r="E9" s="17" t="s">
        <v>147</v>
      </c>
      <c r="F9" s="7"/>
      <c r="G9" s="326"/>
      <c r="H9" s="17"/>
      <c r="I9" s="207"/>
      <c r="J9"/>
      <c r="U9" s="33"/>
      <c r="V9" s="33"/>
      <c r="W9" s="33"/>
      <c r="AF9" s="7"/>
      <c r="AG9" s="7"/>
      <c r="AH9" s="7"/>
    </row>
    <row r="10" spans="1:34" x14ac:dyDescent="0.25">
      <c r="A10" s="7"/>
      <c r="B10" s="346"/>
      <c r="C10" s="17" t="s">
        <v>5</v>
      </c>
      <c r="D10" s="18">
        <v>7</v>
      </c>
      <c r="E10" s="17" t="s">
        <v>150</v>
      </c>
      <c r="F10" s="7"/>
      <c r="G10" s="326"/>
      <c r="H10" s="17"/>
      <c r="I10" s="207"/>
      <c r="J10"/>
      <c r="U10" s="33"/>
      <c r="V10" s="33"/>
      <c r="W10" s="33"/>
      <c r="AF10" s="7"/>
      <c r="AG10" s="7"/>
      <c r="AH10" s="7"/>
    </row>
    <row r="11" spans="1:34" ht="15.75" thickBot="1" x14ac:dyDescent="0.3">
      <c r="A11" s="7"/>
      <c r="B11" s="347"/>
      <c r="C11" s="184" t="s">
        <v>148</v>
      </c>
      <c r="D11" s="324">
        <f>D10*LN(D9)</f>
        <v>4.8520302639196169</v>
      </c>
      <c r="E11" s="184" t="s">
        <v>149</v>
      </c>
      <c r="F11" s="184"/>
      <c r="G11" s="197"/>
      <c r="H11" s="17"/>
      <c r="I11" s="207"/>
      <c r="J11"/>
      <c r="U11" s="33"/>
      <c r="V11" s="33"/>
      <c r="W11" s="33"/>
      <c r="AF11" s="7"/>
      <c r="AG11" s="7"/>
      <c r="AH11" s="7"/>
    </row>
    <row r="12" spans="1:34" s="7" customFormat="1" ht="15.75" thickBot="1" x14ac:dyDescent="0.3">
      <c r="C12"/>
      <c r="D12"/>
      <c r="E12" s="33"/>
      <c r="F12" s="285"/>
      <c r="G12" s="33"/>
      <c r="H12" s="33"/>
      <c r="I12" s="33"/>
      <c r="J12" s="33"/>
      <c r="K12"/>
      <c r="L12"/>
      <c r="M12"/>
      <c r="N12"/>
      <c r="O12"/>
      <c r="P12"/>
      <c r="Q12"/>
      <c r="R12"/>
      <c r="S12"/>
      <c r="T12" s="8"/>
    </row>
    <row r="13" spans="1:34" s="7" customFormat="1" ht="24.75" customHeight="1" thickBot="1" x14ac:dyDescent="0.35">
      <c r="D13"/>
      <c r="E13" s="233" t="s">
        <v>12</v>
      </c>
      <c r="F13" s="237"/>
      <c r="G13" s="382" t="s">
        <v>13</v>
      </c>
      <c r="H13" s="65"/>
      <c r="I13" s="66" t="s">
        <v>127</v>
      </c>
      <c r="J13" s="286" t="s">
        <v>131</v>
      </c>
      <c r="K13" s="20"/>
      <c r="L13" s="348" t="s">
        <v>99</v>
      </c>
      <c r="M13" s="349"/>
      <c r="N13" s="201" t="s">
        <v>100</v>
      </c>
      <c r="P13" s="7" t="s">
        <v>101</v>
      </c>
      <c r="Q13" s="20"/>
      <c r="R13" s="202" t="s">
        <v>101</v>
      </c>
      <c r="S13" s="20"/>
    </row>
    <row r="14" spans="1:34" s="7" customFormat="1" ht="16.5" thickTop="1" thickBot="1" x14ac:dyDescent="0.3">
      <c r="C14" s="32"/>
      <c r="D14" s="130" t="s">
        <v>45</v>
      </c>
      <c r="E14" s="295" t="s">
        <v>141</v>
      </c>
      <c r="F14" s="296" t="s">
        <v>142</v>
      </c>
      <c r="G14" s="192" t="s">
        <v>141</v>
      </c>
      <c r="H14" s="191" t="s">
        <v>142</v>
      </c>
      <c r="I14" s="379">
        <v>0</v>
      </c>
      <c r="J14" s="43"/>
      <c r="L14" s="198" t="str">
        <f>E14</f>
        <v>a=0</v>
      </c>
      <c r="M14" s="199" t="str">
        <f>F14</f>
        <v>a=1</v>
      </c>
      <c r="R14"/>
    </row>
    <row r="15" spans="1:34" s="7" customFormat="1" ht="18" customHeight="1" thickTop="1" x14ac:dyDescent="0.25">
      <c r="D15" s="25">
        <v>1</v>
      </c>
      <c r="E15" s="242">
        <v>0</v>
      </c>
      <c r="F15" s="377">
        <v>0</v>
      </c>
      <c r="G15" s="376">
        <f t="shared" ref="G15:G30" si="0">EXP(E15/$D$10)/(EXP($F15/$D$10)+EXP($E15/$D$10))</f>
        <v>0.5</v>
      </c>
      <c r="H15" s="88">
        <f t="shared" ref="H15:H30" si="1">EXP(F15/$D$10)/(EXP($F15/$D$10)+EXP($E15/$D$10))</f>
        <v>0.5</v>
      </c>
      <c r="I15" s="405">
        <f t="shared" ref="I15:I31" si="2">$D$10*LN(EXP($F15/$D$10)+EXP($E15/$D$10))</f>
        <v>4.8520302639196169</v>
      </c>
      <c r="J15" s="409">
        <f>(I15-I14)</f>
        <v>4.8520302639196169</v>
      </c>
      <c r="L15" s="129"/>
      <c r="M15" s="113"/>
      <c r="R15"/>
      <c r="X15" s="205"/>
    </row>
    <row r="16" spans="1:34" s="7" customFormat="1" ht="18.75" x14ac:dyDescent="0.3">
      <c r="D16" s="25">
        <v>2</v>
      </c>
      <c r="E16" s="242">
        <v>1</v>
      </c>
      <c r="F16" s="377">
        <v>0</v>
      </c>
      <c r="G16" s="376">
        <f t="shared" si="0"/>
        <v>0.53565367083397153</v>
      </c>
      <c r="H16" s="88">
        <f t="shared" si="1"/>
        <v>0.46434632916602836</v>
      </c>
      <c r="I16" s="405">
        <f t="shared" si="2"/>
        <v>5.3698722427589098</v>
      </c>
      <c r="J16" s="410">
        <f>(I16-I15)</f>
        <v>0.51784197883929295</v>
      </c>
      <c r="L16" s="129">
        <f>E16-E15</f>
        <v>1</v>
      </c>
      <c r="M16" s="113">
        <f>F16-F15</f>
        <v>0</v>
      </c>
      <c r="N16" s="200">
        <f t="shared" ref="N16:N30" si="3">J16</f>
        <v>0.51784197883929295</v>
      </c>
      <c r="P16" s="7" t="str">
        <f>IF(L16&gt;0,"Bought ",IF(L16&lt;0,"Sold ",""))&amp;IF(L16&lt;0,L16*-1,IF(L16&gt;0,L16,""))&amp;IF(L16&lt;&gt;0," Shares of State 1 at a cost of "&amp;ROUND($N16,5),"")</f>
        <v>Bought 1 Shares of State 1 at a cost of 0.51784</v>
      </c>
      <c r="Q16" s="7" t="str">
        <f t="shared" ref="Q16" si="4">IF(M16&gt;0,"Bought ",IF(M16&lt;0,"Sold ",""))&amp;IF(M16&lt;0,M16*-1,IF(M16&gt;0,M16,""))&amp;IF(M16&lt;&gt;0," Shares of State 2 at a cost of "&amp;ROUND($N16,5),"")</f>
        <v/>
      </c>
      <c r="R16" s="203" t="str">
        <f>P16&amp;Q16</f>
        <v>Bought 1 Shares of State 1 at a cost of 0.51784</v>
      </c>
    </row>
    <row r="17" spans="4:19" s="7" customFormat="1" ht="18.75" x14ac:dyDescent="0.3">
      <c r="D17" s="25">
        <v>3</v>
      </c>
      <c r="E17" s="242">
        <v>1</v>
      </c>
      <c r="F17" s="377">
        <v>6</v>
      </c>
      <c r="G17" s="376">
        <f t="shared" si="0"/>
        <v>0.32865254651727005</v>
      </c>
      <c r="H17" s="88">
        <f t="shared" si="1"/>
        <v>0.67134745348273006</v>
      </c>
      <c r="I17" s="405">
        <f t="shared" si="2"/>
        <v>8.7892792311985044</v>
      </c>
      <c r="J17" s="410">
        <f t="shared" ref="J17:J29" si="5">(I17-I16)</f>
        <v>3.4194069884395946</v>
      </c>
      <c r="L17" s="129">
        <f t="shared" ref="L17:L30" si="6">E17-E16</f>
        <v>0</v>
      </c>
      <c r="M17" s="113">
        <f t="shared" ref="M17:M30" si="7">F17-F16</f>
        <v>6</v>
      </c>
      <c r="N17" s="200">
        <f t="shared" si="3"/>
        <v>3.4194069884395946</v>
      </c>
      <c r="P17" s="7" t="str">
        <f t="shared" ref="P17:P30" si="8">IF(L17&gt;0,"Bought ",IF(L17&lt;0,"Sold ",""))&amp;IF(L17&lt;0,L17*-1,IF(L17&gt;0,L17,""))&amp;IF(L17&lt;&gt;0," Shares of State 1 at a cost of "&amp;ROUND($N17,5),"")</f>
        <v/>
      </c>
      <c r="Q17" s="7" t="str">
        <f>IF(M17&gt;0,"Bought ",IF(M17&lt;0,"Sold ",""))&amp;IF(M17&lt;0,M17*-1,IF(M17&gt;0,M17,""))&amp;IF(M17&lt;&gt;0," Shares of State 2 at a cost of "&amp;ROUND($N17,5),"")</f>
        <v>Bought 6 Shares of State 2 at a cost of 3.41941</v>
      </c>
      <c r="R17" s="203" t="str">
        <f t="shared" ref="R17:R30" si="9">P17&amp;Q17</f>
        <v>Bought 6 Shares of State 2 at a cost of 3.41941</v>
      </c>
    </row>
    <row r="18" spans="4:19" s="7" customFormat="1" ht="18.75" x14ac:dyDescent="0.3">
      <c r="D18" s="25">
        <v>4</v>
      </c>
      <c r="E18" s="242">
        <v>18</v>
      </c>
      <c r="F18" s="377">
        <v>6</v>
      </c>
      <c r="G18" s="376">
        <f t="shared" si="0"/>
        <v>0.84739133515736897</v>
      </c>
      <c r="H18" s="88">
        <f t="shared" si="1"/>
        <v>0.152608664842631</v>
      </c>
      <c r="I18" s="405">
        <f t="shared" si="2"/>
        <v>19.159148662361027</v>
      </c>
      <c r="J18" s="410">
        <f t="shared" ref="J18:J27" si="10">(I18-I17)</f>
        <v>10.369869431162522</v>
      </c>
      <c r="L18" s="129">
        <f t="shared" si="6"/>
        <v>17</v>
      </c>
      <c r="M18" s="113">
        <f t="shared" si="7"/>
        <v>0</v>
      </c>
      <c r="N18" s="200">
        <f t="shared" si="3"/>
        <v>10.369869431162522</v>
      </c>
      <c r="P18" s="7" t="str">
        <f t="shared" si="8"/>
        <v>Bought 17 Shares of State 1 at a cost of 10.36987</v>
      </c>
      <c r="Q18" s="7" t="str">
        <f t="shared" ref="Q18:Q30" si="11">IF(M18&gt;0,"Bought ",IF(M18&lt;0,"Sold ",""))&amp;IF(M18&lt;0,M18*-1,IF(M18&gt;0,M18,""))&amp;IF(M18&lt;&gt;0," Shares of State 2 at a cost of "&amp;ROUND($N18,5),"")</f>
        <v/>
      </c>
      <c r="R18" s="203" t="str">
        <f t="shared" si="9"/>
        <v>Bought 17 Shares of State 1 at a cost of 10.36987</v>
      </c>
    </row>
    <row r="19" spans="4:19" s="7" customFormat="1" ht="18.75" x14ac:dyDescent="0.3">
      <c r="D19" s="25">
        <v>5</v>
      </c>
      <c r="E19" s="242">
        <v>18</v>
      </c>
      <c r="F19" s="377">
        <v>18</v>
      </c>
      <c r="G19" s="376">
        <f t="shared" si="0"/>
        <v>0.5</v>
      </c>
      <c r="H19" s="88">
        <f t="shared" si="1"/>
        <v>0.5</v>
      </c>
      <c r="I19" s="405">
        <f t="shared" si="2"/>
        <v>22.85203026391962</v>
      </c>
      <c r="J19" s="410">
        <f t="shared" si="10"/>
        <v>3.692881601558593</v>
      </c>
      <c r="L19" s="129">
        <f t="shared" si="6"/>
        <v>0</v>
      </c>
      <c r="M19" s="113">
        <f t="shared" si="7"/>
        <v>12</v>
      </c>
      <c r="N19" s="200">
        <f t="shared" si="3"/>
        <v>3.692881601558593</v>
      </c>
      <c r="P19" s="7" t="str">
        <f t="shared" si="8"/>
        <v/>
      </c>
      <c r="Q19" s="7" t="str">
        <f t="shared" si="11"/>
        <v>Bought 12 Shares of State 2 at a cost of 3.69288</v>
      </c>
      <c r="R19" s="203" t="str">
        <f t="shared" si="9"/>
        <v>Bought 12 Shares of State 2 at a cost of 3.69288</v>
      </c>
    </row>
    <row r="20" spans="4:19" s="7" customFormat="1" ht="18.75" x14ac:dyDescent="0.3">
      <c r="D20" s="25">
        <v>6</v>
      </c>
      <c r="E20" s="242">
        <v>32</v>
      </c>
      <c r="F20" s="377">
        <v>18</v>
      </c>
      <c r="G20" s="376">
        <f t="shared" si="0"/>
        <v>0.88079707797788231</v>
      </c>
      <c r="H20" s="88">
        <f t="shared" si="1"/>
        <v>0.11920292202211759</v>
      </c>
      <c r="I20" s="405">
        <f t="shared" si="2"/>
        <v>32.8884960773008</v>
      </c>
      <c r="J20" s="410">
        <f t="shared" si="10"/>
        <v>10.036465813381181</v>
      </c>
      <c r="L20" s="129">
        <f t="shared" si="6"/>
        <v>14</v>
      </c>
      <c r="M20" s="113">
        <f t="shared" si="7"/>
        <v>0</v>
      </c>
      <c r="N20" s="200">
        <f t="shared" si="3"/>
        <v>10.036465813381181</v>
      </c>
      <c r="P20" s="7" t="str">
        <f t="shared" si="8"/>
        <v>Bought 14 Shares of State 1 at a cost of 10.03647</v>
      </c>
      <c r="Q20" s="7" t="str">
        <f t="shared" si="11"/>
        <v/>
      </c>
      <c r="R20" s="203" t="str">
        <f t="shared" si="9"/>
        <v>Bought 14 Shares of State 1 at a cost of 10.03647</v>
      </c>
    </row>
    <row r="21" spans="4:19" s="7" customFormat="1" ht="18.75" x14ac:dyDescent="0.3">
      <c r="D21" s="25">
        <v>7</v>
      </c>
      <c r="E21" s="242">
        <v>32</v>
      </c>
      <c r="F21" s="377">
        <v>30</v>
      </c>
      <c r="G21" s="376">
        <f t="shared" si="0"/>
        <v>0.57094659688346627</v>
      </c>
      <c r="H21" s="88">
        <f t="shared" si="1"/>
        <v>0.42905340311653373</v>
      </c>
      <c r="I21" s="405">
        <f t="shared" si="2"/>
        <v>35.923217195086352</v>
      </c>
      <c r="J21" s="410">
        <f t="shared" si="10"/>
        <v>3.0347211177855513</v>
      </c>
      <c r="L21" s="129">
        <f t="shared" si="6"/>
        <v>0</v>
      </c>
      <c r="M21" s="113">
        <f t="shared" si="7"/>
        <v>12</v>
      </c>
      <c r="N21" s="200">
        <f t="shared" si="3"/>
        <v>3.0347211177855513</v>
      </c>
      <c r="P21" s="7" t="str">
        <f t="shared" si="8"/>
        <v/>
      </c>
      <c r="Q21" s="7" t="str">
        <f t="shared" si="11"/>
        <v>Bought 12 Shares of State 2 at a cost of 3.03472</v>
      </c>
      <c r="R21" s="203" t="str">
        <f t="shared" si="9"/>
        <v>Bought 12 Shares of State 2 at a cost of 3.03472</v>
      </c>
    </row>
    <row r="22" spans="4:19" s="7" customFormat="1" ht="18.75" x14ac:dyDescent="0.3">
      <c r="D22" s="25">
        <v>8</v>
      </c>
      <c r="E22" s="242">
        <v>39</v>
      </c>
      <c r="F22" s="377">
        <v>30</v>
      </c>
      <c r="G22" s="376">
        <f t="shared" si="0"/>
        <v>0.78342090423182409</v>
      </c>
      <c r="H22" s="88">
        <f t="shared" si="1"/>
        <v>0.21657909576817599</v>
      </c>
      <c r="I22" s="405">
        <f t="shared" si="2"/>
        <v>40.70859621886801</v>
      </c>
      <c r="J22" s="410">
        <f t="shared" si="10"/>
        <v>4.7853790237816582</v>
      </c>
      <c r="L22" s="129">
        <f t="shared" si="6"/>
        <v>7</v>
      </c>
      <c r="M22" s="113">
        <f t="shared" si="7"/>
        <v>0</v>
      </c>
      <c r="N22" s="200">
        <f t="shared" si="3"/>
        <v>4.7853790237816582</v>
      </c>
      <c r="P22" s="7" t="str">
        <f t="shared" si="8"/>
        <v>Bought 7 Shares of State 1 at a cost of 4.78538</v>
      </c>
      <c r="Q22" s="7" t="str">
        <f t="shared" si="11"/>
        <v/>
      </c>
      <c r="R22" s="203" t="str">
        <f t="shared" si="9"/>
        <v>Bought 7 Shares of State 1 at a cost of 4.78538</v>
      </c>
    </row>
    <row r="23" spans="4:19" s="7" customFormat="1" ht="18.75" x14ac:dyDescent="0.3">
      <c r="D23" s="25">
        <v>9</v>
      </c>
      <c r="E23" s="242">
        <v>39</v>
      </c>
      <c r="F23" s="377">
        <v>43</v>
      </c>
      <c r="G23" s="376">
        <f t="shared" si="0"/>
        <v>0.36090725483714864</v>
      </c>
      <c r="H23" s="88">
        <f t="shared" si="1"/>
        <v>0.63909274516285142</v>
      </c>
      <c r="I23" s="405">
        <f t="shared" si="2"/>
        <v>46.133939858256404</v>
      </c>
      <c r="J23" s="410">
        <f t="shared" si="10"/>
        <v>5.4253436393883945</v>
      </c>
      <c r="L23" s="129">
        <f t="shared" si="6"/>
        <v>0</v>
      </c>
      <c r="M23" s="113">
        <f t="shared" si="7"/>
        <v>13</v>
      </c>
      <c r="N23" s="200">
        <f t="shared" si="3"/>
        <v>5.4253436393883945</v>
      </c>
      <c r="P23" s="7" t="str">
        <f t="shared" si="8"/>
        <v/>
      </c>
      <c r="Q23" s="7" t="str">
        <f t="shared" si="11"/>
        <v>Bought 13 Shares of State 2 at a cost of 5.42534</v>
      </c>
      <c r="R23" s="203" t="str">
        <f t="shared" si="9"/>
        <v>Bought 13 Shares of State 2 at a cost of 5.42534</v>
      </c>
    </row>
    <row r="24" spans="4:19" s="7" customFormat="1" ht="18.75" x14ac:dyDescent="0.3">
      <c r="D24" s="25">
        <v>10</v>
      </c>
      <c r="E24" s="242">
        <v>57</v>
      </c>
      <c r="F24" s="377">
        <v>43</v>
      </c>
      <c r="G24" s="376">
        <f t="shared" si="0"/>
        <v>0.88079707797788231</v>
      </c>
      <c r="H24" s="88">
        <f t="shared" si="1"/>
        <v>0.11920292202211764</v>
      </c>
      <c r="I24" s="405">
        <f t="shared" si="2"/>
        <v>57.8884960773008</v>
      </c>
      <c r="J24" s="410">
        <f>(I24-I23)</f>
        <v>11.754556219044396</v>
      </c>
      <c r="L24" s="129">
        <f t="shared" si="6"/>
        <v>18</v>
      </c>
      <c r="M24" s="113">
        <f t="shared" si="7"/>
        <v>0</v>
      </c>
      <c r="N24" s="200">
        <f t="shared" si="3"/>
        <v>11.754556219044396</v>
      </c>
      <c r="P24" s="7" t="str">
        <f t="shared" si="8"/>
        <v>Bought 18 Shares of State 1 at a cost of 11.75456</v>
      </c>
      <c r="Q24" s="7" t="str">
        <f t="shared" si="11"/>
        <v/>
      </c>
      <c r="R24" s="203" t="str">
        <f t="shared" si="9"/>
        <v>Bought 18 Shares of State 1 at a cost of 11.75456</v>
      </c>
    </row>
    <row r="25" spans="4:19" s="7" customFormat="1" ht="18.75" x14ac:dyDescent="0.3">
      <c r="D25" s="25">
        <v>11</v>
      </c>
      <c r="E25" s="242">
        <v>57</v>
      </c>
      <c r="F25" s="377">
        <v>61</v>
      </c>
      <c r="G25" s="376">
        <f t="shared" si="0"/>
        <v>0.36090725483714881</v>
      </c>
      <c r="H25" s="88">
        <f t="shared" si="1"/>
        <v>0.63909274516285108</v>
      </c>
      <c r="I25" s="405">
        <f t="shared" si="2"/>
        <v>64.133939858256412</v>
      </c>
      <c r="J25" s="410">
        <f t="shared" si="10"/>
        <v>6.2454437809556111</v>
      </c>
      <c r="L25" s="129">
        <f t="shared" si="6"/>
        <v>0</v>
      </c>
      <c r="M25" s="113">
        <f t="shared" si="7"/>
        <v>18</v>
      </c>
      <c r="N25" s="200">
        <f t="shared" si="3"/>
        <v>6.2454437809556111</v>
      </c>
      <c r="P25" s="7" t="str">
        <f t="shared" si="8"/>
        <v/>
      </c>
      <c r="Q25" s="7" t="str">
        <f t="shared" si="11"/>
        <v>Bought 18 Shares of State 2 at a cost of 6.24544</v>
      </c>
      <c r="R25" s="203" t="str">
        <f t="shared" si="9"/>
        <v>Bought 18 Shares of State 2 at a cost of 6.24544</v>
      </c>
    </row>
    <row r="26" spans="4:19" s="7" customFormat="1" ht="18.75" x14ac:dyDescent="0.3">
      <c r="D26" s="25">
        <v>12</v>
      </c>
      <c r="E26" s="242">
        <v>61</v>
      </c>
      <c r="F26" s="377">
        <v>61</v>
      </c>
      <c r="G26" s="376">
        <f t="shared" si="0"/>
        <v>0.5</v>
      </c>
      <c r="H26" s="88">
        <f t="shared" si="1"/>
        <v>0.5</v>
      </c>
      <c r="I26" s="405">
        <f t="shared" si="2"/>
        <v>65.852030263919616</v>
      </c>
      <c r="J26" s="410">
        <f t="shared" si="10"/>
        <v>1.7180904056632045</v>
      </c>
      <c r="L26" s="129">
        <f t="shared" si="6"/>
        <v>4</v>
      </c>
      <c r="M26" s="113">
        <f t="shared" si="7"/>
        <v>0</v>
      </c>
      <c r="N26" s="200">
        <f t="shared" si="3"/>
        <v>1.7180904056632045</v>
      </c>
      <c r="P26" s="7" t="str">
        <f t="shared" si="8"/>
        <v>Bought 4 Shares of State 1 at a cost of 1.71809</v>
      </c>
      <c r="Q26" s="7" t="str">
        <f t="shared" si="11"/>
        <v/>
      </c>
      <c r="R26" s="203" t="str">
        <f t="shared" si="9"/>
        <v>Bought 4 Shares of State 1 at a cost of 1.71809</v>
      </c>
    </row>
    <row r="27" spans="4:19" s="7" customFormat="1" ht="18.75" x14ac:dyDescent="0.3">
      <c r="D27" s="25">
        <v>13</v>
      </c>
      <c r="E27" s="242">
        <v>61</v>
      </c>
      <c r="F27" s="377">
        <v>40</v>
      </c>
      <c r="G27" s="376">
        <f t="shared" si="0"/>
        <v>0.95257412682243314</v>
      </c>
      <c r="H27" s="88">
        <f t="shared" si="1"/>
        <v>4.7425873177566823E-2</v>
      </c>
      <c r="I27" s="405">
        <f t="shared" si="2"/>
        <v>61.340111461016193</v>
      </c>
      <c r="J27" s="410">
        <f t="shared" si="10"/>
        <v>-4.5119188029034234</v>
      </c>
      <c r="L27" s="129">
        <f t="shared" si="6"/>
        <v>0</v>
      </c>
      <c r="M27" s="113">
        <f t="shared" si="7"/>
        <v>-21</v>
      </c>
      <c r="N27" s="200">
        <f t="shared" si="3"/>
        <v>-4.5119188029034234</v>
      </c>
      <c r="P27" s="7" t="str">
        <f t="shared" si="8"/>
        <v/>
      </c>
      <c r="Q27" s="7" t="str">
        <f t="shared" si="11"/>
        <v>Sold 21 Shares of State 2 at a cost of -4.51192</v>
      </c>
      <c r="R27" s="203" t="str">
        <f t="shared" si="9"/>
        <v>Sold 21 Shares of State 2 at a cost of -4.51192</v>
      </c>
    </row>
    <row r="28" spans="4:19" s="7" customFormat="1" ht="18.75" x14ac:dyDescent="0.3">
      <c r="D28" s="25">
        <v>14</v>
      </c>
      <c r="E28" s="242">
        <v>42</v>
      </c>
      <c r="F28" s="377">
        <v>40</v>
      </c>
      <c r="G28" s="376">
        <f t="shared" si="0"/>
        <v>0.57094659688346627</v>
      </c>
      <c r="H28" s="88">
        <f t="shared" si="1"/>
        <v>0.42905340311653378</v>
      </c>
      <c r="I28" s="405">
        <f t="shared" si="2"/>
        <v>45.923217195086359</v>
      </c>
      <c r="J28" s="410">
        <f t="shared" si="5"/>
        <v>-15.416894265929834</v>
      </c>
      <c r="L28" s="129">
        <f t="shared" si="6"/>
        <v>-19</v>
      </c>
      <c r="M28" s="113">
        <f t="shared" si="7"/>
        <v>0</v>
      </c>
      <c r="N28" s="200">
        <f t="shared" si="3"/>
        <v>-15.416894265929834</v>
      </c>
      <c r="P28" s="7" t="str">
        <f t="shared" si="8"/>
        <v>Sold 19 Shares of State 1 at a cost of -15.41689</v>
      </c>
      <c r="Q28" s="7" t="str">
        <f t="shared" si="11"/>
        <v/>
      </c>
      <c r="R28" s="203" t="str">
        <f t="shared" si="9"/>
        <v>Sold 19 Shares of State 1 at a cost of -15.41689</v>
      </c>
    </row>
    <row r="29" spans="4:19" s="7" customFormat="1" ht="18.75" x14ac:dyDescent="0.3">
      <c r="D29" s="25">
        <v>15</v>
      </c>
      <c r="E29" s="242">
        <v>42</v>
      </c>
      <c r="F29" s="377">
        <v>9</v>
      </c>
      <c r="G29" s="376">
        <f t="shared" si="0"/>
        <v>0.99111341128091202</v>
      </c>
      <c r="H29" s="88">
        <f t="shared" si="1"/>
        <v>8.8865887190879463E-3</v>
      </c>
      <c r="I29" s="405">
        <f t="shared" si="2"/>
        <v>42.062484169635077</v>
      </c>
      <c r="J29" s="410">
        <f t="shared" si="5"/>
        <v>-3.8607330254512817</v>
      </c>
      <c r="L29" s="129">
        <f t="shared" si="6"/>
        <v>0</v>
      </c>
      <c r="M29" s="113">
        <f t="shared" si="7"/>
        <v>-31</v>
      </c>
      <c r="N29" s="200">
        <f t="shared" si="3"/>
        <v>-3.8607330254512817</v>
      </c>
      <c r="P29" s="7" t="str">
        <f t="shared" si="8"/>
        <v/>
      </c>
      <c r="Q29" s="7" t="str">
        <f t="shared" si="11"/>
        <v>Sold 31 Shares of State 2 at a cost of -3.86073</v>
      </c>
      <c r="R29" s="203" t="str">
        <f t="shared" si="9"/>
        <v>Sold 31 Shares of State 2 at a cost of -3.86073</v>
      </c>
    </row>
    <row r="30" spans="4:19" s="7" customFormat="1" ht="19.5" thickBot="1" x14ac:dyDescent="0.35">
      <c r="D30" s="25">
        <v>16</v>
      </c>
      <c r="E30" s="242">
        <v>42</v>
      </c>
      <c r="F30" s="377">
        <v>4</v>
      </c>
      <c r="G30" s="376">
        <f t="shared" si="0"/>
        <v>0.99562982045655568</v>
      </c>
      <c r="H30" s="89">
        <f t="shared" si="1"/>
        <v>4.3701795434443556E-3</v>
      </c>
      <c r="I30" s="406">
        <f t="shared" si="2"/>
        <v>42.030658296835739</v>
      </c>
      <c r="J30" s="411">
        <f>(I30-I29)</f>
        <v>-3.1825872799338129E-2</v>
      </c>
      <c r="L30" s="137">
        <f t="shared" si="6"/>
        <v>0</v>
      </c>
      <c r="M30" s="115">
        <f t="shared" si="7"/>
        <v>-5</v>
      </c>
      <c r="N30" s="200">
        <f t="shared" si="3"/>
        <v>-3.1825872799338129E-2</v>
      </c>
      <c r="P30" s="7" t="str">
        <f t="shared" si="8"/>
        <v/>
      </c>
      <c r="Q30" s="7" t="str">
        <f t="shared" si="11"/>
        <v>Sold 5 Shares of State 2 at a cost of -0.03183</v>
      </c>
      <c r="R30" s="203" t="str">
        <f t="shared" si="9"/>
        <v>Sold 5 Shares of State 2 at a cost of -0.03183</v>
      </c>
    </row>
    <row r="31" spans="4:19" s="7" customFormat="1" ht="19.5" thickBot="1" x14ac:dyDescent="0.35">
      <c r="D31" s="25" t="s">
        <v>98</v>
      </c>
      <c r="E31" s="51">
        <v>42</v>
      </c>
      <c r="F31" s="381">
        <v>4</v>
      </c>
      <c r="G31" s="398">
        <v>1</v>
      </c>
      <c r="H31" s="378">
        <v>0</v>
      </c>
      <c r="I31" s="407">
        <f t="shared" si="2"/>
        <v>42.030658296835739</v>
      </c>
      <c r="J31" s="8" t="s">
        <v>139</v>
      </c>
      <c r="Q31" s="8"/>
      <c r="R31" s="290" t="s">
        <v>156</v>
      </c>
      <c r="S31" s="8"/>
    </row>
    <row r="32" spans="4:19" s="7" customFormat="1" ht="18.75" x14ac:dyDescent="0.3">
      <c r="D32"/>
      <c r="E32" s="299"/>
      <c r="F32" s="289"/>
      <c r="G32" s="17"/>
      <c r="H32" s="33"/>
      <c r="I32" s="408">
        <f>SUMPRODUCT(G31:H31,E31:F31)</f>
        <v>42</v>
      </c>
      <c r="J32" t="s">
        <v>111</v>
      </c>
      <c r="Q32"/>
      <c r="R32" s="203" t="str">
        <f>"Individuals redeem "&amp;E31&amp;" i=0 shares for $1 each."</f>
        <v>Individuals redeem 42 i=0 shares for $1 each.</v>
      </c>
      <c r="S32"/>
    </row>
    <row r="33" spans="2:34" s="7" customFormat="1" ht="18.75" x14ac:dyDescent="0.3">
      <c r="E33" s="17"/>
      <c r="F33" s="285"/>
      <c r="G33" s="17"/>
      <c r="H33" s="17"/>
      <c r="I33" s="408">
        <f>I31-I32</f>
        <v>3.0658296835738952E-2</v>
      </c>
      <c r="J33" s="7" t="s">
        <v>103</v>
      </c>
      <c r="R33" s="203" t="str">
        <f>ROUND(I33,4)&amp;" happens to be left over."</f>
        <v>0.0307 happens to be left over.</v>
      </c>
    </row>
    <row r="34" spans="2:34" s="7" customFormat="1" ht="18.75" x14ac:dyDescent="0.3">
      <c r="E34" s="17"/>
      <c r="F34" s="285"/>
      <c r="G34" s="17"/>
      <c r="H34" s="17"/>
      <c r="I34" s="219"/>
      <c r="J34" s="55"/>
      <c r="O34" s="8"/>
      <c r="P34" s="8"/>
      <c r="Q34" s="8"/>
      <c r="R34" s="290"/>
      <c r="S34" s="28"/>
    </row>
    <row r="35" spans="2:34" x14ac:dyDescent="0.25">
      <c r="B35" s="7"/>
      <c r="C35" s="7"/>
      <c r="E35" s="17"/>
      <c r="F35" s="285"/>
      <c r="G35" s="17"/>
      <c r="AF35" s="7"/>
      <c r="AG35" s="7"/>
      <c r="AH35" s="7"/>
    </row>
    <row r="36" spans="2:34" x14ac:dyDescent="0.25">
      <c r="B36" s="7"/>
      <c r="C36" s="7"/>
      <c r="D36" s="7"/>
      <c r="E36" s="17"/>
      <c r="F36" s="285"/>
      <c r="G36" s="17"/>
      <c r="H36" s="17"/>
      <c r="I36" s="17"/>
      <c r="J36" s="17"/>
      <c r="K36" s="7"/>
      <c r="L36" s="7"/>
      <c r="M36" s="7"/>
      <c r="N36" s="7"/>
      <c r="O36" s="7"/>
      <c r="P36" s="7"/>
      <c r="Q36" s="7"/>
      <c r="R36" s="7"/>
      <c r="S36" s="7"/>
      <c r="T36" s="7"/>
      <c r="U36" s="7"/>
      <c r="V36" s="7"/>
      <c r="W36" s="7"/>
      <c r="X36" s="7"/>
      <c r="Y36" s="7"/>
      <c r="Z36" s="7"/>
      <c r="AA36" s="7"/>
      <c r="AB36" s="7"/>
      <c r="AC36" s="7"/>
      <c r="AD36" s="7"/>
      <c r="AE36" s="7"/>
      <c r="AF36" s="7"/>
      <c r="AG36" s="7"/>
    </row>
    <row r="37" spans="2:34" x14ac:dyDescent="0.25">
      <c r="B37" s="7"/>
      <c r="C37" s="7"/>
      <c r="D37" s="7"/>
      <c r="E37" s="17"/>
      <c r="F37" s="285"/>
      <c r="G37" s="17"/>
      <c r="H37" s="17"/>
      <c r="I37" s="17"/>
      <c r="J37" s="17"/>
      <c r="K37" s="7"/>
      <c r="L37" s="7"/>
      <c r="M37" s="7"/>
      <c r="N37" s="7"/>
      <c r="O37" s="7"/>
      <c r="P37" s="7"/>
      <c r="Q37" s="7"/>
      <c r="R37" s="7"/>
      <c r="S37" s="7"/>
      <c r="T37" s="7"/>
      <c r="U37" s="7"/>
      <c r="V37" s="7"/>
      <c r="W37" s="7"/>
      <c r="X37" s="7"/>
      <c r="Y37" s="7"/>
      <c r="Z37" s="7"/>
      <c r="AA37" s="7"/>
      <c r="AB37" s="7"/>
      <c r="AC37" s="7"/>
      <c r="AD37" s="7"/>
      <c r="AE37" s="7"/>
      <c r="AF37" s="7"/>
      <c r="AG37" s="7"/>
    </row>
    <row r="38" spans="2:34" x14ac:dyDescent="0.25">
      <c r="B38" s="7"/>
      <c r="C38" s="7"/>
      <c r="D38" s="7"/>
      <c r="E38" s="17"/>
      <c r="F38" s="285"/>
      <c r="G38" s="17"/>
      <c r="H38" s="17"/>
      <c r="I38" s="17"/>
      <c r="J38" s="17"/>
      <c r="K38" s="7"/>
      <c r="L38" s="7"/>
      <c r="M38" s="7"/>
      <c r="N38" s="7"/>
      <c r="O38" s="7"/>
      <c r="P38" s="7"/>
      <c r="Q38" s="7"/>
      <c r="R38" s="7"/>
      <c r="S38" s="7"/>
      <c r="T38" s="7"/>
      <c r="U38" s="7"/>
      <c r="V38" s="7"/>
      <c r="W38" s="7"/>
      <c r="X38" s="7"/>
      <c r="Y38" s="7"/>
      <c r="Z38" s="7"/>
      <c r="AA38" s="7"/>
      <c r="AB38" s="7"/>
      <c r="AC38" s="7"/>
      <c r="AD38" s="7"/>
      <c r="AE38" s="7"/>
      <c r="AF38" s="7"/>
      <c r="AG38" s="7"/>
    </row>
    <row r="39" spans="2:34" ht="15" customHeight="1" x14ac:dyDescent="0.25">
      <c r="B39" s="383"/>
      <c r="C39" s="383"/>
      <c r="D39" s="7"/>
      <c r="E39" s="386" t="s">
        <v>129</v>
      </c>
      <c r="F39" s="387"/>
      <c r="G39" s="388" t="s">
        <v>130</v>
      </c>
      <c r="H39" s="389"/>
      <c r="I39" s="389"/>
      <c r="J39" s="390"/>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row>
    <row r="40" spans="2:34" ht="15" customHeight="1" x14ac:dyDescent="0.25">
      <c r="B40" s="383"/>
      <c r="C40" s="383"/>
      <c r="D40" s="7"/>
      <c r="E40" s="391"/>
      <c r="F40" s="350"/>
      <c r="G40" s="384"/>
      <c r="H40" s="351"/>
      <c r="I40" s="351"/>
      <c r="J40" s="392"/>
      <c r="K40" s="385"/>
      <c r="L40" s="385"/>
      <c r="M40" s="385"/>
      <c r="N40" s="385"/>
      <c r="O40" s="385"/>
      <c r="P40" s="385"/>
      <c r="Q40" s="385"/>
      <c r="R40" s="385"/>
      <c r="S40" s="385"/>
      <c r="T40" s="385"/>
      <c r="U40" s="385"/>
      <c r="V40" s="385"/>
      <c r="W40" s="385"/>
      <c r="X40" s="385"/>
      <c r="Y40" s="385"/>
      <c r="Z40" s="385"/>
      <c r="AA40" s="385"/>
      <c r="AB40" s="385"/>
      <c r="AC40" s="385"/>
      <c r="AD40" s="385"/>
      <c r="AE40" s="385"/>
      <c r="AF40" s="385"/>
      <c r="AG40" s="385"/>
    </row>
    <row r="41" spans="2:34" ht="15" customHeight="1" x14ac:dyDescent="0.25">
      <c r="B41" s="383"/>
      <c r="C41" s="383"/>
      <c r="D41" s="7"/>
      <c r="E41" s="391"/>
      <c r="F41" s="350"/>
      <c r="G41" s="384"/>
      <c r="H41" s="351"/>
      <c r="I41" s="351"/>
      <c r="J41" s="392"/>
      <c r="K41" s="385"/>
      <c r="L41" s="385"/>
      <c r="M41" s="385"/>
      <c r="N41" s="385"/>
      <c r="O41" s="385"/>
      <c r="P41" s="385"/>
      <c r="Q41" s="385"/>
      <c r="R41" s="385"/>
      <c r="S41" s="385"/>
      <c r="T41" s="385"/>
      <c r="U41" s="385"/>
      <c r="V41" s="385"/>
      <c r="W41" s="385"/>
      <c r="X41" s="385"/>
      <c r="Y41" s="385"/>
      <c r="Z41" s="385"/>
      <c r="AA41" s="385"/>
      <c r="AB41" s="385"/>
      <c r="AC41" s="385"/>
      <c r="AD41" s="385"/>
      <c r="AE41" s="385"/>
      <c r="AF41" s="385"/>
      <c r="AG41" s="385"/>
    </row>
    <row r="42" spans="2:34" ht="15.75" customHeight="1" x14ac:dyDescent="0.25">
      <c r="B42" s="383"/>
      <c r="C42" s="383"/>
      <c r="D42" s="7"/>
      <c r="E42" s="393"/>
      <c r="F42" s="394"/>
      <c r="G42" s="395"/>
      <c r="H42" s="396"/>
      <c r="I42" s="396"/>
      <c r="J42" s="397"/>
      <c r="K42" s="385"/>
      <c r="L42" s="385"/>
      <c r="M42" s="385"/>
      <c r="N42" s="385"/>
      <c r="O42" s="385"/>
      <c r="P42" s="385"/>
      <c r="Q42" s="385"/>
      <c r="R42" s="385"/>
      <c r="S42" s="385"/>
      <c r="T42" s="385"/>
      <c r="U42" s="385"/>
      <c r="V42" s="385"/>
      <c r="W42" s="385"/>
      <c r="X42" s="385"/>
      <c r="Y42" s="385"/>
      <c r="Z42" s="385"/>
      <c r="AA42" s="385"/>
      <c r="AB42" s="385"/>
      <c r="AC42" s="385"/>
      <c r="AD42" s="385"/>
      <c r="AE42" s="385"/>
      <c r="AF42" s="385"/>
      <c r="AG42" s="385"/>
    </row>
    <row r="43" spans="2:34" x14ac:dyDescent="0.25">
      <c r="D43" s="7"/>
      <c r="E43" s="17"/>
      <c r="F43" s="17"/>
      <c r="G43" s="341"/>
      <c r="H43" s="17"/>
      <c r="I43" s="17"/>
      <c r="J43" s="17"/>
      <c r="K43" s="7"/>
      <c r="L43" s="7"/>
      <c r="M43" s="7"/>
      <c r="N43" s="7"/>
      <c r="O43" s="7"/>
      <c r="P43" s="7"/>
      <c r="Q43" s="7"/>
      <c r="R43" s="7"/>
      <c r="S43" s="7"/>
      <c r="T43" s="7"/>
      <c r="U43" s="7"/>
      <c r="V43" s="7"/>
      <c r="W43" s="7"/>
      <c r="X43" s="7"/>
      <c r="Y43" s="7"/>
      <c r="Z43" s="7"/>
      <c r="AA43" s="7"/>
      <c r="AB43" s="7"/>
      <c r="AC43" s="7"/>
      <c r="AD43" s="7"/>
      <c r="AE43" s="7"/>
      <c r="AF43" s="7"/>
      <c r="AG43" s="7"/>
    </row>
    <row r="44" spans="2:34" x14ac:dyDescent="0.25">
      <c r="G44" s="341"/>
      <c r="H44" s="17"/>
      <c r="I44" s="17"/>
      <c r="J44" s="17"/>
      <c r="K44" s="7"/>
      <c r="L44" s="7"/>
      <c r="M44" s="7"/>
      <c r="N44" s="7"/>
      <c r="O44" s="7"/>
      <c r="P44" s="7"/>
      <c r="Q44" s="7"/>
      <c r="R44" s="7"/>
      <c r="S44" s="7"/>
      <c r="T44" s="7"/>
      <c r="U44" s="7"/>
      <c r="V44" s="7"/>
      <c r="W44" s="7"/>
      <c r="X44" s="7"/>
      <c r="Y44" s="7"/>
      <c r="Z44" s="7"/>
      <c r="AA44" s="7"/>
      <c r="AB44" s="7"/>
      <c r="AC44" s="7"/>
      <c r="AD44" s="7"/>
      <c r="AE44" s="7"/>
      <c r="AF44" s="7"/>
      <c r="AG44" s="7"/>
    </row>
    <row r="45" spans="2:34" x14ac:dyDescent="0.25">
      <c r="D45" s="7"/>
      <c r="E45" s="17"/>
      <c r="F45" s="17"/>
      <c r="G45" s="341"/>
      <c r="H45" s="17"/>
      <c r="I45" s="17"/>
      <c r="J45" s="17"/>
      <c r="K45" s="7"/>
      <c r="L45" s="7"/>
      <c r="M45" s="7"/>
      <c r="N45" s="7"/>
      <c r="O45" s="7"/>
      <c r="P45" s="7"/>
      <c r="Q45" s="7"/>
      <c r="R45" s="7"/>
      <c r="S45" s="7"/>
      <c r="T45" s="7"/>
      <c r="U45" s="7"/>
      <c r="V45" s="7"/>
      <c r="W45" s="7"/>
      <c r="X45" s="7"/>
      <c r="Y45" s="7"/>
      <c r="Z45" s="7"/>
      <c r="AA45" s="7"/>
      <c r="AB45" s="7"/>
      <c r="AC45" s="7"/>
      <c r="AD45" s="7"/>
      <c r="AE45" s="7"/>
      <c r="AF45" s="7"/>
      <c r="AG45" s="7"/>
    </row>
    <row r="46" spans="2:34" x14ac:dyDescent="0.25">
      <c r="C46" s="7"/>
      <c r="D46" s="7"/>
      <c r="E46" s="17"/>
      <c r="F46" s="17"/>
      <c r="G46" s="341"/>
      <c r="H46" s="17"/>
      <c r="I46" s="17"/>
      <c r="J46" s="17"/>
      <c r="K46" s="7"/>
      <c r="L46" s="7"/>
      <c r="M46" s="7"/>
      <c r="N46" s="7"/>
      <c r="O46" s="7"/>
      <c r="P46" s="7"/>
      <c r="Q46" s="7"/>
      <c r="R46" s="7"/>
      <c r="S46" s="7"/>
      <c r="T46" s="7"/>
      <c r="U46" s="7"/>
      <c r="V46" s="7"/>
      <c r="W46" s="7"/>
      <c r="X46" s="7"/>
      <c r="Y46" s="7"/>
      <c r="Z46" s="7"/>
      <c r="AA46" s="7"/>
      <c r="AB46" s="7"/>
      <c r="AC46" s="7"/>
      <c r="AD46" s="7"/>
      <c r="AE46" s="7"/>
      <c r="AF46" s="7"/>
      <c r="AG46" s="7"/>
    </row>
    <row r="47" spans="2:34" x14ac:dyDescent="0.25">
      <c r="D47" s="7"/>
      <c r="E47" s="17"/>
      <c r="F47" s="7"/>
      <c r="G47" s="17"/>
      <c r="H47" s="17"/>
      <c r="I47" s="17"/>
    </row>
    <row r="48" spans="2:34" x14ac:dyDescent="0.25">
      <c r="D48" s="7"/>
      <c r="E48" s="17"/>
      <c r="F48" s="17"/>
      <c r="G48" s="17"/>
      <c r="H48" s="17"/>
      <c r="I48" s="17"/>
    </row>
    <row r="49" spans="4:9" x14ac:dyDescent="0.25">
      <c r="D49" s="7"/>
      <c r="E49" s="17"/>
      <c r="F49" s="17"/>
      <c r="G49" s="17"/>
      <c r="H49" s="17"/>
      <c r="I49" s="17"/>
    </row>
    <row r="50" spans="4:9" x14ac:dyDescent="0.25">
      <c r="D50" s="7"/>
      <c r="E50" s="17"/>
      <c r="F50" s="17"/>
      <c r="G50" s="17"/>
      <c r="H50" s="17"/>
      <c r="I50" s="17"/>
    </row>
    <row r="51" spans="4:9" x14ac:dyDescent="0.25">
      <c r="D51" s="7"/>
      <c r="E51" s="17"/>
      <c r="F51" s="17"/>
      <c r="G51" s="17"/>
      <c r="H51" s="17"/>
      <c r="I51" s="17"/>
    </row>
    <row r="52" spans="4:9" x14ac:dyDescent="0.25">
      <c r="D52" s="7"/>
      <c r="E52" s="17"/>
      <c r="F52" s="17"/>
      <c r="G52" s="17"/>
      <c r="H52" s="17"/>
      <c r="I52" s="17"/>
    </row>
    <row r="53" spans="4:9" x14ac:dyDescent="0.25">
      <c r="D53" s="7"/>
      <c r="E53" s="17"/>
      <c r="F53" s="17"/>
      <c r="G53" s="17"/>
      <c r="H53" s="17"/>
      <c r="I53" s="17"/>
    </row>
  </sheetData>
  <mergeCells count="5">
    <mergeCell ref="B4:B6"/>
    <mergeCell ref="B8:B11"/>
    <mergeCell ref="L13:M13"/>
    <mergeCell ref="E39:F42"/>
    <mergeCell ref="G39:J4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AO125"/>
  <sheetViews>
    <sheetView zoomScale="85" zoomScaleNormal="85" workbookViewId="0">
      <selection activeCell="I79" sqref="I79"/>
    </sheetView>
  </sheetViews>
  <sheetFormatPr defaultRowHeight="15" x14ac:dyDescent="0.25"/>
  <cols>
    <col min="4" max="7" width="11.42578125" style="33" customWidth="1"/>
    <col min="8" max="8" width="11.7109375" style="33" customWidth="1"/>
    <col min="9" max="9" width="12" style="33" customWidth="1"/>
    <col min="12" max="12" width="9.42578125" customWidth="1"/>
    <col min="13" max="13" width="12.7109375" customWidth="1"/>
    <col min="14" max="14" width="10.28515625" customWidth="1"/>
    <col min="15" max="15" width="10.7109375" customWidth="1"/>
    <col min="17" max="17" width="9.42578125" customWidth="1"/>
    <col min="19" max="19" width="12.140625" customWidth="1"/>
    <col min="20" max="20" width="10.5703125" customWidth="1"/>
    <col min="23" max="23" width="11.140625" customWidth="1"/>
  </cols>
  <sheetData>
    <row r="3" spans="1:22" ht="92.25" x14ac:dyDescent="1.35">
      <c r="C3" s="288" t="s">
        <v>132</v>
      </c>
    </row>
    <row r="6" spans="1:22" x14ac:dyDescent="0.25">
      <c r="C6" s="352" t="s">
        <v>133</v>
      </c>
      <c r="D6" s="353"/>
      <c r="E6" s="353"/>
      <c r="F6" s="353"/>
      <c r="G6" s="353"/>
      <c r="H6" s="353"/>
      <c r="I6" s="353"/>
      <c r="J6" s="353"/>
      <c r="K6" s="353"/>
      <c r="L6" s="353"/>
      <c r="M6" s="353"/>
      <c r="N6" s="353"/>
      <c r="O6" s="354"/>
    </row>
    <row r="7" spans="1:22" x14ac:dyDescent="0.25">
      <c r="C7" s="355"/>
      <c r="D7" s="356"/>
      <c r="E7" s="356"/>
      <c r="F7" s="356"/>
      <c r="G7" s="356"/>
      <c r="H7" s="356"/>
      <c r="I7" s="356"/>
      <c r="J7" s="356"/>
      <c r="K7" s="356"/>
      <c r="L7" s="356"/>
      <c r="M7" s="356"/>
      <c r="N7" s="356"/>
      <c r="O7" s="357"/>
    </row>
    <row r="8" spans="1:22" x14ac:dyDescent="0.25">
      <c r="C8" s="358"/>
      <c r="D8" s="359"/>
      <c r="E8" s="359"/>
      <c r="F8" s="359"/>
      <c r="G8" s="359"/>
      <c r="H8" s="359"/>
      <c r="I8" s="359"/>
      <c r="J8" s="359"/>
      <c r="K8" s="359"/>
      <c r="L8" s="359"/>
      <c r="M8" s="359"/>
      <c r="N8" s="359"/>
      <c r="O8" s="360"/>
    </row>
    <row r="10" spans="1:22" ht="15.75" thickBot="1" x14ac:dyDescent="0.3">
      <c r="A10" s="13"/>
      <c r="B10" s="13"/>
      <c r="C10" s="13"/>
      <c r="D10" s="284"/>
      <c r="E10" s="284"/>
      <c r="F10" s="284"/>
      <c r="G10" s="284"/>
      <c r="H10" s="284"/>
      <c r="I10" s="284"/>
      <c r="J10" s="13"/>
      <c r="K10" s="13"/>
      <c r="L10" s="13"/>
      <c r="M10" s="13"/>
      <c r="N10" s="13"/>
      <c r="O10" s="13"/>
      <c r="P10" s="13"/>
      <c r="Q10" s="13"/>
      <c r="R10" s="13"/>
      <c r="S10" s="13"/>
      <c r="T10" s="13"/>
      <c r="U10" s="13"/>
      <c r="V10" s="13"/>
    </row>
    <row r="11" spans="1:22" ht="21.75" thickTop="1" x14ac:dyDescent="0.35">
      <c r="C11" s="157" t="s">
        <v>134</v>
      </c>
    </row>
    <row r="12" spans="1:22" x14ac:dyDescent="0.25">
      <c r="L12" s="7"/>
      <c r="M12" s="18"/>
      <c r="N12" s="7"/>
      <c r="O12" s="7"/>
      <c r="P12" s="7"/>
    </row>
    <row r="13" spans="1:22" x14ac:dyDescent="0.25">
      <c r="B13" s="342" t="s">
        <v>173</v>
      </c>
      <c r="C13" s="168" t="s">
        <v>4</v>
      </c>
      <c r="D13" s="313" t="s">
        <v>140</v>
      </c>
      <c r="E13" s="313"/>
      <c r="F13" s="313"/>
      <c r="G13" s="313"/>
      <c r="H13" s="308"/>
      <c r="L13" s="7"/>
      <c r="M13" s="18"/>
      <c r="N13" s="7"/>
      <c r="O13" s="7"/>
      <c r="P13" s="7"/>
    </row>
    <row r="14" spans="1:22" x14ac:dyDescent="0.25">
      <c r="B14" s="343"/>
      <c r="C14" s="17" t="s">
        <v>141</v>
      </c>
      <c r="D14" s="17" t="s">
        <v>3</v>
      </c>
      <c r="E14" s="17"/>
      <c r="F14" s="17"/>
      <c r="G14" s="17"/>
      <c r="H14" s="285"/>
      <c r="L14" s="7"/>
      <c r="M14" s="18"/>
      <c r="N14" s="7"/>
      <c r="O14" s="7"/>
      <c r="P14" s="7"/>
    </row>
    <row r="15" spans="1:22" x14ac:dyDescent="0.25">
      <c r="B15" s="344"/>
      <c r="C15" s="305" t="s">
        <v>142</v>
      </c>
      <c r="D15" s="305" t="s">
        <v>2</v>
      </c>
      <c r="E15" s="305"/>
      <c r="F15" s="305"/>
      <c r="G15" s="305"/>
      <c r="H15" s="309"/>
      <c r="L15" s="7"/>
      <c r="M15" s="18"/>
      <c r="N15" s="7"/>
      <c r="O15" s="7"/>
      <c r="P15" s="7"/>
    </row>
    <row r="16" spans="1:22" x14ac:dyDescent="0.25">
      <c r="B16" s="304"/>
      <c r="C16" s="33"/>
      <c r="L16" s="7"/>
      <c r="M16" s="18"/>
      <c r="N16" s="7"/>
      <c r="O16" s="7"/>
      <c r="P16" s="7"/>
    </row>
    <row r="17" spans="2:19" x14ac:dyDescent="0.25">
      <c r="B17" s="342" t="s">
        <v>161</v>
      </c>
      <c r="C17" s="168" t="s">
        <v>174</v>
      </c>
      <c r="D17" s="317" t="s">
        <v>175</v>
      </c>
      <c r="E17" s="313" t="s">
        <v>176</v>
      </c>
      <c r="F17" s="313"/>
      <c r="G17" s="313"/>
      <c r="H17" s="308"/>
      <c r="L17" s="7"/>
      <c r="M17" s="18"/>
      <c r="N17" s="7"/>
      <c r="O17" s="7"/>
      <c r="P17" s="7"/>
    </row>
    <row r="18" spans="2:19" x14ac:dyDescent="0.25">
      <c r="B18" s="343"/>
      <c r="C18" s="17" t="s">
        <v>146</v>
      </c>
      <c r="D18" s="302">
        <f>COUNTA(D25:E25)</f>
        <v>2</v>
      </c>
      <c r="E18" s="17" t="s">
        <v>147</v>
      </c>
      <c r="F18" s="17"/>
      <c r="G18" s="17"/>
      <c r="H18" s="285"/>
      <c r="L18" s="7"/>
      <c r="M18" s="18"/>
      <c r="N18" s="7"/>
      <c r="O18" s="7"/>
      <c r="P18" s="7"/>
    </row>
    <row r="19" spans="2:19" x14ac:dyDescent="0.25">
      <c r="B19" s="343"/>
      <c r="C19" s="17" t="s">
        <v>5</v>
      </c>
      <c r="D19" s="301">
        <v>1</v>
      </c>
      <c r="E19" s="17" t="s">
        <v>150</v>
      </c>
      <c r="F19" s="17"/>
      <c r="G19" s="17"/>
      <c r="H19" s="285"/>
      <c r="L19" s="7"/>
      <c r="M19" s="18"/>
      <c r="N19" s="7"/>
      <c r="O19" s="7"/>
      <c r="P19" s="7"/>
    </row>
    <row r="20" spans="2:19" x14ac:dyDescent="0.25">
      <c r="B20" s="344"/>
      <c r="C20" s="293" t="s">
        <v>148</v>
      </c>
      <c r="D20" s="318">
        <f>H26</f>
        <v>0.69314718055994529</v>
      </c>
      <c r="E20" s="293" t="s">
        <v>149</v>
      </c>
      <c r="F20" s="305"/>
      <c r="G20" s="305"/>
      <c r="H20" s="309"/>
      <c r="L20" s="7"/>
      <c r="M20" s="18"/>
      <c r="N20" s="7"/>
      <c r="O20" s="7"/>
      <c r="P20" s="7"/>
    </row>
    <row r="21" spans="2:19" x14ac:dyDescent="0.25">
      <c r="L21" s="7"/>
      <c r="M21" s="18"/>
      <c r="N21" s="7"/>
      <c r="O21" s="7"/>
      <c r="P21" s="7"/>
    </row>
    <row r="22" spans="2:19" s="7" customFormat="1" x14ac:dyDescent="0.25">
      <c r="B22"/>
      <c r="D22" s="17"/>
      <c r="E22" s="17"/>
      <c r="F22" s="33"/>
      <c r="G22" s="33"/>
      <c r="H22" s="33"/>
      <c r="I22" s="33"/>
      <c r="J22"/>
      <c r="K22"/>
      <c r="Q22"/>
      <c r="R22"/>
      <c r="S22" s="8"/>
    </row>
    <row r="23" spans="2:19" s="7" customFormat="1" x14ac:dyDescent="0.25">
      <c r="B23"/>
      <c r="C23"/>
      <c r="D23" s="33"/>
      <c r="E23" s="33"/>
      <c r="F23" s="33"/>
      <c r="G23" s="33"/>
      <c r="H23" s="33"/>
      <c r="I23" s="33"/>
      <c r="J23"/>
      <c r="K23"/>
      <c r="L23"/>
      <c r="M23"/>
      <c r="N23"/>
      <c r="O23"/>
      <c r="P23"/>
      <c r="Q23"/>
      <c r="R23"/>
      <c r="S23" s="8"/>
    </row>
    <row r="24" spans="2:19" s="7" customFormat="1" ht="24.75" customHeight="1" x14ac:dyDescent="0.25">
      <c r="C24"/>
      <c r="D24" s="64" t="s">
        <v>12</v>
      </c>
      <c r="E24" s="65"/>
      <c r="F24" s="65" t="s">
        <v>13</v>
      </c>
      <c r="G24" s="66"/>
      <c r="H24" s="64" t="s">
        <v>122</v>
      </c>
      <c r="I24" s="66" t="s">
        <v>35</v>
      </c>
      <c r="J24" s="20"/>
      <c r="P24" s="20"/>
      <c r="Q24"/>
      <c r="R24" s="20"/>
    </row>
    <row r="25" spans="2:19" s="7" customFormat="1" ht="15.75" thickBot="1" x14ac:dyDescent="0.3">
      <c r="B25" s="32"/>
      <c r="C25" s="34" t="s">
        <v>34</v>
      </c>
      <c r="D25" s="190" t="s">
        <v>141</v>
      </c>
      <c r="E25" s="191" t="s">
        <v>142</v>
      </c>
      <c r="F25" s="192" t="s">
        <v>141</v>
      </c>
      <c r="G25" s="193" t="s">
        <v>142</v>
      </c>
      <c r="H25" s="42">
        <v>0</v>
      </c>
      <c r="I25" s="43"/>
      <c r="Q25"/>
    </row>
    <row r="26" spans="2:19" s="7" customFormat="1" ht="18" customHeight="1" thickTop="1" x14ac:dyDescent="0.25">
      <c r="C26" s="25" t="s">
        <v>39</v>
      </c>
      <c r="D26" s="44">
        <v>0</v>
      </c>
      <c r="E26" s="45">
        <v>0</v>
      </c>
      <c r="F26" s="50">
        <f t="shared" ref="F26:G32" si="0">EXP(D26/$D$19)/(EXP($E26/$D$19)+EXP($D26/$D$19))</f>
        <v>0.5</v>
      </c>
      <c r="G26" s="87">
        <f t="shared" si="0"/>
        <v>0.5</v>
      </c>
      <c r="H26" s="311">
        <f t="shared" ref="H26:H33" si="1">$D$19*LN(EXP($E26/$D$19)+EXP($D26/$D$19))</f>
        <v>0.69314718055994529</v>
      </c>
      <c r="I26" s="46">
        <f>(H26-H25)</f>
        <v>0.69314718055994529</v>
      </c>
      <c r="Q26"/>
    </row>
    <row r="27" spans="2:19" s="7" customFormat="1" ht="15.75" thickBot="1" x14ac:dyDescent="0.3">
      <c r="C27" s="25" t="s">
        <v>37</v>
      </c>
      <c r="D27" s="47">
        <v>1</v>
      </c>
      <c r="E27" s="41">
        <v>0</v>
      </c>
      <c r="F27" s="48">
        <f t="shared" si="0"/>
        <v>0.7310585786300049</v>
      </c>
      <c r="G27" s="88">
        <f t="shared" si="0"/>
        <v>0.2689414213699951</v>
      </c>
      <c r="H27" s="336">
        <f t="shared" si="1"/>
        <v>1.3132616875182228</v>
      </c>
      <c r="I27" s="49">
        <f>(H27-H26)</f>
        <v>0.62011450695827752</v>
      </c>
      <c r="K27" s="7" t="s">
        <v>143</v>
      </c>
      <c r="Q27"/>
    </row>
    <row r="28" spans="2:19" s="7" customFormat="1" ht="15.75" thickBot="1" x14ac:dyDescent="0.3">
      <c r="C28" s="25" t="s">
        <v>40</v>
      </c>
      <c r="D28" s="96">
        <f>K28</f>
        <v>1.0986122886681098</v>
      </c>
      <c r="E28" s="41">
        <v>0</v>
      </c>
      <c r="F28" s="93">
        <f t="shared" si="0"/>
        <v>0.75000000000000011</v>
      </c>
      <c r="G28" s="88">
        <f t="shared" si="0"/>
        <v>0.25</v>
      </c>
      <c r="H28" s="336">
        <f t="shared" si="1"/>
        <v>1.3862943611198906</v>
      </c>
      <c r="I28" s="49">
        <f t="shared" ref="I28:I31" si="2">(H28-H27)</f>
        <v>7.3032673601667764E-2</v>
      </c>
      <c r="K28" s="95">
        <f>D19*LN(K29/(1-K29))+E28</f>
        <v>1.0986122886681098</v>
      </c>
      <c r="Q28"/>
    </row>
    <row r="29" spans="2:19" s="7" customFormat="1" ht="15.75" thickBot="1" x14ac:dyDescent="0.3">
      <c r="C29" s="25" t="s">
        <v>41</v>
      </c>
      <c r="D29" s="47">
        <v>0.5</v>
      </c>
      <c r="E29" s="41">
        <v>0</v>
      </c>
      <c r="F29" s="48">
        <f t="shared" si="0"/>
        <v>0.62245933120185459</v>
      </c>
      <c r="G29" s="88">
        <f t="shared" si="0"/>
        <v>0.37754066879814541</v>
      </c>
      <c r="H29" s="336">
        <f t="shared" si="1"/>
        <v>0.97407698418010669</v>
      </c>
      <c r="I29" s="49">
        <f t="shared" si="2"/>
        <v>-0.41221737693978389</v>
      </c>
      <c r="K29" s="94">
        <v>0.75</v>
      </c>
      <c r="L29" s="7" t="b">
        <f>K29=F28</f>
        <v>1</v>
      </c>
      <c r="Q29"/>
    </row>
    <row r="30" spans="2:19" s="7" customFormat="1" x14ac:dyDescent="0.25">
      <c r="C30" s="25" t="s">
        <v>144</v>
      </c>
      <c r="D30" s="47">
        <v>2.1</v>
      </c>
      <c r="E30" s="41">
        <v>0.8</v>
      </c>
      <c r="F30" s="48">
        <f t="shared" si="0"/>
        <v>0.78583498304255861</v>
      </c>
      <c r="G30" s="88">
        <f t="shared" si="0"/>
        <v>0.21416501695744139</v>
      </c>
      <c r="H30" s="336">
        <f t="shared" si="1"/>
        <v>2.3410084538329925</v>
      </c>
      <c r="I30" s="49">
        <f t="shared" si="2"/>
        <v>1.3669314696528858</v>
      </c>
      <c r="Q30"/>
    </row>
    <row r="31" spans="2:19" s="7" customFormat="1" x14ac:dyDescent="0.25">
      <c r="B31"/>
      <c r="C31" s="21" t="s">
        <v>145</v>
      </c>
      <c r="D31" s="47">
        <v>3</v>
      </c>
      <c r="E31" s="41">
        <v>1.1000000000000001</v>
      </c>
      <c r="F31" s="48">
        <f t="shared" si="0"/>
        <v>0.86989152563700223</v>
      </c>
      <c r="G31" s="88">
        <f t="shared" si="0"/>
        <v>0.13010847436299786</v>
      </c>
      <c r="H31" s="336">
        <f t="shared" si="1"/>
        <v>3.1393867582829604</v>
      </c>
      <c r="I31" s="49">
        <f t="shared" si="2"/>
        <v>0.79837830444996793</v>
      </c>
      <c r="Q31"/>
    </row>
    <row r="32" spans="2:19" s="7" customFormat="1" ht="15.75" thickBot="1" x14ac:dyDescent="0.3">
      <c r="C32" s="25" t="s">
        <v>38</v>
      </c>
      <c r="D32" s="39">
        <v>3</v>
      </c>
      <c r="E32" s="40">
        <v>0.2</v>
      </c>
      <c r="F32" s="125">
        <f t="shared" si="0"/>
        <v>0.94267582410113127</v>
      </c>
      <c r="G32" s="126">
        <f t="shared" si="0"/>
        <v>5.7324175898868741E-2</v>
      </c>
      <c r="H32" s="337">
        <f t="shared" si="1"/>
        <v>3.0590328262879716</v>
      </c>
      <c r="I32" s="128">
        <f>(H32-H31)</f>
        <v>-8.0353931994988859E-2</v>
      </c>
      <c r="Q32"/>
    </row>
    <row r="33" spans="2:18" s="7" customFormat="1" ht="16.5" thickTop="1" thickBot="1" x14ac:dyDescent="0.3">
      <c r="C33" s="25" t="s">
        <v>0</v>
      </c>
      <c r="D33" s="51">
        <f>D32</f>
        <v>3</v>
      </c>
      <c r="E33" s="52">
        <f>E32</f>
        <v>0.2</v>
      </c>
      <c r="F33" s="53">
        <v>1</v>
      </c>
      <c r="G33" s="89">
        <v>0</v>
      </c>
      <c r="H33" s="310">
        <f t="shared" si="1"/>
        <v>3.0590328262879716</v>
      </c>
      <c r="I33" s="8" t="s">
        <v>43</v>
      </c>
      <c r="J33" s="8"/>
      <c r="P33" s="8"/>
      <c r="Q33" s="8"/>
      <c r="R33" s="8"/>
    </row>
    <row r="34" spans="2:18" s="7" customFormat="1" ht="15.75" thickBot="1" x14ac:dyDescent="0.3">
      <c r="B34"/>
      <c r="C34"/>
      <c r="D34" s="33"/>
      <c r="E34" s="33"/>
      <c r="F34" s="33"/>
      <c r="G34" s="33"/>
      <c r="H34" s="312">
        <f>SUMPRODUCT(D33:E33,F33:G33)</f>
        <v>3</v>
      </c>
      <c r="I34" t="s">
        <v>111</v>
      </c>
      <c r="P34"/>
      <c r="Q34"/>
      <c r="R34"/>
    </row>
    <row r="35" spans="2:18" s="7" customFormat="1" ht="15.75" thickBot="1" x14ac:dyDescent="0.3">
      <c r="B35"/>
      <c r="C35"/>
      <c r="D35" s="33"/>
      <c r="E35" s="33"/>
      <c r="F35" s="33"/>
      <c r="G35" s="33"/>
      <c r="H35" s="312">
        <f>H33-H34</f>
        <v>5.9032826287971574E-2</v>
      </c>
      <c r="I35" s="7" t="s">
        <v>123</v>
      </c>
      <c r="P35"/>
      <c r="Q35"/>
      <c r="R35"/>
    </row>
    <row r="36" spans="2:18" s="7" customFormat="1" ht="15.75" thickBot="1" x14ac:dyDescent="0.3">
      <c r="D36" s="17"/>
      <c r="E36" s="17"/>
      <c r="F36" s="17"/>
      <c r="G36" s="17"/>
      <c r="H36" s="312">
        <f>D20-H35</f>
        <v>0.63411435427197371</v>
      </c>
      <c r="I36" s="55" t="s">
        <v>104</v>
      </c>
    </row>
    <row r="37" spans="2:18" s="7" customFormat="1" ht="15" customHeight="1" x14ac:dyDescent="0.25">
      <c r="D37" s="17"/>
      <c r="E37" s="17"/>
      <c r="F37" s="17"/>
      <c r="G37" s="17"/>
      <c r="H37" s="54"/>
      <c r="I37" s="55"/>
      <c r="L37" s="303"/>
      <c r="M37" s="303"/>
      <c r="N37" s="303"/>
      <c r="O37" s="303"/>
      <c r="P37" s="303"/>
      <c r="Q37" s="303"/>
    </row>
    <row r="38" spans="2:18" s="7" customFormat="1" x14ac:dyDescent="0.25">
      <c r="D38" s="17"/>
      <c r="E38" s="17"/>
      <c r="F38" s="17"/>
      <c r="G38" s="17"/>
      <c r="H38" s="54"/>
      <c r="I38" s="55"/>
      <c r="K38" s="303"/>
      <c r="L38" s="303"/>
      <c r="M38" s="303"/>
      <c r="N38" s="303"/>
      <c r="O38" s="303"/>
      <c r="P38" s="303"/>
      <c r="Q38" s="303"/>
    </row>
    <row r="39" spans="2:18" s="7" customFormat="1" ht="15" customHeight="1" x14ac:dyDescent="0.25">
      <c r="C39" s="361" t="s">
        <v>125</v>
      </c>
      <c r="D39" s="361"/>
      <c r="E39" s="361"/>
      <c r="F39" s="361"/>
      <c r="G39" s="361"/>
      <c r="H39" s="361"/>
      <c r="I39" s="361"/>
      <c r="J39" s="361"/>
      <c r="K39" s="361"/>
      <c r="L39" s="361"/>
      <c r="M39" s="361"/>
      <c r="N39" s="303"/>
      <c r="O39" s="303"/>
      <c r="P39" s="303"/>
      <c r="Q39" s="303"/>
    </row>
    <row r="40" spans="2:18" s="7" customFormat="1" x14ac:dyDescent="0.25">
      <c r="C40" s="361"/>
      <c r="D40" s="361"/>
      <c r="E40" s="361"/>
      <c r="F40" s="361"/>
      <c r="G40" s="361"/>
      <c r="H40" s="361"/>
      <c r="I40" s="361"/>
      <c r="J40" s="361"/>
      <c r="K40" s="361"/>
      <c r="L40" s="361"/>
      <c r="M40" s="361"/>
      <c r="N40" s="303"/>
      <c r="O40" s="303"/>
      <c r="P40" s="303"/>
      <c r="Q40" s="303"/>
    </row>
    <row r="41" spans="2:18" s="7" customFormat="1" x14ac:dyDescent="0.25">
      <c r="C41" s="361"/>
      <c r="D41" s="361"/>
      <c r="E41" s="361"/>
      <c r="F41" s="361"/>
      <c r="G41" s="361"/>
      <c r="H41" s="361"/>
      <c r="I41" s="361"/>
      <c r="J41" s="361"/>
      <c r="K41" s="361"/>
      <c r="L41" s="361"/>
      <c r="M41" s="361"/>
      <c r="N41" s="303"/>
      <c r="O41" s="303"/>
      <c r="P41" s="303"/>
      <c r="Q41" s="303"/>
    </row>
    <row r="42" spans="2:18" s="7" customFormat="1" x14ac:dyDescent="0.25">
      <c r="C42" s="361"/>
      <c r="D42" s="361"/>
      <c r="E42" s="361"/>
      <c r="F42" s="361"/>
      <c r="G42" s="361"/>
      <c r="H42" s="361"/>
      <c r="I42" s="361"/>
      <c r="J42" s="361"/>
      <c r="K42" s="361"/>
      <c r="L42" s="361"/>
      <c r="M42" s="361"/>
      <c r="N42" s="303"/>
      <c r="O42" s="303"/>
      <c r="P42" s="303"/>
      <c r="Q42" s="303"/>
    </row>
    <row r="43" spans="2:18" s="7" customFormat="1" x14ac:dyDescent="0.25">
      <c r="C43" s="361"/>
      <c r="D43" s="361"/>
      <c r="E43" s="361"/>
      <c r="F43" s="361"/>
      <c r="G43" s="361"/>
      <c r="H43" s="361"/>
      <c r="I43" s="361"/>
      <c r="J43" s="361"/>
      <c r="K43" s="361"/>
      <c r="L43" s="361"/>
      <c r="M43" s="361"/>
      <c r="N43" s="303"/>
      <c r="O43" s="303"/>
      <c r="P43" s="303"/>
      <c r="Q43" s="303"/>
    </row>
    <row r="44" spans="2:18" s="7" customFormat="1" x14ac:dyDescent="0.25">
      <c r="C44" s="361"/>
      <c r="D44" s="361"/>
      <c r="E44" s="361"/>
      <c r="F44" s="361"/>
      <c r="G44" s="361"/>
      <c r="H44" s="361"/>
      <c r="I44" s="361"/>
      <c r="J44" s="361"/>
      <c r="K44" s="361"/>
      <c r="L44" s="361"/>
      <c r="M44" s="361"/>
      <c r="N44" s="303"/>
      <c r="O44" s="303"/>
      <c r="P44" s="303"/>
      <c r="Q44" s="303"/>
    </row>
    <row r="45" spans="2:18" s="7" customFormat="1" x14ac:dyDescent="0.25">
      <c r="C45" s="361"/>
      <c r="D45" s="361"/>
      <c r="E45" s="361"/>
      <c r="F45" s="361"/>
      <c r="G45" s="361"/>
      <c r="H45" s="361"/>
      <c r="I45" s="361"/>
      <c r="J45" s="361"/>
      <c r="K45" s="361"/>
      <c r="L45" s="361"/>
      <c r="M45" s="361"/>
      <c r="N45" s="303"/>
      <c r="O45" s="303"/>
      <c r="P45" s="303"/>
      <c r="Q45" s="303"/>
    </row>
    <row r="46" spans="2:18" s="7" customFormat="1" x14ac:dyDescent="0.25">
      <c r="C46" s="361"/>
      <c r="D46" s="361"/>
      <c r="E46" s="361"/>
      <c r="F46" s="361"/>
      <c r="G46" s="361"/>
      <c r="H46" s="361"/>
      <c r="I46" s="361"/>
      <c r="J46" s="361"/>
      <c r="K46" s="361"/>
      <c r="L46" s="361"/>
      <c r="M46" s="361"/>
      <c r="N46" s="303"/>
      <c r="O46" s="303"/>
      <c r="P46" s="303"/>
      <c r="Q46" s="303"/>
    </row>
    <row r="47" spans="2:18" s="7" customFormat="1" x14ac:dyDescent="0.25">
      <c r="D47" s="17"/>
      <c r="E47" s="17"/>
      <c r="F47" s="17"/>
      <c r="G47" s="17"/>
      <c r="H47" s="54"/>
      <c r="I47" s="55"/>
      <c r="K47" s="303"/>
      <c r="L47" s="303"/>
      <c r="M47" s="303"/>
      <c r="N47" s="303"/>
      <c r="O47" s="303"/>
      <c r="P47" s="303"/>
      <c r="Q47" s="303"/>
    </row>
    <row r="48" spans="2:18" s="7" customFormat="1" x14ac:dyDescent="0.25">
      <c r="D48" s="17"/>
      <c r="E48" s="17"/>
      <c r="F48" s="17"/>
      <c r="G48" s="17"/>
      <c r="H48" s="54"/>
      <c r="I48" s="55"/>
    </row>
    <row r="49" spans="1:22" s="7" customFormat="1" x14ac:dyDescent="0.25">
      <c r="D49" s="17"/>
      <c r="E49" s="17"/>
      <c r="F49" s="17"/>
      <c r="G49" s="17"/>
      <c r="H49" s="54"/>
      <c r="I49" s="55"/>
    </row>
    <row r="50" spans="1:22" s="7" customFormat="1" ht="15.75" thickBot="1" x14ac:dyDescent="0.3">
      <c r="A50" s="13"/>
      <c r="B50" s="13"/>
      <c r="C50" s="13"/>
      <c r="D50" s="284"/>
      <c r="E50" s="284"/>
      <c r="F50" s="284"/>
      <c r="G50" s="284"/>
      <c r="H50" s="284"/>
      <c r="I50" s="284"/>
      <c r="J50" s="13"/>
      <c r="K50" s="13"/>
      <c r="L50" s="13"/>
      <c r="M50" s="13"/>
      <c r="N50" s="13"/>
      <c r="O50" s="13"/>
      <c r="P50" s="13"/>
      <c r="Q50" s="13"/>
      <c r="R50" s="13"/>
      <c r="S50" s="13"/>
      <c r="T50" s="13"/>
      <c r="U50" s="13"/>
      <c r="V50" s="13"/>
    </row>
    <row r="51" spans="1:22" ht="21.75" thickTop="1" x14ac:dyDescent="0.35">
      <c r="C51" s="157" t="s">
        <v>135</v>
      </c>
    </row>
    <row r="53" spans="1:22" x14ac:dyDescent="0.25">
      <c r="B53" s="342" t="s">
        <v>173</v>
      </c>
      <c r="C53" s="168" t="s">
        <v>4</v>
      </c>
      <c r="D53" s="313" t="s">
        <v>140</v>
      </c>
      <c r="E53" s="313"/>
      <c r="F53" s="313"/>
      <c r="G53" s="313"/>
      <c r="H53" s="308"/>
    </row>
    <row r="54" spans="1:22" x14ac:dyDescent="0.25">
      <c r="B54" s="343"/>
      <c r="C54" s="17" t="s">
        <v>141</v>
      </c>
      <c r="D54" s="17" t="s">
        <v>3</v>
      </c>
      <c r="E54" s="17"/>
      <c r="F54" s="17"/>
      <c r="G54" s="17"/>
      <c r="H54" s="285"/>
      <c r="M54" s="7"/>
      <c r="N54" s="7"/>
      <c r="O54" s="7"/>
    </row>
    <row r="55" spans="1:22" x14ac:dyDescent="0.25">
      <c r="B55" s="344"/>
      <c r="C55" s="305" t="s">
        <v>142</v>
      </c>
      <c r="D55" s="305" t="s">
        <v>2</v>
      </c>
      <c r="E55" s="305"/>
      <c r="F55" s="305"/>
      <c r="G55" s="305"/>
      <c r="H55" s="309"/>
      <c r="M55" s="18"/>
      <c r="N55" s="7"/>
      <c r="O55" s="7"/>
    </row>
    <row r="56" spans="1:22" x14ac:dyDescent="0.25">
      <c r="B56" s="304"/>
      <c r="C56" s="33"/>
      <c r="M56" s="7"/>
      <c r="N56" s="7"/>
      <c r="O56" s="7"/>
    </row>
    <row r="57" spans="1:22" x14ac:dyDescent="0.25">
      <c r="B57" s="342" t="s">
        <v>177</v>
      </c>
      <c r="C57" s="168" t="s">
        <v>4</v>
      </c>
      <c r="D57" s="313" t="s">
        <v>151</v>
      </c>
      <c r="E57" s="313"/>
      <c r="F57" s="313"/>
      <c r="G57" s="313"/>
      <c r="H57" s="308"/>
      <c r="M57" s="18"/>
    </row>
    <row r="58" spans="1:22" x14ac:dyDescent="0.25">
      <c r="B58" s="343"/>
      <c r="C58" s="17" t="s">
        <v>141</v>
      </c>
      <c r="D58" s="17" t="s">
        <v>3</v>
      </c>
      <c r="E58" s="17"/>
      <c r="F58" s="17"/>
      <c r="G58" s="17"/>
      <c r="H58" s="285"/>
      <c r="M58" s="18"/>
    </row>
    <row r="59" spans="1:22" x14ac:dyDescent="0.25">
      <c r="B59" s="344"/>
      <c r="C59" s="305" t="s">
        <v>142</v>
      </c>
      <c r="D59" s="305" t="s">
        <v>2</v>
      </c>
      <c r="E59" s="305"/>
      <c r="F59" s="305"/>
      <c r="G59" s="305"/>
      <c r="H59" s="309"/>
      <c r="M59" s="18"/>
    </row>
    <row r="60" spans="1:22" ht="15.75" thickBot="1" x14ac:dyDescent="0.3">
      <c r="B60" s="303"/>
      <c r="C60" s="7"/>
      <c r="D60" s="301"/>
      <c r="E60" s="7"/>
      <c r="F60" s="17"/>
      <c r="G60" s="17"/>
      <c r="H60" s="17"/>
      <c r="M60" s="18"/>
    </row>
    <row r="61" spans="1:22" x14ac:dyDescent="0.25">
      <c r="B61" s="345" t="s">
        <v>161</v>
      </c>
      <c r="C61" s="10" t="s">
        <v>174</v>
      </c>
      <c r="D61" s="323" t="s">
        <v>178</v>
      </c>
      <c r="E61" s="299" t="s">
        <v>176</v>
      </c>
      <c r="F61" s="299"/>
      <c r="G61" s="299"/>
      <c r="H61" s="297"/>
      <c r="M61" s="18"/>
    </row>
    <row r="62" spans="1:22" x14ac:dyDescent="0.25">
      <c r="B62" s="346"/>
      <c r="C62" s="17" t="s">
        <v>146</v>
      </c>
      <c r="D62" s="302">
        <f>COUNTA(D68:G68)</f>
        <v>4</v>
      </c>
      <c r="E62" s="17" t="s">
        <v>147</v>
      </c>
      <c r="F62" s="17"/>
      <c r="G62" s="17"/>
      <c r="H62" s="220"/>
      <c r="M62" s="18"/>
    </row>
    <row r="63" spans="1:22" x14ac:dyDescent="0.25">
      <c r="B63" s="346"/>
      <c r="C63" s="17" t="s">
        <v>5</v>
      </c>
      <c r="D63" s="301">
        <v>3.5</v>
      </c>
      <c r="E63" s="17" t="s">
        <v>150</v>
      </c>
      <c r="F63" s="17"/>
      <c r="G63" s="17"/>
      <c r="H63" s="220"/>
      <c r="M63" s="18"/>
    </row>
    <row r="64" spans="1:22" ht="15.75" thickBot="1" x14ac:dyDescent="0.3">
      <c r="B64" s="347"/>
      <c r="C64" s="184" t="s">
        <v>148</v>
      </c>
      <c r="D64" s="324">
        <f>L69</f>
        <v>4.8520302639196169</v>
      </c>
      <c r="E64" s="184" t="s">
        <v>149</v>
      </c>
      <c r="F64" s="300"/>
      <c r="G64" s="300"/>
      <c r="H64" s="298"/>
      <c r="M64" s="18"/>
    </row>
    <row r="65" spans="1:41" x14ac:dyDescent="0.25">
      <c r="M65" s="18"/>
    </row>
    <row r="67" spans="1:41" ht="27.75" customHeight="1" x14ac:dyDescent="0.25">
      <c r="B67" s="7"/>
      <c r="D67" s="36" t="s">
        <v>12</v>
      </c>
      <c r="E67" s="37"/>
      <c r="F67" s="37"/>
      <c r="G67" s="38"/>
      <c r="H67" s="14" t="s">
        <v>13</v>
      </c>
      <c r="I67" s="15"/>
      <c r="J67" s="15"/>
      <c r="K67" s="16"/>
      <c r="L67" s="14" t="s">
        <v>36</v>
      </c>
      <c r="M67" s="16" t="s">
        <v>35</v>
      </c>
      <c r="N67" s="20"/>
      <c r="O67" s="20"/>
      <c r="Q67" s="20"/>
      <c r="R67" s="20"/>
      <c r="S67" s="20"/>
      <c r="T67" s="30"/>
      <c r="U67" s="31"/>
      <c r="V67" s="7"/>
      <c r="W67" s="7"/>
      <c r="X67" s="7"/>
      <c r="Y67" s="31"/>
      <c r="Z67" s="7"/>
      <c r="AA67" s="7"/>
      <c r="AB67" s="7"/>
      <c r="AC67" s="7"/>
      <c r="AD67" s="7"/>
      <c r="AE67" s="7"/>
      <c r="AF67" s="7"/>
      <c r="AG67" s="7"/>
      <c r="AH67" s="7"/>
      <c r="AI67" s="7"/>
      <c r="AJ67" s="7"/>
      <c r="AK67" s="7"/>
      <c r="AL67" s="7"/>
      <c r="AM67" s="7"/>
      <c r="AN67" s="7"/>
      <c r="AO67" s="7"/>
    </row>
    <row r="68" spans="1:41" ht="15.75" thickBot="1" x14ac:dyDescent="0.3">
      <c r="B68" s="32"/>
      <c r="C68" s="130" t="s">
        <v>34</v>
      </c>
      <c r="D68" s="190" t="s">
        <v>6</v>
      </c>
      <c r="E68" s="194" t="s">
        <v>7</v>
      </c>
      <c r="F68" s="191" t="s">
        <v>8</v>
      </c>
      <c r="G68" s="195" t="s">
        <v>9</v>
      </c>
      <c r="H68" s="67" t="s">
        <v>6</v>
      </c>
      <c r="I68" s="68" t="s">
        <v>7</v>
      </c>
      <c r="J68" s="69" t="s">
        <v>8</v>
      </c>
      <c r="K68" s="70" t="s">
        <v>9</v>
      </c>
      <c r="L68" s="42">
        <v>0</v>
      </c>
      <c r="M68" s="35"/>
      <c r="N68" s="7"/>
      <c r="O68" s="7"/>
      <c r="Q68" s="7"/>
      <c r="R68" s="7"/>
      <c r="S68" s="7"/>
      <c r="T68" s="7"/>
      <c r="U68" s="7"/>
      <c r="V68" s="7"/>
      <c r="W68" s="7"/>
      <c r="X68" s="7"/>
      <c r="Y68" s="7"/>
      <c r="Z68" s="7"/>
      <c r="AA68" s="7"/>
      <c r="AB68" s="7"/>
      <c r="AC68" s="7"/>
      <c r="AD68" s="7"/>
      <c r="AE68" s="7"/>
      <c r="AF68" s="7"/>
      <c r="AG68" s="7"/>
      <c r="AH68" s="7"/>
      <c r="AI68" s="7"/>
      <c r="AJ68" s="7"/>
      <c r="AK68" s="7"/>
      <c r="AL68" s="18"/>
      <c r="AM68" s="18"/>
      <c r="AN68" s="18"/>
      <c r="AO68" s="18"/>
    </row>
    <row r="69" spans="1:41" ht="15.75" thickTop="1" x14ac:dyDescent="0.25">
      <c r="B69" s="7"/>
      <c r="C69">
        <v>1</v>
      </c>
      <c r="D69" s="44">
        <v>0</v>
      </c>
      <c r="E69" s="58">
        <v>0</v>
      </c>
      <c r="F69" s="45">
        <v>0</v>
      </c>
      <c r="G69" s="59">
        <v>0</v>
      </c>
      <c r="H69" s="71">
        <f t="shared" ref="H69:K75" si="3">EXP(D69/$D$63)/(EXP($D69/$D$63)+EXP($E69/$D$63)+EXP($F69/$D$63)+EXP($G69/$D$63))</f>
        <v>0.25</v>
      </c>
      <c r="I69" s="72">
        <f t="shared" si="3"/>
        <v>0.25</v>
      </c>
      <c r="J69" s="73">
        <f t="shared" si="3"/>
        <v>0.25</v>
      </c>
      <c r="K69" s="74">
        <f t="shared" si="3"/>
        <v>0.25</v>
      </c>
      <c r="L69" s="311">
        <f t="shared" ref="L69:L76" si="4">$D$63*LN(EXP($D69/$D$63)+EXP($E69/$D$63)+EXP($F69/$D$63)+EXP($G69/$D$63))</f>
        <v>4.8520302639196169</v>
      </c>
      <c r="M69" s="83">
        <f>(L69-0)</f>
        <v>4.8520302639196169</v>
      </c>
      <c r="N69" s="7"/>
      <c r="O69" s="7"/>
      <c r="Q69" s="7"/>
      <c r="R69" s="7"/>
      <c r="S69" s="7"/>
      <c r="T69" s="7"/>
      <c r="U69" s="8"/>
      <c r="V69" s="8"/>
      <c r="W69" s="8"/>
      <c r="X69" s="8"/>
      <c r="Y69" s="7"/>
      <c r="Z69" s="7"/>
      <c r="AA69" s="7"/>
      <c r="AB69" s="7"/>
      <c r="AC69" s="7"/>
      <c r="AD69" s="7"/>
      <c r="AE69" s="7"/>
      <c r="AF69" s="7"/>
      <c r="AG69" s="7"/>
      <c r="AH69" s="7"/>
      <c r="AI69" s="7"/>
      <c r="AJ69" s="7"/>
      <c r="AK69" s="7"/>
      <c r="AL69" s="19"/>
      <c r="AM69" s="19"/>
      <c r="AN69" s="19"/>
      <c r="AO69" s="19"/>
    </row>
    <row r="70" spans="1:41" ht="15.75" thickBot="1" x14ac:dyDescent="0.3">
      <c r="A70" s="7"/>
      <c r="B70" s="7"/>
      <c r="C70" s="7">
        <v>2</v>
      </c>
      <c r="D70" s="47">
        <v>1</v>
      </c>
      <c r="E70" s="60">
        <v>0</v>
      </c>
      <c r="F70" s="41">
        <v>0</v>
      </c>
      <c r="G70" s="61">
        <v>0</v>
      </c>
      <c r="H70" s="75">
        <f t="shared" si="3"/>
        <v>0.30727329288510813</v>
      </c>
      <c r="I70" s="76">
        <f t="shared" si="3"/>
        <v>0.23090890237163061</v>
      </c>
      <c r="J70" s="77">
        <f t="shared" si="3"/>
        <v>0.23090890237163061</v>
      </c>
      <c r="K70" s="78">
        <f t="shared" si="3"/>
        <v>0.23090890237163061</v>
      </c>
      <c r="L70" s="336">
        <f t="shared" si="4"/>
        <v>5.1300620289417482</v>
      </c>
      <c r="M70" s="84">
        <f t="shared" ref="M70:M74" si="5">(L70-L69)</f>
        <v>0.27803176502213134</v>
      </c>
      <c r="N70" s="7"/>
      <c r="O70" s="7" t="s">
        <v>121</v>
      </c>
      <c r="P70" s="7"/>
      <c r="Q70" s="7"/>
      <c r="R70" s="7"/>
      <c r="S70" s="7"/>
      <c r="T70" s="7"/>
      <c r="U70" s="29"/>
      <c r="V70" s="29"/>
      <c r="W70" s="29"/>
      <c r="X70" s="29"/>
      <c r="Y70" s="7"/>
      <c r="Z70" s="7"/>
      <c r="AA70" s="7"/>
      <c r="AB70" s="7"/>
      <c r="AC70" s="7"/>
      <c r="AD70" s="7"/>
      <c r="AE70" s="7"/>
      <c r="AF70" s="7"/>
      <c r="AG70" s="8"/>
      <c r="AH70" s="8"/>
      <c r="AI70" s="8"/>
      <c r="AJ70" s="8"/>
      <c r="AK70" s="7"/>
      <c r="AL70" s="19"/>
      <c r="AM70" s="19"/>
      <c r="AN70" s="19"/>
      <c r="AO70" s="19"/>
    </row>
    <row r="71" spans="1:41" ht="15.75" thickBot="1" x14ac:dyDescent="0.3">
      <c r="A71" s="17"/>
      <c r="B71" s="17"/>
      <c r="C71" s="17">
        <v>3</v>
      </c>
      <c r="D71" s="96">
        <f>O71</f>
        <v>1.678505780916602</v>
      </c>
      <c r="E71" s="60">
        <v>0</v>
      </c>
      <c r="F71" s="41">
        <v>0</v>
      </c>
      <c r="G71" s="61">
        <v>0</v>
      </c>
      <c r="H71" s="75">
        <f t="shared" si="3"/>
        <v>0.35000000000000003</v>
      </c>
      <c r="I71" s="76">
        <f t="shared" si="3"/>
        <v>0.21666666666666667</v>
      </c>
      <c r="J71" s="77">
        <f t="shared" si="3"/>
        <v>0.21666666666666667</v>
      </c>
      <c r="K71" s="78">
        <f t="shared" si="3"/>
        <v>0.21666666666666667</v>
      </c>
      <c r="L71" s="336">
        <f t="shared" si="4"/>
        <v>5.352883216661974</v>
      </c>
      <c r="M71" s="84">
        <f t="shared" si="5"/>
        <v>0.22282118772022574</v>
      </c>
      <c r="N71" s="7"/>
      <c r="O71" s="95">
        <f>D63*LN(O72/(1-O72))+D63*LN((SUM((EXP(E71/D63)+EXP(F71/D63)+EXP(G71/D63)))))</f>
        <v>1.678505780916602</v>
      </c>
      <c r="R71" s="7"/>
      <c r="S71" s="7"/>
      <c r="T71" s="7"/>
      <c r="U71" s="29"/>
      <c r="V71" s="29"/>
      <c r="W71" s="29"/>
      <c r="X71" s="29"/>
      <c r="Y71" s="7"/>
      <c r="Z71" s="7"/>
      <c r="AA71" s="7"/>
      <c r="AB71" s="7"/>
      <c r="AC71" s="7"/>
      <c r="AD71" s="7"/>
      <c r="AE71" s="7"/>
      <c r="AF71" s="7"/>
      <c r="AG71" s="8"/>
      <c r="AH71" s="8"/>
      <c r="AI71" s="8"/>
      <c r="AJ71" s="8"/>
      <c r="AK71" s="7"/>
      <c r="AL71" s="19"/>
      <c r="AM71" s="19"/>
      <c r="AN71" s="19"/>
      <c r="AO71" s="19"/>
    </row>
    <row r="72" spans="1:41" ht="15.75" thickBot="1" x14ac:dyDescent="0.3">
      <c r="A72" s="7"/>
      <c r="B72" s="7"/>
      <c r="C72" s="7">
        <v>4</v>
      </c>
      <c r="D72" s="47">
        <v>1.9019999999999999</v>
      </c>
      <c r="E72" s="60">
        <v>1.0900000000000001</v>
      </c>
      <c r="F72" s="41">
        <v>2.0649999999999999</v>
      </c>
      <c r="G72" s="61">
        <v>1</v>
      </c>
      <c r="H72" s="75">
        <f t="shared" si="3"/>
        <v>0.27674497792592351</v>
      </c>
      <c r="I72" s="76">
        <f t="shared" si="3"/>
        <v>0.21944385739095482</v>
      </c>
      <c r="J72" s="77">
        <f t="shared" si="3"/>
        <v>0.28993821640004058</v>
      </c>
      <c r="K72" s="78">
        <f t="shared" si="3"/>
        <v>0.21387294828308109</v>
      </c>
      <c r="L72" s="336">
        <f t="shared" si="4"/>
        <v>6.3983059895851007</v>
      </c>
      <c r="M72" s="84">
        <f t="shared" si="5"/>
        <v>1.0454227729231267</v>
      </c>
      <c r="N72" s="7"/>
      <c r="O72" s="94">
        <v>0.35</v>
      </c>
      <c r="P72" s="7" t="b">
        <f>O72=H71</f>
        <v>1</v>
      </c>
      <c r="Q72" s="7"/>
      <c r="R72" s="7"/>
      <c r="S72" s="7"/>
      <c r="T72" s="7"/>
      <c r="U72" s="29"/>
      <c r="V72" s="29"/>
      <c r="W72" s="29"/>
      <c r="X72" s="29"/>
      <c r="Y72" s="7"/>
      <c r="Z72" s="7"/>
      <c r="AA72" s="7"/>
      <c r="AB72" s="21"/>
      <c r="AC72" s="7"/>
      <c r="AD72" s="7"/>
      <c r="AE72" s="7"/>
      <c r="AF72" s="7"/>
      <c r="AG72" s="8"/>
      <c r="AH72" s="8"/>
      <c r="AI72" s="8"/>
      <c r="AJ72" s="8"/>
      <c r="AK72" s="7"/>
      <c r="AL72" s="19"/>
      <c r="AM72" s="19"/>
      <c r="AN72" s="19"/>
      <c r="AO72" s="19"/>
    </row>
    <row r="73" spans="1:41" x14ac:dyDescent="0.25">
      <c r="A73" s="7"/>
      <c r="B73" s="7"/>
      <c r="C73" s="7">
        <v>5</v>
      </c>
      <c r="D73" s="47">
        <v>7</v>
      </c>
      <c r="E73" s="60">
        <v>4</v>
      </c>
      <c r="F73" s="41">
        <v>4.24</v>
      </c>
      <c r="G73" s="61">
        <v>3.1880000000000002</v>
      </c>
      <c r="H73" s="75">
        <f t="shared" si="3"/>
        <v>0.45139161074053508</v>
      </c>
      <c r="I73" s="76">
        <f t="shared" si="3"/>
        <v>0.19155834236466296</v>
      </c>
      <c r="J73" s="77">
        <f t="shared" si="3"/>
        <v>0.20515460192968799</v>
      </c>
      <c r="K73" s="78">
        <f t="shared" si="3"/>
        <v>0.15189544496511398</v>
      </c>
      <c r="L73" s="336">
        <f t="shared" si="4"/>
        <v>9.7839699991259845</v>
      </c>
      <c r="M73" s="84">
        <f t="shared" si="5"/>
        <v>3.3856640095408839</v>
      </c>
      <c r="N73" s="7"/>
      <c r="O73" s="7"/>
      <c r="Q73" s="7"/>
      <c r="R73" s="7"/>
      <c r="S73" s="7"/>
      <c r="T73" s="7"/>
      <c r="U73" s="29"/>
      <c r="V73" s="29"/>
      <c r="W73" s="29"/>
      <c r="X73" s="29"/>
      <c r="Y73" s="7"/>
      <c r="Z73" s="7"/>
      <c r="AA73" s="7"/>
      <c r="AB73" s="7"/>
      <c r="AC73" s="7"/>
      <c r="AD73" s="7"/>
      <c r="AE73" s="7"/>
      <c r="AF73" s="7"/>
      <c r="AG73" s="8"/>
      <c r="AH73" s="8"/>
      <c r="AI73" s="8"/>
      <c r="AJ73" s="8"/>
      <c r="AK73" s="7"/>
      <c r="AL73" s="19"/>
      <c r="AM73" s="19"/>
      <c r="AN73" s="19"/>
      <c r="AO73" s="19"/>
    </row>
    <row r="74" spans="1:41" x14ac:dyDescent="0.25">
      <c r="A74" s="7"/>
      <c r="B74" s="7"/>
      <c r="C74" s="7">
        <v>6</v>
      </c>
      <c r="D74" s="47">
        <v>11</v>
      </c>
      <c r="E74" s="60">
        <v>5</v>
      </c>
      <c r="F74" s="41">
        <v>2</v>
      </c>
      <c r="G74" s="61">
        <v>3.4</v>
      </c>
      <c r="H74" s="75">
        <f t="shared" si="3"/>
        <v>0.72964302085108446</v>
      </c>
      <c r="I74" s="76">
        <f t="shared" si="3"/>
        <v>0.13140309866768843</v>
      </c>
      <c r="J74" s="77">
        <f t="shared" si="3"/>
        <v>5.5763906912375968E-2</v>
      </c>
      <c r="K74" s="78">
        <f t="shared" si="3"/>
        <v>8.3189973568851217E-2</v>
      </c>
      <c r="L74" s="336">
        <f t="shared" si="4"/>
        <v>12.103199569423294</v>
      </c>
      <c r="M74" s="84">
        <f t="shared" si="5"/>
        <v>2.3192295702973098</v>
      </c>
      <c r="N74" s="7"/>
      <c r="O74" s="7"/>
      <c r="Q74" s="7"/>
      <c r="R74" s="7"/>
      <c r="S74" s="7"/>
      <c r="T74" s="7"/>
      <c r="U74" s="29"/>
      <c r="V74" s="29"/>
      <c r="W74" s="29"/>
      <c r="X74" s="29"/>
      <c r="Y74" s="7"/>
      <c r="Z74" s="7"/>
      <c r="AA74" s="7"/>
      <c r="AB74" s="7"/>
      <c r="AC74" s="7"/>
      <c r="AD74" s="7"/>
      <c r="AE74" s="7"/>
      <c r="AF74" s="7"/>
      <c r="AG74" s="8"/>
      <c r="AH74" s="8"/>
      <c r="AI74" s="8"/>
      <c r="AJ74" s="8"/>
      <c r="AK74" s="7"/>
      <c r="AL74" s="19"/>
      <c r="AM74" s="19"/>
      <c r="AN74" s="19"/>
      <c r="AO74" s="19"/>
    </row>
    <row r="75" spans="1:41" ht="15.75" thickBot="1" x14ac:dyDescent="0.3">
      <c r="A75" s="7"/>
      <c r="B75" s="7"/>
      <c r="C75" s="7">
        <v>7</v>
      </c>
      <c r="D75" s="39">
        <v>10</v>
      </c>
      <c r="E75" s="56">
        <v>1.1000000000000001</v>
      </c>
      <c r="F75" s="40">
        <v>0</v>
      </c>
      <c r="G75" s="57">
        <v>0.8</v>
      </c>
      <c r="H75" s="67">
        <f t="shared" si="3"/>
        <v>0.82763950929665231</v>
      </c>
      <c r="I75" s="68">
        <f t="shared" si="3"/>
        <v>6.5086720451042357E-2</v>
      </c>
      <c r="J75" s="69">
        <f t="shared" si="3"/>
        <v>4.7533504828272281E-2</v>
      </c>
      <c r="K75" s="70">
        <f t="shared" si="3"/>
        <v>5.9740265424033136E-2</v>
      </c>
      <c r="L75" s="337">
        <f t="shared" si="4"/>
        <v>10.662121581260251</v>
      </c>
      <c r="M75" s="35">
        <f>(L75-L74)</f>
        <v>-1.4410779881630429</v>
      </c>
      <c r="N75" s="7"/>
      <c r="O75" s="7"/>
      <c r="Q75" s="7"/>
      <c r="R75" s="7"/>
      <c r="S75" s="7"/>
      <c r="T75" s="7"/>
      <c r="U75" s="29"/>
      <c r="V75" s="29"/>
      <c r="W75" s="29"/>
      <c r="X75" s="29"/>
      <c r="Y75" s="7"/>
      <c r="Z75" s="7"/>
      <c r="AA75" s="7"/>
      <c r="AB75" s="7"/>
      <c r="AC75" s="7"/>
      <c r="AD75" s="7"/>
      <c r="AE75" s="7"/>
      <c r="AF75" s="7"/>
      <c r="AG75" s="29"/>
      <c r="AH75" s="8"/>
      <c r="AI75" s="8"/>
      <c r="AJ75" s="8"/>
      <c r="AK75" s="7"/>
      <c r="AL75" s="19"/>
      <c r="AM75" s="19"/>
      <c r="AN75" s="19"/>
      <c r="AO75" s="19"/>
    </row>
    <row r="76" spans="1:41" ht="16.5" thickTop="1" thickBot="1" x14ac:dyDescent="0.3">
      <c r="A76" s="7"/>
      <c r="B76" s="7"/>
      <c r="C76" s="7">
        <v>8</v>
      </c>
      <c r="D76" s="131">
        <f>D75</f>
        <v>10</v>
      </c>
      <c r="E76" s="62">
        <f>E75</f>
        <v>1.1000000000000001</v>
      </c>
      <c r="F76" s="52">
        <f>F75</f>
        <v>0</v>
      </c>
      <c r="G76" s="63">
        <f>G75</f>
        <v>0.8</v>
      </c>
      <c r="H76" s="79">
        <v>1</v>
      </c>
      <c r="I76" s="80">
        <v>0</v>
      </c>
      <c r="J76" s="81">
        <v>0</v>
      </c>
      <c r="K76" s="82">
        <v>0</v>
      </c>
      <c r="L76" s="310">
        <f t="shared" si="4"/>
        <v>10.662121581260251</v>
      </c>
      <c r="M76" s="8" t="s">
        <v>43</v>
      </c>
      <c r="O76" s="8"/>
      <c r="Q76" s="8"/>
      <c r="R76" s="8"/>
      <c r="S76" s="8"/>
      <c r="T76" s="8"/>
      <c r="U76" s="8"/>
      <c r="V76" s="8"/>
      <c r="W76" s="8"/>
      <c r="X76" s="8"/>
      <c r="Y76" s="8"/>
      <c r="Z76" s="8"/>
      <c r="AA76" s="8"/>
      <c r="AB76" s="8"/>
      <c r="AC76" s="7"/>
      <c r="AD76" s="7"/>
      <c r="AE76" s="7"/>
      <c r="AF76" s="7"/>
      <c r="AG76" s="7"/>
      <c r="AH76" s="7"/>
      <c r="AI76" s="7"/>
      <c r="AJ76" s="7"/>
      <c r="AK76" s="7"/>
      <c r="AL76" s="7"/>
      <c r="AM76" s="7"/>
      <c r="AN76" s="7"/>
      <c r="AO76" s="7"/>
    </row>
    <row r="77" spans="1:41" ht="15.75" thickBot="1" x14ac:dyDescent="0.3">
      <c r="A77" s="7"/>
      <c r="B77" s="7"/>
      <c r="C77" s="7"/>
      <c r="L77" s="312">
        <f>SUMPRODUCT(D76:G76,H76:K76)</f>
        <v>10</v>
      </c>
      <c r="M77" t="s">
        <v>111</v>
      </c>
    </row>
    <row r="78" spans="1:41" ht="15.75" thickBot="1" x14ac:dyDescent="0.3">
      <c r="A78" s="7"/>
      <c r="B78" s="7"/>
      <c r="C78" s="7"/>
      <c r="L78" s="312">
        <f>L76-L77</f>
        <v>0.66212158126025145</v>
      </c>
      <c r="M78" s="7" t="s">
        <v>123</v>
      </c>
    </row>
    <row r="79" spans="1:41" ht="15.75" thickBot="1" x14ac:dyDescent="0.3">
      <c r="A79" s="7"/>
      <c r="B79" s="7"/>
      <c r="C79" s="7"/>
      <c r="L79" s="312">
        <f>D64-L78</f>
        <v>4.1899086826593654</v>
      </c>
      <c r="M79" s="55" t="s">
        <v>104</v>
      </c>
    </row>
    <row r="80" spans="1:41" x14ac:dyDescent="0.25">
      <c r="A80" s="7"/>
      <c r="B80" s="7"/>
      <c r="C80" s="7"/>
      <c r="M80" s="219"/>
      <c r="N80" s="7"/>
    </row>
    <row r="81" spans="1:19" x14ac:dyDescent="0.25">
      <c r="A81" s="7"/>
      <c r="B81" s="7"/>
      <c r="C81" s="7"/>
      <c r="M81" s="219"/>
      <c r="N81" s="7"/>
    </row>
    <row r="82" spans="1:19" ht="15" customHeight="1" x14ac:dyDescent="0.25">
      <c r="A82" s="7"/>
      <c r="B82" s="7"/>
      <c r="C82" s="7"/>
      <c r="D82" s="361" t="s">
        <v>126</v>
      </c>
      <c r="E82" s="361"/>
      <c r="F82" s="361"/>
      <c r="G82" s="361"/>
      <c r="H82" s="361"/>
      <c r="I82" s="361"/>
      <c r="J82" s="361"/>
      <c r="K82" s="361"/>
      <c r="L82" s="361"/>
      <c r="M82" s="361"/>
      <c r="N82" s="303"/>
      <c r="O82" s="303"/>
      <c r="P82" s="303"/>
      <c r="Q82" s="303"/>
      <c r="R82" s="303"/>
      <c r="S82" s="303"/>
    </row>
    <row r="83" spans="1:19" x14ac:dyDescent="0.25">
      <c r="A83" s="7"/>
      <c r="B83" s="7"/>
      <c r="C83" s="7"/>
      <c r="D83" s="361"/>
      <c r="E83" s="361"/>
      <c r="F83" s="361"/>
      <c r="G83" s="361"/>
      <c r="H83" s="361"/>
      <c r="I83" s="361"/>
      <c r="J83" s="361"/>
      <c r="K83" s="361"/>
      <c r="L83" s="361"/>
      <c r="M83" s="361"/>
      <c r="N83" s="303"/>
      <c r="O83" s="303"/>
      <c r="P83" s="303"/>
      <c r="Q83" s="303"/>
      <c r="R83" s="303"/>
      <c r="S83" s="303"/>
    </row>
    <row r="84" spans="1:19" x14ac:dyDescent="0.25">
      <c r="A84" s="7"/>
      <c r="B84" s="7"/>
      <c r="C84" s="7"/>
      <c r="D84" s="361"/>
      <c r="E84" s="361"/>
      <c r="F84" s="361"/>
      <c r="G84" s="361"/>
      <c r="H84" s="361"/>
      <c r="I84" s="361"/>
      <c r="J84" s="361"/>
      <c r="K84" s="361"/>
      <c r="L84" s="361"/>
      <c r="M84" s="361"/>
      <c r="N84" s="303"/>
      <c r="O84" s="303"/>
      <c r="P84" s="303"/>
      <c r="Q84" s="303"/>
      <c r="R84" s="303"/>
      <c r="S84" s="303"/>
    </row>
    <row r="85" spans="1:19" x14ac:dyDescent="0.25">
      <c r="A85" s="7"/>
      <c r="B85" s="7"/>
      <c r="C85" s="7"/>
      <c r="D85" s="361"/>
      <c r="E85" s="361"/>
      <c r="F85" s="361"/>
      <c r="G85" s="361"/>
      <c r="H85" s="361"/>
      <c r="I85" s="361"/>
      <c r="J85" s="361"/>
      <c r="K85" s="361"/>
      <c r="L85" s="361"/>
      <c r="M85" s="361"/>
      <c r="N85" s="303"/>
      <c r="O85" s="303"/>
      <c r="P85" s="303"/>
      <c r="Q85" s="303"/>
      <c r="R85" s="303"/>
      <c r="S85" s="303"/>
    </row>
    <row r="86" spans="1:19" x14ac:dyDescent="0.25">
      <c r="A86" s="7"/>
      <c r="B86" s="7"/>
      <c r="C86" s="7"/>
      <c r="D86" s="361"/>
      <c r="E86" s="361"/>
      <c r="F86" s="361"/>
      <c r="G86" s="361"/>
      <c r="H86" s="361"/>
      <c r="I86" s="361"/>
      <c r="J86" s="361"/>
      <c r="K86" s="361"/>
      <c r="L86" s="361"/>
      <c r="M86" s="361"/>
      <c r="N86" s="303"/>
      <c r="O86" s="303"/>
      <c r="P86" s="303"/>
      <c r="Q86" s="303"/>
      <c r="R86" s="303"/>
      <c r="S86" s="303"/>
    </row>
    <row r="87" spans="1:19" x14ac:dyDescent="0.25">
      <c r="A87" s="7"/>
      <c r="B87" s="7"/>
      <c r="C87" s="7"/>
      <c r="D87" s="361"/>
      <c r="E87" s="361"/>
      <c r="F87" s="361"/>
      <c r="G87" s="361"/>
      <c r="H87" s="361"/>
      <c r="I87" s="361"/>
      <c r="J87" s="361"/>
      <c r="K87" s="361"/>
      <c r="L87" s="361"/>
      <c r="M87" s="361"/>
      <c r="N87" s="303"/>
      <c r="O87" s="303"/>
      <c r="P87" s="303"/>
      <c r="Q87" s="303"/>
      <c r="R87" s="303"/>
      <c r="S87" s="303"/>
    </row>
    <row r="88" spans="1:19" x14ac:dyDescent="0.25">
      <c r="A88" s="7"/>
      <c r="B88" s="7"/>
      <c r="C88" s="7"/>
      <c r="D88" s="361"/>
      <c r="E88" s="361"/>
      <c r="F88" s="361"/>
      <c r="G88" s="361"/>
      <c r="H88" s="361"/>
      <c r="I88" s="361"/>
      <c r="J88" s="361"/>
      <c r="K88" s="361"/>
      <c r="L88" s="361"/>
      <c r="M88" s="361"/>
      <c r="N88" s="303"/>
      <c r="O88" s="303"/>
      <c r="P88" s="303"/>
      <c r="Q88" s="303"/>
      <c r="R88" s="303"/>
      <c r="S88" s="303"/>
    </row>
    <row r="89" spans="1:19" x14ac:dyDescent="0.25">
      <c r="A89" s="7"/>
      <c r="B89" s="7"/>
      <c r="C89" s="7"/>
      <c r="M89" s="303"/>
      <c r="N89" s="303"/>
      <c r="O89" s="303"/>
      <c r="P89" s="303"/>
      <c r="Q89" s="303"/>
      <c r="R89" s="303"/>
      <c r="S89" s="303"/>
    </row>
    <row r="90" spans="1:19" x14ac:dyDescent="0.25">
      <c r="A90" s="7"/>
      <c r="B90" s="7"/>
      <c r="C90" s="7"/>
    </row>
    <row r="91" spans="1:19" x14ac:dyDescent="0.25">
      <c r="A91" s="7"/>
      <c r="B91" s="7"/>
      <c r="C91" s="7"/>
      <c r="D91" s="305" t="s">
        <v>124</v>
      </c>
      <c r="E91" s="305"/>
      <c r="F91" s="305"/>
      <c r="G91" s="305"/>
      <c r="H91" s="305"/>
      <c r="I91" s="305"/>
      <c r="J91" s="293"/>
      <c r="K91" s="293"/>
      <c r="L91" s="293"/>
      <c r="M91" s="306"/>
      <c r="N91" s="307"/>
      <c r="P91" s="7"/>
      <c r="Q91" s="7"/>
      <c r="R91" s="7"/>
    </row>
    <row r="92" spans="1:19" ht="15" customHeight="1" x14ac:dyDescent="0.25">
      <c r="A92" s="7"/>
      <c r="B92" s="7"/>
      <c r="C92" s="7"/>
      <c r="D92" s="17"/>
      <c r="E92" s="17"/>
      <c r="F92" s="17"/>
      <c r="H92" s="97" t="s">
        <v>5</v>
      </c>
      <c r="I92" s="97" t="s">
        <v>5</v>
      </c>
      <c r="O92" s="5"/>
      <c r="P92" s="17"/>
      <c r="Q92" s="7"/>
      <c r="R92" s="7"/>
    </row>
    <row r="93" spans="1:19" ht="15.75" thickBot="1" x14ac:dyDescent="0.3">
      <c r="A93" s="17"/>
      <c r="B93" s="17"/>
      <c r="C93" s="17"/>
      <c r="D93" s="17"/>
      <c r="E93" s="17"/>
      <c r="F93" s="20">
        <v>3</v>
      </c>
      <c r="H93" s="97">
        <v>0</v>
      </c>
      <c r="I93" s="97">
        <v>1</v>
      </c>
      <c r="L93" t="s">
        <v>54</v>
      </c>
      <c r="O93" s="362" t="s">
        <v>152</v>
      </c>
      <c r="P93" s="363"/>
      <c r="Q93" s="364"/>
      <c r="R93" s="7"/>
    </row>
    <row r="94" spans="1:19" x14ac:dyDescent="0.25">
      <c r="A94" s="7"/>
      <c r="B94" s="7"/>
      <c r="C94" s="7"/>
      <c r="D94" s="17"/>
      <c r="E94" s="17"/>
      <c r="F94" s="21" t="s">
        <v>4</v>
      </c>
      <c r="G94" s="97">
        <v>0</v>
      </c>
      <c r="H94" s="98">
        <f>H71</f>
        <v>0.35000000000000003</v>
      </c>
      <c r="I94" s="99">
        <f>I71</f>
        <v>0.21666666666666667</v>
      </c>
      <c r="J94" s="100">
        <f>SUM(H94:I94)</f>
        <v>0.56666666666666665</v>
      </c>
      <c r="L94" s="132">
        <f>I95/SUM(H95:I95)</f>
        <v>0.5</v>
      </c>
      <c r="O94" s="365"/>
      <c r="P94" s="361"/>
      <c r="Q94" s="366"/>
      <c r="R94" s="7"/>
    </row>
    <row r="95" spans="1:19" ht="15.75" thickBot="1" x14ac:dyDescent="0.3">
      <c r="A95" s="7"/>
      <c r="B95" s="7"/>
      <c r="C95" s="7"/>
      <c r="D95" s="17"/>
      <c r="E95" s="17"/>
      <c r="F95" s="21" t="s">
        <v>4</v>
      </c>
      <c r="G95" s="97">
        <v>1</v>
      </c>
      <c r="H95" s="101">
        <f>J71</f>
        <v>0.21666666666666667</v>
      </c>
      <c r="I95" s="102">
        <f>K71</f>
        <v>0.21666666666666667</v>
      </c>
      <c r="J95" s="103">
        <f>SUM(H95:I95)</f>
        <v>0.43333333333333335</v>
      </c>
      <c r="O95" s="365"/>
      <c r="P95" s="361"/>
      <c r="Q95" s="366"/>
      <c r="R95" s="7"/>
    </row>
    <row r="96" spans="1:19" ht="15.75" thickBot="1" x14ac:dyDescent="0.3">
      <c r="A96" s="7"/>
      <c r="B96" s="7"/>
      <c r="C96" s="7"/>
      <c r="D96" s="17"/>
      <c r="E96" s="17"/>
      <c r="F96" s="17"/>
      <c r="H96" s="134">
        <f>SUM(H94:H95)</f>
        <v>0.56666666666666665</v>
      </c>
      <c r="I96" s="135">
        <f>SUM(I94:I95)</f>
        <v>0.43333333333333335</v>
      </c>
      <c r="J96" s="105">
        <f>SUM(H94:I95)</f>
        <v>1</v>
      </c>
      <c r="O96" s="365"/>
      <c r="P96" s="361"/>
      <c r="Q96" s="366"/>
      <c r="R96" s="7"/>
    </row>
    <row r="97" spans="1:18" x14ac:dyDescent="0.25">
      <c r="A97" s="7"/>
      <c r="B97" s="7"/>
      <c r="C97" s="7"/>
      <c r="D97" s="17"/>
      <c r="E97" s="17"/>
      <c r="F97" s="17"/>
      <c r="H97" s="104"/>
      <c r="I97" s="104"/>
      <c r="J97" s="103"/>
      <c r="O97" s="365"/>
      <c r="P97" s="361"/>
      <c r="Q97" s="366"/>
      <c r="R97" s="7"/>
    </row>
    <row r="98" spans="1:18" x14ac:dyDescent="0.25">
      <c r="A98" s="7"/>
      <c r="B98" s="7"/>
      <c r="C98" s="7"/>
      <c r="D98" s="17"/>
      <c r="E98" s="17"/>
      <c r="F98" s="17"/>
      <c r="H98" s="104"/>
      <c r="I98" s="104"/>
      <c r="J98" s="103"/>
      <c r="O98" s="365"/>
      <c r="P98" s="361"/>
      <c r="Q98" s="366"/>
      <c r="R98" s="7"/>
    </row>
    <row r="99" spans="1:18" ht="15.75" thickBot="1" x14ac:dyDescent="0.3">
      <c r="A99" s="7"/>
      <c r="B99" s="7"/>
      <c r="C99" s="17"/>
      <c r="D99" s="17"/>
      <c r="E99" s="17"/>
      <c r="F99" s="20">
        <v>4</v>
      </c>
      <c r="H99" s="106">
        <v>0</v>
      </c>
      <c r="I99" s="106">
        <v>1</v>
      </c>
      <c r="J99" s="103"/>
      <c r="L99" t="s">
        <v>54</v>
      </c>
      <c r="O99" s="365"/>
      <c r="P99" s="361"/>
      <c r="Q99" s="366"/>
      <c r="R99" s="7"/>
    </row>
    <row r="100" spans="1:18" x14ac:dyDescent="0.25">
      <c r="A100" s="7"/>
      <c r="B100" s="7"/>
      <c r="C100" s="7"/>
      <c r="F100" s="21" t="s">
        <v>4</v>
      </c>
      <c r="G100" s="97">
        <v>0</v>
      </c>
      <c r="H100" s="98">
        <f>H72</f>
        <v>0.27674497792592351</v>
      </c>
      <c r="I100" s="99">
        <f>I72</f>
        <v>0.21944385739095482</v>
      </c>
      <c r="J100" s="100">
        <f>SUM(H100:I100)</f>
        <v>0.4961888353168783</v>
      </c>
      <c r="L100" s="133">
        <f>I101/SUM(H101:I101)</f>
        <v>0.42451014045629404</v>
      </c>
      <c r="O100" s="365"/>
      <c r="P100" s="361"/>
      <c r="Q100" s="366"/>
      <c r="R100" s="7"/>
    </row>
    <row r="101" spans="1:18" ht="15.75" thickBot="1" x14ac:dyDescent="0.3">
      <c r="A101" s="7"/>
      <c r="B101" s="7"/>
      <c r="C101" s="7"/>
      <c r="F101" s="21" t="s">
        <v>4</v>
      </c>
      <c r="G101" s="97">
        <v>1</v>
      </c>
      <c r="H101" s="101">
        <f>J72</f>
        <v>0.28993821640004058</v>
      </c>
      <c r="I101" s="102">
        <f>K72</f>
        <v>0.21387294828308109</v>
      </c>
      <c r="J101" s="103">
        <f>SUM(H101:I101)</f>
        <v>0.5038111646831217</v>
      </c>
      <c r="O101" s="365"/>
      <c r="P101" s="361"/>
      <c r="Q101" s="366"/>
      <c r="R101" s="7"/>
    </row>
    <row r="102" spans="1:18" ht="15.75" thickBot="1" x14ac:dyDescent="0.3">
      <c r="A102" s="7"/>
      <c r="B102" s="7"/>
      <c r="C102" s="7"/>
      <c r="H102" s="134">
        <f>SUM(H100:H101)</f>
        <v>0.56668319432596403</v>
      </c>
      <c r="I102" s="135">
        <f>SUM(I100:I101)</f>
        <v>0.43331680567403591</v>
      </c>
      <c r="J102" s="105">
        <f>SUM(H100:I101)</f>
        <v>1</v>
      </c>
      <c r="O102" s="365"/>
      <c r="P102" s="361"/>
      <c r="Q102" s="366"/>
      <c r="R102" s="7"/>
    </row>
    <row r="103" spans="1:18" x14ac:dyDescent="0.25">
      <c r="A103" s="7"/>
      <c r="B103" s="7"/>
      <c r="C103" s="7"/>
      <c r="O103" s="365"/>
      <c r="P103" s="361"/>
      <c r="Q103" s="366"/>
      <c r="R103" s="7"/>
    </row>
    <row r="104" spans="1:18" ht="15.75" customHeight="1" x14ac:dyDescent="0.25">
      <c r="F104" s="370" t="s">
        <v>55</v>
      </c>
      <c r="G104" s="370"/>
      <c r="H104" s="370"/>
      <c r="I104" s="370"/>
      <c r="J104" s="370"/>
      <c r="K104" s="370"/>
      <c r="L104" s="370"/>
      <c r="O104" s="365"/>
      <c r="P104" s="361"/>
      <c r="Q104" s="366"/>
      <c r="R104" s="7"/>
    </row>
    <row r="105" spans="1:18" x14ac:dyDescent="0.25">
      <c r="F105" s="370"/>
      <c r="G105" s="370"/>
      <c r="H105" s="370"/>
      <c r="I105" s="370"/>
      <c r="J105" s="370"/>
      <c r="K105" s="370"/>
      <c r="L105" s="370"/>
      <c r="O105" s="365"/>
      <c r="P105" s="361"/>
      <c r="Q105" s="366"/>
      <c r="R105" s="7"/>
    </row>
    <row r="106" spans="1:18" x14ac:dyDescent="0.25">
      <c r="O106" s="365"/>
      <c r="P106" s="361"/>
      <c r="Q106" s="366"/>
      <c r="R106" s="7"/>
    </row>
    <row r="107" spans="1:18" ht="15.75" thickBot="1" x14ac:dyDescent="0.3">
      <c r="F107" s="26">
        <v>5</v>
      </c>
      <c r="H107" s="106">
        <v>0</v>
      </c>
      <c r="I107" s="106">
        <v>1</v>
      </c>
      <c r="J107" s="103"/>
      <c r="L107" t="s">
        <v>54</v>
      </c>
      <c r="O107" s="365"/>
      <c r="P107" s="361"/>
      <c r="Q107" s="366"/>
      <c r="R107" s="7"/>
    </row>
    <row r="108" spans="1:18" x14ac:dyDescent="0.25">
      <c r="F108" s="21" t="s">
        <v>4</v>
      </c>
      <c r="G108" s="97">
        <v>0</v>
      </c>
      <c r="H108" s="98">
        <f>H73</f>
        <v>0.45139161074053508</v>
      </c>
      <c r="I108" s="99">
        <f>I73</f>
        <v>0.19155834236466296</v>
      </c>
      <c r="J108" s="100">
        <f>SUM(H108:I108)</f>
        <v>0.64294995310519809</v>
      </c>
      <c r="L108" s="133">
        <f>I109/SUM(H109:I109)</f>
        <v>0.42541779867029983</v>
      </c>
      <c r="O108" s="365"/>
      <c r="P108" s="361"/>
      <c r="Q108" s="366"/>
      <c r="R108" s="7"/>
    </row>
    <row r="109" spans="1:18" ht="15.75" thickBot="1" x14ac:dyDescent="0.3">
      <c r="F109" s="21" t="s">
        <v>4</v>
      </c>
      <c r="G109" s="97">
        <v>1</v>
      </c>
      <c r="H109" s="101">
        <f>J73</f>
        <v>0.20515460192968799</v>
      </c>
      <c r="I109" s="102">
        <f>K73</f>
        <v>0.15189544496511398</v>
      </c>
      <c r="J109" s="103">
        <f>SUM(H109:I109)</f>
        <v>0.35705004689480196</v>
      </c>
      <c r="O109" s="365"/>
      <c r="P109" s="361"/>
      <c r="Q109" s="366"/>
      <c r="R109" s="7"/>
    </row>
    <row r="110" spans="1:18" ht="15.75" thickBot="1" x14ac:dyDescent="0.3">
      <c r="H110" s="134">
        <f>SUM(H108:H109)</f>
        <v>0.65654621267022306</v>
      </c>
      <c r="I110" s="104">
        <f>SUM(I108:I109)</f>
        <v>0.34345378732977694</v>
      </c>
      <c r="J110" s="105">
        <f>SUM(H108:I109)</f>
        <v>1</v>
      </c>
      <c r="O110" s="365"/>
      <c r="P110" s="361"/>
      <c r="Q110" s="366"/>
      <c r="R110" s="7"/>
    </row>
    <row r="111" spans="1:18" x14ac:dyDescent="0.25">
      <c r="O111" s="365"/>
      <c r="P111" s="361"/>
      <c r="Q111" s="366"/>
      <c r="R111" s="7"/>
    </row>
    <row r="112" spans="1:18" ht="18" customHeight="1" x14ac:dyDescent="0.25">
      <c r="F112" s="370" t="s">
        <v>56</v>
      </c>
      <c r="G112" s="370"/>
      <c r="H112" s="370"/>
      <c r="I112" s="370"/>
      <c r="J112" s="370"/>
      <c r="K112" s="370"/>
      <c r="L112" s="370"/>
      <c r="O112" s="365"/>
      <c r="P112" s="361"/>
      <c r="Q112" s="366"/>
      <c r="R112" s="7"/>
    </row>
    <row r="113" spans="6:18" x14ac:dyDescent="0.25">
      <c r="F113" s="370"/>
      <c r="G113" s="370"/>
      <c r="H113" s="370"/>
      <c r="I113" s="370"/>
      <c r="J113" s="370"/>
      <c r="K113" s="370"/>
      <c r="L113" s="370"/>
      <c r="O113" s="365"/>
      <c r="P113" s="361"/>
      <c r="Q113" s="366"/>
      <c r="R113" s="7"/>
    </row>
    <row r="114" spans="6:18" x14ac:dyDescent="0.25">
      <c r="O114" s="365"/>
      <c r="P114" s="361"/>
      <c r="Q114" s="366"/>
      <c r="R114" s="7"/>
    </row>
    <row r="115" spans="6:18" x14ac:dyDescent="0.25">
      <c r="O115" s="365"/>
      <c r="P115" s="361"/>
      <c r="Q115" s="366"/>
      <c r="R115" s="7"/>
    </row>
    <row r="116" spans="6:18" x14ac:dyDescent="0.25">
      <c r="J116" s="33"/>
      <c r="K116" s="33"/>
      <c r="L116" s="33"/>
      <c r="M116" s="33"/>
      <c r="N116" s="33"/>
      <c r="O116" s="365"/>
      <c r="P116" s="361"/>
      <c r="Q116" s="366"/>
      <c r="R116" s="7"/>
    </row>
    <row r="117" spans="6:18" x14ac:dyDescent="0.25">
      <c r="J117" s="33"/>
      <c r="K117" s="33"/>
      <c r="L117" s="33"/>
      <c r="M117" s="33"/>
      <c r="N117" s="33"/>
      <c r="O117" s="365"/>
      <c r="P117" s="361"/>
      <c r="Q117" s="366"/>
      <c r="R117" s="7"/>
    </row>
    <row r="118" spans="6:18" x14ac:dyDescent="0.25">
      <c r="J118" s="33"/>
      <c r="K118" s="33"/>
      <c r="L118" s="33"/>
      <c r="M118" s="33"/>
      <c r="N118" s="33"/>
      <c r="O118" s="365"/>
      <c r="P118" s="361"/>
      <c r="Q118" s="366"/>
      <c r="R118" s="7"/>
    </row>
    <row r="119" spans="6:18" x14ac:dyDescent="0.25">
      <c r="O119" s="365"/>
      <c r="P119" s="361"/>
      <c r="Q119" s="366"/>
      <c r="R119" s="7"/>
    </row>
    <row r="120" spans="6:18" x14ac:dyDescent="0.25">
      <c r="O120" s="365"/>
      <c r="P120" s="361"/>
      <c r="Q120" s="366"/>
      <c r="R120" s="7"/>
    </row>
    <row r="121" spans="6:18" x14ac:dyDescent="0.25">
      <c r="O121" s="365"/>
      <c r="P121" s="361"/>
      <c r="Q121" s="366"/>
      <c r="R121" s="7"/>
    </row>
    <row r="122" spans="6:18" x14ac:dyDescent="0.25">
      <c r="O122" s="365"/>
      <c r="P122" s="361"/>
      <c r="Q122" s="366"/>
      <c r="R122" s="7"/>
    </row>
    <row r="123" spans="6:18" x14ac:dyDescent="0.25">
      <c r="O123" s="365"/>
      <c r="P123" s="361"/>
      <c r="Q123" s="366"/>
      <c r="R123" s="7"/>
    </row>
    <row r="124" spans="6:18" x14ac:dyDescent="0.25">
      <c r="O124" s="365"/>
      <c r="P124" s="361"/>
      <c r="Q124" s="366"/>
      <c r="R124" s="7"/>
    </row>
    <row r="125" spans="6:18" x14ac:dyDescent="0.25">
      <c r="O125" s="367"/>
      <c r="P125" s="368"/>
      <c r="Q125" s="369"/>
      <c r="R125" s="7"/>
    </row>
  </sheetData>
  <mergeCells count="11">
    <mergeCell ref="B61:B64"/>
    <mergeCell ref="B13:B15"/>
    <mergeCell ref="B17:B20"/>
    <mergeCell ref="B53:B55"/>
    <mergeCell ref="B57:B59"/>
    <mergeCell ref="C6:O8"/>
    <mergeCell ref="C39:M46"/>
    <mergeCell ref="D82:M88"/>
    <mergeCell ref="O93:Q125"/>
    <mergeCell ref="F104:L105"/>
    <mergeCell ref="F112:L113"/>
  </mergeCells>
  <conditionalFormatting sqref="AL69:AO75">
    <cfRule type="dataBar" priority="1">
      <dataBar>
        <cfvo type="min"/>
        <cfvo type="max"/>
        <color rgb="FF638EC6"/>
      </dataBar>
      <extLst>
        <ext xmlns:x14="http://schemas.microsoft.com/office/spreadsheetml/2009/9/main" uri="{B025F937-C7B1-47D3-B67F-A62EFF666E3E}">
          <x14:id>{E3C78D6C-521B-4AFC-91DA-2EC28C87A421}</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3C78D6C-521B-4AFC-91DA-2EC28C87A421}">
            <x14:dataBar minLength="0" maxLength="100" gradient="0">
              <x14:cfvo type="autoMin"/>
              <x14:cfvo type="autoMax"/>
              <x14:negativeFillColor rgb="FFFF0000"/>
              <x14:axisColor rgb="FF000000"/>
            </x14:dataBar>
          </x14:cfRule>
          <xm:sqref>AL69:AO75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Y50"/>
  <sheetViews>
    <sheetView zoomScale="85" zoomScaleNormal="85" workbookViewId="0">
      <selection activeCell="J33" sqref="J33"/>
    </sheetView>
  </sheetViews>
  <sheetFormatPr defaultRowHeight="15" x14ac:dyDescent="0.25"/>
  <cols>
    <col min="2" max="2" width="10" customWidth="1"/>
    <col min="3" max="9" width="11.42578125" style="33" customWidth="1"/>
    <col min="10" max="10" width="13.42578125" style="33" customWidth="1"/>
    <col min="11" max="12" width="12" style="33" customWidth="1"/>
    <col min="13" max="13" width="0" hidden="1" customWidth="1"/>
    <col min="14" max="14" width="9.42578125" hidden="1" customWidth="1"/>
    <col min="15" max="15" width="12.7109375" hidden="1" customWidth="1"/>
    <col min="16" max="16" width="10.28515625" hidden="1" customWidth="1"/>
    <col min="17" max="17" width="10.7109375" hidden="1" customWidth="1"/>
    <col min="18" max="18" width="9.140625" hidden="1" customWidth="1"/>
    <col min="19" max="19" width="9.42578125" customWidth="1"/>
    <col min="21" max="21" width="12.140625" customWidth="1"/>
    <col min="22" max="22" width="10.5703125" customWidth="1"/>
    <col min="25" max="25" width="11.140625" customWidth="1"/>
  </cols>
  <sheetData>
    <row r="2" spans="2:22" ht="31.5" x14ac:dyDescent="0.5">
      <c r="B2" s="204" t="s">
        <v>128</v>
      </c>
    </row>
    <row r="3" spans="2:22" ht="17.25" customHeight="1" x14ac:dyDescent="0.5">
      <c r="B3" s="204"/>
    </row>
    <row r="4" spans="2:22" ht="17.25" customHeight="1" x14ac:dyDescent="0.5">
      <c r="B4" s="204"/>
    </row>
    <row r="5" spans="2:22" ht="17.25" customHeight="1" x14ac:dyDescent="0.25">
      <c r="B5" s="342" t="s">
        <v>173</v>
      </c>
      <c r="C5" s="168" t="s">
        <v>102</v>
      </c>
      <c r="D5" s="168" t="s">
        <v>157</v>
      </c>
      <c r="E5" s="168"/>
      <c r="F5" s="313"/>
      <c r="G5" s="313"/>
      <c r="H5" s="313"/>
      <c r="I5" s="313"/>
      <c r="J5" s="313"/>
      <c r="K5" s="313"/>
      <c r="L5" s="313"/>
      <c r="M5" s="168"/>
      <c r="N5" s="168"/>
      <c r="O5" s="168"/>
      <c r="P5" s="168"/>
      <c r="Q5" s="168"/>
      <c r="R5" s="168"/>
      <c r="S5" s="168"/>
      <c r="T5" s="168"/>
      <c r="U5" s="168"/>
      <c r="V5" s="282"/>
    </row>
    <row r="6" spans="2:22" ht="17.25" customHeight="1" x14ac:dyDescent="0.25">
      <c r="B6" s="343"/>
      <c r="C6" s="17" t="s">
        <v>158</v>
      </c>
      <c r="D6" s="161">
        <v>8000</v>
      </c>
      <c r="E6" s="7" t="s">
        <v>159</v>
      </c>
      <c r="F6" s="17"/>
      <c r="G6" s="17"/>
      <c r="H6" s="17"/>
      <c r="I6" s="17"/>
      <c r="J6" s="17"/>
      <c r="K6" s="17"/>
      <c r="L6" s="17"/>
      <c r="M6" s="7"/>
      <c r="N6" s="7"/>
      <c r="O6" s="7"/>
      <c r="P6" s="7"/>
      <c r="Q6" s="7"/>
      <c r="R6" s="7"/>
      <c r="S6" s="7"/>
      <c r="T6" s="7"/>
      <c r="U6" s="7"/>
      <c r="V6" s="6"/>
    </row>
    <row r="7" spans="2:22" ht="17.25" customHeight="1" x14ac:dyDescent="0.25">
      <c r="B7" s="343"/>
      <c r="C7" s="17" t="s">
        <v>161</v>
      </c>
      <c r="D7" s="161">
        <v>20000</v>
      </c>
      <c r="E7" s="7" t="s">
        <v>160</v>
      </c>
      <c r="F7" s="17"/>
      <c r="G7" s="17"/>
      <c r="H7" s="17"/>
      <c r="I7" s="17"/>
      <c r="J7" s="17"/>
      <c r="K7" s="17"/>
      <c r="L7" s="17"/>
      <c r="M7" s="7"/>
      <c r="N7" s="7"/>
      <c r="O7" s="7"/>
      <c r="P7" s="7"/>
      <c r="Q7" s="7"/>
      <c r="R7" s="7"/>
      <c r="S7" s="7"/>
      <c r="T7" s="7"/>
      <c r="U7" s="7"/>
      <c r="V7" s="6"/>
    </row>
    <row r="8" spans="2:22" ht="17.25" customHeight="1" x14ac:dyDescent="0.25">
      <c r="B8" s="343"/>
      <c r="C8" s="158" t="s">
        <v>162</v>
      </c>
      <c r="D8" s="18">
        <f>D7-D6</f>
        <v>12000</v>
      </c>
      <c r="E8" s="7" t="s">
        <v>163</v>
      </c>
      <c r="F8" s="17"/>
      <c r="G8" s="17"/>
      <c r="H8" s="17"/>
      <c r="I8" s="17"/>
      <c r="J8" s="17"/>
      <c r="K8" s="17"/>
      <c r="L8" s="17"/>
      <c r="M8" s="7"/>
      <c r="N8" s="7"/>
      <c r="O8" s="7"/>
      <c r="P8" s="7"/>
      <c r="Q8" s="7"/>
      <c r="R8" s="7"/>
      <c r="S8" s="7"/>
      <c r="T8" s="7"/>
      <c r="U8" s="7"/>
      <c r="V8" s="6"/>
    </row>
    <row r="9" spans="2:22" ht="17.25" customHeight="1" x14ac:dyDescent="0.25">
      <c r="B9" s="343"/>
      <c r="C9" s="158" t="s">
        <v>166</v>
      </c>
      <c r="D9" s="208" t="s">
        <v>109</v>
      </c>
      <c r="E9" s="8" t="s">
        <v>169</v>
      </c>
      <c r="F9" s="17"/>
      <c r="G9" s="17"/>
      <c r="H9" s="17"/>
      <c r="I9" s="17"/>
      <c r="J9" s="17"/>
      <c r="K9" s="17"/>
      <c r="L9" s="17"/>
      <c r="M9" s="7"/>
      <c r="N9" s="7"/>
      <c r="O9" s="7"/>
      <c r="P9" s="7"/>
      <c r="Q9" s="7"/>
      <c r="R9" s="7"/>
      <c r="S9" s="7"/>
      <c r="T9" s="7"/>
      <c r="U9" s="7"/>
      <c r="V9" s="6"/>
    </row>
    <row r="10" spans="2:22" ht="17.25" customHeight="1" x14ac:dyDescent="0.25">
      <c r="B10" s="343"/>
      <c r="C10" s="158" t="s">
        <v>167</v>
      </c>
      <c r="D10" s="208" t="s">
        <v>108</v>
      </c>
      <c r="E10" s="8" t="s">
        <v>170</v>
      </c>
      <c r="F10" s="17"/>
      <c r="G10" s="17"/>
      <c r="H10" s="17"/>
      <c r="I10" s="17"/>
      <c r="J10" s="17"/>
      <c r="K10" s="17"/>
      <c r="L10" s="17"/>
      <c r="M10" s="7"/>
      <c r="N10" s="7"/>
      <c r="O10" s="7"/>
      <c r="P10" s="7"/>
      <c r="Q10" s="7"/>
      <c r="R10" s="7"/>
      <c r="S10" s="7"/>
      <c r="T10" s="7"/>
      <c r="U10" s="7"/>
      <c r="V10" s="6"/>
    </row>
    <row r="11" spans="2:22" ht="17.25" customHeight="1" x14ac:dyDescent="0.25">
      <c r="B11" s="344"/>
      <c r="C11" s="314" t="s">
        <v>168</v>
      </c>
      <c r="D11" s="315" t="s">
        <v>107</v>
      </c>
      <c r="E11" s="316" t="s">
        <v>171</v>
      </c>
      <c r="F11" s="305"/>
      <c r="G11" s="305"/>
      <c r="H11" s="305"/>
      <c r="I11" s="305"/>
      <c r="J11" s="305"/>
      <c r="K11" s="305"/>
      <c r="L11" s="305"/>
      <c r="M11" s="293"/>
      <c r="N11" s="293"/>
      <c r="O11" s="293"/>
      <c r="P11" s="293"/>
      <c r="Q11" s="293"/>
      <c r="R11" s="293"/>
      <c r="S11" s="293"/>
      <c r="T11" s="293"/>
      <c r="U11" s="293"/>
      <c r="V11" s="3"/>
    </row>
    <row r="12" spans="2:22" ht="17.25" customHeight="1" thickBot="1" x14ac:dyDescent="0.3">
      <c r="B12" s="7"/>
      <c r="C12" s="7"/>
      <c r="D12" s="7"/>
    </row>
    <row r="13" spans="2:22" ht="17.25" customHeight="1" x14ac:dyDescent="0.25">
      <c r="B13" s="345" t="s">
        <v>161</v>
      </c>
      <c r="C13" s="322" t="s">
        <v>174</v>
      </c>
      <c r="D13" s="323" t="s">
        <v>175</v>
      </c>
      <c r="E13" s="299" t="s">
        <v>176</v>
      </c>
      <c r="F13" s="299"/>
      <c r="G13" s="299"/>
      <c r="H13" s="297"/>
    </row>
    <row r="14" spans="2:22" ht="17.25" customHeight="1" x14ac:dyDescent="0.25">
      <c r="B14" s="346"/>
      <c r="C14" s="17" t="s">
        <v>146</v>
      </c>
      <c r="D14" s="302">
        <v>2</v>
      </c>
      <c r="E14" s="17" t="s">
        <v>147</v>
      </c>
      <c r="F14" s="17"/>
      <c r="G14" s="17"/>
      <c r="H14" s="220"/>
    </row>
    <row r="15" spans="2:22" ht="17.25" customHeight="1" x14ac:dyDescent="0.25">
      <c r="B15" s="346"/>
      <c r="C15" s="17" t="s">
        <v>5</v>
      </c>
      <c r="D15" s="18">
        <v>0.1</v>
      </c>
      <c r="E15" s="17" t="s">
        <v>150</v>
      </c>
      <c r="F15" s="17"/>
      <c r="G15" s="17"/>
      <c r="H15" s="220"/>
    </row>
    <row r="16" spans="2:22" ht="17.25" customHeight="1" x14ac:dyDescent="0.25">
      <c r="B16" s="346"/>
      <c r="C16" s="158" t="s">
        <v>164</v>
      </c>
      <c r="D16" s="18">
        <f>D8</f>
        <v>12000</v>
      </c>
      <c r="E16" s="158" t="s">
        <v>165</v>
      </c>
      <c r="F16" s="17"/>
      <c r="G16" s="17"/>
      <c r="H16" s="220"/>
    </row>
    <row r="17" spans="2:25" ht="17.25" customHeight="1" thickBot="1" x14ac:dyDescent="0.3">
      <c r="B17" s="347"/>
      <c r="C17" s="184" t="s">
        <v>148</v>
      </c>
      <c r="D17" s="324">
        <f>D15*D16*LN(D14)</f>
        <v>831.77661667193433</v>
      </c>
      <c r="E17" s="184" t="s">
        <v>149</v>
      </c>
      <c r="F17" s="300"/>
      <c r="G17" s="300"/>
      <c r="H17" s="298"/>
    </row>
    <row r="18" spans="2:25" s="7" customFormat="1" ht="15.75" thickBot="1" x14ac:dyDescent="0.3">
      <c r="B18"/>
      <c r="C18" s="33"/>
      <c r="D18" s="33"/>
      <c r="E18" s="33"/>
      <c r="F18" s="33"/>
      <c r="G18" s="33"/>
      <c r="H18" s="33"/>
      <c r="I18" s="33"/>
      <c r="J18" s="33"/>
      <c r="K18" s="33"/>
      <c r="L18" s="33"/>
      <c r="M18"/>
      <c r="N18"/>
      <c r="O18"/>
      <c r="P18"/>
      <c r="Q18"/>
      <c r="R18"/>
      <c r="S18"/>
      <c r="T18"/>
      <c r="U18" s="8"/>
    </row>
    <row r="19" spans="2:25" s="7" customFormat="1" ht="24.75" customHeight="1" thickBot="1" x14ac:dyDescent="0.35">
      <c r="B19"/>
      <c r="C19" s="233" t="s">
        <v>12</v>
      </c>
      <c r="D19" s="234"/>
      <c r="E19" s="235" t="s">
        <v>13</v>
      </c>
      <c r="F19" s="236"/>
      <c r="G19" s="234" t="s">
        <v>72</v>
      </c>
      <c r="H19" s="234"/>
      <c r="I19" s="283" t="s">
        <v>116</v>
      </c>
      <c r="J19" s="235" t="s">
        <v>122</v>
      </c>
      <c r="K19" s="237" t="s">
        <v>35</v>
      </c>
      <c r="L19" s="218"/>
      <c r="M19" s="348" t="s">
        <v>99</v>
      </c>
      <c r="N19" s="349"/>
      <c r="O19" s="201" t="s">
        <v>100</v>
      </c>
      <c r="Q19" s="7" t="s">
        <v>101</v>
      </c>
      <c r="R19" s="20"/>
      <c r="S19" s="202" t="s">
        <v>101</v>
      </c>
      <c r="T19" s="20"/>
    </row>
    <row r="20" spans="2:25" s="7" customFormat="1" ht="16.5" thickTop="1" thickBot="1" x14ac:dyDescent="0.3">
      <c r="B20" s="130" t="s">
        <v>45</v>
      </c>
      <c r="C20" s="238" t="str">
        <f>"i="&amp;D6</f>
        <v>i=8000</v>
      </c>
      <c r="D20" s="226" t="str">
        <f>"i="&amp;D7</f>
        <v>i=20000</v>
      </c>
      <c r="E20" s="221" t="str">
        <f>"i="&amp;D6</f>
        <v>i=8000</v>
      </c>
      <c r="F20" s="222" t="str">
        <f>"i="&amp;D7</f>
        <v>i=20000</v>
      </c>
      <c r="G20" s="221" t="s">
        <v>97</v>
      </c>
      <c r="H20" s="222" t="str">
        <f>"i="&amp;D8</f>
        <v>i=12000</v>
      </c>
      <c r="I20" s="209" t="s">
        <v>102</v>
      </c>
      <c r="J20" s="42">
        <v>0</v>
      </c>
      <c r="K20" s="239"/>
      <c r="L20" s="158"/>
      <c r="M20" s="198" t="str">
        <f>C20</f>
        <v>i=8000</v>
      </c>
      <c r="N20" s="199" t="str">
        <f>D20</f>
        <v>i=20000</v>
      </c>
      <c r="S20"/>
    </row>
    <row r="21" spans="2:25" s="7" customFormat="1" ht="18" customHeight="1" thickTop="1" x14ac:dyDescent="0.25">
      <c r="B21" s="25">
        <v>1</v>
      </c>
      <c r="C21" s="240">
        <v>0</v>
      </c>
      <c r="D21" s="45">
        <v>0</v>
      </c>
      <c r="E21" s="227">
        <f t="shared" ref="E21:E29" si="0">EXP(C21/$D$15)/(EXP($D21/$D$15)+EXP($C21/$D$15))</f>
        <v>0.5</v>
      </c>
      <c r="F21" s="228">
        <f t="shared" ref="F21:F30" si="1">EXP(D21/$D$15)/(EXP($D21/$D$15)+EXP($C21/$D$15))</f>
        <v>0.5</v>
      </c>
      <c r="G21" s="44">
        <f>(E21*$D$8)</f>
        <v>6000</v>
      </c>
      <c r="H21" s="223">
        <f t="shared" ref="H21:H31" si="2">(F21*$D$8)</f>
        <v>6000</v>
      </c>
      <c r="I21" s="210">
        <f>H21+$D$6</f>
        <v>14000</v>
      </c>
      <c r="J21" s="90">
        <f>$D$15*$D$16*LN(EXP($D21/$D$15)+EXP($C21/$D$15))</f>
        <v>831.77661667193433</v>
      </c>
      <c r="K21" s="241">
        <f>(J21-J20)</f>
        <v>831.77661667193433</v>
      </c>
      <c r="L21" s="219"/>
      <c r="M21" s="129"/>
      <c r="N21" s="113"/>
      <c r="S21"/>
      <c r="Y21" s="205"/>
    </row>
    <row r="22" spans="2:25" s="7" customFormat="1" ht="18.75" x14ac:dyDescent="0.3">
      <c r="B22" s="25">
        <v>2</v>
      </c>
      <c r="C22" s="242">
        <v>1</v>
      </c>
      <c r="D22" s="41">
        <v>0</v>
      </c>
      <c r="E22" s="229">
        <f t="shared" si="0"/>
        <v>0.99995460213129761</v>
      </c>
      <c r="F22" s="230">
        <f t="shared" si="1"/>
        <v>4.5397868702434395E-5</v>
      </c>
      <c r="G22" s="47">
        <f t="shared" ref="G21:G31" si="3">(E22*$D$8)</f>
        <v>11999.455225575572</v>
      </c>
      <c r="H22" s="224">
        <f t="shared" si="2"/>
        <v>0.54477442442921276</v>
      </c>
      <c r="I22" s="211">
        <f t="shared" ref="I21:I31" si="4">H22+$D$6</f>
        <v>8000.5447744244293</v>
      </c>
      <c r="J22" s="91">
        <f t="shared" ref="J22:J31" si="5">$D$15*$D$16*LN(EXP($D22/$D$15)+EXP($C22/$D$15))</f>
        <v>12000.054478679062</v>
      </c>
      <c r="K22" s="243">
        <f t="shared" ref="K22:K29" si="6">(J22-J21)</f>
        <v>11168.277862007128</v>
      </c>
      <c r="L22" s="219"/>
      <c r="M22" s="129">
        <f t="shared" ref="M22:M30" si="7">C22-C21</f>
        <v>1</v>
      </c>
      <c r="N22" s="113">
        <f t="shared" ref="N22:N30" si="8">D22-D21</f>
        <v>0</v>
      </c>
      <c r="O22" s="200">
        <f t="shared" ref="O22:O30" si="9">K22</f>
        <v>11168.277862007128</v>
      </c>
      <c r="Q22" s="7" t="str">
        <f>IF(M22&gt;0,"Bought ",IF(M22&lt;0,"Sold ",""))&amp;IF(M22&lt;0,M22*-1,IF(M22&gt;0,M22,""))&amp;IF(M22&lt;&gt;0," Shares of State 1 at a cost of "&amp;ROUND($O22,5),"")</f>
        <v>Bought 1 Shares of State 1 at a cost of 11168.27786</v>
      </c>
      <c r="R22" s="7" t="str">
        <f t="shared" ref="R22" si="10">IF(N22&gt;0,"Bought ",IF(N22&lt;0,"Sold ",""))&amp;IF(N22&lt;0,N22*-1,IF(N22&gt;0,N22,""))&amp;IF(N22&lt;&gt;0," Shares of State 2 at a cost of "&amp;ROUND($O22,5),"")</f>
        <v/>
      </c>
      <c r="S22" s="203" t="str">
        <f>Q22&amp;R22</f>
        <v>Bought 1 Shares of State 1 at a cost of 11168.27786</v>
      </c>
    </row>
    <row r="23" spans="2:25" s="7" customFormat="1" ht="18.75" x14ac:dyDescent="0.3">
      <c r="B23" s="25">
        <v>3</v>
      </c>
      <c r="C23" s="242">
        <v>1</v>
      </c>
      <c r="D23" s="41">
        <v>2</v>
      </c>
      <c r="E23" s="229">
        <f t="shared" si="0"/>
        <v>4.5397868702434395E-5</v>
      </c>
      <c r="F23" s="230">
        <f t="shared" si="1"/>
        <v>0.99995460213129761</v>
      </c>
      <c r="G23" s="47">
        <f t="shared" si="3"/>
        <v>0.54477442442921276</v>
      </c>
      <c r="H23" s="224">
        <f t="shared" si="2"/>
        <v>11999.455225575572</v>
      </c>
      <c r="I23" s="211">
        <f t="shared" si="4"/>
        <v>19999.45522557557</v>
      </c>
      <c r="J23" s="91">
        <f t="shared" si="5"/>
        <v>24000.05447867906</v>
      </c>
      <c r="K23" s="243">
        <f t="shared" si="6"/>
        <v>11999.999999999998</v>
      </c>
      <c r="L23" s="219"/>
      <c r="M23" s="129">
        <f t="shared" si="7"/>
        <v>0</v>
      </c>
      <c r="N23" s="113">
        <f t="shared" si="8"/>
        <v>2</v>
      </c>
      <c r="O23" s="200">
        <f t="shared" si="9"/>
        <v>11999.999999999998</v>
      </c>
      <c r="Q23" s="7" t="str">
        <f>IF(M23&gt;0,"Bought ",IF(M23&lt;0,"Sold ",""))&amp;IF(M23&lt;0,M23*-1,IF(M23&gt;0,M23,""))&amp;IF(M23&lt;&gt;0," Shares of State 1 at a cost of "&amp;ROUND($O23,5),"")</f>
        <v/>
      </c>
      <c r="R23" s="7" t="str">
        <f>IF(N23&gt;0,"Bought ",IF(N23&lt;0,"Sold ",""))&amp;IF(N23&lt;0,N23*-1,IF(N23&gt;0,N23,""))&amp;IF(N23&lt;&gt;0," Shares of State 2 at a cost of "&amp;ROUND($O23,5),"")</f>
        <v>Bought 2 Shares of State 2 at a cost of 12000</v>
      </c>
      <c r="S23" s="203" t="str">
        <f t="shared" ref="S23:S30" si="11">Q23&amp;R23</f>
        <v>Bought 2 Shares of State 2 at a cost of 12000</v>
      </c>
    </row>
    <row r="24" spans="2:25" s="7" customFormat="1" ht="18.75" x14ac:dyDescent="0.3">
      <c r="B24" s="25">
        <v>4</v>
      </c>
      <c r="C24" s="242">
        <v>2</v>
      </c>
      <c r="D24" s="41">
        <v>2</v>
      </c>
      <c r="E24" s="229">
        <f t="shared" si="0"/>
        <v>0.5</v>
      </c>
      <c r="F24" s="230">
        <f t="shared" si="1"/>
        <v>0.5</v>
      </c>
      <c r="G24" s="47">
        <f t="shared" si="3"/>
        <v>6000</v>
      </c>
      <c r="H24" s="224">
        <f t="shared" si="2"/>
        <v>6000</v>
      </c>
      <c r="I24" s="211">
        <f t="shared" si="4"/>
        <v>14000</v>
      </c>
      <c r="J24" s="91">
        <f t="shared" si="5"/>
        <v>24831.776616671934</v>
      </c>
      <c r="K24" s="243">
        <f t="shared" si="6"/>
        <v>831.7221379928742</v>
      </c>
      <c r="L24" s="219"/>
      <c r="M24" s="129">
        <f t="shared" si="7"/>
        <v>1</v>
      </c>
      <c r="N24" s="113">
        <f t="shared" si="8"/>
        <v>0</v>
      </c>
      <c r="O24" s="200">
        <f t="shared" si="9"/>
        <v>831.7221379928742</v>
      </c>
      <c r="Q24" s="7" t="str">
        <f>IF(M24&gt;0,"Bought ",IF(M24&lt;0,"Sold ",""))&amp;IF(M24&lt;0,M24*-1,IF(M24&gt;0,M24,""))&amp;IF(M24&lt;&gt;0," Shares of State 1 at a cost of "&amp;ROUND($O24,5),"")</f>
        <v>Bought 1 Shares of State 1 at a cost of 831.72214</v>
      </c>
      <c r="R24" s="7" t="str">
        <f>IF(N24&gt;0,"Bought ",IF(N24&lt;0,"Sold ",""))&amp;IF(N24&lt;0,N24*-1,IF(N24&gt;0,N24,""))&amp;IF(N24&lt;&gt;0," Shares of State 2 at a cost of "&amp;ROUND($O24,5),"")</f>
        <v/>
      </c>
      <c r="S24" s="203" t="str">
        <f t="shared" si="11"/>
        <v>Bought 1 Shares of State 1 at a cost of 831.72214</v>
      </c>
    </row>
    <row r="25" spans="2:25" s="7" customFormat="1" ht="18.75" x14ac:dyDescent="0.3">
      <c r="B25" s="25">
        <v>5</v>
      </c>
      <c r="C25" s="242">
        <v>2</v>
      </c>
      <c r="D25" s="41">
        <v>12</v>
      </c>
      <c r="E25" s="229">
        <f t="shared" si="0"/>
        <v>3.7200759760208361E-44</v>
      </c>
      <c r="F25" s="230">
        <f t="shared" si="1"/>
        <v>1</v>
      </c>
      <c r="G25" s="47">
        <f t="shared" si="3"/>
        <v>4.4640911712250037E-40</v>
      </c>
      <c r="H25" s="224">
        <f t="shared" si="2"/>
        <v>12000</v>
      </c>
      <c r="I25" s="211">
        <f t="shared" si="4"/>
        <v>20000</v>
      </c>
      <c r="J25" s="91">
        <f t="shared" si="5"/>
        <v>144000</v>
      </c>
      <c r="K25" s="243">
        <f>(J25-J24)</f>
        <v>119168.22338332806</v>
      </c>
      <c r="L25" s="219"/>
      <c r="M25" s="129">
        <f t="shared" si="7"/>
        <v>0</v>
      </c>
      <c r="N25" s="113">
        <f t="shared" si="8"/>
        <v>10</v>
      </c>
      <c r="O25" s="200">
        <f t="shared" si="9"/>
        <v>119168.22338332806</v>
      </c>
      <c r="Q25" s="7" t="str">
        <f t="shared" ref="Q25:Q29" si="12">IF(M25&gt;0,"Bought ",IF(M25&lt;0,"Sold ",""))&amp;IF(M25&lt;0,M25*-1,IF(M25&gt;0,M25,""))&amp;IF(M25&lt;&gt;0," Shares of State 1 at a cost of "&amp;ROUND($O25,5),"")</f>
        <v/>
      </c>
      <c r="R25" s="7" t="str">
        <f t="shared" ref="R25:R29" si="13">IF(N25&gt;0,"Bought ",IF(N25&lt;0,"Sold ",""))&amp;IF(N25&lt;0,N25*-1,IF(N25&gt;0,N25,""))&amp;IF(N25&lt;&gt;0," Shares of State 2 at a cost of "&amp;ROUND($O25,5),"")</f>
        <v>Bought 10 Shares of State 2 at a cost of 119168.22338</v>
      </c>
      <c r="S25" s="203" t="str">
        <f t="shared" ref="S25:S29" si="14">Q25&amp;R25</f>
        <v>Bought 10 Shares of State 2 at a cost of 119168.22338</v>
      </c>
    </row>
    <row r="26" spans="2:25" s="7" customFormat="1" ht="18.75" x14ac:dyDescent="0.3">
      <c r="B26" s="25">
        <v>12</v>
      </c>
      <c r="C26" s="242">
        <v>12</v>
      </c>
      <c r="D26" s="41">
        <v>12</v>
      </c>
      <c r="E26" s="229">
        <f t="shared" si="0"/>
        <v>0.5</v>
      </c>
      <c r="F26" s="230">
        <f t="shared" si="1"/>
        <v>0.5</v>
      </c>
      <c r="G26" s="47">
        <f t="shared" si="3"/>
        <v>6000</v>
      </c>
      <c r="H26" s="224">
        <f t="shared" si="2"/>
        <v>6000</v>
      </c>
      <c r="I26" s="211">
        <f t="shared" si="4"/>
        <v>14000</v>
      </c>
      <c r="J26" s="91">
        <f t="shared" si="5"/>
        <v>144831.77661667194</v>
      </c>
      <c r="K26" s="243">
        <f t="shared" si="6"/>
        <v>831.77661667193752</v>
      </c>
      <c r="L26" s="219"/>
      <c r="M26" s="129">
        <f t="shared" si="7"/>
        <v>10</v>
      </c>
      <c r="N26" s="113">
        <f t="shared" si="8"/>
        <v>0</v>
      </c>
      <c r="O26" s="200">
        <f t="shared" si="9"/>
        <v>831.77661667193752</v>
      </c>
      <c r="Q26" s="7" t="str">
        <f t="shared" si="12"/>
        <v>Bought 10 Shares of State 1 at a cost of 831.77662</v>
      </c>
      <c r="R26" s="7" t="str">
        <f t="shared" si="13"/>
        <v/>
      </c>
      <c r="S26" s="203" t="str">
        <f t="shared" si="14"/>
        <v>Bought 10 Shares of State 1 at a cost of 831.77662</v>
      </c>
    </row>
    <row r="27" spans="2:25" s="7" customFormat="1" ht="18.75" x14ac:dyDescent="0.3">
      <c r="B27" s="25">
        <v>13</v>
      </c>
      <c r="C27" s="242">
        <v>12</v>
      </c>
      <c r="D27" s="41">
        <v>10</v>
      </c>
      <c r="E27" s="229">
        <f t="shared" si="0"/>
        <v>0.99999999793884631</v>
      </c>
      <c r="F27" s="230">
        <f t="shared" si="1"/>
        <v>2.0611536181902037E-9</v>
      </c>
      <c r="G27" s="47">
        <f t="shared" si="3"/>
        <v>11999.999975266155</v>
      </c>
      <c r="H27" s="224">
        <f t="shared" si="2"/>
        <v>2.4733843418282445E-5</v>
      </c>
      <c r="I27" s="211">
        <f t="shared" si="4"/>
        <v>8000.000024733843</v>
      </c>
      <c r="J27" s="91">
        <f t="shared" si="5"/>
        <v>144000.00000247339</v>
      </c>
      <c r="K27" s="243">
        <f t="shared" si="6"/>
        <v>-831.77661419854849</v>
      </c>
      <c r="L27" s="219"/>
      <c r="M27" s="129">
        <f t="shared" si="7"/>
        <v>0</v>
      </c>
      <c r="N27" s="113">
        <f t="shared" si="8"/>
        <v>-2</v>
      </c>
      <c r="O27" s="200">
        <f t="shared" si="9"/>
        <v>-831.77661419854849</v>
      </c>
      <c r="Q27" s="7" t="str">
        <f t="shared" si="12"/>
        <v/>
      </c>
      <c r="R27" s="7" t="str">
        <f t="shared" si="13"/>
        <v>Sold 2 Shares of State 2 at a cost of -831.77661</v>
      </c>
      <c r="S27" s="203" t="str">
        <f t="shared" si="14"/>
        <v>Sold 2 Shares of State 2 at a cost of -831.77661</v>
      </c>
    </row>
    <row r="28" spans="2:25" s="7" customFormat="1" ht="18.75" x14ac:dyDescent="0.3">
      <c r="B28" s="25">
        <v>14</v>
      </c>
      <c r="C28" s="242">
        <v>8</v>
      </c>
      <c r="D28" s="41">
        <v>10</v>
      </c>
      <c r="E28" s="229">
        <f t="shared" si="0"/>
        <v>2.0611536181902033E-9</v>
      </c>
      <c r="F28" s="230">
        <f t="shared" si="1"/>
        <v>0.99999999793884631</v>
      </c>
      <c r="G28" s="47">
        <f t="shared" si="3"/>
        <v>2.4733843418282441E-5</v>
      </c>
      <c r="H28" s="224">
        <f t="shared" si="2"/>
        <v>11999.999975266155</v>
      </c>
      <c r="I28" s="211">
        <f t="shared" si="4"/>
        <v>19999.999975266153</v>
      </c>
      <c r="J28" s="91">
        <f t="shared" si="5"/>
        <v>120000.00000247339</v>
      </c>
      <c r="K28" s="243">
        <f t="shared" si="6"/>
        <v>-24000</v>
      </c>
      <c r="L28" s="219"/>
      <c r="M28" s="129">
        <f t="shared" si="7"/>
        <v>-4</v>
      </c>
      <c r="N28" s="113">
        <f t="shared" si="8"/>
        <v>0</v>
      </c>
      <c r="O28" s="200">
        <f t="shared" si="9"/>
        <v>-24000</v>
      </c>
      <c r="Q28" s="7" t="str">
        <f t="shared" si="12"/>
        <v>Sold 4 Shares of State 1 at a cost of -24000</v>
      </c>
      <c r="R28" s="7" t="str">
        <f t="shared" si="13"/>
        <v/>
      </c>
      <c r="S28" s="203" t="str">
        <f t="shared" si="14"/>
        <v>Sold 4 Shares of State 1 at a cost of -24000</v>
      </c>
    </row>
    <row r="29" spans="2:25" s="7" customFormat="1" ht="18.75" x14ac:dyDescent="0.3">
      <c r="B29" s="25">
        <v>15</v>
      </c>
      <c r="C29" s="242">
        <v>12</v>
      </c>
      <c r="D29" s="41">
        <v>10</v>
      </c>
      <c r="E29" s="229">
        <f t="shared" si="0"/>
        <v>0.99999999793884631</v>
      </c>
      <c r="F29" s="230">
        <f t="shared" si="1"/>
        <v>2.0611536181902037E-9</v>
      </c>
      <c r="G29" s="47">
        <f t="shared" si="3"/>
        <v>11999.999975266155</v>
      </c>
      <c r="H29" s="224">
        <f t="shared" si="2"/>
        <v>2.4733843418282445E-5</v>
      </c>
      <c r="I29" s="211">
        <f t="shared" si="4"/>
        <v>8000.000024733843</v>
      </c>
      <c r="J29" s="91">
        <f t="shared" si="5"/>
        <v>144000.00000247339</v>
      </c>
      <c r="K29" s="243">
        <f t="shared" si="6"/>
        <v>24000</v>
      </c>
      <c r="L29" s="219"/>
      <c r="M29" s="129">
        <f t="shared" si="7"/>
        <v>4</v>
      </c>
      <c r="N29" s="113">
        <f t="shared" si="8"/>
        <v>0</v>
      </c>
      <c r="O29" s="200">
        <f t="shared" si="9"/>
        <v>24000</v>
      </c>
      <c r="Q29" s="7" t="str">
        <f t="shared" si="12"/>
        <v>Bought 4 Shares of State 1 at a cost of 24000</v>
      </c>
      <c r="R29" s="7" t="str">
        <f t="shared" si="13"/>
        <v/>
      </c>
      <c r="S29" s="203" t="str">
        <f t="shared" si="14"/>
        <v>Bought 4 Shares of State 1 at a cost of 24000</v>
      </c>
    </row>
    <row r="30" spans="2:25" s="7" customFormat="1" ht="19.5" thickBot="1" x14ac:dyDescent="0.35">
      <c r="B30" s="25">
        <v>16</v>
      </c>
      <c r="C30" s="244">
        <v>12</v>
      </c>
      <c r="D30" s="40">
        <v>10</v>
      </c>
      <c r="E30" s="231">
        <f>EXP(C30/$D$15)/(EXP($D30/$D$15)+EXP($C30/$D$15))</f>
        <v>0.99999999793884631</v>
      </c>
      <c r="F30" s="232">
        <f t="shared" si="1"/>
        <v>2.0611536181902037E-9</v>
      </c>
      <c r="G30" s="39">
        <f t="shared" si="3"/>
        <v>11999.999975266155</v>
      </c>
      <c r="H30" s="225">
        <f t="shared" si="2"/>
        <v>2.4733843418282445E-5</v>
      </c>
      <c r="I30" s="212">
        <f t="shared" si="4"/>
        <v>8000.000024733843</v>
      </c>
      <c r="J30" s="127">
        <f t="shared" si="5"/>
        <v>144000.00000247339</v>
      </c>
      <c r="K30" s="243">
        <f>(J30-J29)</f>
        <v>0</v>
      </c>
      <c r="L30" s="219"/>
      <c r="M30" s="137">
        <f t="shared" si="7"/>
        <v>0</v>
      </c>
      <c r="N30" s="115">
        <f t="shared" si="8"/>
        <v>0</v>
      </c>
      <c r="O30" s="200">
        <f t="shared" si="9"/>
        <v>0</v>
      </c>
      <c r="Q30" s="7" t="str">
        <f>IF(M30&gt;0,"Bought ",IF(M30&lt;0,"Sold ",""))&amp;IF(M30&lt;0,M30*-1,IF(M30&gt;0,M30,""))&amp;IF(M30&lt;&gt;0," Shares of State 1 at a cost of "&amp;ROUND($O30,5),"")</f>
        <v/>
      </c>
      <c r="R30" s="7" t="str">
        <f>IF(N30&gt;0,"Bought ",IF(N30&lt;0,"Sold ",""))&amp;IF(N30&lt;0,N30*-1,IF(N30&gt;0,N30,""))&amp;IF(N30&lt;&gt;0," Shares of State 2 at a cost of "&amp;ROUND($O30,5),"")</f>
        <v/>
      </c>
      <c r="S30" s="203" t="str">
        <f t="shared" si="11"/>
        <v/>
      </c>
    </row>
    <row r="31" spans="2:25" s="7" customFormat="1" ht="16.5" thickTop="1" thickBot="1" x14ac:dyDescent="0.3">
      <c r="B31" s="25" t="s">
        <v>98</v>
      </c>
      <c r="C31" s="51">
        <f>C30</f>
        <v>12</v>
      </c>
      <c r="D31" s="52">
        <f>D30</f>
        <v>10</v>
      </c>
      <c r="E31" s="245">
        <f>E35</f>
        <v>0.33103416666666663</v>
      </c>
      <c r="F31" s="246">
        <f>D35</f>
        <v>0.66896583333333337</v>
      </c>
      <c r="G31" s="131">
        <f>(E31*$D$8)</f>
        <v>3972.4099999999994</v>
      </c>
      <c r="H31" s="247">
        <f>(F31*$D$8)</f>
        <v>8027.59</v>
      </c>
      <c r="I31" s="213">
        <f t="shared" si="4"/>
        <v>16027.59</v>
      </c>
      <c r="J31" s="310">
        <f t="shared" si="5"/>
        <v>144000.00000247339</v>
      </c>
      <c r="K31" s="219"/>
      <c r="L31" s="8"/>
      <c r="R31" s="8"/>
      <c r="S31" s="8"/>
      <c r="T31" s="8"/>
    </row>
    <row r="32" spans="2:25" s="7" customFormat="1" ht="15.75" thickBot="1" x14ac:dyDescent="0.3">
      <c r="B32"/>
      <c r="C32" s="33"/>
      <c r="D32" s="33"/>
      <c r="E32" s="33"/>
      <c r="F32" s="33"/>
      <c r="G32" s="33"/>
      <c r="H32" s="33"/>
      <c r="I32" s="33"/>
      <c r="J32" s="312">
        <f>SUMPRODUCT(C31:D31,G31:H31)</f>
        <v>127944.81999999998</v>
      </c>
      <c r="K32" t="s">
        <v>111</v>
      </c>
      <c r="R32"/>
      <c r="S32"/>
      <c r="T32"/>
    </row>
    <row r="33" spans="2:20" s="7" customFormat="1" ht="15.75" thickBot="1" x14ac:dyDescent="0.3">
      <c r="C33" s="158"/>
      <c r="F33" s="17"/>
      <c r="G33" s="17"/>
      <c r="H33" s="17"/>
      <c r="I33" s="17"/>
      <c r="J33" s="312">
        <f>J31-J32</f>
        <v>16055.180002473411</v>
      </c>
      <c r="K33" s="7" t="s">
        <v>103</v>
      </c>
    </row>
    <row r="34" spans="2:20" s="7" customFormat="1" ht="15.75" thickBot="1" x14ac:dyDescent="0.3">
      <c r="B34" s="1"/>
      <c r="C34" s="168"/>
      <c r="D34" s="338" t="s">
        <v>163</v>
      </c>
      <c r="E34" s="282" t="s">
        <v>187</v>
      </c>
      <c r="F34" s="17"/>
      <c r="G34" s="17"/>
      <c r="H34" s="17"/>
      <c r="I34" s="17"/>
      <c r="J34" s="310">
        <f>J21-J33</f>
        <v>-15223.403385801477</v>
      </c>
      <c r="K34" s="55" t="s">
        <v>120</v>
      </c>
      <c r="P34" s="8"/>
      <c r="Q34" s="8"/>
      <c r="R34" s="8"/>
      <c r="S34" s="28"/>
      <c r="T34" s="28"/>
    </row>
    <row r="35" spans="2:20" x14ac:dyDescent="0.25">
      <c r="B35" s="339" t="s">
        <v>188</v>
      </c>
      <c r="C35" s="340">
        <v>16027.59</v>
      </c>
      <c r="D35" s="305">
        <f>(C35-D6)/D8</f>
        <v>0.66896583333333337</v>
      </c>
      <c r="E35" s="3">
        <f>1-D35</f>
        <v>0.33103416666666663</v>
      </c>
      <c r="K35" s="206"/>
    </row>
    <row r="38" spans="2:20" x14ac:dyDescent="0.25">
      <c r="B38" t="s">
        <v>154</v>
      </c>
    </row>
    <row r="40" spans="2:20" x14ac:dyDescent="0.25">
      <c r="B40" s="33" t="s">
        <v>106</v>
      </c>
    </row>
    <row r="41" spans="2:20" x14ac:dyDescent="0.25">
      <c r="B41" s="33" t="s">
        <v>105</v>
      </c>
    </row>
    <row r="43" spans="2:20" x14ac:dyDescent="0.25">
      <c r="B43" s="33" t="s">
        <v>172</v>
      </c>
    </row>
    <row r="45" spans="2:20" x14ac:dyDescent="0.25">
      <c r="B45" t="s">
        <v>155</v>
      </c>
    </row>
    <row r="50" spans="2:5" x14ac:dyDescent="0.25">
      <c r="B50" s="33"/>
      <c r="C50" s="206"/>
      <c r="E50" s="7"/>
    </row>
  </sheetData>
  <mergeCells count="3">
    <mergeCell ref="M19:N19"/>
    <mergeCell ref="B5:B11"/>
    <mergeCell ref="B13:B17"/>
  </mergeCells>
  <hyperlinks>
    <hyperlink ref="D9" r:id="rId1"/>
    <hyperlink ref="D10" r:id="rId2"/>
    <hyperlink ref="D11" r:id="rId3"/>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H71"/>
  <sheetViews>
    <sheetView zoomScale="70" zoomScaleNormal="70" workbookViewId="0">
      <selection activeCell="B6" sqref="B6"/>
    </sheetView>
  </sheetViews>
  <sheetFormatPr defaultRowHeight="15" x14ac:dyDescent="0.25"/>
  <cols>
    <col min="3" max="3" width="13.28515625" customWidth="1"/>
    <col min="5" max="19" width="11.42578125" style="33" customWidth="1"/>
    <col min="20" max="21" width="12" style="33" customWidth="1"/>
    <col min="22" max="22" width="0" hidden="1" customWidth="1"/>
    <col min="23" max="23" width="9.42578125" hidden="1" customWidth="1"/>
    <col min="24" max="24" width="12.7109375" hidden="1" customWidth="1"/>
    <col min="25" max="25" width="10.28515625" hidden="1" customWidth="1"/>
    <col min="26" max="26" width="10.7109375" hidden="1" customWidth="1"/>
    <col min="27" max="27" width="0" hidden="1" customWidth="1"/>
    <col min="28" max="28" width="9.42578125" hidden="1" customWidth="1"/>
    <col min="30" max="30" width="12.140625" customWidth="1"/>
    <col min="31" max="31" width="10.5703125" customWidth="1"/>
    <col min="34" max="34" width="11.140625" customWidth="1"/>
  </cols>
  <sheetData>
    <row r="2" spans="2:13" ht="31.5" x14ac:dyDescent="0.5">
      <c r="B2" s="204" t="s">
        <v>183</v>
      </c>
      <c r="D2" s="157"/>
    </row>
    <row r="3" spans="2:13" ht="31.5" x14ac:dyDescent="0.5">
      <c r="B3" s="204"/>
      <c r="D3" s="157"/>
    </row>
    <row r="4" spans="2:13" x14ac:dyDescent="0.25">
      <c r="C4" s="342" t="s">
        <v>173</v>
      </c>
      <c r="D4" s="168" t="s">
        <v>102</v>
      </c>
      <c r="E4" s="168" t="s">
        <v>180</v>
      </c>
      <c r="F4" s="168"/>
      <c r="G4" s="313"/>
      <c r="H4" s="313"/>
      <c r="I4" s="313"/>
      <c r="J4" s="313"/>
      <c r="K4" s="313"/>
      <c r="L4" s="313"/>
      <c r="M4" s="308"/>
    </row>
    <row r="5" spans="2:13" x14ac:dyDescent="0.25">
      <c r="C5" s="343"/>
      <c r="D5" s="17" t="s">
        <v>158</v>
      </c>
      <c r="E5" s="18">
        <v>2</v>
      </c>
      <c r="F5" s="7" t="s">
        <v>159</v>
      </c>
      <c r="G5" s="17"/>
      <c r="H5" s="17"/>
      <c r="I5" s="17"/>
      <c r="J5" s="17"/>
      <c r="K5" s="17"/>
      <c r="L5" s="17"/>
      <c r="M5" s="285"/>
    </row>
    <row r="6" spans="2:13" x14ac:dyDescent="0.25">
      <c r="C6" s="343"/>
      <c r="D6" s="17" t="s">
        <v>161</v>
      </c>
      <c r="E6" s="18">
        <v>50</v>
      </c>
      <c r="F6" s="7" t="s">
        <v>160</v>
      </c>
      <c r="G6" s="17"/>
      <c r="H6" s="17"/>
      <c r="I6" s="17"/>
      <c r="J6" s="17"/>
      <c r="K6" s="17"/>
      <c r="L6" s="17"/>
      <c r="M6" s="285"/>
    </row>
    <row r="7" spans="2:13" x14ac:dyDescent="0.25">
      <c r="C7" s="343"/>
      <c r="D7" s="158" t="s">
        <v>162</v>
      </c>
      <c r="E7" s="18">
        <f>E6-E5</f>
        <v>48</v>
      </c>
      <c r="F7" s="7" t="s">
        <v>163</v>
      </c>
      <c r="G7" s="17"/>
      <c r="H7" s="17"/>
      <c r="I7" s="17"/>
      <c r="J7" s="17"/>
      <c r="K7" s="17"/>
      <c r="L7" s="17"/>
      <c r="M7" s="285"/>
    </row>
    <row r="8" spans="2:13" x14ac:dyDescent="0.25">
      <c r="C8" s="343"/>
      <c r="D8" s="158" t="s">
        <v>166</v>
      </c>
      <c r="E8" s="208" t="s">
        <v>181</v>
      </c>
      <c r="F8" s="8" t="s">
        <v>169</v>
      </c>
      <c r="G8" s="17"/>
      <c r="H8" s="17"/>
      <c r="I8" s="17"/>
      <c r="J8" s="17"/>
      <c r="K8" s="17"/>
      <c r="L8" s="17"/>
      <c r="M8" s="285"/>
    </row>
    <row r="9" spans="2:13" x14ac:dyDescent="0.25">
      <c r="C9" s="343"/>
      <c r="D9" s="158" t="s">
        <v>167</v>
      </c>
      <c r="E9" s="208"/>
      <c r="F9" s="8" t="s">
        <v>170</v>
      </c>
      <c r="G9" s="17"/>
      <c r="H9" s="17"/>
      <c r="I9" s="17"/>
      <c r="J9" s="17"/>
      <c r="K9" s="17"/>
      <c r="L9" s="17"/>
      <c r="M9" s="285"/>
    </row>
    <row r="10" spans="2:13" x14ac:dyDescent="0.25">
      <c r="C10" s="344"/>
      <c r="D10" s="314" t="s">
        <v>168</v>
      </c>
      <c r="E10" s="315"/>
      <c r="F10" s="316" t="s">
        <v>171</v>
      </c>
      <c r="G10" s="305"/>
      <c r="H10" s="305"/>
      <c r="I10" s="305"/>
      <c r="J10" s="305"/>
      <c r="K10" s="305"/>
      <c r="L10" s="305"/>
      <c r="M10" s="309"/>
    </row>
    <row r="11" spans="2:13" x14ac:dyDescent="0.25">
      <c r="C11" s="304"/>
      <c r="D11" s="158"/>
      <c r="E11" s="208"/>
      <c r="F11" s="8"/>
      <c r="G11" s="17"/>
      <c r="H11" s="17"/>
      <c r="I11" s="17"/>
      <c r="J11" s="17"/>
      <c r="K11" s="17"/>
      <c r="L11" s="17"/>
    </row>
    <row r="12" spans="2:13" x14ac:dyDescent="0.25">
      <c r="C12" s="342" t="s">
        <v>177</v>
      </c>
      <c r="D12" s="168" t="s">
        <v>4</v>
      </c>
      <c r="E12" s="313" t="s">
        <v>182</v>
      </c>
      <c r="F12" s="168"/>
      <c r="G12" s="313"/>
      <c r="H12" s="320"/>
      <c r="I12" s="313"/>
      <c r="J12" s="308"/>
      <c r="K12" s="17"/>
      <c r="L12" s="17"/>
    </row>
    <row r="13" spans="2:13" x14ac:dyDescent="0.25">
      <c r="C13" s="343"/>
      <c r="D13" s="17" t="s">
        <v>141</v>
      </c>
      <c r="E13" s="17" t="s">
        <v>3</v>
      </c>
      <c r="F13" s="7"/>
      <c r="G13" s="17"/>
      <c r="H13" s="207"/>
      <c r="I13" s="17"/>
      <c r="J13" s="285"/>
      <c r="K13" s="17"/>
      <c r="L13" s="17"/>
    </row>
    <row r="14" spans="2:13" x14ac:dyDescent="0.25">
      <c r="C14" s="344"/>
      <c r="D14" s="305" t="s">
        <v>142</v>
      </c>
      <c r="E14" s="305" t="s">
        <v>2</v>
      </c>
      <c r="F14" s="293"/>
      <c r="G14" s="305"/>
      <c r="H14" s="321"/>
      <c r="I14" s="305"/>
      <c r="J14" s="309"/>
      <c r="K14" s="17"/>
      <c r="L14" s="17"/>
    </row>
    <row r="15" spans="2:13" ht="15.75" thickBot="1" x14ac:dyDescent="0.3">
      <c r="C15" s="304"/>
      <c r="D15" s="158"/>
      <c r="E15" s="208"/>
      <c r="F15" s="8"/>
      <c r="G15" s="17"/>
      <c r="H15" s="17"/>
      <c r="I15" s="17"/>
      <c r="J15" s="17"/>
      <c r="K15" s="17"/>
      <c r="L15" s="17"/>
    </row>
    <row r="16" spans="2:13" x14ac:dyDescent="0.25">
      <c r="C16" s="345" t="s">
        <v>161</v>
      </c>
      <c r="D16" s="322" t="s">
        <v>174</v>
      </c>
      <c r="E16" s="323" t="s">
        <v>178</v>
      </c>
      <c r="F16" s="299" t="s">
        <v>176</v>
      </c>
      <c r="G16" s="299"/>
      <c r="H16" s="299"/>
      <c r="I16" s="297"/>
    </row>
    <row r="17" spans="2:34" x14ac:dyDescent="0.25">
      <c r="C17" s="346"/>
      <c r="D17" s="17" t="s">
        <v>146</v>
      </c>
      <c r="E17" s="302">
        <v>4</v>
      </c>
      <c r="F17" s="17" t="s">
        <v>147</v>
      </c>
      <c r="G17" s="17"/>
      <c r="H17" s="17"/>
      <c r="I17" s="220"/>
    </row>
    <row r="18" spans="2:34" x14ac:dyDescent="0.25">
      <c r="C18" s="346"/>
      <c r="D18" s="17" t="s">
        <v>5</v>
      </c>
      <c r="E18" s="18">
        <v>4</v>
      </c>
      <c r="F18" s="17" t="s">
        <v>150</v>
      </c>
      <c r="G18" s="17"/>
      <c r="H18" s="17"/>
      <c r="I18" s="220"/>
    </row>
    <row r="19" spans="2:34" x14ac:dyDescent="0.25">
      <c r="C19" s="346"/>
      <c r="D19" s="158" t="s">
        <v>164</v>
      </c>
      <c r="E19" s="18">
        <f>E7</f>
        <v>48</v>
      </c>
      <c r="F19" s="158" t="s">
        <v>165</v>
      </c>
      <c r="G19" s="17"/>
      <c r="H19" s="17"/>
      <c r="I19" s="220"/>
    </row>
    <row r="20" spans="2:34" ht="15.75" thickBot="1" x14ac:dyDescent="0.3">
      <c r="C20" s="347"/>
      <c r="D20" s="184" t="s">
        <v>148</v>
      </c>
      <c r="E20" s="324">
        <f>E18*E19*LN(E17)</f>
        <v>266.16851733501898</v>
      </c>
      <c r="F20" s="184" t="s">
        <v>149</v>
      </c>
      <c r="G20" s="300"/>
      <c r="H20" s="300"/>
      <c r="I20" s="298"/>
      <c r="Q20" s="33" t="s">
        <v>192</v>
      </c>
    </row>
    <row r="21" spans="2:34" x14ac:dyDescent="0.25">
      <c r="B21" s="7"/>
    </row>
    <row r="22" spans="2:34" s="7" customFormat="1" ht="15.75" thickBot="1" x14ac:dyDescent="0.3">
      <c r="C22"/>
      <c r="D22"/>
      <c r="E22" s="33"/>
      <c r="F22" s="33"/>
      <c r="G22" s="33"/>
      <c r="H22" s="33"/>
      <c r="I22" s="33"/>
      <c r="J22" s="33"/>
      <c r="K22" s="33"/>
      <c r="L22" s="33"/>
      <c r="M22" s="33"/>
      <c r="N22" s="33"/>
      <c r="O22" s="33"/>
      <c r="P22" s="33"/>
      <c r="Q22" s="33"/>
      <c r="R22" s="33"/>
      <c r="S22" s="33"/>
      <c r="T22" s="33"/>
      <c r="U22" s="33"/>
      <c r="V22"/>
      <c r="W22"/>
      <c r="X22"/>
      <c r="Y22"/>
      <c r="Z22"/>
      <c r="AA22"/>
      <c r="AB22"/>
      <c r="AC22"/>
      <c r="AD22" s="8"/>
    </row>
    <row r="23" spans="2:34" s="7" customFormat="1" ht="24.75" customHeight="1" thickBot="1" x14ac:dyDescent="0.35">
      <c r="D23"/>
      <c r="E23" s="64" t="s">
        <v>12</v>
      </c>
      <c r="F23" s="65"/>
      <c r="G23" s="65"/>
      <c r="H23" s="66"/>
      <c r="I23" s="65" t="s">
        <v>13</v>
      </c>
      <c r="J23" s="65"/>
      <c r="K23" s="65"/>
      <c r="L23" s="65"/>
      <c r="M23" s="64" t="s">
        <v>72</v>
      </c>
      <c r="N23" s="65"/>
      <c r="O23" s="65"/>
      <c r="P23" s="282"/>
      <c r="Q23" s="65" t="s">
        <v>115</v>
      </c>
      <c r="R23" s="65"/>
      <c r="S23" s="64" t="s">
        <v>36</v>
      </c>
      <c r="T23" s="66" t="s">
        <v>35</v>
      </c>
      <c r="U23" s="218"/>
      <c r="V23" s="348" t="s">
        <v>99</v>
      </c>
      <c r="W23" s="349"/>
      <c r="X23" s="201" t="s">
        <v>100</v>
      </c>
      <c r="Z23" s="7" t="s">
        <v>101</v>
      </c>
      <c r="AA23" s="20"/>
      <c r="AB23" s="202" t="s">
        <v>101</v>
      </c>
      <c r="AC23" s="20"/>
    </row>
    <row r="24" spans="2:34" s="7" customFormat="1" ht="16.5" thickTop="1" thickBot="1" x14ac:dyDescent="0.3">
      <c r="C24" s="32"/>
      <c r="D24" s="130" t="s">
        <v>45</v>
      </c>
      <c r="E24" s="190" t="str">
        <f>"i="&amp;$E$5&amp;", 0"</f>
        <v>i=2, 0</v>
      </c>
      <c r="F24" s="194" t="str">
        <f>"i="&amp;$E$5&amp;", 1"</f>
        <v>i=2, 1</v>
      </c>
      <c r="G24" s="191" t="str">
        <f>"i="&amp;$E$6&amp;", 0"</f>
        <v>i=50, 0</v>
      </c>
      <c r="H24" s="195" t="str">
        <f>"i="&amp;$E$6&amp;", 1"</f>
        <v>i=50, 1</v>
      </c>
      <c r="I24" s="192" t="str">
        <f>"i="&amp;$E$5&amp;", 0"</f>
        <v>i=2, 0</v>
      </c>
      <c r="J24" s="194" t="str">
        <f>"i="&amp;$E$5&amp;", 1"</f>
        <v>i=2, 1</v>
      </c>
      <c r="K24" s="191" t="str">
        <f>"i="&amp;$E$6&amp;", 0"</f>
        <v>i=50, 0</v>
      </c>
      <c r="L24" s="281" t="str">
        <f>"i="&amp;$E$6&amp;", 1"</f>
        <v>i=50, 1</v>
      </c>
      <c r="M24" s="190" t="str">
        <f>"i="&amp;$E$5&amp;", 0"</f>
        <v>i=2, 0</v>
      </c>
      <c r="N24" s="194" t="str">
        <f>"i="&amp;$E$5&amp;", 1"</f>
        <v>i=2, 1</v>
      </c>
      <c r="O24" s="191" t="str">
        <f>"i="&amp;$E$6&amp;", 0"</f>
        <v>i=50, 0</v>
      </c>
      <c r="P24" s="195" t="str">
        <f>"i="&amp;$E$6&amp;", 1"</f>
        <v>i=50, 1</v>
      </c>
      <c r="Q24" s="209" t="s">
        <v>114</v>
      </c>
      <c r="R24" s="214" t="s">
        <v>113</v>
      </c>
      <c r="S24" s="42">
        <v>0</v>
      </c>
      <c r="T24" s="43"/>
      <c r="U24" s="158"/>
      <c r="V24" s="198" t="str">
        <f>E24</f>
        <v>i=2, 0</v>
      </c>
      <c r="W24" s="199" t="str">
        <f>H24</f>
        <v>i=50, 1</v>
      </c>
      <c r="AB24"/>
    </row>
    <row r="25" spans="2:34" s="7" customFormat="1" ht="18" customHeight="1" thickTop="1" x14ac:dyDescent="0.25">
      <c r="D25" s="25">
        <v>1</v>
      </c>
      <c r="E25" s="256">
        <v>0</v>
      </c>
      <c r="F25" s="255">
        <v>0</v>
      </c>
      <c r="G25" s="254">
        <v>0</v>
      </c>
      <c r="H25" s="253">
        <v>0</v>
      </c>
      <c r="I25" s="252">
        <f t="shared" ref="I25:I49" si="0">EXP(E25/$E$18)/(EXP($E25/$E$18)+EXP($F25/$E$18)+EXP($G25/$E$18)+EXP($H25/$E$18))</f>
        <v>0.25</v>
      </c>
      <c r="J25" s="251">
        <f t="shared" ref="J25:J49" si="1">EXP(F25/$E$18)/(EXP($E25/$E$18)+EXP($F25/$E$18)+EXP($G25/$E$18)+EXP($H25/$E$18))</f>
        <v>0.25</v>
      </c>
      <c r="K25" s="250">
        <f t="shared" ref="K25:K49" si="2">EXP(G25/$E$18)/(EXP($E25/$E$18)+EXP($F25/$E$18)+EXP($G25/$E$18)+EXP($H25/$E$18))</f>
        <v>0.25</v>
      </c>
      <c r="L25" s="249">
        <f t="shared" ref="L25:L49" si="3">EXP(H25/$E$18)/(EXP($E25/$E$18)+EXP($F25/$E$18)+EXP($G25/$E$18)+EXP($H25/$E$18))</f>
        <v>0.25</v>
      </c>
      <c r="M25" s="280">
        <f t="shared" ref="M25:M49" si="4">(I25*$E$7)</f>
        <v>12</v>
      </c>
      <c r="N25" s="279">
        <f t="shared" ref="N25:N49" si="5">(J25*$E$7)</f>
        <v>12</v>
      </c>
      <c r="O25" s="278">
        <f t="shared" ref="O25:O49" si="6">(K25*$E$7)</f>
        <v>12</v>
      </c>
      <c r="P25" s="277">
        <f t="shared" ref="P25:P49" si="7">(L25*$E$7)</f>
        <v>12</v>
      </c>
      <c r="Q25" s="210">
        <f>O25+$E$5</f>
        <v>14</v>
      </c>
      <c r="R25" s="215">
        <f t="shared" ref="R25:R49" si="8">P25+$E$5</f>
        <v>14</v>
      </c>
      <c r="S25" s="90">
        <f>$E$18*$E$19*LN(EXP($E25/$E$18) + EXP($F25/$E$18) + EXP($G25/$E$18) +EXP($H25/$E$18) )</f>
        <v>266.16851733501898</v>
      </c>
      <c r="T25" s="46">
        <f>(S25-S24)</f>
        <v>266.16851733501898</v>
      </c>
      <c r="U25" s="219"/>
      <c r="V25" s="129"/>
      <c r="W25" s="113"/>
      <c r="AB25"/>
      <c r="AH25" s="205"/>
    </row>
    <row r="26" spans="2:34" s="7" customFormat="1" ht="18.75" x14ac:dyDescent="0.3">
      <c r="D26" s="25">
        <v>2</v>
      </c>
      <c r="E26" s="276">
        <v>1</v>
      </c>
      <c r="F26" s="275">
        <v>1</v>
      </c>
      <c r="G26" s="274">
        <v>1</v>
      </c>
      <c r="H26" s="273">
        <v>1</v>
      </c>
      <c r="I26" s="272">
        <f t="shared" si="0"/>
        <v>0.25</v>
      </c>
      <c r="J26" s="271">
        <f t="shared" si="1"/>
        <v>0.25</v>
      </c>
      <c r="K26" s="270">
        <f t="shared" si="2"/>
        <v>0.25</v>
      </c>
      <c r="L26" s="269">
        <f t="shared" si="3"/>
        <v>0.25</v>
      </c>
      <c r="M26" s="260">
        <f>(I26*$E$7)</f>
        <v>12</v>
      </c>
      <c r="N26" s="259">
        <f>(J26*$E$7)</f>
        <v>12</v>
      </c>
      <c r="O26" s="258">
        <f t="shared" si="6"/>
        <v>12</v>
      </c>
      <c r="P26" s="257">
        <f t="shared" si="7"/>
        <v>12</v>
      </c>
      <c r="Q26" s="211">
        <f t="shared" ref="Q26:Q49" si="9">O26+$E$5</f>
        <v>14</v>
      </c>
      <c r="R26" s="216">
        <f t="shared" si="8"/>
        <v>14</v>
      </c>
      <c r="S26" s="91">
        <f t="shared" ref="S26:S50" si="10">$E$18*$E$7*LN(EXP($E26/$E$18) + EXP($F26/$E$18) + EXP($G26/$E$18) +EXP($H26/$E$18) )</f>
        <v>314.16851733501898</v>
      </c>
      <c r="T26" s="49">
        <f t="shared" ref="T26:T27" si="11">(S26-S25)</f>
        <v>48</v>
      </c>
      <c r="U26" s="219"/>
      <c r="V26" s="129">
        <f>E26-E25</f>
        <v>1</v>
      </c>
      <c r="W26" s="113">
        <f>H26-H25</f>
        <v>1</v>
      </c>
      <c r="X26" s="200">
        <f t="shared" ref="X26:X49" si="12">T26</f>
        <v>48</v>
      </c>
      <c r="Z26" s="7" t="str">
        <f t="shared" ref="Z26:Z49" si="13">IF(V26&gt;0,"Bought ",IF(V26&lt;0,"Sold ",""))&amp;IF(V26&lt;0,V26*-1,IF(V26&gt;0,V26,""))&amp;IF(V26&lt;&gt;0," Shares of State 1 at a cost of "&amp;ROUND($X26,5),"")</f>
        <v>Bought 1 Shares of State 1 at a cost of 48</v>
      </c>
      <c r="AA26" s="7" t="str">
        <f t="shared" ref="AA26:AA49" si="14">IF(W26&gt;0,"Bought ",IF(W26&lt;0,"Sold ",""))&amp;IF(W26&lt;0,W26*-1,IF(W26&gt;0,W26,""))&amp;IF(W26&lt;&gt;0," Shares of State 2 at a cost of "&amp;ROUND($X26,5),"")</f>
        <v>Bought 1 Shares of State 2 at a cost of 48</v>
      </c>
      <c r="AB26" s="203" t="str">
        <f t="shared" ref="AB26:AB49" si="15">Z26&amp;AA26</f>
        <v>Bought 1 Shares of State 1 at a cost of 48Bought 1 Shares of State 2 at a cost of 48</v>
      </c>
    </row>
    <row r="27" spans="2:34" s="7" customFormat="1" ht="18.75" x14ac:dyDescent="0.3">
      <c r="C27" s="21" t="s">
        <v>112</v>
      </c>
      <c r="D27" s="25">
        <v>3</v>
      </c>
      <c r="E27" s="276">
        <v>1</v>
      </c>
      <c r="F27" s="275">
        <v>2</v>
      </c>
      <c r="G27" s="274">
        <v>1</v>
      </c>
      <c r="H27" s="273">
        <v>2</v>
      </c>
      <c r="I27" s="272">
        <f t="shared" si="0"/>
        <v>0.21891174955710094</v>
      </c>
      <c r="J27" s="271">
        <f t="shared" si="1"/>
        <v>0.28108825044289909</v>
      </c>
      <c r="K27" s="270">
        <f t="shared" si="2"/>
        <v>0.21891174955710094</v>
      </c>
      <c r="L27" s="269">
        <f t="shared" si="3"/>
        <v>0.28108825044289909</v>
      </c>
      <c r="M27" s="260">
        <f>(I27*$E$7)</f>
        <v>10.507763978740845</v>
      </c>
      <c r="N27" s="259">
        <f t="shared" si="5"/>
        <v>13.492236021259156</v>
      </c>
      <c r="O27" s="258">
        <f>(K27*$E$7)</f>
        <v>10.507763978740845</v>
      </c>
      <c r="P27" s="257">
        <f>(L27*$E$7)</f>
        <v>13.492236021259156</v>
      </c>
      <c r="Q27" s="211">
        <f>O27+$E$5</f>
        <v>12.507763978740845</v>
      </c>
      <c r="R27" s="216">
        <f t="shared" si="8"/>
        <v>15.492236021259156</v>
      </c>
      <c r="S27" s="91">
        <f t="shared" si="10"/>
        <v>339.66462728424744</v>
      </c>
      <c r="T27" s="49">
        <f t="shared" si="11"/>
        <v>25.496109949228469</v>
      </c>
      <c r="U27" s="219"/>
      <c r="V27" s="129">
        <f>E27-E26</f>
        <v>0</v>
      </c>
      <c r="W27" s="113">
        <f>H27-H26</f>
        <v>1</v>
      </c>
      <c r="X27" s="200">
        <f t="shared" si="12"/>
        <v>25.496109949228469</v>
      </c>
      <c r="Z27" s="7" t="str">
        <f t="shared" si="13"/>
        <v/>
      </c>
      <c r="AA27" s="7" t="str">
        <f t="shared" si="14"/>
        <v>Bought 1 Shares of State 2 at a cost of 25.49611</v>
      </c>
      <c r="AB27" s="203" t="str">
        <f t="shared" si="15"/>
        <v>Bought 1 Shares of State 2 at a cost of 25.49611</v>
      </c>
    </row>
    <row r="28" spans="2:34" s="7" customFormat="1" ht="18.75" x14ac:dyDescent="0.3">
      <c r="C28" s="21"/>
      <c r="D28" s="25">
        <v>4</v>
      </c>
      <c r="E28" s="276">
        <v>1.1692164012828186</v>
      </c>
      <c r="F28" s="275">
        <v>2.1692164012828186</v>
      </c>
      <c r="G28" s="274">
        <v>1.1543542860897125</v>
      </c>
      <c r="H28" s="273">
        <v>2.1543542860897125</v>
      </c>
      <c r="I28" s="272">
        <f t="shared" si="0"/>
        <v>0.21931843554411776</v>
      </c>
      <c r="J28" s="271">
        <f t="shared" si="1"/>
        <v>0.28161044558683934</v>
      </c>
      <c r="K28" s="270">
        <f t="shared" si="2"/>
        <v>0.21850506357008417</v>
      </c>
      <c r="L28" s="269">
        <f t="shared" si="3"/>
        <v>0.28056605529895873</v>
      </c>
      <c r="M28" s="260">
        <f t="shared" si="4"/>
        <v>10.527284906117652</v>
      </c>
      <c r="N28" s="259">
        <f t="shared" si="5"/>
        <v>13.517301388168288</v>
      </c>
      <c r="O28" s="258">
        <f t="shared" si="6"/>
        <v>10.488243051364041</v>
      </c>
      <c r="P28" s="257">
        <f t="shared" si="7"/>
        <v>13.467170654350019</v>
      </c>
      <c r="Q28" s="211">
        <f t="shared" si="9"/>
        <v>12.488243051364041</v>
      </c>
      <c r="R28" s="216">
        <f t="shared" si="8"/>
        <v>15.467170654350019</v>
      </c>
      <c r="S28" s="91">
        <f t="shared" si="10"/>
        <v>347.43065510469967</v>
      </c>
      <c r="T28" s="49">
        <f>(S28-S27)</f>
        <v>7.7660278204522228</v>
      </c>
      <c r="U28" s="219"/>
      <c r="V28" s="129">
        <f>E28-E27</f>
        <v>0.16921640128281856</v>
      </c>
      <c r="W28" s="113">
        <f>H28-H27</f>
        <v>0.15435428608971247</v>
      </c>
      <c r="X28" s="200">
        <f t="shared" si="12"/>
        <v>7.7660278204522228</v>
      </c>
      <c r="Z28" s="7" t="str">
        <f t="shared" si="13"/>
        <v>Bought 0.169216401282819 Shares of State 1 at a cost of 7.76603</v>
      </c>
      <c r="AA28" s="7" t="str">
        <f t="shared" si="14"/>
        <v>Bought 0.154354286089712 Shares of State 2 at a cost of 7.76603</v>
      </c>
      <c r="AB28" s="203" t="str">
        <f t="shared" si="15"/>
        <v>Bought 0.169216401282819 Shares of State 1 at a cost of 7.76603Bought 0.154354286089712 Shares of State 2 at a cost of 7.76603</v>
      </c>
    </row>
    <row r="29" spans="2:34" s="7" customFormat="1" ht="18.75" x14ac:dyDescent="0.3">
      <c r="C29" s="21"/>
      <c r="D29" s="25">
        <v>5</v>
      </c>
      <c r="E29" s="276">
        <v>1.5104162050182035</v>
      </c>
      <c r="F29" s="275">
        <v>2.5104162050182035</v>
      </c>
      <c r="G29" s="274">
        <v>1.2782178283708414</v>
      </c>
      <c r="H29" s="273">
        <v>2.2782178283708414</v>
      </c>
      <c r="I29" s="272">
        <f t="shared" si="0"/>
        <v>0.225263835018949</v>
      </c>
      <c r="J29" s="271">
        <f t="shared" si="1"/>
        <v>0.28924448962488469</v>
      </c>
      <c r="K29" s="270">
        <f t="shared" si="2"/>
        <v>0.21255966409525284</v>
      </c>
      <c r="L29" s="269">
        <f t="shared" si="3"/>
        <v>0.27293201126091338</v>
      </c>
      <c r="M29" s="260">
        <f t="shared" si="4"/>
        <v>10.812664080909553</v>
      </c>
      <c r="N29" s="259">
        <f t="shared" si="5"/>
        <v>13.883735501994465</v>
      </c>
      <c r="O29" s="258">
        <f t="shared" si="6"/>
        <v>10.202863876572136</v>
      </c>
      <c r="P29" s="257">
        <f t="shared" si="7"/>
        <v>13.100736540523842</v>
      </c>
      <c r="Q29" s="211">
        <f t="shared" si="9"/>
        <v>12.202863876572136</v>
      </c>
      <c r="R29" s="216">
        <f t="shared" si="8"/>
        <v>15.100736540523842</v>
      </c>
      <c r="S29" s="91">
        <f t="shared" si="10"/>
        <v>358.67270686206007</v>
      </c>
      <c r="T29" s="49">
        <f t="shared" ref="T29:T46" si="16">(S29-S28)</f>
        <v>11.2420517573604</v>
      </c>
      <c r="U29" s="219"/>
      <c r="V29" s="129">
        <f>E29-E28</f>
        <v>0.34119980373538494</v>
      </c>
      <c r="W29" s="113">
        <f>H29-H28</f>
        <v>0.12386354228112895</v>
      </c>
      <c r="X29" s="200">
        <f t="shared" si="12"/>
        <v>11.2420517573604</v>
      </c>
      <c r="Z29" s="7" t="str">
        <f t="shared" si="13"/>
        <v>Bought 0.341199803735385 Shares of State 1 at a cost of 11.24205</v>
      </c>
      <c r="AA29" s="7" t="str">
        <f t="shared" si="14"/>
        <v>Bought 0.123863542281129 Shares of State 2 at a cost of 11.24205</v>
      </c>
      <c r="AB29" s="203" t="str">
        <f t="shared" si="15"/>
        <v>Bought 0.341199803735385 Shares of State 1 at a cost of 11.24205Bought 0.123863542281129 Shares of State 2 at a cost of 11.24205</v>
      </c>
    </row>
    <row r="30" spans="2:34" s="7" customFormat="1" ht="18.75" x14ac:dyDescent="0.3">
      <c r="C30" s="21" t="s">
        <v>179</v>
      </c>
      <c r="D30" s="25">
        <v>6</v>
      </c>
      <c r="E30" s="276">
        <v>1.9303055462171903</v>
      </c>
      <c r="F30" s="275">
        <v>2.9303055462171903</v>
      </c>
      <c r="G30" s="274">
        <v>2.6134525019667878</v>
      </c>
      <c r="H30" s="273">
        <v>3.6134525019667878</v>
      </c>
      <c r="I30" s="272">
        <f t="shared" si="0"/>
        <v>0.20026344361279283</v>
      </c>
      <c r="J30" s="271">
        <f t="shared" si="1"/>
        <v>0.25714335163223834</v>
      </c>
      <c r="K30" s="270">
        <f t="shared" si="2"/>
        <v>0.23756005550140913</v>
      </c>
      <c r="L30" s="269">
        <f t="shared" si="3"/>
        <v>0.3050331492535599</v>
      </c>
      <c r="M30" s="260">
        <f t="shared" si="4"/>
        <v>9.6126452934140563</v>
      </c>
      <c r="N30" s="259">
        <f t="shared" si="5"/>
        <v>12.34288087834744</v>
      </c>
      <c r="O30" s="258">
        <f t="shared" si="6"/>
        <v>11.402882664067638</v>
      </c>
      <c r="P30" s="257">
        <f t="shared" si="7"/>
        <v>14.641591164170876</v>
      </c>
      <c r="Q30" s="211">
        <f t="shared" si="9"/>
        <v>13.402882664067638</v>
      </c>
      <c r="R30" s="216">
        <f t="shared" si="8"/>
        <v>16.641591164170876</v>
      </c>
      <c r="S30" s="91">
        <f t="shared" si="10"/>
        <v>401.41400595745552</v>
      </c>
      <c r="T30" s="49">
        <f t="shared" si="16"/>
        <v>42.741299095395448</v>
      </c>
      <c r="U30" s="219"/>
      <c r="V30" s="129">
        <f>E30-E27</f>
        <v>0.9303055462171903</v>
      </c>
      <c r="W30" s="113">
        <f>H30-H27</f>
        <v>1.6134525019667878</v>
      </c>
      <c r="X30" s="200">
        <f t="shared" si="12"/>
        <v>42.741299095395448</v>
      </c>
      <c r="Z30" s="7" t="str">
        <f t="shared" ref="Z30:Z33" si="17">IF(V30&gt;0,"Bought ",IF(V30&lt;0,"Sold ",""))&amp;IF(V30&lt;0,V30*-1,IF(V30&gt;0,V30,""))&amp;IF(V30&lt;&gt;0," Shares of State 1 at a cost of "&amp;ROUND($X30,5),"")</f>
        <v>Bought 0.93030554621719 Shares of State 1 at a cost of 42.7413</v>
      </c>
      <c r="AA30" s="7" t="str">
        <f t="shared" ref="AA30:AA33" si="18">IF(W30&gt;0,"Bought ",IF(W30&lt;0,"Sold ",""))&amp;IF(W30&lt;0,W30*-1,IF(W30&gt;0,W30,""))&amp;IF(W30&lt;&gt;0," Shares of State 2 at a cost of "&amp;ROUND($X30,5),"")</f>
        <v>Bought 1.61345250196679 Shares of State 2 at a cost of 42.7413</v>
      </c>
      <c r="AB30" s="203" t="str">
        <f t="shared" ref="AB30:AB33" si="19">Z30&amp;AA30</f>
        <v>Bought 0.93030554621719 Shares of State 1 at a cost of 42.7413Bought 1.61345250196679 Shares of State 2 at a cost of 42.7413</v>
      </c>
    </row>
    <row r="31" spans="2:34" s="7" customFormat="1" ht="18.75" x14ac:dyDescent="0.3">
      <c r="C31" s="21" t="s">
        <v>179</v>
      </c>
      <c r="D31" s="25">
        <v>7</v>
      </c>
      <c r="E31" s="276">
        <v>2.1501630907937965</v>
      </c>
      <c r="F31" s="275">
        <v>3.1501630907937965</v>
      </c>
      <c r="G31" s="274">
        <v>3.0125751135246941</v>
      </c>
      <c r="H31" s="273">
        <v>4.0125751135246936</v>
      </c>
      <c r="I31" s="272">
        <f t="shared" si="0"/>
        <v>0.19540372702078027</v>
      </c>
      <c r="J31" s="271">
        <f t="shared" si="1"/>
        <v>0.25090335201019509</v>
      </c>
      <c r="K31" s="270">
        <f t="shared" si="2"/>
        <v>0.24241977209342166</v>
      </c>
      <c r="L31" s="269">
        <f t="shared" si="3"/>
        <v>0.31127314887560303</v>
      </c>
      <c r="M31" s="260">
        <f t="shared" si="4"/>
        <v>9.3793788969974532</v>
      </c>
      <c r="N31" s="259">
        <f t="shared" si="5"/>
        <v>12.043360896489364</v>
      </c>
      <c r="O31" s="258">
        <f t="shared" si="6"/>
        <v>11.636149060484239</v>
      </c>
      <c r="P31" s="257">
        <f t="shared" si="7"/>
        <v>14.941111146028945</v>
      </c>
      <c r="Q31" s="211">
        <f t="shared" si="9"/>
        <v>13.636149060484239</v>
      </c>
      <c r="R31" s="216">
        <f t="shared" si="8"/>
        <v>16.941111146028945</v>
      </c>
      <c r="S31" s="91">
        <f t="shared" si="10"/>
        <v>416.6838217828751</v>
      </c>
      <c r="T31" s="49">
        <f t="shared" si="16"/>
        <v>15.269815825419585</v>
      </c>
      <c r="U31" s="219"/>
      <c r="V31" s="129">
        <f>E31-E26</f>
        <v>1.1501630907937965</v>
      </c>
      <c r="W31" s="113">
        <f>H31-H26</f>
        <v>3.0125751135246936</v>
      </c>
      <c r="X31" s="200">
        <f t="shared" si="12"/>
        <v>15.269815825419585</v>
      </c>
      <c r="Z31" s="7" t="str">
        <f t="shared" si="17"/>
        <v>Bought 1.1501630907938 Shares of State 1 at a cost of 15.26982</v>
      </c>
      <c r="AA31" s="7" t="str">
        <f t="shared" si="18"/>
        <v>Bought 3.01257511352469 Shares of State 2 at a cost of 15.26982</v>
      </c>
      <c r="AB31" s="203" t="str">
        <f t="shared" si="19"/>
        <v>Bought 1.1501630907938 Shares of State 1 at a cost of 15.26982Bought 3.01257511352469 Shares of State 2 at a cost of 15.26982</v>
      </c>
    </row>
    <row r="32" spans="2:34" s="7" customFormat="1" ht="18.75" x14ac:dyDescent="0.3">
      <c r="C32" s="21" t="s">
        <v>179</v>
      </c>
      <c r="D32" s="25">
        <v>6</v>
      </c>
      <c r="E32" s="276">
        <v>2.4510353098759161</v>
      </c>
      <c r="F32" s="275">
        <v>3.4510353098759161</v>
      </c>
      <c r="G32" s="274">
        <v>3.4765067433201708</v>
      </c>
      <c r="H32" s="273">
        <v>4.4765067433201704</v>
      </c>
      <c r="I32" s="272">
        <f t="shared" si="0"/>
        <v>0.19100346894480086</v>
      </c>
      <c r="J32" s="271">
        <f t="shared" si="1"/>
        <v>0.24525330880065202</v>
      </c>
      <c r="K32" s="270">
        <f t="shared" si="2"/>
        <v>0.24682003016940104</v>
      </c>
      <c r="L32" s="269">
        <f t="shared" si="3"/>
        <v>0.31692319208514613</v>
      </c>
      <c r="M32" s="260">
        <f t="shared" si="4"/>
        <v>9.1681665093504421</v>
      </c>
      <c r="N32" s="259">
        <f t="shared" si="5"/>
        <v>11.772158822431297</v>
      </c>
      <c r="O32" s="258">
        <f t="shared" si="6"/>
        <v>11.847361448131251</v>
      </c>
      <c r="P32" s="257">
        <f t="shared" si="7"/>
        <v>15.212313220087015</v>
      </c>
      <c r="Q32" s="211">
        <f t="shared" si="9"/>
        <v>13.847361448131251</v>
      </c>
      <c r="R32" s="216">
        <f t="shared" si="8"/>
        <v>17.212313220087015</v>
      </c>
      <c r="S32" s="91">
        <f t="shared" si="10"/>
        <v>435.49872317851191</v>
      </c>
      <c r="T32" s="49">
        <f t="shared" si="16"/>
        <v>18.814901395636809</v>
      </c>
      <c r="U32" s="219"/>
      <c r="V32" s="129">
        <f>E32-E27</f>
        <v>1.4510353098759161</v>
      </c>
      <c r="W32" s="113">
        <f>H32-H27</f>
        <v>2.4765067433201704</v>
      </c>
      <c r="X32" s="200">
        <f t="shared" si="12"/>
        <v>18.814901395636809</v>
      </c>
      <c r="Z32" s="7" t="str">
        <f t="shared" si="17"/>
        <v>Bought 1.45103530987592 Shares of State 1 at a cost of 18.8149</v>
      </c>
      <c r="AA32" s="7" t="str">
        <f t="shared" si="18"/>
        <v>Bought 2.47650674332017 Shares of State 2 at a cost of 18.8149</v>
      </c>
      <c r="AB32" s="203" t="str">
        <f t="shared" si="19"/>
        <v>Bought 1.45103530987592 Shares of State 1 at a cost of 18.8149Bought 2.47650674332017 Shares of State 2 at a cost of 18.8149</v>
      </c>
    </row>
    <row r="33" spans="3:28" s="7" customFormat="1" ht="18.75" x14ac:dyDescent="0.3">
      <c r="C33" s="21" t="s">
        <v>179</v>
      </c>
      <c r="D33" s="25">
        <v>7</v>
      </c>
      <c r="E33" s="276">
        <v>3.0740485134702338</v>
      </c>
      <c r="F33" s="275">
        <v>4.0740485134702338</v>
      </c>
      <c r="G33" s="274">
        <v>4.0660098634360837</v>
      </c>
      <c r="H33" s="273">
        <v>5.0660098634360837</v>
      </c>
      <c r="I33" s="272">
        <f t="shared" si="0"/>
        <v>0.19190601120242443</v>
      </c>
      <c r="J33" s="271">
        <f t="shared" si="1"/>
        <v>0.24641219599907538</v>
      </c>
      <c r="K33" s="270">
        <f t="shared" si="2"/>
        <v>0.24591748791177745</v>
      </c>
      <c r="L33" s="269">
        <f t="shared" si="3"/>
        <v>0.31576430488672264</v>
      </c>
      <c r="M33" s="260">
        <f t="shared" si="4"/>
        <v>9.211488537716372</v>
      </c>
      <c r="N33" s="259">
        <f t="shared" si="5"/>
        <v>11.827785407955618</v>
      </c>
      <c r="O33" s="258">
        <f t="shared" si="6"/>
        <v>11.804039419765317</v>
      </c>
      <c r="P33" s="257">
        <f t="shared" si="7"/>
        <v>15.156686634562686</v>
      </c>
      <c r="Q33" s="211">
        <f t="shared" si="9"/>
        <v>13.804039419765317</v>
      </c>
      <c r="R33" s="216">
        <f t="shared" si="8"/>
        <v>17.156686634562686</v>
      </c>
      <c r="S33" s="91">
        <f t="shared" si="10"/>
        <v>464.49824259182594</v>
      </c>
      <c r="T33" s="49">
        <f t="shared" si="16"/>
        <v>28.999519413314033</v>
      </c>
      <c r="U33" s="219"/>
      <c r="V33" s="129">
        <f>E33-E26</f>
        <v>2.0740485134702338</v>
      </c>
      <c r="W33" s="113">
        <f>H33-H26</f>
        <v>4.0660098634360837</v>
      </c>
      <c r="X33" s="200">
        <f t="shared" si="12"/>
        <v>28.999519413314033</v>
      </c>
      <c r="Z33" s="7" t="str">
        <f t="shared" si="17"/>
        <v>Bought 2.07404851347023 Shares of State 1 at a cost of 28.99952</v>
      </c>
      <c r="AA33" s="7" t="str">
        <f t="shared" si="18"/>
        <v>Bought 4.06600986343608 Shares of State 2 at a cost of 28.99952</v>
      </c>
      <c r="AB33" s="203" t="str">
        <f t="shared" si="19"/>
        <v>Bought 2.07404851347023 Shares of State 1 at a cost of 28.99952Bought 4.06600986343608 Shares of State 2 at a cost of 28.99952</v>
      </c>
    </row>
    <row r="34" spans="3:28" s="7" customFormat="1" ht="18.75" x14ac:dyDescent="0.3">
      <c r="C34" s="21" t="s">
        <v>179</v>
      </c>
      <c r="D34" s="25">
        <v>6</v>
      </c>
      <c r="E34" s="276">
        <v>3.3998650712957863</v>
      </c>
      <c r="F34" s="275">
        <v>4.3998650712957863</v>
      </c>
      <c r="G34" s="274">
        <v>4.4137336305758117</v>
      </c>
      <c r="H34" s="273">
        <v>5.4137336305758117</v>
      </c>
      <c r="I34" s="272">
        <f t="shared" si="0"/>
        <v>0.19131586690080502</v>
      </c>
      <c r="J34" s="271">
        <f t="shared" si="1"/>
        <v>0.24565443571628268</v>
      </c>
      <c r="K34" s="270">
        <f t="shared" si="2"/>
        <v>0.24650763221339692</v>
      </c>
      <c r="L34" s="269">
        <f t="shared" si="3"/>
        <v>0.31652206516951548</v>
      </c>
      <c r="M34" s="260">
        <f t="shared" si="4"/>
        <v>9.1831616112386403</v>
      </c>
      <c r="N34" s="259">
        <f t="shared" si="5"/>
        <v>11.791412914381569</v>
      </c>
      <c r="O34" s="258">
        <f t="shared" si="6"/>
        <v>11.832366346243052</v>
      </c>
      <c r="P34" s="257">
        <f t="shared" si="7"/>
        <v>15.193059128136742</v>
      </c>
      <c r="Q34" s="211">
        <f t="shared" si="9"/>
        <v>13.832366346243052</v>
      </c>
      <c r="R34" s="216">
        <f t="shared" si="8"/>
        <v>17.193059128136742</v>
      </c>
      <c r="S34" s="91">
        <f t="shared" si="10"/>
        <v>480.72878040893073</v>
      </c>
      <c r="T34" s="49">
        <f t="shared" si="16"/>
        <v>16.230537817104789</v>
      </c>
      <c r="U34" s="219"/>
      <c r="V34" s="129">
        <f>E34-E29</f>
        <v>1.8894488662775828</v>
      </c>
      <c r="W34" s="113">
        <f>H34-H29</f>
        <v>3.1355158022049703</v>
      </c>
      <c r="X34" s="200">
        <f t="shared" si="12"/>
        <v>16.230537817104789</v>
      </c>
      <c r="Z34" s="7" t="str">
        <f t="shared" si="13"/>
        <v>Bought 1.88944886627758 Shares of State 1 at a cost of 16.23054</v>
      </c>
      <c r="AA34" s="7" t="str">
        <f t="shared" si="14"/>
        <v>Bought 3.13551580220497 Shares of State 2 at a cost of 16.23054</v>
      </c>
      <c r="AB34" s="203" t="str">
        <f t="shared" si="15"/>
        <v>Bought 1.88944886627758 Shares of State 1 at a cost of 16.23054Bought 3.13551580220497 Shares of State 2 at a cost of 16.23054</v>
      </c>
    </row>
    <row r="35" spans="3:28" s="7" customFormat="1" ht="18.75" x14ac:dyDescent="0.3">
      <c r="C35" s="21" t="s">
        <v>179</v>
      </c>
      <c r="D35" s="25">
        <v>7</v>
      </c>
      <c r="E35" s="276">
        <v>3.8469135712387743</v>
      </c>
      <c r="F35" s="275">
        <v>4.8469135712387743</v>
      </c>
      <c r="G35" s="274">
        <v>5.0586155449840549</v>
      </c>
      <c r="H35" s="273">
        <v>6.0586155449840549</v>
      </c>
      <c r="I35" s="272">
        <f t="shared" si="0"/>
        <v>0.18600602038949593</v>
      </c>
      <c r="J35" s="271">
        <f t="shared" si="1"/>
        <v>0.23883645783705104</v>
      </c>
      <c r="K35" s="270">
        <f t="shared" si="2"/>
        <v>0.25181747872470595</v>
      </c>
      <c r="L35" s="269">
        <f t="shared" si="3"/>
        <v>0.32334004304874703</v>
      </c>
      <c r="M35" s="260">
        <f t="shared" si="4"/>
        <v>8.9282889786958037</v>
      </c>
      <c r="N35" s="259">
        <f t="shared" si="5"/>
        <v>11.464149976178451</v>
      </c>
      <c r="O35" s="258">
        <f t="shared" si="6"/>
        <v>12.087238978785885</v>
      </c>
      <c r="P35" s="257">
        <f t="shared" si="7"/>
        <v>15.520322066339858</v>
      </c>
      <c r="Q35" s="211">
        <f t="shared" si="9"/>
        <v>14.087238978785885</v>
      </c>
      <c r="R35" s="216">
        <f t="shared" si="8"/>
        <v>17.520322066339858</v>
      </c>
      <c r="S35" s="91">
        <f t="shared" si="10"/>
        <v>507.59128913606207</v>
      </c>
      <c r="T35" s="49">
        <f t="shared" si="16"/>
        <v>26.862508727131342</v>
      </c>
      <c r="U35" s="219"/>
      <c r="V35" s="129">
        <f>E35-E28</f>
        <v>2.6776971699559557</v>
      </c>
      <c r="W35" s="113">
        <f>H35-H28</f>
        <v>3.9042612588943424</v>
      </c>
      <c r="X35" s="200">
        <f t="shared" si="12"/>
        <v>26.862508727131342</v>
      </c>
      <c r="Z35" s="7" t="str">
        <f t="shared" ref="Z35:Z41" si="20">IF(V35&gt;0,"Bought ",IF(V35&lt;0,"Sold ",""))&amp;IF(V35&lt;0,V35*-1,IF(V35&gt;0,V35,""))&amp;IF(V35&lt;&gt;0," Shares of State 1 at a cost of "&amp;ROUND($X35,5),"")</f>
        <v>Bought 2.67769716995596 Shares of State 1 at a cost of 26.86251</v>
      </c>
      <c r="AA35" s="7" t="str">
        <f t="shared" ref="AA35:AA41" si="21">IF(W35&gt;0,"Bought ",IF(W35&lt;0,"Sold ",""))&amp;IF(W35&lt;0,W35*-1,IF(W35&gt;0,W35,""))&amp;IF(W35&lt;&gt;0," Shares of State 2 at a cost of "&amp;ROUND($X35,5),"")</f>
        <v>Bought 3.90426125889434 Shares of State 2 at a cost of 26.86251</v>
      </c>
      <c r="AB35" s="203" t="str">
        <f t="shared" ref="AB35:AB41" si="22">Z35&amp;AA35</f>
        <v>Bought 2.67769716995596 Shares of State 1 at a cost of 26.86251Bought 3.90426125889434 Shares of State 2 at a cost of 26.86251</v>
      </c>
    </row>
    <row r="36" spans="3:28" s="7" customFormat="1" ht="18.75" x14ac:dyDescent="0.3">
      <c r="C36" s="21" t="s">
        <v>179</v>
      </c>
      <c r="D36" s="25">
        <v>8</v>
      </c>
      <c r="E36" s="276">
        <v>4.2309480985953387</v>
      </c>
      <c r="F36" s="275">
        <v>5.2309480985953387</v>
      </c>
      <c r="G36" s="274">
        <v>5.6383161053180268</v>
      </c>
      <c r="H36" s="273">
        <v>6.6383161053180268</v>
      </c>
      <c r="I36" s="272">
        <f t="shared" si="0"/>
        <v>0.18079300205641774</v>
      </c>
      <c r="J36" s="271">
        <f t="shared" si="1"/>
        <v>0.23214280979971949</v>
      </c>
      <c r="K36" s="270">
        <f t="shared" si="2"/>
        <v>0.25703049705778414</v>
      </c>
      <c r="L36" s="269">
        <f t="shared" si="3"/>
        <v>0.33003369108607861</v>
      </c>
      <c r="M36" s="260">
        <f t="shared" si="4"/>
        <v>8.6780640987080524</v>
      </c>
      <c r="N36" s="259">
        <f t="shared" si="5"/>
        <v>11.142854870386536</v>
      </c>
      <c r="O36" s="258">
        <f t="shared" si="6"/>
        <v>12.337463858773638</v>
      </c>
      <c r="P36" s="257">
        <f t="shared" si="7"/>
        <v>15.841617172131773</v>
      </c>
      <c r="Q36" s="211">
        <f t="shared" si="9"/>
        <v>14.337463858773638</v>
      </c>
      <c r="R36" s="216">
        <f t="shared" si="8"/>
        <v>17.841617172131773</v>
      </c>
      <c r="S36" s="91">
        <f t="shared" si="10"/>
        <v>531.48279587753041</v>
      </c>
      <c r="T36" s="49">
        <f t="shared" si="16"/>
        <v>23.891506741468334</v>
      </c>
      <c r="U36" s="219"/>
      <c r="V36" s="129">
        <f>E36-E27</f>
        <v>3.2309480985953387</v>
      </c>
      <c r="W36" s="113">
        <f>H36-H27</f>
        <v>4.6383161053180268</v>
      </c>
      <c r="X36" s="200">
        <f t="shared" si="12"/>
        <v>23.891506741468334</v>
      </c>
      <c r="Z36" s="7" t="str">
        <f t="shared" si="20"/>
        <v>Bought 3.23094809859534 Shares of State 1 at a cost of 23.89151</v>
      </c>
      <c r="AA36" s="7" t="str">
        <f t="shared" si="21"/>
        <v>Bought 4.63831610531803 Shares of State 2 at a cost of 23.89151</v>
      </c>
      <c r="AB36" s="203" t="str">
        <f t="shared" si="22"/>
        <v>Bought 3.23094809859534 Shares of State 1 at a cost of 23.89151Bought 4.63831610531803 Shares of State 2 at a cost of 23.89151</v>
      </c>
    </row>
    <row r="37" spans="3:28" s="7" customFormat="1" ht="18.75" x14ac:dyDescent="0.3">
      <c r="C37" s="21" t="s">
        <v>179</v>
      </c>
      <c r="D37" s="25">
        <v>9</v>
      </c>
      <c r="E37" s="276">
        <v>5.104173288991448</v>
      </c>
      <c r="F37" s="275">
        <v>6.104173288991448</v>
      </c>
      <c r="G37" s="274">
        <v>6.0780072464130077</v>
      </c>
      <c r="H37" s="273">
        <v>7.0780072464130077</v>
      </c>
      <c r="I37" s="272">
        <f t="shared" si="0"/>
        <v>0.1923946353725654</v>
      </c>
      <c r="J37" s="271">
        <f t="shared" si="1"/>
        <v>0.24703960185274434</v>
      </c>
      <c r="K37" s="270">
        <f t="shared" si="2"/>
        <v>0.24542886374163644</v>
      </c>
      <c r="L37" s="269">
        <f t="shared" si="3"/>
        <v>0.31513689903305364</v>
      </c>
      <c r="M37" s="260">
        <f t="shared" si="4"/>
        <v>9.2349424978831394</v>
      </c>
      <c r="N37" s="259">
        <f t="shared" si="5"/>
        <v>11.857900888931729</v>
      </c>
      <c r="O37" s="258">
        <f t="shared" si="6"/>
        <v>11.78058545959855</v>
      </c>
      <c r="P37" s="257">
        <f t="shared" si="7"/>
        <v>15.126571153586575</v>
      </c>
      <c r="Q37" s="211">
        <f t="shared" si="9"/>
        <v>13.78058545959855</v>
      </c>
      <c r="R37" s="216">
        <f t="shared" si="8"/>
        <v>17.126571153586575</v>
      </c>
      <c r="S37" s="91">
        <f t="shared" si="10"/>
        <v>561.45598964469048</v>
      </c>
      <c r="T37" s="49">
        <f t="shared" si="16"/>
        <v>29.973193767160069</v>
      </c>
      <c r="U37" s="219"/>
      <c r="V37" s="129">
        <f>E37-E29</f>
        <v>3.5937570839732444</v>
      </c>
      <c r="W37" s="113">
        <f>H37-H29</f>
        <v>4.7997894180421667</v>
      </c>
      <c r="X37" s="200">
        <f t="shared" si="12"/>
        <v>29.973193767160069</v>
      </c>
      <c r="Z37" s="7" t="str">
        <f t="shared" ref="Z37:Z39" si="23">IF(V37&gt;0,"Bought ",IF(V37&lt;0,"Sold ",""))&amp;IF(V37&lt;0,V37*-1,IF(V37&gt;0,V37,""))&amp;IF(V37&lt;&gt;0," Shares of State 1 at a cost of "&amp;ROUND($X37,5),"")</f>
        <v>Bought 3.59375708397324 Shares of State 1 at a cost of 29.97319</v>
      </c>
      <c r="AA37" s="7" t="str">
        <f t="shared" ref="AA37:AA39" si="24">IF(W37&gt;0,"Bought ",IF(W37&lt;0,"Sold ",""))&amp;IF(W37&lt;0,W37*-1,IF(W37&gt;0,W37,""))&amp;IF(W37&lt;&gt;0," Shares of State 2 at a cost of "&amp;ROUND($X37,5),"")</f>
        <v>Bought 4.79978941804217 Shares of State 2 at a cost of 29.97319</v>
      </c>
      <c r="AB37" s="203" t="str">
        <f t="shared" ref="AB37:AB39" si="25">Z37&amp;AA37</f>
        <v>Bought 3.59375708397324 Shares of State 1 at a cost of 29.97319Bought 4.79978941804217 Shares of State 2 at a cost of 29.97319</v>
      </c>
    </row>
    <row r="38" spans="3:28" s="7" customFormat="1" ht="18.75" x14ac:dyDescent="0.3">
      <c r="C38" s="21" t="s">
        <v>179</v>
      </c>
      <c r="D38" s="25">
        <v>10</v>
      </c>
      <c r="E38" s="276">
        <v>5.987108250167636</v>
      </c>
      <c r="F38" s="275">
        <v>6.987108250167636</v>
      </c>
      <c r="G38" s="274">
        <v>6.3196156547653608</v>
      </c>
      <c r="H38" s="273">
        <v>7.3196156547653608</v>
      </c>
      <c r="I38" s="272">
        <f t="shared" si="0"/>
        <v>0.20981826313219692</v>
      </c>
      <c r="J38" s="271">
        <f t="shared" si="1"/>
        <v>0.26941198274701733</v>
      </c>
      <c r="K38" s="270">
        <f t="shared" si="2"/>
        <v>0.22800523598200501</v>
      </c>
      <c r="L38" s="269">
        <f t="shared" si="3"/>
        <v>0.29276451813878085</v>
      </c>
      <c r="M38" s="260">
        <f t="shared" si="4"/>
        <v>10.071276630345452</v>
      </c>
      <c r="N38" s="259">
        <f t="shared" si="5"/>
        <v>12.931775171856831</v>
      </c>
      <c r="O38" s="258">
        <f t="shared" si="6"/>
        <v>10.944251327136239</v>
      </c>
      <c r="P38" s="257">
        <f t="shared" si="7"/>
        <v>14.052696870661482</v>
      </c>
      <c r="Q38" s="211">
        <f t="shared" si="9"/>
        <v>12.944251327136239</v>
      </c>
      <c r="R38" s="216">
        <f t="shared" si="8"/>
        <v>16.052696870661482</v>
      </c>
      <c r="S38" s="91">
        <f t="shared" si="10"/>
        <v>587.19179503667874</v>
      </c>
      <c r="T38" s="49">
        <f t="shared" si="16"/>
        <v>25.735805391988265</v>
      </c>
      <c r="U38" s="219"/>
      <c r="V38" s="129">
        <f>E38-E28</f>
        <v>4.8178918488848179</v>
      </c>
      <c r="W38" s="113">
        <f>H38-H28</f>
        <v>5.1652613686756483</v>
      </c>
      <c r="X38" s="200">
        <f t="shared" si="12"/>
        <v>25.735805391988265</v>
      </c>
      <c r="Z38" s="7" t="str">
        <f t="shared" si="23"/>
        <v>Bought 4.81789184888482 Shares of State 1 at a cost of 25.73581</v>
      </c>
      <c r="AA38" s="7" t="str">
        <f t="shared" si="24"/>
        <v>Bought 5.16526136867565 Shares of State 2 at a cost of 25.73581</v>
      </c>
      <c r="AB38" s="203" t="str">
        <f t="shared" si="25"/>
        <v>Bought 4.81789184888482 Shares of State 1 at a cost of 25.73581Bought 5.16526136867565 Shares of State 2 at a cost of 25.73581</v>
      </c>
    </row>
    <row r="39" spans="3:28" s="7" customFormat="1" ht="18.75" x14ac:dyDescent="0.3">
      <c r="C39" s="21" t="s">
        <v>179</v>
      </c>
      <c r="D39" s="25">
        <v>11</v>
      </c>
      <c r="E39" s="276">
        <v>6.0564533420657778</v>
      </c>
      <c r="F39" s="275">
        <v>7.0564533420657778</v>
      </c>
      <c r="G39" s="274">
        <v>6.7440710564593589</v>
      </c>
      <c r="H39" s="273">
        <v>7.7440710564593589</v>
      </c>
      <c r="I39" s="272">
        <f t="shared" si="0"/>
        <v>0.20014199947829309</v>
      </c>
      <c r="J39" s="271">
        <f t="shared" si="1"/>
        <v>0.25698741427683297</v>
      </c>
      <c r="K39" s="270">
        <f t="shared" si="2"/>
        <v>0.23768149963590884</v>
      </c>
      <c r="L39" s="269">
        <f t="shared" si="3"/>
        <v>0.3051890866089651</v>
      </c>
      <c r="M39" s="260">
        <f t="shared" si="4"/>
        <v>9.6068159749580673</v>
      </c>
      <c r="N39" s="259">
        <f t="shared" si="5"/>
        <v>12.335395885287983</v>
      </c>
      <c r="O39" s="258">
        <f t="shared" si="6"/>
        <v>11.408711982523624</v>
      </c>
      <c r="P39" s="257">
        <f t="shared" si="7"/>
        <v>14.649076157230326</v>
      </c>
      <c r="Q39" s="211">
        <f t="shared" si="9"/>
        <v>13.408711982523624</v>
      </c>
      <c r="R39" s="216">
        <f t="shared" si="8"/>
        <v>16.649076157230326</v>
      </c>
      <c r="S39" s="91">
        <f t="shared" si="10"/>
        <v>599.58556847769387</v>
      </c>
      <c r="T39" s="49">
        <f t="shared" si="16"/>
        <v>12.393773441015128</v>
      </c>
      <c r="U39" s="219"/>
      <c r="V39" s="129">
        <f>E39-E27</f>
        <v>5.0564533420657778</v>
      </c>
      <c r="W39" s="113">
        <f>H39-H27</f>
        <v>5.7440710564593589</v>
      </c>
      <c r="X39" s="200">
        <f t="shared" si="12"/>
        <v>12.393773441015128</v>
      </c>
      <c r="Z39" s="7" t="str">
        <f t="shared" si="23"/>
        <v>Bought 5.05645334206578 Shares of State 1 at a cost of 12.39377</v>
      </c>
      <c r="AA39" s="7" t="str">
        <f t="shared" si="24"/>
        <v>Bought 5.74407105645936 Shares of State 2 at a cost of 12.39377</v>
      </c>
      <c r="AB39" s="203" t="str">
        <f t="shared" si="25"/>
        <v>Bought 5.05645334206578 Shares of State 1 at a cost of 12.39377Bought 5.74407105645936 Shares of State 2 at a cost of 12.39377</v>
      </c>
    </row>
    <row r="40" spans="3:28" s="7" customFormat="1" ht="18.75" x14ac:dyDescent="0.3">
      <c r="C40" s="21" t="s">
        <v>179</v>
      </c>
      <c r="D40" s="25">
        <v>9</v>
      </c>
      <c r="E40" s="276">
        <v>6.3154640072960584</v>
      </c>
      <c r="F40" s="275">
        <v>7.3154640072960584</v>
      </c>
      <c r="G40" s="274">
        <v>7.8017005353667326</v>
      </c>
      <c r="H40" s="273">
        <v>8.8017005353667326</v>
      </c>
      <c r="I40" s="272">
        <f t="shared" si="0"/>
        <v>0.17870393696700715</v>
      </c>
      <c r="J40" s="271">
        <f t="shared" si="1"/>
        <v>0.22946039712780128</v>
      </c>
      <c r="K40" s="270">
        <f t="shared" si="2"/>
        <v>0.25911956214719473</v>
      </c>
      <c r="L40" s="269">
        <f t="shared" si="3"/>
        <v>0.33271610375799682</v>
      </c>
      <c r="M40" s="260">
        <f t="shared" si="4"/>
        <v>8.5777889744163431</v>
      </c>
      <c r="N40" s="259">
        <f t="shared" si="5"/>
        <v>11.014099062134461</v>
      </c>
      <c r="O40" s="258">
        <f t="shared" si="6"/>
        <v>12.437738983065348</v>
      </c>
      <c r="P40" s="257">
        <f t="shared" si="7"/>
        <v>15.970372980383846</v>
      </c>
      <c r="Q40" s="211">
        <f t="shared" si="9"/>
        <v>14.437738983065348</v>
      </c>
      <c r="R40" s="216">
        <f t="shared" si="8"/>
        <v>17.970372980383846</v>
      </c>
      <c r="S40" s="91">
        <f t="shared" si="10"/>
        <v>633.77103892428318</v>
      </c>
      <c r="T40" s="49">
        <f t="shared" si="16"/>
        <v>34.185470446589306</v>
      </c>
      <c r="U40" s="219"/>
      <c r="V40" s="129">
        <f>E40-E36</f>
        <v>2.0845159087007197</v>
      </c>
      <c r="W40" s="113">
        <f>H40-H36</f>
        <v>2.1633844300487057</v>
      </c>
      <c r="X40" s="200">
        <f t="shared" si="12"/>
        <v>34.185470446589306</v>
      </c>
      <c r="Z40" s="7" t="str">
        <f t="shared" si="20"/>
        <v>Bought 2.08451590870072 Shares of State 1 at a cost of 34.18547</v>
      </c>
      <c r="AA40" s="7" t="str">
        <f t="shared" si="21"/>
        <v>Bought 2.16338443004871 Shares of State 2 at a cost of 34.18547</v>
      </c>
      <c r="AB40" s="203" t="str">
        <f t="shared" si="22"/>
        <v>Bought 2.08451590870072 Shares of State 1 at a cost of 34.18547Bought 2.16338443004871 Shares of State 2 at a cost of 34.18547</v>
      </c>
    </row>
    <row r="41" spans="3:28" s="7" customFormat="1" ht="18.75" x14ac:dyDescent="0.3">
      <c r="C41" s="21" t="s">
        <v>179</v>
      </c>
      <c r="D41" s="25">
        <v>10</v>
      </c>
      <c r="E41" s="276">
        <v>7.3968440818678882</v>
      </c>
      <c r="F41" s="275">
        <v>8.3968440818678882</v>
      </c>
      <c r="G41" s="274">
        <v>13.022131281540727</v>
      </c>
      <c r="H41" s="273">
        <v>14.022131281540727</v>
      </c>
      <c r="I41" s="272">
        <f t="shared" si="0"/>
        <v>8.6170167772874354E-2</v>
      </c>
      <c r="J41" s="271">
        <f t="shared" si="1"/>
        <v>0.11064468558061759</v>
      </c>
      <c r="K41" s="270">
        <f t="shared" si="2"/>
        <v>0.35165333134132748</v>
      </c>
      <c r="L41" s="269">
        <f t="shared" si="3"/>
        <v>0.4515318153051805</v>
      </c>
      <c r="M41" s="260">
        <f t="shared" si="4"/>
        <v>4.1361680530979692</v>
      </c>
      <c r="N41" s="259">
        <f t="shared" si="5"/>
        <v>5.3109449078696445</v>
      </c>
      <c r="O41" s="258">
        <f t="shared" si="6"/>
        <v>16.879359904383719</v>
      </c>
      <c r="P41" s="257">
        <f t="shared" si="7"/>
        <v>21.673527134648666</v>
      </c>
      <c r="Q41" s="211">
        <f t="shared" si="9"/>
        <v>18.879359904383719</v>
      </c>
      <c r="R41" s="216">
        <f t="shared" si="8"/>
        <v>23.673527134648666</v>
      </c>
      <c r="S41" s="91">
        <f t="shared" si="10"/>
        <v>825.72331453452875</v>
      </c>
      <c r="T41" s="49">
        <f t="shared" si="16"/>
        <v>191.95227561024558</v>
      </c>
      <c r="U41" s="219"/>
      <c r="V41" s="129">
        <f>E41-E35</f>
        <v>3.5499305106291139</v>
      </c>
      <c r="W41" s="113">
        <f>H41-H35</f>
        <v>7.9635157365566718</v>
      </c>
      <c r="X41" s="200">
        <f t="shared" si="12"/>
        <v>191.95227561024558</v>
      </c>
      <c r="Z41" s="7" t="str">
        <f t="shared" si="20"/>
        <v>Bought 3.54993051062911 Shares of State 1 at a cost of 191.95228</v>
      </c>
      <c r="AA41" s="7" t="str">
        <f t="shared" si="21"/>
        <v>Bought 7.96351573655667 Shares of State 2 at a cost of 191.95228</v>
      </c>
      <c r="AB41" s="203" t="str">
        <f t="shared" si="22"/>
        <v>Bought 3.54993051062911 Shares of State 1 at a cost of 191.95228Bought 7.96351573655667 Shares of State 2 at a cost of 191.95228</v>
      </c>
    </row>
    <row r="42" spans="3:28" s="7" customFormat="1" ht="18.75" x14ac:dyDescent="0.3">
      <c r="C42" s="21" t="s">
        <v>179</v>
      </c>
      <c r="D42" s="25">
        <v>11</v>
      </c>
      <c r="E42" s="276">
        <v>8.7852155419080447</v>
      </c>
      <c r="F42" s="275">
        <v>9.7852155419080447</v>
      </c>
      <c r="G42" s="274">
        <v>13.154740372352904</v>
      </c>
      <c r="H42" s="273">
        <v>14.154740372352904</v>
      </c>
      <c r="I42" s="272">
        <f t="shared" si="0"/>
        <v>0.10996819251519151</v>
      </c>
      <c r="J42" s="271">
        <f t="shared" si="1"/>
        <v>0.14120195421671652</v>
      </c>
      <c r="K42" s="270">
        <f t="shared" si="2"/>
        <v>0.32785530659901041</v>
      </c>
      <c r="L42" s="269">
        <f t="shared" si="3"/>
        <v>0.42097454666908157</v>
      </c>
      <c r="M42" s="260">
        <f t="shared" si="4"/>
        <v>5.2784732407291921</v>
      </c>
      <c r="N42" s="259">
        <f t="shared" si="5"/>
        <v>6.7776938024023927</v>
      </c>
      <c r="O42" s="258">
        <f t="shared" si="6"/>
        <v>15.7370547167525</v>
      </c>
      <c r="P42" s="257">
        <f t="shared" si="7"/>
        <v>20.206778240115916</v>
      </c>
      <c r="Q42" s="211">
        <f t="shared" si="9"/>
        <v>17.7370547167525</v>
      </c>
      <c r="R42" s="216">
        <f t="shared" si="8"/>
        <v>22.206778240115916</v>
      </c>
      <c r="S42" s="91">
        <f t="shared" si="10"/>
        <v>845.54265589133706</v>
      </c>
      <c r="T42" s="49">
        <f t="shared" si="16"/>
        <v>19.819341356808309</v>
      </c>
      <c r="U42" s="219"/>
      <c r="V42" s="129">
        <f>E42-E34</f>
        <v>5.3853504706122584</v>
      </c>
      <c r="W42" s="113">
        <f>H42-H34</f>
        <v>8.7410067417770918</v>
      </c>
      <c r="X42" s="200">
        <f t="shared" si="12"/>
        <v>19.819341356808309</v>
      </c>
      <c r="Z42" s="7" t="str">
        <f t="shared" si="13"/>
        <v>Bought 5.38535047061226 Shares of State 1 at a cost of 19.81934</v>
      </c>
      <c r="AA42" s="7" t="str">
        <f t="shared" si="14"/>
        <v>Bought 8.74100674177709 Shares of State 2 at a cost of 19.81934</v>
      </c>
      <c r="AB42" s="203" t="str">
        <f t="shared" si="15"/>
        <v>Bought 5.38535047061226 Shares of State 1 at a cost of 19.81934Bought 8.74100674177709 Shares of State 2 at a cost of 19.81934</v>
      </c>
    </row>
    <row r="43" spans="3:28" s="7" customFormat="1" ht="18.75" x14ac:dyDescent="0.3">
      <c r="C43" s="21" t="s">
        <v>179</v>
      </c>
      <c r="D43" s="25">
        <v>12</v>
      </c>
      <c r="E43" s="276">
        <v>9.3858670428309061</v>
      </c>
      <c r="F43" s="275">
        <v>10.385867042830906</v>
      </c>
      <c r="G43" s="274">
        <v>13.868111047852677</v>
      </c>
      <c r="H43" s="273">
        <v>14.868111047852677</v>
      </c>
      <c r="I43" s="272">
        <f t="shared" si="0"/>
        <v>0.10766396757663846</v>
      </c>
      <c r="J43" s="271">
        <f t="shared" si="1"/>
        <v>0.13824327082984866</v>
      </c>
      <c r="K43" s="270">
        <f t="shared" si="2"/>
        <v>0.33015953153756339</v>
      </c>
      <c r="L43" s="269">
        <f t="shared" si="3"/>
        <v>0.42393323005594946</v>
      </c>
      <c r="M43" s="260">
        <f t="shared" si="4"/>
        <v>5.1678704436786465</v>
      </c>
      <c r="N43" s="259">
        <f t="shared" si="5"/>
        <v>6.6356769998327358</v>
      </c>
      <c r="O43" s="258">
        <f t="shared" si="6"/>
        <v>15.847657513803043</v>
      </c>
      <c r="P43" s="257">
        <f t="shared" si="7"/>
        <v>20.348795042685573</v>
      </c>
      <c r="Q43" s="211">
        <f t="shared" si="9"/>
        <v>17.847657513803043</v>
      </c>
      <c r="R43" s="216">
        <f t="shared" si="8"/>
        <v>22.348795042685573</v>
      </c>
      <c r="S43" s="91">
        <f t="shared" si="10"/>
        <v>878.43975828425835</v>
      </c>
      <c r="T43" s="49">
        <f t="shared" si="16"/>
        <v>32.897102392921283</v>
      </c>
      <c r="U43" s="219"/>
      <c r="V43" s="129">
        <f>E43-E42</f>
        <v>0.60065150092286146</v>
      </c>
      <c r="W43" s="113">
        <f>H43-H42</f>
        <v>0.71337067549977284</v>
      </c>
      <c r="X43" s="200">
        <f t="shared" si="12"/>
        <v>32.897102392921283</v>
      </c>
      <c r="Z43" s="7" t="str">
        <f t="shared" ref="Z43:Z44" si="26">IF(V43&gt;0,"Bought ",IF(V43&lt;0,"Sold ",""))&amp;IF(V43&lt;0,V43*-1,IF(V43&gt;0,V43,""))&amp;IF(V43&lt;&gt;0," Shares of State 1 at a cost of "&amp;ROUND($X43,5),"")</f>
        <v>Bought 0.600651500922861 Shares of State 1 at a cost of 32.8971</v>
      </c>
      <c r="AA43" s="7" t="str">
        <f t="shared" ref="AA43:AA44" si="27">IF(W43&gt;0,"Bought ",IF(W43&lt;0,"Sold ",""))&amp;IF(W43&lt;0,W43*-1,IF(W43&gt;0,W43,""))&amp;IF(W43&lt;&gt;0," Shares of State 2 at a cost of "&amp;ROUND($X43,5),"")</f>
        <v>Bought 0.713370675499773 Shares of State 2 at a cost of 32.8971</v>
      </c>
      <c r="AB43" s="203" t="str">
        <f t="shared" ref="AB43:AB44" si="28">Z43&amp;AA43</f>
        <v>Bought 0.600651500922861 Shares of State 1 at a cost of 32.8971Bought 0.713370675499773 Shares of State 2 at a cost of 32.8971</v>
      </c>
    </row>
    <row r="44" spans="3:28" s="7" customFormat="1" ht="18.75" x14ac:dyDescent="0.3">
      <c r="C44" s="21" t="s">
        <v>179</v>
      </c>
      <c r="D44" s="25">
        <v>13</v>
      </c>
      <c r="E44" s="276">
        <v>9.4936986411330846</v>
      </c>
      <c r="F44" s="275">
        <v>10.493698641133085</v>
      </c>
      <c r="G44" s="274">
        <v>15.604490705269127</v>
      </c>
      <c r="H44" s="273">
        <v>16.604490705269129</v>
      </c>
      <c r="I44" s="272">
        <f t="shared" si="0"/>
        <v>7.8077389990765328E-2</v>
      </c>
      <c r="J44" s="271">
        <f t="shared" si="1"/>
        <v>0.10025335321678375</v>
      </c>
      <c r="K44" s="270">
        <f t="shared" si="2"/>
        <v>0.35974610912343652</v>
      </c>
      <c r="L44" s="269">
        <f t="shared" si="3"/>
        <v>0.46192314766901443</v>
      </c>
      <c r="M44" s="260">
        <f t="shared" si="4"/>
        <v>3.7477147195567357</v>
      </c>
      <c r="N44" s="259">
        <f t="shared" si="5"/>
        <v>4.8121609544056199</v>
      </c>
      <c r="O44" s="258">
        <f t="shared" si="6"/>
        <v>17.267813237924955</v>
      </c>
      <c r="P44" s="257">
        <f t="shared" si="7"/>
        <v>22.172311088112693</v>
      </c>
      <c r="Q44" s="211">
        <f t="shared" si="9"/>
        <v>19.267813237924955</v>
      </c>
      <c r="R44" s="216">
        <f t="shared" si="8"/>
        <v>24.172311088112693</v>
      </c>
      <c r="S44" s="91">
        <f t="shared" si="10"/>
        <v>945.30804961759645</v>
      </c>
      <c r="T44" s="49">
        <f t="shared" si="16"/>
        <v>66.868291333338107</v>
      </c>
      <c r="U44" s="219"/>
      <c r="V44" s="129">
        <f>E44-E43</f>
        <v>0.10783159830217848</v>
      </c>
      <c r="W44" s="113">
        <f>H44-H43</f>
        <v>1.7363796574164514</v>
      </c>
      <c r="X44" s="200">
        <f t="shared" si="12"/>
        <v>66.868291333338107</v>
      </c>
      <c r="Z44" s="7" t="str">
        <f t="shared" si="26"/>
        <v>Bought 0.107831598302178 Shares of State 1 at a cost of 66.86829</v>
      </c>
      <c r="AA44" s="7" t="str">
        <f t="shared" si="27"/>
        <v>Bought 1.73637965741645 Shares of State 2 at a cost of 66.86829</v>
      </c>
      <c r="AB44" s="203" t="str">
        <f t="shared" si="28"/>
        <v>Bought 0.107831598302178 Shares of State 1 at a cost of 66.86829Bought 1.73637965741645 Shares of State 2 at a cost of 66.86829</v>
      </c>
    </row>
    <row r="45" spans="3:28" s="7" customFormat="1" ht="18.75" x14ac:dyDescent="0.3">
      <c r="C45" s="21" t="s">
        <v>179</v>
      </c>
      <c r="D45" s="25">
        <v>14</v>
      </c>
      <c r="E45" s="276">
        <v>9.8817463876862526</v>
      </c>
      <c r="F45" s="275">
        <v>10.881746387686253</v>
      </c>
      <c r="G45" s="274">
        <v>15.604490705269127</v>
      </c>
      <c r="H45" s="273">
        <v>16.6044907052691</v>
      </c>
      <c r="I45" s="272">
        <f t="shared" si="0"/>
        <v>8.4496348514717406E-2</v>
      </c>
      <c r="J45" s="271">
        <f t="shared" si="1"/>
        <v>0.10849545911020265</v>
      </c>
      <c r="K45" s="270">
        <f t="shared" si="2"/>
        <v>0.35332715059948583</v>
      </c>
      <c r="L45" s="269">
        <f t="shared" si="3"/>
        <v>0.45368104177559415</v>
      </c>
      <c r="M45" s="260">
        <f t="shared" si="4"/>
        <v>4.0558247287064351</v>
      </c>
      <c r="N45" s="259">
        <f t="shared" si="5"/>
        <v>5.2077820372897277</v>
      </c>
      <c r="O45" s="258">
        <f t="shared" si="6"/>
        <v>16.959703228775318</v>
      </c>
      <c r="P45" s="257">
        <f t="shared" si="7"/>
        <v>21.77669000522852</v>
      </c>
      <c r="Q45" s="211">
        <f t="shared" si="9"/>
        <v>18.959703228775318</v>
      </c>
      <c r="R45" s="216">
        <f t="shared" si="8"/>
        <v>23.77669000522852</v>
      </c>
      <c r="S45" s="91">
        <f t="shared" si="10"/>
        <v>948.76484262102804</v>
      </c>
      <c r="T45" s="49">
        <f t="shared" si="16"/>
        <v>3.456793003431585</v>
      </c>
      <c r="U45" s="219"/>
      <c r="V45" s="129">
        <f>E45-E42</f>
        <v>1.0965308457782079</v>
      </c>
      <c r="W45" s="113">
        <f>H45-H42</f>
        <v>2.4497503329161958</v>
      </c>
      <c r="X45" s="200">
        <f t="shared" si="12"/>
        <v>3.456793003431585</v>
      </c>
      <c r="Z45" s="7" t="str">
        <f t="shared" ref="Z45:Z46" si="29">IF(V45&gt;0,"Bought ",IF(V45&lt;0,"Sold ",""))&amp;IF(V45&lt;0,V45*-1,IF(V45&gt;0,V45,""))&amp;IF(V45&lt;&gt;0," Shares of State 1 at a cost of "&amp;ROUND($X45,5),"")</f>
        <v>Bought 1.09653084577821 Shares of State 1 at a cost of 3.45679</v>
      </c>
      <c r="AA45" s="7" t="str">
        <f t="shared" ref="AA45:AA46" si="30">IF(W45&gt;0,"Bought ",IF(W45&lt;0,"Sold ",""))&amp;IF(W45&lt;0,W45*-1,IF(W45&gt;0,W45,""))&amp;IF(W45&lt;&gt;0," Shares of State 2 at a cost of "&amp;ROUND($X45,5),"")</f>
        <v>Bought 2.4497503329162 Shares of State 2 at a cost of 3.45679</v>
      </c>
      <c r="AB45" s="203" t="str">
        <f t="shared" ref="AB45:AB46" si="31">Z45&amp;AA45</f>
        <v>Bought 1.09653084577821 Shares of State 1 at a cost of 3.45679Bought 2.4497503329162 Shares of State 2 at a cost of 3.45679</v>
      </c>
    </row>
    <row r="46" spans="3:28" s="7" customFormat="1" ht="18.75" x14ac:dyDescent="0.3">
      <c r="C46" s="21" t="s">
        <v>191</v>
      </c>
      <c r="D46" s="25">
        <v>15</v>
      </c>
      <c r="E46" s="276">
        <v>0</v>
      </c>
      <c r="F46" s="275">
        <v>70.92</v>
      </c>
      <c r="G46" s="274">
        <v>0</v>
      </c>
      <c r="H46" s="273">
        <v>68</v>
      </c>
      <c r="I46" s="272">
        <f t="shared" si="0"/>
        <v>1.3462858817368261E-8</v>
      </c>
      <c r="J46" s="271">
        <f t="shared" si="1"/>
        <v>0.67480525441269734</v>
      </c>
      <c r="K46" s="270">
        <f t="shared" si="2"/>
        <v>1.3462858817368261E-8</v>
      </c>
      <c r="L46" s="269">
        <f t="shared" si="3"/>
        <v>0.32519471866158495</v>
      </c>
      <c r="M46" s="260">
        <f t="shared" si="4"/>
        <v>6.4621722323367655E-7</v>
      </c>
      <c r="N46" s="259">
        <f t="shared" si="5"/>
        <v>32.390652211809474</v>
      </c>
      <c r="O46" s="258">
        <f t="shared" si="6"/>
        <v>6.4621722323367655E-7</v>
      </c>
      <c r="P46" s="257">
        <f t="shared" si="7"/>
        <v>15.609346495756078</v>
      </c>
      <c r="Q46" s="211">
        <f t="shared" si="9"/>
        <v>2.0000006462172233</v>
      </c>
      <c r="R46" s="216">
        <f t="shared" si="8"/>
        <v>17.609346495756078</v>
      </c>
      <c r="S46" s="91">
        <f t="shared" si="10"/>
        <v>3479.6795792099301</v>
      </c>
      <c r="T46" s="49">
        <f t="shared" si="16"/>
        <v>2530.9147365889021</v>
      </c>
      <c r="U46" s="219"/>
      <c r="V46" s="129">
        <f>E46-E45</f>
        <v>-9.8817463876862526</v>
      </c>
      <c r="W46" s="113">
        <f>H46-H45</f>
        <v>51.3955092947309</v>
      </c>
      <c r="X46" s="200">
        <f t="shared" si="12"/>
        <v>2530.9147365889021</v>
      </c>
      <c r="Z46" s="7" t="str">
        <f t="shared" si="29"/>
        <v>Sold 9.88174638768625 Shares of State 1 at a cost of 2530.91474</v>
      </c>
      <c r="AA46" s="7" t="str">
        <f t="shared" si="30"/>
        <v>Bought 51.3955092947309 Shares of State 2 at a cost of 2530.91474</v>
      </c>
      <c r="AB46" s="203" t="str">
        <f t="shared" si="31"/>
        <v>Sold 9.88174638768625 Shares of State 1 at a cost of 2530.91474Bought 51.3955092947309 Shares of State 2 at a cost of 2530.91474</v>
      </c>
    </row>
    <row r="47" spans="3:28" s="7" customFormat="1" ht="18.75" x14ac:dyDescent="0.3">
      <c r="C47" s="21" t="s">
        <v>179</v>
      </c>
      <c r="D47" s="25">
        <v>16</v>
      </c>
      <c r="E47" s="276">
        <v>0</v>
      </c>
      <c r="F47" s="275">
        <f>F46*1.01</f>
        <v>71.629199999999997</v>
      </c>
      <c r="G47" s="274">
        <v>0</v>
      </c>
      <c r="H47" s="273">
        <v>70</v>
      </c>
      <c r="I47" s="272">
        <f t="shared" si="0"/>
        <v>1.003294066459086E-8</v>
      </c>
      <c r="J47" s="271">
        <f t="shared" si="1"/>
        <v>0.60044028109311265</v>
      </c>
      <c r="K47" s="270">
        <f t="shared" si="2"/>
        <v>1.003294066459086E-8</v>
      </c>
      <c r="L47" s="269">
        <f t="shared" si="3"/>
        <v>0.39955969884100612</v>
      </c>
      <c r="M47" s="260">
        <f t="shared" si="4"/>
        <v>4.8158115190036129E-7</v>
      </c>
      <c r="N47" s="259">
        <f t="shared" si="5"/>
        <v>28.821133492469407</v>
      </c>
      <c r="O47" s="258">
        <f t="shared" si="6"/>
        <v>4.8158115190036129E-7</v>
      </c>
      <c r="P47" s="257">
        <f t="shared" si="7"/>
        <v>19.178865544368293</v>
      </c>
      <c r="Q47" s="211">
        <f t="shared" si="9"/>
        <v>2.0000004815811518</v>
      </c>
      <c r="R47" s="216">
        <f t="shared" si="8"/>
        <v>21.178865544368293</v>
      </c>
      <c r="S47" s="91">
        <f t="shared" si="10"/>
        <v>3536.1392814806504</v>
      </c>
      <c r="T47" s="49">
        <f t="shared" ref="T47:T49" si="32">(S47-S46)</f>
        <v>56.4597022707203</v>
      </c>
      <c r="U47" s="219"/>
      <c r="V47" s="129">
        <f>E47-E42</f>
        <v>-8.7852155419080447</v>
      </c>
      <c r="W47" s="113">
        <f>H47-H42</f>
        <v>55.845259627647096</v>
      </c>
      <c r="X47" s="200">
        <f t="shared" si="12"/>
        <v>56.4597022707203</v>
      </c>
      <c r="Z47" s="7" t="str">
        <f t="shared" si="13"/>
        <v>Sold 8.78521554190804 Shares of State 1 at a cost of 56.4597</v>
      </c>
      <c r="AA47" s="7" t="str">
        <f t="shared" si="14"/>
        <v>Bought 55.8452596276471 Shares of State 2 at a cost of 56.4597</v>
      </c>
      <c r="AB47" s="203" t="str">
        <f t="shared" si="15"/>
        <v>Sold 8.78521554190804 Shares of State 1 at a cost of 56.4597Bought 55.8452596276471 Shares of State 2 at a cost of 56.4597</v>
      </c>
    </row>
    <row r="48" spans="3:28" s="7" customFormat="1" ht="18.75" x14ac:dyDescent="0.3">
      <c r="C48" s="21" t="s">
        <v>179</v>
      </c>
      <c r="D48" s="25">
        <v>17</v>
      </c>
      <c r="E48" s="276">
        <v>0</v>
      </c>
      <c r="F48" s="275">
        <f t="shared" ref="F48:F49" si="33">F47*1.01</f>
        <v>72.345491999999993</v>
      </c>
      <c r="G48" s="274">
        <v>0</v>
      </c>
      <c r="H48" s="273">
        <v>72</v>
      </c>
      <c r="I48" s="272">
        <f t="shared" si="0"/>
        <v>7.2863293059875227E-9</v>
      </c>
      <c r="J48" s="271">
        <f t="shared" si="1"/>
        <v>0.52157982807177372</v>
      </c>
      <c r="K48" s="270">
        <f t="shared" si="2"/>
        <v>7.2863293059875227E-9</v>
      </c>
      <c r="L48" s="269">
        <f t="shared" si="3"/>
        <v>0.47842015735556759</v>
      </c>
      <c r="M48" s="260">
        <f t="shared" si="4"/>
        <v>3.4974380668740111E-7</v>
      </c>
      <c r="N48" s="259">
        <f t="shared" si="5"/>
        <v>25.035831747445137</v>
      </c>
      <c r="O48" s="258">
        <f t="shared" si="6"/>
        <v>3.4974380668740111E-7</v>
      </c>
      <c r="P48" s="257">
        <f t="shared" si="7"/>
        <v>22.964167553067245</v>
      </c>
      <c r="Q48" s="211">
        <f t="shared" si="9"/>
        <v>2.0000003497438068</v>
      </c>
      <c r="R48" s="216">
        <f t="shared" si="8"/>
        <v>24.964167553067245</v>
      </c>
      <c r="S48" s="91">
        <f t="shared" si="10"/>
        <v>3597.5550609202173</v>
      </c>
      <c r="T48" s="49">
        <f t="shared" si="32"/>
        <v>61.415779439566904</v>
      </c>
      <c r="U48" s="219"/>
      <c r="V48" s="129">
        <f>E48-E47</f>
        <v>0</v>
      </c>
      <c r="W48" s="113">
        <f>H48-H47</f>
        <v>2</v>
      </c>
      <c r="X48" s="200">
        <f t="shared" si="12"/>
        <v>61.415779439566904</v>
      </c>
      <c r="Z48" s="7" t="str">
        <f t="shared" si="13"/>
        <v/>
      </c>
      <c r="AA48" s="7" t="str">
        <f t="shared" si="14"/>
        <v>Bought 2 Shares of State 2 at a cost of 61.41578</v>
      </c>
      <c r="AB48" s="203" t="str">
        <f t="shared" si="15"/>
        <v>Bought 2 Shares of State 2 at a cost of 61.41578</v>
      </c>
    </row>
    <row r="49" spans="3:29" s="7" customFormat="1" ht="19.5" thickBot="1" x14ac:dyDescent="0.35">
      <c r="C49" s="21" t="s">
        <v>179</v>
      </c>
      <c r="D49" s="25">
        <v>18</v>
      </c>
      <c r="E49" s="268">
        <v>0</v>
      </c>
      <c r="F49" s="267">
        <f t="shared" si="33"/>
        <v>73.068946919999988</v>
      </c>
      <c r="G49" s="266">
        <v>0</v>
      </c>
      <c r="H49" s="265">
        <v>74</v>
      </c>
      <c r="I49" s="264">
        <f t="shared" si="0"/>
        <v>5.1538456893847273E-9</v>
      </c>
      <c r="J49" s="263">
        <f t="shared" si="1"/>
        <v>0.4420704877213853</v>
      </c>
      <c r="K49" s="262">
        <f t="shared" si="2"/>
        <v>5.1538456893847273E-9</v>
      </c>
      <c r="L49" s="261">
        <f t="shared" si="3"/>
        <v>0.55792950197092328</v>
      </c>
      <c r="M49" s="332">
        <f t="shared" si="4"/>
        <v>2.473845930904669E-7</v>
      </c>
      <c r="N49" s="333">
        <f t="shared" si="5"/>
        <v>21.219383410626495</v>
      </c>
      <c r="O49" s="334">
        <f t="shared" si="6"/>
        <v>2.473845930904669E-7</v>
      </c>
      <c r="P49" s="335">
        <f t="shared" si="7"/>
        <v>26.780616094604319</v>
      </c>
      <c r="Q49" s="212">
        <f t="shared" si="9"/>
        <v>2.0000002473845933</v>
      </c>
      <c r="R49" s="217">
        <f t="shared" si="8"/>
        <v>28.780616094604319</v>
      </c>
      <c r="S49" s="127">
        <f t="shared" si="10"/>
        <v>3664.0363517061824</v>
      </c>
      <c r="T49" s="128">
        <f t="shared" si="32"/>
        <v>66.481290785965029</v>
      </c>
      <c r="U49" s="219"/>
      <c r="V49" s="137">
        <f>E49-E48</f>
        <v>0</v>
      </c>
      <c r="W49" s="115">
        <f>H49-H48</f>
        <v>2</v>
      </c>
      <c r="X49" s="200">
        <f t="shared" si="12"/>
        <v>66.481290785965029</v>
      </c>
      <c r="Z49" s="7" t="str">
        <f t="shared" si="13"/>
        <v/>
      </c>
      <c r="AA49" s="7" t="str">
        <f t="shared" si="14"/>
        <v>Bought 2 Shares of State 2 at a cost of 66.48129</v>
      </c>
      <c r="AB49" s="203" t="str">
        <f t="shared" si="15"/>
        <v>Bought 2 Shares of State 2 at a cost of 66.48129</v>
      </c>
    </row>
    <row r="50" spans="3:29" s="7" customFormat="1" ht="16.5" thickTop="1" thickBot="1" x14ac:dyDescent="0.3">
      <c r="D50" s="25" t="s">
        <v>98</v>
      </c>
      <c r="E50" s="256">
        <f>E49</f>
        <v>0</v>
      </c>
      <c r="F50" s="255">
        <f t="shared" ref="F50:H50" si="34">F49</f>
        <v>73.068946919999988</v>
      </c>
      <c r="G50" s="254">
        <f t="shared" si="34"/>
        <v>0</v>
      </c>
      <c r="H50" s="253">
        <f t="shared" si="34"/>
        <v>74</v>
      </c>
      <c r="I50" s="252">
        <f>F54*F53</f>
        <v>0</v>
      </c>
      <c r="J50" s="251">
        <f>F53*E54</f>
        <v>0.48531250000000004</v>
      </c>
      <c r="K50" s="250">
        <f>E53*F54</f>
        <v>0</v>
      </c>
      <c r="L50" s="249">
        <f>E53*E54</f>
        <v>0.51468749999999996</v>
      </c>
      <c r="M50" s="328">
        <v>0</v>
      </c>
      <c r="N50" s="329">
        <f>E6-D53</f>
        <v>23.295000000000002</v>
      </c>
      <c r="O50" s="330">
        <v>0</v>
      </c>
      <c r="P50" s="331">
        <f>D53-E5</f>
        <v>24.704999999999998</v>
      </c>
      <c r="Q50" s="213">
        <f>O50+$E$5</f>
        <v>2</v>
      </c>
      <c r="R50" s="292">
        <f>P50+E5</f>
        <v>26.704999999999998</v>
      </c>
      <c r="S50" s="91">
        <f t="shared" si="10"/>
        <v>3664.0363517061824</v>
      </c>
      <c r="T50" s="8" t="s">
        <v>110</v>
      </c>
      <c r="AA50" s="8"/>
      <c r="AB50" s="8"/>
      <c r="AC50" s="8"/>
    </row>
    <row r="51" spans="3:29" s="7" customFormat="1" ht="15.75" thickBot="1" x14ac:dyDescent="0.3">
      <c r="C51"/>
      <c r="D51"/>
      <c r="E51" s="33"/>
      <c r="F51" s="33"/>
      <c r="G51" s="33"/>
      <c r="H51" s="33"/>
      <c r="I51" s="33"/>
      <c r="J51" s="33"/>
      <c r="K51" s="33"/>
      <c r="L51" s="33"/>
      <c r="M51" s="33"/>
      <c r="N51" s="33"/>
      <c r="O51" s="33"/>
      <c r="P51" s="33"/>
      <c r="Q51" s="33"/>
      <c r="R51" s="33"/>
      <c r="S51" s="291">
        <f>SUMPRODUCT(E50:H50,M50:P50)</f>
        <v>3530.3111185013995</v>
      </c>
      <c r="T51" t="s">
        <v>111</v>
      </c>
      <c r="AA51"/>
      <c r="AB51"/>
      <c r="AC51"/>
    </row>
    <row r="52" spans="3:29" s="7" customFormat="1" ht="15.75" thickBot="1" x14ac:dyDescent="0.3">
      <c r="C52" s="1"/>
      <c r="D52" s="168" t="s">
        <v>190</v>
      </c>
      <c r="E52" s="338" t="s">
        <v>163</v>
      </c>
      <c r="F52" s="282" t="s">
        <v>187</v>
      </c>
      <c r="G52" s="158"/>
      <c r="H52" s="17"/>
      <c r="I52" s="17"/>
      <c r="J52" s="17"/>
      <c r="K52" s="17"/>
      <c r="L52" s="17"/>
      <c r="M52" s="17"/>
      <c r="N52" s="17"/>
      <c r="O52" s="17" t="s">
        <v>137</v>
      </c>
      <c r="P52" s="248">
        <f>SUM(M48:P48)</f>
        <v>48</v>
      </c>
      <c r="Q52" s="17"/>
      <c r="R52" s="17"/>
      <c r="S52" s="291">
        <f>S50-S51</f>
        <v>133.72523320478285</v>
      </c>
      <c r="T52" s="7" t="s">
        <v>103</v>
      </c>
    </row>
    <row r="53" spans="3:29" s="7" customFormat="1" ht="15.75" thickBot="1" x14ac:dyDescent="0.3">
      <c r="C53" s="5" t="s">
        <v>188</v>
      </c>
      <c r="D53" s="158">
        <v>26.704999999999998</v>
      </c>
      <c r="E53" s="7">
        <f>(D53-E5)/(E6-E5)</f>
        <v>0.51468749999999996</v>
      </c>
      <c r="F53" s="6">
        <f>1-E53</f>
        <v>0.48531250000000004</v>
      </c>
      <c r="H53" s="33"/>
      <c r="J53" s="33"/>
      <c r="K53" s="33"/>
      <c r="L53" s="33"/>
      <c r="M53" s="17"/>
      <c r="N53" s="17"/>
      <c r="O53" s="17"/>
      <c r="P53" s="248">
        <f>SUM(M49:P49)</f>
        <v>48</v>
      </c>
      <c r="Q53" s="17"/>
      <c r="R53" s="17"/>
      <c r="S53" s="294">
        <f>S25-S52</f>
        <v>132.44328413023612</v>
      </c>
      <c r="T53" s="55" t="s">
        <v>104</v>
      </c>
      <c r="Y53" s="8"/>
      <c r="Z53" s="8"/>
      <c r="AA53" s="8"/>
      <c r="AB53" s="28"/>
      <c r="AC53" s="28"/>
    </row>
    <row r="54" spans="3:29" x14ac:dyDescent="0.25">
      <c r="C54" s="339" t="s">
        <v>189</v>
      </c>
      <c r="D54" s="340">
        <v>1</v>
      </c>
      <c r="E54" s="305">
        <v>1</v>
      </c>
      <c r="F54" s="3">
        <v>0</v>
      </c>
      <c r="G54" s="17"/>
      <c r="P54" s="248">
        <f>SUM(M50:P50)</f>
        <v>48</v>
      </c>
      <c r="T54" s="206"/>
    </row>
    <row r="55" spans="3:29" x14ac:dyDescent="0.25">
      <c r="C55" s="17"/>
      <c r="D55" s="248"/>
      <c r="E55" s="17"/>
      <c r="F55" s="7"/>
      <c r="G55" s="17"/>
    </row>
    <row r="56" spans="3:29" x14ac:dyDescent="0.25">
      <c r="G56" s="206"/>
      <c r="H56" s="206"/>
      <c r="Q56" s="206"/>
    </row>
    <row r="57" spans="3:29" x14ac:dyDescent="0.25">
      <c r="G57" s="206"/>
      <c r="H57" s="206"/>
      <c r="Q57" s="206"/>
    </row>
    <row r="58" spans="3:29" x14ac:dyDescent="0.25">
      <c r="G58" s="206"/>
      <c r="H58" s="206"/>
      <c r="Q58" s="206"/>
    </row>
    <row r="59" spans="3:29" x14ac:dyDescent="0.25">
      <c r="G59" s="206"/>
      <c r="H59" s="206"/>
      <c r="Q59" s="206"/>
    </row>
    <row r="60" spans="3:29" x14ac:dyDescent="0.25">
      <c r="G60" s="206"/>
      <c r="H60" s="206"/>
      <c r="Q60" s="206"/>
    </row>
    <row r="61" spans="3:29" x14ac:dyDescent="0.25">
      <c r="G61" s="206"/>
      <c r="H61" s="206"/>
    </row>
    <row r="62" spans="3:29" x14ac:dyDescent="0.25">
      <c r="G62" s="206"/>
      <c r="H62" s="206"/>
    </row>
    <row r="63" spans="3:29" x14ac:dyDescent="0.25">
      <c r="G63" s="206"/>
      <c r="H63" s="206"/>
    </row>
    <row r="64" spans="3:29" x14ac:dyDescent="0.25">
      <c r="G64" s="206"/>
      <c r="H64" s="206"/>
    </row>
    <row r="65" spans="7:8" x14ac:dyDescent="0.25">
      <c r="G65" s="206"/>
      <c r="H65" s="206"/>
    </row>
    <row r="66" spans="7:8" x14ac:dyDescent="0.25">
      <c r="G66" s="206"/>
      <c r="H66" s="206"/>
    </row>
    <row r="68" spans="7:8" x14ac:dyDescent="0.25">
      <c r="G68" s="206"/>
      <c r="H68" s="206"/>
    </row>
    <row r="69" spans="7:8" x14ac:dyDescent="0.25">
      <c r="G69" s="206"/>
      <c r="H69" s="206"/>
    </row>
    <row r="70" spans="7:8" x14ac:dyDescent="0.25">
      <c r="G70" s="206"/>
      <c r="H70" s="206"/>
    </row>
    <row r="71" spans="7:8" x14ac:dyDescent="0.25">
      <c r="G71" s="206"/>
      <c r="H71" s="206"/>
    </row>
  </sheetData>
  <mergeCells count="4">
    <mergeCell ref="V23:W23"/>
    <mergeCell ref="C4:C10"/>
    <mergeCell ref="C16:C20"/>
    <mergeCell ref="C12:C1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H48"/>
  <sheetViews>
    <sheetView zoomScale="85" zoomScaleNormal="85" workbookViewId="0">
      <selection activeCell="B32" sqref="B32"/>
    </sheetView>
  </sheetViews>
  <sheetFormatPr defaultRowHeight="15" x14ac:dyDescent="0.25"/>
  <cols>
    <col min="3" max="3" width="13.28515625" customWidth="1"/>
    <col min="5" max="19" width="11.42578125" style="33" customWidth="1"/>
    <col min="20" max="21" width="12" style="33" customWidth="1"/>
    <col min="22" max="22" width="0" hidden="1" customWidth="1"/>
    <col min="23" max="23" width="9.42578125" hidden="1" customWidth="1"/>
    <col min="24" max="24" width="12.7109375" hidden="1" customWidth="1"/>
    <col min="25" max="25" width="10.28515625" hidden="1" customWidth="1"/>
    <col min="26" max="26" width="10.7109375" hidden="1" customWidth="1"/>
    <col min="27" max="27" width="0" hidden="1" customWidth="1"/>
    <col min="28" max="28" width="9.42578125" hidden="1" customWidth="1"/>
    <col min="30" max="30" width="12.140625" customWidth="1"/>
    <col min="31" max="31" width="10.5703125" customWidth="1"/>
    <col min="34" max="34" width="11.140625" customWidth="1"/>
  </cols>
  <sheetData>
    <row r="2" spans="2:34" ht="31.5" x14ac:dyDescent="0.5">
      <c r="B2" s="204" t="s">
        <v>184</v>
      </c>
      <c r="D2" s="157"/>
    </row>
    <row r="3" spans="2:34" ht="31.5" x14ac:dyDescent="0.5">
      <c r="B3" s="204"/>
      <c r="D3" s="157"/>
    </row>
    <row r="4" spans="2:34" x14ac:dyDescent="0.25">
      <c r="C4" s="342" t="s">
        <v>173</v>
      </c>
      <c r="D4" s="168" t="s">
        <v>102</v>
      </c>
      <c r="E4" s="168" t="s">
        <v>185</v>
      </c>
      <c r="F4" s="168"/>
      <c r="G4" s="313"/>
      <c r="H4" s="313"/>
      <c r="I4" s="313"/>
      <c r="J4" s="313"/>
      <c r="K4" s="313"/>
      <c r="L4" s="313"/>
      <c r="M4" s="308"/>
    </row>
    <row r="5" spans="2:34" x14ac:dyDescent="0.25">
      <c r="C5" s="343"/>
      <c r="D5" s="17" t="s">
        <v>158</v>
      </c>
      <c r="E5" s="18">
        <v>2</v>
      </c>
      <c r="F5" s="7" t="s">
        <v>159</v>
      </c>
      <c r="G5" s="17"/>
      <c r="H5" s="17"/>
      <c r="I5" s="17"/>
      <c r="J5" s="17"/>
      <c r="K5" s="17"/>
      <c r="L5" s="17"/>
      <c r="M5" s="285"/>
    </row>
    <row r="6" spans="2:34" x14ac:dyDescent="0.25">
      <c r="C6" s="343"/>
      <c r="D6" s="17" t="s">
        <v>161</v>
      </c>
      <c r="E6" s="18">
        <v>50</v>
      </c>
      <c r="F6" s="7" t="s">
        <v>160</v>
      </c>
      <c r="G6" s="17"/>
      <c r="H6" s="17"/>
      <c r="I6" s="17"/>
      <c r="J6" s="17"/>
      <c r="K6" s="17"/>
      <c r="L6" s="17"/>
      <c r="M6" s="285"/>
    </row>
    <row r="7" spans="2:34" x14ac:dyDescent="0.25">
      <c r="C7" s="343"/>
      <c r="D7" s="158" t="s">
        <v>162</v>
      </c>
      <c r="E7" s="18">
        <f>E6-E5</f>
        <v>48</v>
      </c>
      <c r="F7" s="7" t="s">
        <v>163</v>
      </c>
      <c r="G7" s="17"/>
      <c r="H7" s="17"/>
      <c r="I7" s="17"/>
      <c r="J7" s="17"/>
      <c r="K7" s="17"/>
      <c r="L7" s="17"/>
      <c r="M7" s="285"/>
    </row>
    <row r="8" spans="2:34" x14ac:dyDescent="0.25">
      <c r="C8" s="343"/>
      <c r="D8" s="158" t="s">
        <v>166</v>
      </c>
      <c r="E8" s="208"/>
      <c r="F8" s="8" t="s">
        <v>169</v>
      </c>
      <c r="G8" s="17"/>
      <c r="H8" s="17"/>
      <c r="I8" s="17"/>
      <c r="J8" s="17"/>
      <c r="K8" s="17"/>
      <c r="L8" s="17"/>
      <c r="M8" s="285"/>
    </row>
    <row r="9" spans="2:34" x14ac:dyDescent="0.25">
      <c r="C9" s="343"/>
      <c r="D9" s="158" t="s">
        <v>167</v>
      </c>
      <c r="E9" s="208"/>
      <c r="F9" s="8" t="s">
        <v>170</v>
      </c>
      <c r="G9" s="17"/>
      <c r="H9" s="17"/>
      <c r="I9" s="17"/>
      <c r="J9" s="17"/>
      <c r="K9" s="17"/>
      <c r="L9" s="17"/>
      <c r="M9" s="285"/>
    </row>
    <row r="10" spans="2:34" x14ac:dyDescent="0.25">
      <c r="C10" s="344"/>
      <c r="D10" s="314" t="s">
        <v>168</v>
      </c>
      <c r="E10" s="315"/>
      <c r="F10" s="316" t="s">
        <v>171</v>
      </c>
      <c r="G10" s="305"/>
      <c r="H10" s="305"/>
      <c r="I10" s="305"/>
      <c r="J10" s="305"/>
      <c r="K10" s="305"/>
      <c r="L10" s="305"/>
      <c r="M10" s="309"/>
    </row>
    <row r="11" spans="2:34" x14ac:dyDescent="0.25">
      <c r="C11" s="304"/>
      <c r="D11" s="158"/>
      <c r="E11" s="208"/>
      <c r="F11" s="8"/>
      <c r="G11" s="17"/>
      <c r="H11" s="17"/>
      <c r="I11" s="17"/>
      <c r="J11" s="17"/>
      <c r="K11" s="17"/>
      <c r="L11" s="17"/>
    </row>
    <row r="12" spans="2:34" x14ac:dyDescent="0.25">
      <c r="C12" s="342" t="s">
        <v>177</v>
      </c>
      <c r="D12" s="168" t="s">
        <v>102</v>
      </c>
      <c r="E12" s="168" t="s">
        <v>186</v>
      </c>
      <c r="F12" s="168"/>
      <c r="G12" s="313"/>
      <c r="H12" s="313"/>
      <c r="I12" s="313"/>
      <c r="J12" s="313"/>
      <c r="K12" s="313"/>
      <c r="L12" s="313"/>
      <c r="M12" s="308"/>
    </row>
    <row r="13" spans="2:34" x14ac:dyDescent="0.25">
      <c r="C13" s="343"/>
      <c r="D13" s="17" t="s">
        <v>158</v>
      </c>
      <c r="E13" s="18">
        <v>5</v>
      </c>
      <c r="F13" s="7" t="s">
        <v>159</v>
      </c>
      <c r="G13" s="17"/>
      <c r="H13" s="17"/>
      <c r="I13" s="17"/>
      <c r="J13" s="17"/>
      <c r="K13" s="17"/>
      <c r="L13" s="17"/>
      <c r="M13" s="285"/>
    </row>
    <row r="14" spans="2:34" s="33" customFormat="1" x14ac:dyDescent="0.25">
      <c r="B14"/>
      <c r="C14" s="343"/>
      <c r="D14" s="17" t="s">
        <v>161</v>
      </c>
      <c r="E14" s="18">
        <v>300</v>
      </c>
      <c r="F14" s="7" t="s">
        <v>160</v>
      </c>
      <c r="G14" s="17"/>
      <c r="H14" s="17"/>
      <c r="I14" s="17"/>
      <c r="J14" s="17"/>
      <c r="K14" s="17"/>
      <c r="L14" s="17"/>
      <c r="M14" s="285"/>
      <c r="V14"/>
      <c r="W14"/>
      <c r="X14"/>
      <c r="Y14"/>
      <c r="Z14"/>
      <c r="AA14"/>
      <c r="AB14"/>
      <c r="AC14"/>
      <c r="AD14"/>
      <c r="AE14"/>
      <c r="AF14"/>
      <c r="AG14"/>
      <c r="AH14"/>
    </row>
    <row r="15" spans="2:34" s="33" customFormat="1" x14ac:dyDescent="0.25">
      <c r="B15"/>
      <c r="C15" s="343"/>
      <c r="D15" s="158" t="s">
        <v>162</v>
      </c>
      <c r="E15" s="18">
        <f>E14-E13</f>
        <v>295</v>
      </c>
      <c r="F15" s="7" t="s">
        <v>163</v>
      </c>
      <c r="G15" s="17"/>
      <c r="H15" s="17"/>
      <c r="I15" s="17"/>
      <c r="J15" s="17"/>
      <c r="K15" s="17"/>
      <c r="L15" s="17"/>
      <c r="M15" s="285"/>
      <c r="V15"/>
      <c r="W15"/>
      <c r="X15"/>
      <c r="Y15"/>
      <c r="Z15"/>
      <c r="AA15"/>
      <c r="AB15"/>
      <c r="AC15"/>
      <c r="AD15"/>
      <c r="AE15"/>
      <c r="AF15"/>
      <c r="AG15"/>
      <c r="AH15"/>
    </row>
    <row r="16" spans="2:34" s="33" customFormat="1" x14ac:dyDescent="0.25">
      <c r="B16"/>
      <c r="C16" s="343"/>
      <c r="D16" s="158" t="s">
        <v>166</v>
      </c>
      <c r="E16" s="208"/>
      <c r="F16" s="8" t="s">
        <v>169</v>
      </c>
      <c r="G16" s="17"/>
      <c r="H16" s="17"/>
      <c r="I16" s="17"/>
      <c r="J16" s="17"/>
      <c r="K16" s="17"/>
      <c r="L16" s="17"/>
      <c r="M16" s="285"/>
      <c r="V16"/>
      <c r="W16"/>
      <c r="X16"/>
      <c r="Y16"/>
      <c r="Z16"/>
      <c r="AA16"/>
      <c r="AB16"/>
      <c r="AC16"/>
      <c r="AD16"/>
      <c r="AE16"/>
      <c r="AF16"/>
      <c r="AG16"/>
      <c r="AH16"/>
    </row>
    <row r="17" spans="2:34" s="33" customFormat="1" x14ac:dyDescent="0.25">
      <c r="B17"/>
      <c r="C17" s="343"/>
      <c r="D17" s="158" t="s">
        <v>167</v>
      </c>
      <c r="E17" s="208"/>
      <c r="F17" s="8" t="s">
        <v>170</v>
      </c>
      <c r="G17" s="17"/>
      <c r="H17" s="17"/>
      <c r="I17" s="17"/>
      <c r="J17" s="17"/>
      <c r="K17" s="17"/>
      <c r="L17" s="17"/>
      <c r="M17" s="285"/>
      <c r="V17"/>
      <c r="W17"/>
      <c r="X17"/>
      <c r="Y17"/>
      <c r="Z17"/>
      <c r="AA17"/>
      <c r="AB17"/>
      <c r="AC17"/>
      <c r="AD17"/>
      <c r="AE17"/>
      <c r="AF17"/>
      <c r="AG17"/>
      <c r="AH17"/>
    </row>
    <row r="18" spans="2:34" s="33" customFormat="1" x14ac:dyDescent="0.25">
      <c r="B18"/>
      <c r="C18" s="344"/>
      <c r="D18" s="314" t="s">
        <v>168</v>
      </c>
      <c r="E18" s="315"/>
      <c r="F18" s="316" t="s">
        <v>171</v>
      </c>
      <c r="G18" s="305"/>
      <c r="H18" s="305"/>
      <c r="I18" s="305"/>
      <c r="J18" s="305"/>
      <c r="K18" s="305"/>
      <c r="L18" s="305"/>
      <c r="M18" s="309"/>
      <c r="V18"/>
      <c r="W18"/>
      <c r="X18"/>
      <c r="Y18"/>
      <c r="Z18"/>
      <c r="AA18"/>
      <c r="AB18"/>
      <c r="AC18"/>
      <c r="AD18"/>
      <c r="AE18"/>
      <c r="AF18"/>
      <c r="AG18"/>
      <c r="AH18"/>
    </row>
    <row r="19" spans="2:34" s="33" customFormat="1" ht="15.75" thickBot="1" x14ac:dyDescent="0.3">
      <c r="B19"/>
      <c r="C19" s="304"/>
      <c r="D19" s="158"/>
      <c r="E19" s="208"/>
      <c r="F19" s="8"/>
      <c r="G19" s="17"/>
      <c r="H19" s="17"/>
      <c r="I19" s="17"/>
      <c r="J19" s="17"/>
      <c r="K19" s="17"/>
      <c r="L19" s="17"/>
      <c r="V19"/>
      <c r="W19"/>
      <c r="X19"/>
      <c r="Y19"/>
      <c r="Z19"/>
      <c r="AA19"/>
      <c r="AB19"/>
      <c r="AC19"/>
      <c r="AD19"/>
      <c r="AE19"/>
      <c r="AF19"/>
      <c r="AG19"/>
      <c r="AH19"/>
    </row>
    <row r="20" spans="2:34" s="33" customFormat="1" x14ac:dyDescent="0.25">
      <c r="B20"/>
      <c r="C20" s="345" t="s">
        <v>161</v>
      </c>
      <c r="D20" s="322" t="s">
        <v>174</v>
      </c>
      <c r="E20" s="323" t="s">
        <v>178</v>
      </c>
      <c r="F20" s="299" t="s">
        <v>176</v>
      </c>
      <c r="G20" s="299"/>
      <c r="H20" s="299"/>
      <c r="I20" s="297"/>
      <c r="V20"/>
      <c r="W20"/>
      <c r="X20"/>
      <c r="Y20"/>
      <c r="Z20"/>
      <c r="AA20"/>
      <c r="AB20"/>
      <c r="AC20"/>
      <c r="AD20"/>
      <c r="AE20"/>
      <c r="AF20"/>
      <c r="AG20"/>
      <c r="AH20"/>
    </row>
    <row r="21" spans="2:34" x14ac:dyDescent="0.25">
      <c r="C21" s="346"/>
      <c r="D21" s="17" t="s">
        <v>146</v>
      </c>
      <c r="E21" s="302">
        <v>4</v>
      </c>
      <c r="F21" s="17" t="s">
        <v>147</v>
      </c>
      <c r="G21" s="17"/>
      <c r="H21" s="17"/>
      <c r="I21" s="220"/>
    </row>
    <row r="22" spans="2:34" x14ac:dyDescent="0.25">
      <c r="C22" s="346"/>
      <c r="D22" s="17" t="s">
        <v>5</v>
      </c>
      <c r="E22" s="18">
        <v>2</v>
      </c>
      <c r="F22" s="17" t="s">
        <v>150</v>
      </c>
      <c r="G22" s="17"/>
      <c r="H22" s="17"/>
      <c r="I22" s="220"/>
    </row>
    <row r="23" spans="2:34" x14ac:dyDescent="0.25">
      <c r="C23" s="346"/>
      <c r="D23" s="158" t="s">
        <v>164</v>
      </c>
      <c r="E23" s="18">
        <f>E15+E7</f>
        <v>343</v>
      </c>
      <c r="F23" s="158" t="s">
        <v>193</v>
      </c>
      <c r="G23" s="17"/>
      <c r="H23" s="17"/>
      <c r="I23" s="220"/>
    </row>
    <row r="24" spans="2:34" ht="15.75" thickBot="1" x14ac:dyDescent="0.3">
      <c r="C24" s="347"/>
      <c r="D24" s="184" t="s">
        <v>148</v>
      </c>
      <c r="E24" s="324">
        <f>E22*E23*LN(E21)</f>
        <v>950.99793172824491</v>
      </c>
      <c r="F24" s="184" t="s">
        <v>149</v>
      </c>
      <c r="G24" s="300"/>
      <c r="H24" s="300"/>
      <c r="I24" s="298"/>
    </row>
    <row r="25" spans="2:34" x14ac:dyDescent="0.25">
      <c r="B25" s="7"/>
    </row>
    <row r="26" spans="2:34" s="7" customFormat="1" ht="15.75" thickBot="1" x14ac:dyDescent="0.3">
      <c r="C26"/>
      <c r="D26"/>
      <c r="E26" s="33"/>
      <c r="F26" s="33"/>
      <c r="G26" s="33"/>
      <c r="H26" s="33"/>
      <c r="I26" s="33"/>
      <c r="J26" s="33"/>
      <c r="K26" s="33"/>
      <c r="L26" s="33"/>
      <c r="M26" s="33"/>
      <c r="N26" s="33"/>
      <c r="O26" s="33"/>
      <c r="P26" s="33"/>
      <c r="Q26" s="33"/>
      <c r="R26" s="33"/>
      <c r="S26" s="33"/>
      <c r="T26" s="33"/>
      <c r="U26" s="33"/>
      <c r="V26"/>
      <c r="W26"/>
      <c r="X26"/>
      <c r="Y26"/>
      <c r="Z26"/>
      <c r="AA26"/>
      <c r="AB26"/>
      <c r="AC26"/>
      <c r="AD26" s="8"/>
    </row>
    <row r="27" spans="2:34" s="7" customFormat="1" ht="24.75" customHeight="1" thickBot="1" x14ac:dyDescent="0.35">
      <c r="D27"/>
      <c r="E27" s="64" t="s">
        <v>12</v>
      </c>
      <c r="F27" s="65"/>
      <c r="G27" s="65"/>
      <c r="H27" s="66"/>
      <c r="I27" s="65" t="s">
        <v>13</v>
      </c>
      <c r="J27" s="65"/>
      <c r="K27" s="65"/>
      <c r="L27" s="65"/>
      <c r="M27" s="64" t="s">
        <v>72</v>
      </c>
      <c r="N27" s="65"/>
      <c r="O27" s="65"/>
      <c r="P27" s="282"/>
      <c r="Q27" s="65" t="s">
        <v>115</v>
      </c>
      <c r="R27" s="65"/>
      <c r="S27" s="64" t="s">
        <v>36</v>
      </c>
      <c r="T27" s="66" t="s">
        <v>35</v>
      </c>
      <c r="U27" s="218"/>
      <c r="V27" s="348" t="s">
        <v>99</v>
      </c>
      <c r="W27" s="349"/>
      <c r="X27" s="201" t="s">
        <v>100</v>
      </c>
      <c r="Z27" s="7" t="s">
        <v>101</v>
      </c>
      <c r="AA27" s="20"/>
      <c r="AB27" s="202" t="s">
        <v>101</v>
      </c>
      <c r="AC27" s="20"/>
    </row>
    <row r="28" spans="2:34" s="7" customFormat="1" ht="16.5" thickTop="1" thickBot="1" x14ac:dyDescent="0.3">
      <c r="C28" s="32"/>
      <c r="D28" s="130" t="s">
        <v>45</v>
      </c>
      <c r="E28" s="190" t="str">
        <f>"i="&amp;$E$5&amp;", "&amp;E13</f>
        <v>i=2, 5</v>
      </c>
      <c r="F28" s="194" t="str">
        <f>"i="&amp;$E$5&amp;", "&amp;E14</f>
        <v>i=2, 300</v>
      </c>
      <c r="G28" s="191" t="str">
        <f>"i="&amp;$E$6&amp;", "&amp;E13</f>
        <v>i=50, 5</v>
      </c>
      <c r="H28" s="195" t="str">
        <f>"i="&amp;$E$6&amp;", "&amp;E14</f>
        <v>i=50, 300</v>
      </c>
      <c r="I28" s="192" t="str">
        <f>E28</f>
        <v>i=2, 5</v>
      </c>
      <c r="J28" s="194" t="str">
        <f t="shared" ref="J28:P28" si="0">F28</f>
        <v>i=2, 300</v>
      </c>
      <c r="K28" s="191" t="str">
        <f t="shared" si="0"/>
        <v>i=50, 5</v>
      </c>
      <c r="L28" s="281" t="str">
        <f t="shared" si="0"/>
        <v>i=50, 300</v>
      </c>
      <c r="M28" s="190" t="str">
        <f t="shared" si="0"/>
        <v>i=2, 5</v>
      </c>
      <c r="N28" s="194" t="str">
        <f t="shared" si="0"/>
        <v>i=2, 300</v>
      </c>
      <c r="O28" s="191" t="str">
        <f t="shared" si="0"/>
        <v>i=50, 5</v>
      </c>
      <c r="P28" s="195" t="str">
        <f t="shared" si="0"/>
        <v>i=50, 300</v>
      </c>
      <c r="Q28" s="209" t="s">
        <v>173</v>
      </c>
      <c r="R28" s="209" t="s">
        <v>177</v>
      </c>
      <c r="S28" s="42">
        <v>0</v>
      </c>
      <c r="T28" s="43"/>
      <c r="U28" s="158"/>
      <c r="V28" s="198" t="str">
        <f>E28</f>
        <v>i=2, 5</v>
      </c>
      <c r="W28" s="199" t="str">
        <f>H28</f>
        <v>i=50, 300</v>
      </c>
      <c r="AB28"/>
    </row>
    <row r="29" spans="2:34" s="7" customFormat="1" ht="18" customHeight="1" thickTop="1" x14ac:dyDescent="0.25">
      <c r="D29" s="25">
        <v>1</v>
      </c>
      <c r="E29" s="256">
        <v>0</v>
      </c>
      <c r="F29" s="255">
        <v>0</v>
      </c>
      <c r="G29" s="254">
        <v>0</v>
      </c>
      <c r="H29" s="253">
        <v>0</v>
      </c>
      <c r="I29" s="252">
        <f t="shared" ref="I29:I37" si="1">EXP(E29/$E$22)/(EXP($E29/$E$22)+EXP($F29/$E$22)+EXP($G29/$E$22)+EXP($H29/$E$22))</f>
        <v>0.25</v>
      </c>
      <c r="J29" s="251">
        <f t="shared" ref="J29:J37" si="2">EXP(F29/$E$22)/(EXP($E29/$E$22)+EXP($F29/$E$22)+EXP($G29/$E$22)+EXP($H29/$E$22))</f>
        <v>0.25</v>
      </c>
      <c r="K29" s="250">
        <f t="shared" ref="K29:K37" si="3">EXP(G29/$E$22)/(EXP($E29/$E$22)+EXP($F29/$E$22)+EXP($G29/$E$22)+EXP($H29/$E$22))</f>
        <v>0.25</v>
      </c>
      <c r="L29" s="249">
        <f t="shared" ref="L29:L37" si="4">EXP(H29/$E$22)/(EXP($E29/$E$22)+EXP($F29/$E$22)+EXP($G29/$E$22)+EXP($H29/$E$22))</f>
        <v>0.25</v>
      </c>
      <c r="M29" s="256">
        <f t="shared" ref="M29" si="5">I29*$E$23</f>
        <v>85.75</v>
      </c>
      <c r="N29" s="255">
        <f t="shared" ref="N29:N38" si="6">J29*$E$23</f>
        <v>85.75</v>
      </c>
      <c r="O29" s="254">
        <f t="shared" ref="O29:O38" si="7">K29*$E$23</f>
        <v>85.75</v>
      </c>
      <c r="P29" s="253">
        <f t="shared" ref="P29:P38" si="8">L29*$E$23</f>
        <v>85.75</v>
      </c>
      <c r="Q29" s="210">
        <f t="shared" ref="Q29:Q38" si="9">$E$5+SUM(K29:L29)*$E$7</f>
        <v>26</v>
      </c>
      <c r="R29" s="210">
        <f t="shared" ref="R29:R38" si="10">$E$13+SUM(J29,L29)*$E$15</f>
        <v>152.5</v>
      </c>
      <c r="S29" s="90">
        <f t="shared" ref="S29:S38" si="11">$E$22*$E$23*LN(EXP($E29/$E$22) + EXP($F29/$E$22) + EXP($G29/$E$22) +EXP($H29/$E$22) )</f>
        <v>950.99793172824491</v>
      </c>
      <c r="T29" s="46">
        <f>(S29-S28)</f>
        <v>950.99793172824491</v>
      </c>
      <c r="U29" s="219"/>
      <c r="V29" s="129"/>
      <c r="W29" s="113"/>
      <c r="AB29"/>
      <c r="AH29" s="205"/>
    </row>
    <row r="30" spans="2:34" s="7" customFormat="1" ht="18.75" x14ac:dyDescent="0.3">
      <c r="D30" s="25">
        <v>2</v>
      </c>
      <c r="E30" s="276">
        <v>1</v>
      </c>
      <c r="F30" s="275">
        <v>1</v>
      </c>
      <c r="G30" s="274">
        <v>1</v>
      </c>
      <c r="H30" s="273">
        <v>1</v>
      </c>
      <c r="I30" s="272">
        <f t="shared" si="1"/>
        <v>0.25</v>
      </c>
      <c r="J30" s="271">
        <f t="shared" si="2"/>
        <v>0.25</v>
      </c>
      <c r="K30" s="270">
        <f t="shared" si="3"/>
        <v>0.25</v>
      </c>
      <c r="L30" s="269">
        <f t="shared" si="4"/>
        <v>0.25</v>
      </c>
      <c r="M30" s="276">
        <f>I30*$E$23</f>
        <v>85.75</v>
      </c>
      <c r="N30" s="275">
        <f t="shared" si="6"/>
        <v>85.75</v>
      </c>
      <c r="O30" s="274">
        <f t="shared" si="7"/>
        <v>85.75</v>
      </c>
      <c r="P30" s="273">
        <f t="shared" si="8"/>
        <v>85.75</v>
      </c>
      <c r="Q30" s="211">
        <f t="shared" si="9"/>
        <v>26</v>
      </c>
      <c r="R30" s="211">
        <f t="shared" si="10"/>
        <v>152.5</v>
      </c>
      <c r="S30" s="91">
        <f t="shared" si="11"/>
        <v>1293.997931728245</v>
      </c>
      <c r="T30" s="49">
        <f t="shared" ref="T30:T31" si="12">(S30-S29)</f>
        <v>343.00000000000011</v>
      </c>
      <c r="U30" s="219"/>
      <c r="V30" s="129">
        <f>E30-E29</f>
        <v>1</v>
      </c>
      <c r="W30" s="113">
        <f>H30-H29</f>
        <v>1</v>
      </c>
      <c r="X30" s="200">
        <f t="shared" ref="X30:X37" si="13">T30</f>
        <v>343.00000000000011</v>
      </c>
      <c r="Z30" s="7" t="str">
        <f t="shared" ref="Z30:Z37" si="14">IF(V30&gt;0,"Bought ",IF(V30&lt;0,"Sold ",""))&amp;IF(V30&lt;0,V30*-1,IF(V30&gt;0,V30,""))&amp;IF(V30&lt;&gt;0," Shares of State 1 at a cost of "&amp;ROUND($X30,5),"")</f>
        <v>Bought 1 Shares of State 1 at a cost of 343</v>
      </c>
      <c r="AA30" s="7" t="str">
        <f t="shared" ref="AA30:AA37" si="15">IF(W30&gt;0,"Bought ",IF(W30&lt;0,"Sold ",""))&amp;IF(W30&lt;0,W30*-1,IF(W30&gt;0,W30,""))&amp;IF(W30&lt;&gt;0," Shares of State 2 at a cost of "&amp;ROUND($X30,5),"")</f>
        <v>Bought 1 Shares of State 2 at a cost of 343</v>
      </c>
      <c r="AB30" s="203" t="str">
        <f t="shared" ref="AB30:AB37" si="16">Z30&amp;AA30</f>
        <v>Bought 1 Shares of State 1 at a cost of 343Bought 1 Shares of State 2 at a cost of 343</v>
      </c>
    </row>
    <row r="31" spans="2:34" s="7" customFormat="1" ht="18.75" x14ac:dyDescent="0.3">
      <c r="C31" s="21"/>
      <c r="D31" s="25">
        <v>3</v>
      </c>
      <c r="E31" s="276">
        <v>0</v>
      </c>
      <c r="F31" s="275">
        <v>0</v>
      </c>
      <c r="G31" s="274">
        <v>0</v>
      </c>
      <c r="H31" s="273">
        <v>0</v>
      </c>
      <c r="I31" s="272">
        <f t="shared" si="1"/>
        <v>0.25</v>
      </c>
      <c r="J31" s="271">
        <f t="shared" si="2"/>
        <v>0.25</v>
      </c>
      <c r="K31" s="270">
        <f t="shared" si="3"/>
        <v>0.25</v>
      </c>
      <c r="L31" s="269">
        <f t="shared" si="4"/>
        <v>0.25</v>
      </c>
      <c r="M31" s="276">
        <f t="shared" ref="M31:M38" si="17">I31*$E$23</f>
        <v>85.75</v>
      </c>
      <c r="N31" s="275">
        <f>J31*$E$23</f>
        <v>85.75</v>
      </c>
      <c r="O31" s="274">
        <f>K31*$E$23</f>
        <v>85.75</v>
      </c>
      <c r="P31" s="273">
        <f t="shared" si="8"/>
        <v>85.75</v>
      </c>
      <c r="Q31" s="211">
        <f t="shared" si="9"/>
        <v>26</v>
      </c>
      <c r="R31" s="211">
        <f t="shared" si="10"/>
        <v>152.5</v>
      </c>
      <c r="S31" s="91">
        <f t="shared" si="11"/>
        <v>950.99793172824491</v>
      </c>
      <c r="T31" s="49">
        <f t="shared" si="12"/>
        <v>-343.00000000000011</v>
      </c>
      <c r="U31" s="219"/>
      <c r="V31" s="129">
        <f>E31-E30</f>
        <v>-1</v>
      </c>
      <c r="W31" s="113">
        <f>H31-H30</f>
        <v>-1</v>
      </c>
      <c r="X31" s="200">
        <f t="shared" si="13"/>
        <v>-343.00000000000011</v>
      </c>
      <c r="Z31" s="7" t="str">
        <f t="shared" si="14"/>
        <v>Sold 1 Shares of State 1 at a cost of -343</v>
      </c>
      <c r="AA31" s="7" t="str">
        <f t="shared" si="15"/>
        <v>Sold 1 Shares of State 2 at a cost of -343</v>
      </c>
      <c r="AB31" s="203" t="str">
        <f t="shared" si="16"/>
        <v>Sold 1 Shares of State 1 at a cost of -343Sold 1 Shares of State 2 at a cost of -343</v>
      </c>
    </row>
    <row r="32" spans="2:34" s="7" customFormat="1" ht="18.75" x14ac:dyDescent="0.3">
      <c r="C32" s="21"/>
      <c r="D32" s="25">
        <v>4</v>
      </c>
      <c r="E32" s="276">
        <v>1</v>
      </c>
      <c r="F32" s="275">
        <v>1</v>
      </c>
      <c r="G32" s="274">
        <v>0</v>
      </c>
      <c r="H32" s="273">
        <v>0</v>
      </c>
      <c r="I32" s="272">
        <f t="shared" si="1"/>
        <v>0.3112296656009273</v>
      </c>
      <c r="J32" s="271">
        <f t="shared" si="2"/>
        <v>0.3112296656009273</v>
      </c>
      <c r="K32" s="270">
        <f t="shared" si="3"/>
        <v>0.1887703343990727</v>
      </c>
      <c r="L32" s="269">
        <f t="shared" si="4"/>
        <v>0.1887703343990727</v>
      </c>
      <c r="M32" s="276">
        <f t="shared" si="17"/>
        <v>106.75177530111806</v>
      </c>
      <c r="N32" s="275">
        <f t="shared" si="6"/>
        <v>106.75177530111806</v>
      </c>
      <c r="O32" s="274">
        <f t="shared" si="7"/>
        <v>64.748224698881941</v>
      </c>
      <c r="P32" s="273">
        <f t="shared" si="8"/>
        <v>64.748224698881941</v>
      </c>
      <c r="Q32" s="211">
        <f t="shared" si="9"/>
        <v>20.121952102310978</v>
      </c>
      <c r="R32" s="211">
        <f t="shared" si="10"/>
        <v>152.5</v>
      </c>
      <c r="S32" s="91">
        <f t="shared" si="11"/>
        <v>1143.7157770116758</v>
      </c>
      <c r="T32" s="49">
        <f>(S32-S31)</f>
        <v>192.71784528343085</v>
      </c>
      <c r="U32" s="219"/>
      <c r="V32" s="129">
        <f>E32-E31</f>
        <v>1</v>
      </c>
      <c r="W32" s="113">
        <f>H32-H31</f>
        <v>0</v>
      </c>
      <c r="X32" s="200">
        <f t="shared" si="13"/>
        <v>192.71784528343085</v>
      </c>
      <c r="Z32" s="7" t="str">
        <f t="shared" si="14"/>
        <v>Bought 1 Shares of State 1 at a cost of 192.71785</v>
      </c>
      <c r="AA32" s="7" t="str">
        <f t="shared" si="15"/>
        <v/>
      </c>
      <c r="AB32" s="203" t="str">
        <f t="shared" si="16"/>
        <v>Bought 1 Shares of State 1 at a cost of 192.71785</v>
      </c>
    </row>
    <row r="33" spans="3:29" s="7" customFormat="1" ht="18.75" x14ac:dyDescent="0.3">
      <c r="C33" s="21"/>
      <c r="D33" s="25">
        <v>5</v>
      </c>
      <c r="E33" s="276">
        <v>0</v>
      </c>
      <c r="F33" s="275">
        <v>0</v>
      </c>
      <c r="G33" s="274">
        <v>0</v>
      </c>
      <c r="H33" s="273">
        <v>0</v>
      </c>
      <c r="I33" s="272">
        <f t="shared" si="1"/>
        <v>0.25</v>
      </c>
      <c r="J33" s="271">
        <f t="shared" si="2"/>
        <v>0.25</v>
      </c>
      <c r="K33" s="270">
        <f t="shared" si="3"/>
        <v>0.25</v>
      </c>
      <c r="L33" s="269">
        <f t="shared" si="4"/>
        <v>0.25</v>
      </c>
      <c r="M33" s="276">
        <f t="shared" si="17"/>
        <v>85.75</v>
      </c>
      <c r="N33" s="275">
        <f>J33*$E$23</f>
        <v>85.75</v>
      </c>
      <c r="O33" s="274">
        <f t="shared" si="7"/>
        <v>85.75</v>
      </c>
      <c r="P33" s="273">
        <f t="shared" si="8"/>
        <v>85.75</v>
      </c>
      <c r="Q33" s="211">
        <f t="shared" si="9"/>
        <v>26</v>
      </c>
      <c r="R33" s="211">
        <f t="shared" si="10"/>
        <v>152.5</v>
      </c>
      <c r="S33" s="91">
        <f t="shared" si="11"/>
        <v>950.99793172824491</v>
      </c>
      <c r="T33" s="49">
        <f t="shared" ref="T33:T37" si="18">(S33-S32)</f>
        <v>-192.71784528343085</v>
      </c>
      <c r="U33" s="219"/>
      <c r="V33" s="129">
        <f>E33-E32</f>
        <v>-1</v>
      </c>
      <c r="W33" s="113">
        <f>H33-H32</f>
        <v>0</v>
      </c>
      <c r="X33" s="200">
        <f t="shared" si="13"/>
        <v>-192.71784528343085</v>
      </c>
      <c r="Z33" s="7" t="str">
        <f t="shared" si="14"/>
        <v>Sold 1 Shares of State 1 at a cost of -192.71785</v>
      </c>
      <c r="AA33" s="7" t="str">
        <f t="shared" si="15"/>
        <v/>
      </c>
      <c r="AB33" s="203" t="str">
        <f t="shared" si="16"/>
        <v>Sold 1 Shares of State 1 at a cost of -192.71785</v>
      </c>
    </row>
    <row r="34" spans="3:29" s="7" customFormat="1" ht="18.75" x14ac:dyDescent="0.3">
      <c r="C34" s="21"/>
      <c r="D34" s="25">
        <v>6</v>
      </c>
      <c r="E34" s="276">
        <v>1</v>
      </c>
      <c r="F34" s="275">
        <v>0</v>
      </c>
      <c r="G34" s="274">
        <v>1</v>
      </c>
      <c r="H34" s="273">
        <v>0</v>
      </c>
      <c r="I34" s="272">
        <f t="shared" si="1"/>
        <v>0.3112296656009273</v>
      </c>
      <c r="J34" s="271">
        <f t="shared" si="2"/>
        <v>0.1887703343990727</v>
      </c>
      <c r="K34" s="270">
        <f t="shared" si="3"/>
        <v>0.3112296656009273</v>
      </c>
      <c r="L34" s="269">
        <f t="shared" si="4"/>
        <v>0.1887703343990727</v>
      </c>
      <c r="M34" s="276">
        <f t="shared" si="17"/>
        <v>106.75177530111806</v>
      </c>
      <c r="N34" s="275">
        <f t="shared" si="6"/>
        <v>64.748224698881941</v>
      </c>
      <c r="O34" s="274">
        <f t="shared" si="7"/>
        <v>106.75177530111806</v>
      </c>
      <c r="P34" s="273">
        <f t="shared" si="8"/>
        <v>64.748224698881941</v>
      </c>
      <c r="Q34" s="211">
        <f t="shared" si="9"/>
        <v>26</v>
      </c>
      <c r="R34" s="211">
        <f t="shared" si="10"/>
        <v>116.3744972954529</v>
      </c>
      <c r="S34" s="91">
        <f t="shared" si="11"/>
        <v>1143.7157770116758</v>
      </c>
      <c r="T34" s="49">
        <f t="shared" si="18"/>
        <v>192.71784528343085</v>
      </c>
      <c r="U34" s="219"/>
      <c r="V34" s="129">
        <f>E34-E31</f>
        <v>1</v>
      </c>
      <c r="W34" s="113">
        <f>H34-H31</f>
        <v>0</v>
      </c>
      <c r="X34" s="200">
        <f t="shared" si="13"/>
        <v>192.71784528343085</v>
      </c>
      <c r="Z34" s="7" t="str">
        <f t="shared" si="14"/>
        <v>Bought 1 Shares of State 1 at a cost of 192.71785</v>
      </c>
      <c r="AA34" s="7" t="str">
        <f t="shared" si="15"/>
        <v/>
      </c>
      <c r="AB34" s="203" t="str">
        <f t="shared" si="16"/>
        <v>Bought 1 Shares of State 1 at a cost of 192.71785</v>
      </c>
    </row>
    <row r="35" spans="3:29" s="7" customFormat="1" ht="18.75" x14ac:dyDescent="0.3">
      <c r="C35" s="21"/>
      <c r="D35" s="25">
        <v>16</v>
      </c>
      <c r="E35" s="276">
        <v>75</v>
      </c>
      <c r="F35" s="275">
        <v>0</v>
      </c>
      <c r="G35" s="274">
        <v>0</v>
      </c>
      <c r="H35" s="273">
        <v>0</v>
      </c>
      <c r="I35" s="272">
        <f t="shared" si="1"/>
        <v>1</v>
      </c>
      <c r="J35" s="271">
        <f t="shared" si="2"/>
        <v>5.1755550058018688E-17</v>
      </c>
      <c r="K35" s="270">
        <f t="shared" si="3"/>
        <v>5.1755550058018688E-17</v>
      </c>
      <c r="L35" s="269">
        <f t="shared" si="4"/>
        <v>5.1755550058018688E-17</v>
      </c>
      <c r="M35" s="276">
        <f t="shared" si="17"/>
        <v>343</v>
      </c>
      <c r="N35" s="275">
        <f t="shared" si="6"/>
        <v>1.775215366990041E-14</v>
      </c>
      <c r="O35" s="274">
        <f t="shared" si="7"/>
        <v>1.775215366990041E-14</v>
      </c>
      <c r="P35" s="273">
        <f t="shared" si="8"/>
        <v>1.775215366990041E-14</v>
      </c>
      <c r="Q35" s="211">
        <f t="shared" si="9"/>
        <v>2.0000000000000049</v>
      </c>
      <c r="R35" s="211">
        <f t="shared" si="10"/>
        <v>5.0000000000000302</v>
      </c>
      <c r="S35" s="91">
        <f t="shared" si="11"/>
        <v>25725</v>
      </c>
      <c r="T35" s="49">
        <f t="shared" si="18"/>
        <v>24581.284222988324</v>
      </c>
      <c r="U35" s="219"/>
      <c r="V35" s="129" t="e">
        <f>E35-#REF!</f>
        <v>#REF!</v>
      </c>
      <c r="W35" s="113" t="e">
        <f>H35-#REF!</f>
        <v>#REF!</v>
      </c>
      <c r="X35" s="200">
        <f t="shared" si="13"/>
        <v>24581.284222988324</v>
      </c>
      <c r="Z35" s="7" t="e">
        <f t="shared" si="14"/>
        <v>#REF!</v>
      </c>
      <c r="AA35" s="7" t="e">
        <f t="shared" si="15"/>
        <v>#REF!</v>
      </c>
      <c r="AB35" s="203" t="e">
        <f t="shared" si="16"/>
        <v>#REF!</v>
      </c>
    </row>
    <row r="36" spans="3:29" s="7" customFormat="1" ht="18.75" x14ac:dyDescent="0.3">
      <c r="C36" s="21"/>
      <c r="D36" s="25">
        <v>17</v>
      </c>
      <c r="E36" s="276">
        <v>0</v>
      </c>
      <c r="F36" s="275">
        <v>0</v>
      </c>
      <c r="G36" s="274">
        <v>0</v>
      </c>
      <c r="H36" s="273">
        <v>0</v>
      </c>
      <c r="I36" s="272">
        <f t="shared" si="1"/>
        <v>0.25</v>
      </c>
      <c r="J36" s="271">
        <f t="shared" si="2"/>
        <v>0.25</v>
      </c>
      <c r="K36" s="270">
        <f t="shared" si="3"/>
        <v>0.25</v>
      </c>
      <c r="L36" s="269">
        <f t="shared" si="4"/>
        <v>0.25</v>
      </c>
      <c r="M36" s="276">
        <f t="shared" si="17"/>
        <v>85.75</v>
      </c>
      <c r="N36" s="275">
        <f t="shared" si="6"/>
        <v>85.75</v>
      </c>
      <c r="O36" s="274">
        <f t="shared" si="7"/>
        <v>85.75</v>
      </c>
      <c r="P36" s="273">
        <f t="shared" si="8"/>
        <v>85.75</v>
      </c>
      <c r="Q36" s="211">
        <f t="shared" si="9"/>
        <v>26</v>
      </c>
      <c r="R36" s="211">
        <f t="shared" si="10"/>
        <v>152.5</v>
      </c>
      <c r="S36" s="91">
        <f t="shared" si="11"/>
        <v>950.99793172824491</v>
      </c>
      <c r="T36" s="49">
        <f t="shared" si="18"/>
        <v>-24774.002068271755</v>
      </c>
      <c r="U36" s="219"/>
      <c r="V36" s="129">
        <f>E36-E35</f>
        <v>-75</v>
      </c>
      <c r="W36" s="113">
        <f>H36-H35</f>
        <v>0</v>
      </c>
      <c r="X36" s="200">
        <f t="shared" si="13"/>
        <v>-24774.002068271755</v>
      </c>
      <c r="Z36" s="7" t="str">
        <f t="shared" si="14"/>
        <v>Sold 75 Shares of State 1 at a cost of -24774.00207</v>
      </c>
      <c r="AA36" s="7" t="str">
        <f t="shared" si="15"/>
        <v/>
      </c>
      <c r="AB36" s="203" t="str">
        <f t="shared" si="16"/>
        <v>Sold 75 Shares of State 1 at a cost of -24774.00207</v>
      </c>
    </row>
    <row r="37" spans="3:29" s="7" customFormat="1" ht="19.5" thickBot="1" x14ac:dyDescent="0.35">
      <c r="C37" s="21"/>
      <c r="D37" s="25">
        <v>18</v>
      </c>
      <c r="E37" s="268">
        <v>2</v>
      </c>
      <c r="F37" s="267">
        <v>3</v>
      </c>
      <c r="G37" s="266">
        <v>1</v>
      </c>
      <c r="H37" s="265">
        <v>4</v>
      </c>
      <c r="I37" s="264">
        <f t="shared" si="1"/>
        <v>0.16740509727844333</v>
      </c>
      <c r="J37" s="263">
        <f t="shared" si="2"/>
        <v>0.27600434470659363</v>
      </c>
      <c r="K37" s="262">
        <f t="shared" si="3"/>
        <v>0.10153632409155182</v>
      </c>
      <c r="L37" s="261">
        <f t="shared" si="4"/>
        <v>0.45505423392341132</v>
      </c>
      <c r="M37" s="268">
        <f t="shared" si="17"/>
        <v>57.419948366506063</v>
      </c>
      <c r="N37" s="267">
        <f t="shared" si="6"/>
        <v>94.669490234361618</v>
      </c>
      <c r="O37" s="266">
        <f t="shared" si="7"/>
        <v>34.826959163402272</v>
      </c>
      <c r="P37" s="265">
        <f t="shared" si="8"/>
        <v>156.0836022357301</v>
      </c>
      <c r="Q37" s="212">
        <f t="shared" si="9"/>
        <v>28.716346784718233</v>
      </c>
      <c r="R37" s="212">
        <f t="shared" si="10"/>
        <v>220.66228069585148</v>
      </c>
      <c r="S37" s="127">
        <f t="shared" si="11"/>
        <v>1912.1143287850541</v>
      </c>
      <c r="T37" s="128">
        <f t="shared" si="18"/>
        <v>961.11639705680921</v>
      </c>
      <c r="U37" s="219"/>
      <c r="V37" s="137">
        <f>E37-E36</f>
        <v>2</v>
      </c>
      <c r="W37" s="115">
        <f>H37-H36</f>
        <v>4</v>
      </c>
      <c r="X37" s="200">
        <f t="shared" si="13"/>
        <v>961.11639705680921</v>
      </c>
      <c r="Z37" s="7" t="str">
        <f t="shared" si="14"/>
        <v>Bought 2 Shares of State 1 at a cost of 961.1164</v>
      </c>
      <c r="AA37" s="7" t="str">
        <f t="shared" si="15"/>
        <v>Bought 4 Shares of State 2 at a cost of 961.1164</v>
      </c>
      <c r="AB37" s="203" t="str">
        <f t="shared" si="16"/>
        <v>Bought 2 Shares of State 1 at a cost of 961.1164Bought 4 Shares of State 2 at a cost of 961.1164</v>
      </c>
    </row>
    <row r="38" spans="3:29" s="7" customFormat="1" ht="16.5" thickTop="1" thickBot="1" x14ac:dyDescent="0.3">
      <c r="D38" s="25" t="s">
        <v>98</v>
      </c>
      <c r="E38" s="256">
        <f>E37</f>
        <v>2</v>
      </c>
      <c r="F38" s="255">
        <f t="shared" ref="F38:H38" si="19">F37</f>
        <v>3</v>
      </c>
      <c r="G38" s="254">
        <f t="shared" si="19"/>
        <v>1</v>
      </c>
      <c r="H38" s="253">
        <f t="shared" si="19"/>
        <v>4</v>
      </c>
      <c r="I38" s="252">
        <f>F41*F42</f>
        <v>4.9353813559321795E-3</v>
      </c>
      <c r="J38" s="251">
        <f>E42*F41</f>
        <v>0.48037711864406785</v>
      </c>
      <c r="K38" s="250">
        <f>E41*F42</f>
        <v>5.2341101694915E-3</v>
      </c>
      <c r="L38" s="249">
        <f>E41*E42</f>
        <v>0.50945338983050847</v>
      </c>
      <c r="M38" s="256">
        <f t="shared" si="17"/>
        <v>1.6928358050847376</v>
      </c>
      <c r="N38" s="255">
        <f t="shared" si="6"/>
        <v>164.76935169491526</v>
      </c>
      <c r="O38" s="254">
        <f t="shared" si="7"/>
        <v>1.7952997881355846</v>
      </c>
      <c r="P38" s="253">
        <f t="shared" si="8"/>
        <v>174.74251271186441</v>
      </c>
      <c r="Q38" s="213">
        <f t="shared" si="9"/>
        <v>26.704999999999998</v>
      </c>
      <c r="R38" s="213">
        <f t="shared" si="10"/>
        <v>297</v>
      </c>
      <c r="S38" s="91">
        <f t="shared" si="11"/>
        <v>1912.1143287850541</v>
      </c>
      <c r="T38" s="8" t="s">
        <v>110</v>
      </c>
      <c r="AA38" s="8"/>
      <c r="AB38" s="8"/>
      <c r="AC38" s="8"/>
    </row>
    <row r="39" spans="3:29" s="7" customFormat="1" ht="15.75" thickBot="1" x14ac:dyDescent="0.3">
      <c r="C39"/>
      <c r="D39"/>
      <c r="E39" s="33"/>
      <c r="F39" s="33"/>
      <c r="G39" s="33"/>
      <c r="H39" s="33"/>
      <c r="I39" s="33"/>
      <c r="J39" s="33"/>
      <c r="K39" s="33"/>
      <c r="L39" s="33"/>
      <c r="M39" s="33"/>
      <c r="N39" s="33"/>
      <c r="O39" s="33"/>
      <c r="P39" s="33"/>
      <c r="Q39" s="33"/>
      <c r="R39" s="33"/>
      <c r="S39" s="291">
        <f>SUMPRODUCT(E38:H38,M38:P38)</f>
        <v>1198.4590773305085</v>
      </c>
      <c r="T39" t="s">
        <v>111</v>
      </c>
      <c r="AA39"/>
      <c r="AB39"/>
      <c r="AC39"/>
    </row>
    <row r="40" spans="3:29" s="7" customFormat="1" ht="15.75" thickBot="1" x14ac:dyDescent="0.3">
      <c r="C40" s="1"/>
      <c r="D40" s="168" t="s">
        <v>190</v>
      </c>
      <c r="E40" s="338" t="s">
        <v>163</v>
      </c>
      <c r="F40" s="282" t="s">
        <v>187</v>
      </c>
      <c r="G40" s="158"/>
      <c r="H40" s="17"/>
      <c r="I40" s="17"/>
      <c r="J40" s="327"/>
      <c r="K40" s="17"/>
      <c r="L40" s="327"/>
      <c r="M40" s="17"/>
      <c r="N40" s="17"/>
      <c r="O40" s="17" t="s">
        <v>137</v>
      </c>
      <c r="P40" s="248">
        <f>SUM(M36:P36)</f>
        <v>343</v>
      </c>
      <c r="Q40" s="17"/>
      <c r="R40" s="17"/>
      <c r="S40" s="291">
        <f>S38-S39</f>
        <v>713.65525145454558</v>
      </c>
      <c r="T40" s="7" t="s">
        <v>103</v>
      </c>
    </row>
    <row r="41" spans="3:29" s="7" customFormat="1" ht="15.75" thickBot="1" x14ac:dyDescent="0.3">
      <c r="C41" s="341" t="s">
        <v>188</v>
      </c>
      <c r="D41" s="248">
        <v>26.704999999999998</v>
      </c>
      <c r="E41" s="17">
        <f>(D41-E5)/E7</f>
        <v>0.51468749999999996</v>
      </c>
      <c r="F41" s="6">
        <f>1-E41</f>
        <v>0.48531250000000004</v>
      </c>
      <c r="H41" s="33"/>
      <c r="I41" s="33"/>
      <c r="J41" s="33"/>
      <c r="K41" s="33"/>
      <c r="L41" s="33"/>
      <c r="M41" s="17"/>
      <c r="N41" s="17"/>
      <c r="O41" s="17"/>
      <c r="P41" s="248">
        <f>SUM(M37:P37)</f>
        <v>343.00000000000006</v>
      </c>
      <c r="Q41" s="17"/>
      <c r="R41" s="17"/>
      <c r="S41" s="294">
        <f>S29-S40</f>
        <v>237.34268027369933</v>
      </c>
      <c r="T41" s="55" t="s">
        <v>104</v>
      </c>
      <c r="Y41" s="8"/>
      <c r="Z41" s="8"/>
      <c r="AA41" s="8"/>
      <c r="AB41" s="28"/>
      <c r="AC41" s="28"/>
    </row>
    <row r="42" spans="3:29" x14ac:dyDescent="0.25">
      <c r="C42" s="339" t="s">
        <v>189</v>
      </c>
      <c r="D42" s="340">
        <v>297</v>
      </c>
      <c r="E42" s="305">
        <f>(D42-E13)/E15</f>
        <v>0.98983050847457632</v>
      </c>
      <c r="F42" s="3">
        <f>1-E42</f>
        <v>1.016949152542368E-2</v>
      </c>
      <c r="P42" s="248">
        <f>SUM(M38:P38)</f>
        <v>343</v>
      </c>
      <c r="T42" s="206"/>
    </row>
    <row r="44" spans="3:29" x14ac:dyDescent="0.25">
      <c r="Q44" s="206"/>
    </row>
    <row r="45" spans="3:29" x14ac:dyDescent="0.25">
      <c r="Q45" s="206"/>
    </row>
    <row r="46" spans="3:29" x14ac:dyDescent="0.25">
      <c r="Q46" s="206"/>
    </row>
    <row r="47" spans="3:29" x14ac:dyDescent="0.25">
      <c r="Q47" s="206"/>
    </row>
    <row r="48" spans="3:29" x14ac:dyDescent="0.25">
      <c r="Q48" s="206"/>
    </row>
  </sheetData>
  <mergeCells count="4">
    <mergeCell ref="C4:C10"/>
    <mergeCell ref="C20:C24"/>
    <mergeCell ref="V27:W27"/>
    <mergeCell ref="C12:C1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P24"/>
  <sheetViews>
    <sheetView zoomScale="70" zoomScaleNormal="70" workbookViewId="0">
      <selection activeCell="R25" sqref="R25"/>
    </sheetView>
  </sheetViews>
  <sheetFormatPr defaultRowHeight="15" x14ac:dyDescent="0.25"/>
  <cols>
    <col min="5" max="9" width="11.42578125" style="33" customWidth="1"/>
    <col min="10" max="10" width="12" style="33" customWidth="1"/>
    <col min="13" max="13" width="9.42578125" customWidth="1"/>
    <col min="14" max="14" width="12.7109375" customWidth="1"/>
    <col min="15" max="15" width="10.28515625" customWidth="1"/>
    <col min="16" max="16" width="10.7109375" customWidth="1"/>
    <col min="18" max="18" width="9.42578125" customWidth="1"/>
    <col min="20" max="20" width="12.140625" customWidth="1"/>
    <col min="21" max="21" width="10.5703125" customWidth="1"/>
    <col min="24" max="24" width="11.140625" customWidth="1"/>
  </cols>
  <sheetData>
    <row r="2" spans="2:42" s="7" customFormat="1" x14ac:dyDescent="0.25">
      <c r="E2" s="17"/>
      <c r="F2" s="17"/>
      <c r="G2" s="17"/>
      <c r="H2" s="17"/>
      <c r="I2" s="17"/>
      <c r="J2" s="17"/>
    </row>
    <row r="3" spans="2:42" ht="21" x14ac:dyDescent="0.35">
      <c r="D3" s="157" t="s">
        <v>66</v>
      </c>
      <c r="K3" t="s">
        <v>44</v>
      </c>
    </row>
    <row r="4" spans="2:42" x14ac:dyDescent="0.25">
      <c r="D4" t="s">
        <v>4</v>
      </c>
      <c r="E4" s="33" t="s">
        <v>10</v>
      </c>
      <c r="F4" s="33" t="s">
        <v>11</v>
      </c>
      <c r="H4" s="33" t="s">
        <v>42</v>
      </c>
      <c r="I4" s="33">
        <f>COUNTA(E8:H8)</f>
        <v>4</v>
      </c>
      <c r="K4">
        <f>M9</f>
        <v>2.7725887222397811</v>
      </c>
      <c r="N4" s="18"/>
      <c r="O4" s="7"/>
      <c r="P4" s="7"/>
      <c r="Q4" s="7"/>
      <c r="R4" s="18"/>
    </row>
    <row r="5" spans="2:42" x14ac:dyDescent="0.25">
      <c r="D5" t="s">
        <v>5</v>
      </c>
      <c r="E5" s="33" t="s">
        <v>2</v>
      </c>
      <c r="F5" s="33" t="s">
        <v>3</v>
      </c>
      <c r="N5" s="18"/>
      <c r="O5" s="7"/>
      <c r="P5" s="7"/>
      <c r="Q5" s="7"/>
      <c r="R5" s="18"/>
    </row>
    <row r="7" spans="2:42" ht="27.75" customHeight="1" x14ac:dyDescent="0.25">
      <c r="C7" s="7"/>
      <c r="E7" s="36" t="s">
        <v>12</v>
      </c>
      <c r="F7" s="37"/>
      <c r="G7" s="37"/>
      <c r="H7" s="38"/>
      <c r="I7" s="14" t="s">
        <v>13</v>
      </c>
      <c r="J7" s="15"/>
      <c r="K7" s="15"/>
      <c r="L7" s="16"/>
      <c r="M7" s="15" t="s">
        <v>36</v>
      </c>
      <c r="N7" s="16" t="s">
        <v>35</v>
      </c>
      <c r="O7" s="20"/>
      <c r="P7" s="20"/>
      <c r="R7" s="20"/>
      <c r="S7" s="20"/>
      <c r="T7" s="20"/>
      <c r="U7" s="30"/>
      <c r="V7" s="31"/>
      <c r="W7" s="7"/>
      <c r="X7" s="7"/>
      <c r="Y7" s="7"/>
      <c r="Z7" s="31"/>
      <c r="AA7" s="7"/>
      <c r="AB7" s="7"/>
      <c r="AC7" s="7"/>
      <c r="AD7" s="7"/>
      <c r="AE7" s="7"/>
      <c r="AF7" s="7"/>
      <c r="AG7" s="7"/>
      <c r="AH7" s="7"/>
      <c r="AI7" s="7"/>
      <c r="AJ7" s="7"/>
      <c r="AK7" s="7"/>
      <c r="AL7" s="7"/>
      <c r="AM7" s="7"/>
      <c r="AN7" s="7"/>
      <c r="AO7" s="7"/>
      <c r="AP7" s="7"/>
    </row>
    <row r="8" spans="2:42" ht="16.5" thickBot="1" x14ac:dyDescent="0.3">
      <c r="C8" s="169" t="s">
        <v>5</v>
      </c>
      <c r="D8" s="130" t="s">
        <v>34</v>
      </c>
      <c r="E8" s="39" t="s">
        <v>6</v>
      </c>
      <c r="F8" s="56" t="s">
        <v>7</v>
      </c>
      <c r="G8" s="40" t="s">
        <v>8</v>
      </c>
      <c r="H8" s="57" t="s">
        <v>9</v>
      </c>
      <c r="I8" s="67" t="s">
        <v>6</v>
      </c>
      <c r="J8" s="68" t="s">
        <v>7</v>
      </c>
      <c r="K8" s="69" t="s">
        <v>8</v>
      </c>
      <c r="L8" s="70" t="s">
        <v>9</v>
      </c>
      <c r="M8" s="380">
        <v>0</v>
      </c>
      <c r="N8" s="35"/>
      <c r="O8" s="7"/>
      <c r="P8" s="7"/>
      <c r="R8" s="7"/>
      <c r="S8" s="7"/>
      <c r="T8" s="7"/>
      <c r="U8" s="7"/>
      <c r="V8" s="7"/>
      <c r="W8" s="7"/>
      <c r="X8" s="7"/>
      <c r="Y8" s="7"/>
      <c r="Z8" s="7"/>
      <c r="AA8" s="7"/>
      <c r="AB8" s="7"/>
      <c r="AC8" s="7"/>
      <c r="AD8" s="7"/>
      <c r="AE8" s="7"/>
      <c r="AF8" s="7"/>
      <c r="AG8" s="7"/>
      <c r="AH8" s="7"/>
      <c r="AI8" s="7"/>
      <c r="AJ8" s="7"/>
      <c r="AK8" s="7"/>
      <c r="AL8" s="7"/>
      <c r="AM8" s="18"/>
      <c r="AN8" s="18"/>
      <c r="AO8" s="18"/>
      <c r="AP8" s="18"/>
    </row>
    <row r="9" spans="2:42" ht="16.5" thickTop="1" x14ac:dyDescent="0.25">
      <c r="B9" t="s">
        <v>63</v>
      </c>
      <c r="C9" s="170">
        <v>2</v>
      </c>
      <c r="D9">
        <v>1</v>
      </c>
      <c r="E9" s="44">
        <v>0</v>
      </c>
      <c r="F9" s="58">
        <v>0</v>
      </c>
      <c r="G9" s="45">
        <v>0</v>
      </c>
      <c r="H9" s="59">
        <v>0</v>
      </c>
      <c r="I9" s="71">
        <f>EXP(E9/$C9)/(EXP($E9/$C9)+EXP($F9/$C9)+EXP($G9/$C9)+EXP($H9/$C9))</f>
        <v>0.25</v>
      </c>
      <c r="J9" s="72">
        <f t="shared" ref="J9:J14" si="0">EXP(F9/$C9)/(EXP($E9/$C9)+EXP($F9/$C9)+EXP($G9/$C9)+EXP($H9/$C9))</f>
        <v>0.25</v>
      </c>
      <c r="K9" s="73">
        <f t="shared" ref="K9:K15" si="1">EXP(G9/$C9)/(EXP($E9/$C9)+EXP($F9/$C9)+EXP($G9/$C9)+EXP($H9/$C9))</f>
        <v>0.25</v>
      </c>
      <c r="L9" s="401">
        <f t="shared" ref="L9:L15" si="2">EXP(H9/$C9)/(EXP($E9/$C9)+EXP($F9/$C9)+EXP($G9/$C9)+EXP($H9/$C9))</f>
        <v>0.25</v>
      </c>
      <c r="M9" s="90">
        <f>$C9*LN(EXP($E9/$C9)+EXP($F9/$C9)+EXP($G9/$C9)+EXP($H9/$C9))</f>
        <v>2.7725887222397811</v>
      </c>
      <c r="N9" s="83">
        <f>(M9-0)</f>
        <v>2.7725887222397811</v>
      </c>
      <c r="O9" s="7"/>
      <c r="P9" s="7"/>
      <c r="R9" s="7"/>
      <c r="S9" s="7"/>
      <c r="T9" s="7"/>
      <c r="U9" s="7"/>
      <c r="V9" s="8"/>
      <c r="W9" s="8"/>
      <c r="X9" s="8"/>
      <c r="Y9" s="8"/>
      <c r="Z9" s="7"/>
      <c r="AA9" s="7"/>
      <c r="AB9" s="7"/>
      <c r="AC9" s="7"/>
      <c r="AD9" s="7"/>
      <c r="AE9" s="7"/>
      <c r="AF9" s="7"/>
      <c r="AG9" s="7"/>
      <c r="AH9" s="7"/>
      <c r="AI9" s="7"/>
      <c r="AJ9" s="7"/>
      <c r="AK9" s="7"/>
      <c r="AL9" s="7"/>
      <c r="AM9" s="19"/>
      <c r="AN9" s="19"/>
      <c r="AO9" s="19"/>
      <c r="AP9" s="19"/>
    </row>
    <row r="10" spans="2:42" ht="15.75" x14ac:dyDescent="0.25">
      <c r="B10" s="7" t="s">
        <v>63</v>
      </c>
      <c r="C10" s="170">
        <v>2</v>
      </c>
      <c r="D10" s="7">
        <v>2</v>
      </c>
      <c r="E10" s="47">
        <v>0</v>
      </c>
      <c r="F10" s="60">
        <v>1</v>
      </c>
      <c r="G10" s="41">
        <v>2</v>
      </c>
      <c r="H10" s="61">
        <v>0</v>
      </c>
      <c r="I10" s="75">
        <f t="shared" ref="I10:I15" si="3">EXP(E10/$C10)/(EXP($E10/$C10)+EXP($F10/$C10)+EXP($G10/$C10)+EXP($H10/$C10))</f>
        <v>0.1570597633495828</v>
      </c>
      <c r="J10" s="76">
        <f t="shared" si="0"/>
        <v>0.25894777260558555</v>
      </c>
      <c r="K10" s="77">
        <f t="shared" si="1"/>
        <v>0.4269327006952488</v>
      </c>
      <c r="L10" s="402">
        <f t="shared" si="2"/>
        <v>0.1570597633495828</v>
      </c>
      <c r="M10" s="91">
        <f t="shared" ref="M10" si="4">$C10*LN(EXP($E10/$C10)+EXP($F10/$C10)+EXP($G10/$C10)+EXP($H10/$C10))</f>
        <v>3.7022577755764261</v>
      </c>
      <c r="N10" s="84">
        <f t="shared" ref="N10:N15" si="5">(M10-M9)</f>
        <v>0.92966905333664496</v>
      </c>
      <c r="O10" s="7"/>
      <c r="R10" s="7"/>
      <c r="S10" s="7"/>
      <c r="T10" s="7"/>
      <c r="U10" s="7"/>
      <c r="V10" s="29"/>
      <c r="W10" s="29"/>
      <c r="X10" s="29"/>
      <c r="Y10" s="29"/>
      <c r="Z10" s="7"/>
      <c r="AA10" s="7"/>
      <c r="AB10" s="7"/>
      <c r="AC10" s="7"/>
      <c r="AD10" s="7"/>
      <c r="AE10" s="7"/>
      <c r="AF10" s="7"/>
      <c r="AG10" s="7"/>
      <c r="AH10" s="8"/>
      <c r="AI10" s="8"/>
      <c r="AJ10" s="8"/>
      <c r="AK10" s="8"/>
      <c r="AL10" s="7"/>
      <c r="AM10" s="19"/>
      <c r="AN10" s="19"/>
      <c r="AO10" s="19"/>
      <c r="AP10" s="19"/>
    </row>
    <row r="11" spans="2:42" ht="15.75" x14ac:dyDescent="0.25">
      <c r="B11" s="17" t="s">
        <v>63</v>
      </c>
      <c r="C11" s="170">
        <v>2</v>
      </c>
      <c r="D11" s="17">
        <v>3</v>
      </c>
      <c r="E11" s="47">
        <v>1</v>
      </c>
      <c r="F11" s="60">
        <v>1</v>
      </c>
      <c r="G11" s="41">
        <v>2</v>
      </c>
      <c r="H11" s="61">
        <v>0</v>
      </c>
      <c r="I11" s="75">
        <f t="shared" si="3"/>
        <v>0.23500371220159452</v>
      </c>
      <c r="J11" s="76">
        <f t="shared" si="0"/>
        <v>0.23500371220159452</v>
      </c>
      <c r="K11" s="77">
        <f t="shared" si="1"/>
        <v>0.3874556190002601</v>
      </c>
      <c r="L11" s="402">
        <f t="shared" si="2"/>
        <v>0.14253695659655097</v>
      </c>
      <c r="M11" s="91">
        <f t="shared" ref="M11:M16" si="6">$C11*LN(EXP($E11/$C11)+EXP($F11/$C11)+EXP($G11/$C11)+EXP($H11/$C11))</f>
        <v>3.8963079367204267</v>
      </c>
      <c r="N11" s="84">
        <f t="shared" si="5"/>
        <v>0.19405016114400064</v>
      </c>
      <c r="O11" s="7"/>
      <c r="Q11" s="1"/>
      <c r="R11" s="167" t="s">
        <v>64</v>
      </c>
      <c r="S11" s="168"/>
      <c r="T11" s="168"/>
      <c r="U11" s="7"/>
      <c r="V11" s="29"/>
      <c r="W11" s="29"/>
      <c r="X11" s="29"/>
      <c r="Y11" s="29"/>
      <c r="Z11" s="7"/>
      <c r="AA11" s="7"/>
      <c r="AB11" s="7"/>
      <c r="AC11" s="7"/>
      <c r="AD11" s="7"/>
      <c r="AE11" s="7"/>
      <c r="AF11" s="7"/>
      <c r="AG11" s="7"/>
      <c r="AH11" s="8"/>
      <c r="AI11" s="8"/>
      <c r="AJ11" s="8"/>
      <c r="AK11" s="8"/>
      <c r="AL11" s="7"/>
      <c r="AM11" s="19"/>
      <c r="AN11" s="19"/>
      <c r="AO11" s="19"/>
      <c r="AP11" s="19"/>
    </row>
    <row r="12" spans="2:42" ht="15.75" x14ac:dyDescent="0.25">
      <c r="B12" s="158" t="s">
        <v>63</v>
      </c>
      <c r="C12" s="171">
        <v>2</v>
      </c>
      <c r="D12" s="7">
        <v>4</v>
      </c>
      <c r="E12" s="47">
        <v>2</v>
      </c>
      <c r="F12" s="60">
        <v>0</v>
      </c>
      <c r="G12" s="41">
        <v>7</v>
      </c>
      <c r="H12" s="61">
        <f>E12</f>
        <v>2</v>
      </c>
      <c r="I12" s="75">
        <f t="shared" si="3"/>
        <v>6.8726758577284552E-2</v>
      </c>
      <c r="J12" s="76">
        <f t="shared" si="0"/>
        <v>2.5283161538936071E-2</v>
      </c>
      <c r="K12" s="77">
        <f t="shared" si="1"/>
        <v>0.83726332130649472</v>
      </c>
      <c r="L12" s="402">
        <f t="shared" si="2"/>
        <v>6.8726758577284552E-2</v>
      </c>
      <c r="M12" s="91">
        <f t="shared" si="6"/>
        <v>7.3552333132946082</v>
      </c>
      <c r="N12" s="84">
        <f>(M12-M11)</f>
        <v>3.4589253765741814</v>
      </c>
      <c r="O12" s="7"/>
      <c r="Q12" s="5"/>
      <c r="R12" s="166" t="s">
        <v>65</v>
      </c>
      <c r="S12" s="7"/>
      <c r="T12" s="7"/>
      <c r="U12" s="7"/>
      <c r="V12" s="29"/>
      <c r="W12" s="29"/>
      <c r="X12" s="29"/>
      <c r="Y12" s="29"/>
      <c r="Z12" s="7"/>
      <c r="AA12" s="7"/>
      <c r="AB12" s="7"/>
      <c r="AC12" s="21"/>
      <c r="AD12" s="7"/>
      <c r="AE12" s="7"/>
      <c r="AF12" s="7"/>
      <c r="AG12" s="7"/>
      <c r="AH12" s="8"/>
      <c r="AI12" s="8"/>
      <c r="AJ12" s="8"/>
      <c r="AK12" s="8"/>
      <c r="AL12" s="7"/>
      <c r="AM12" s="19"/>
      <c r="AN12" s="19"/>
      <c r="AO12" s="19"/>
      <c r="AP12" s="19"/>
    </row>
    <row r="13" spans="2:42" ht="15.75" x14ac:dyDescent="0.25">
      <c r="B13" s="158" t="s">
        <v>62</v>
      </c>
      <c r="C13" s="171">
        <v>5</v>
      </c>
      <c r="D13" s="7">
        <v>5</v>
      </c>
      <c r="E13" s="47">
        <f>E12</f>
        <v>2</v>
      </c>
      <c r="F13" s="60">
        <f t="shared" ref="F13:G13" si="7">F12</f>
        <v>0</v>
      </c>
      <c r="G13" s="41">
        <f t="shared" si="7"/>
        <v>7</v>
      </c>
      <c r="H13" s="61">
        <v>2</v>
      </c>
      <c r="I13" s="75">
        <f t="shared" si="3"/>
        <v>0.18557689420946036</v>
      </c>
      <c r="J13" s="76">
        <f>EXP(F13/$C13)/(EXP($E13/$C13)+EXP($F13/$C13)+EXP($G13/$C13)+EXP($H13/$C13))</f>
        <v>0.12439591226963644</v>
      </c>
      <c r="K13" s="77">
        <f t="shared" si="1"/>
        <v>0.5044502993114427</v>
      </c>
      <c r="L13" s="402">
        <f t="shared" si="2"/>
        <v>0.18557689420946036</v>
      </c>
      <c r="M13" s="91">
        <f>$C13*LN(EXP($E13/$C13)+EXP($F13/$C13)+EXP($G13/$C13)+EXP($H13/$C13))</f>
        <v>10.421429793928922</v>
      </c>
      <c r="N13" s="84">
        <f>(M13-M12)</f>
        <v>3.0661964806343143</v>
      </c>
      <c r="O13" s="7"/>
      <c r="P13" s="7">
        <f>(C13-C12)*LN(I4)</f>
        <v>4.1588830833596715</v>
      </c>
      <c r="Q13" s="5" t="b">
        <f>P13&gt;N13</f>
        <v>1</v>
      </c>
      <c r="R13" s="7"/>
      <c r="S13" s="7"/>
      <c r="T13" s="7"/>
      <c r="U13" s="7"/>
      <c r="V13" s="29"/>
      <c r="W13" s="29"/>
      <c r="X13" s="29"/>
      <c r="Y13" s="29"/>
      <c r="Z13" s="7"/>
      <c r="AA13" s="7"/>
      <c r="AB13" s="7"/>
      <c r="AC13" s="7"/>
      <c r="AD13" s="7"/>
      <c r="AE13" s="7"/>
      <c r="AF13" s="7"/>
      <c r="AG13" s="7"/>
      <c r="AH13" s="8"/>
      <c r="AI13" s="8"/>
      <c r="AJ13" s="8"/>
      <c r="AK13" s="8"/>
      <c r="AL13" s="7"/>
      <c r="AM13" s="19"/>
      <c r="AN13" s="19"/>
      <c r="AO13" s="19"/>
      <c r="AP13" s="19"/>
    </row>
    <row r="14" spans="2:42" ht="15.75" x14ac:dyDescent="0.25">
      <c r="B14" s="158" t="s">
        <v>62</v>
      </c>
      <c r="C14" s="171">
        <v>5</v>
      </c>
      <c r="D14" s="7">
        <v>6</v>
      </c>
      <c r="E14" s="47">
        <v>7</v>
      </c>
      <c r="F14" s="60">
        <v>12</v>
      </c>
      <c r="G14" s="41">
        <v>2</v>
      </c>
      <c r="H14" s="61">
        <v>3.5</v>
      </c>
      <c r="I14" s="75">
        <f>EXP(E14/$C14)/(EXP($E14/$C14)+EXP($F14/$C14)+EXP($G14/$C14)+EXP($H14/$C14))</f>
        <v>0.21820975346958987</v>
      </c>
      <c r="J14" s="76">
        <f t="shared" si="0"/>
        <v>0.59315560764891428</v>
      </c>
      <c r="K14" s="77">
        <f t="shared" si="1"/>
        <v>8.027488216455092E-2</v>
      </c>
      <c r="L14" s="402">
        <f t="shared" si="2"/>
        <v>0.10835975671694488</v>
      </c>
      <c r="M14" s="91">
        <f t="shared" si="6"/>
        <v>14.611492534524269</v>
      </c>
      <c r="N14" s="84">
        <f t="shared" si="5"/>
        <v>4.1900627405953461</v>
      </c>
      <c r="O14" s="7"/>
      <c r="P14" s="7"/>
      <c r="Q14" s="5" t="b">
        <f>N17&gt;M17</f>
        <v>0</v>
      </c>
      <c r="R14" s="7"/>
      <c r="S14" s="7"/>
      <c r="T14" s="7"/>
      <c r="U14" s="7"/>
      <c r="V14" s="29"/>
      <c r="W14" s="29"/>
      <c r="X14" s="29"/>
      <c r="Y14" s="29"/>
      <c r="Z14" s="7"/>
      <c r="AA14" s="7"/>
      <c r="AB14" s="7"/>
      <c r="AC14" s="7"/>
      <c r="AD14" s="7"/>
      <c r="AE14" s="7"/>
      <c r="AF14" s="7"/>
      <c r="AG14" s="7"/>
      <c r="AH14" s="8"/>
      <c r="AI14" s="8"/>
      <c r="AJ14" s="8"/>
      <c r="AK14" s="8"/>
      <c r="AL14" s="7"/>
      <c r="AM14" s="19"/>
      <c r="AN14" s="19"/>
      <c r="AO14" s="19"/>
      <c r="AP14" s="19"/>
    </row>
    <row r="15" spans="2:42" ht="16.5" thickBot="1" x14ac:dyDescent="0.3">
      <c r="B15" s="158" t="s">
        <v>62</v>
      </c>
      <c r="C15" s="171">
        <v>5</v>
      </c>
      <c r="D15" s="7">
        <v>7</v>
      </c>
      <c r="E15" s="39">
        <v>0</v>
      </c>
      <c r="F15" s="56">
        <v>12</v>
      </c>
      <c r="G15" s="40">
        <v>0</v>
      </c>
      <c r="H15" s="57">
        <v>0</v>
      </c>
      <c r="I15" s="67">
        <f t="shared" si="3"/>
        <v>7.1310520017451792E-2</v>
      </c>
      <c r="J15" s="68">
        <f>EXP(F15/$C15)/(EXP($E15/$C15)+EXP($F15/$C15)+EXP($G15/$C15)+EXP($H15/$C15))</f>
        <v>0.78606843994764464</v>
      </c>
      <c r="K15" s="69">
        <f t="shared" si="1"/>
        <v>7.1310520017451792E-2</v>
      </c>
      <c r="L15" s="403">
        <f t="shared" si="2"/>
        <v>7.1310520017451792E-2</v>
      </c>
      <c r="M15" s="127">
        <f t="shared" si="6"/>
        <v>13.203557083094442</v>
      </c>
      <c r="N15" s="35">
        <f t="shared" si="5"/>
        <v>-1.407935451429827</v>
      </c>
      <c r="O15" s="7"/>
      <c r="P15" s="7"/>
      <c r="R15" s="7"/>
      <c r="S15" s="7"/>
      <c r="T15" s="7"/>
      <c r="U15" s="7"/>
      <c r="V15" s="29"/>
      <c r="W15" s="29"/>
      <c r="X15" s="29"/>
      <c r="Y15" s="29"/>
      <c r="Z15" s="7"/>
      <c r="AA15" s="7"/>
      <c r="AB15" s="7"/>
      <c r="AC15" s="7"/>
      <c r="AD15" s="7"/>
      <c r="AE15" s="7"/>
      <c r="AF15" s="7"/>
      <c r="AG15" s="7"/>
      <c r="AH15" s="29"/>
      <c r="AI15" s="8"/>
      <c r="AJ15" s="8"/>
      <c r="AK15" s="8"/>
      <c r="AL15" s="7"/>
      <c r="AM15" s="19"/>
      <c r="AN15" s="19"/>
      <c r="AO15" s="19"/>
      <c r="AP15" s="19"/>
    </row>
    <row r="16" spans="2:42" ht="17.25" thickTop="1" thickBot="1" x14ac:dyDescent="0.3">
      <c r="B16" s="158" t="s">
        <v>62</v>
      </c>
      <c r="C16" s="171">
        <v>5</v>
      </c>
      <c r="D16" s="7">
        <v>8</v>
      </c>
      <c r="E16" s="44">
        <f>E15</f>
        <v>0</v>
      </c>
      <c r="F16" s="58">
        <v>12</v>
      </c>
      <c r="G16" s="45">
        <f>G15</f>
        <v>0</v>
      </c>
      <c r="H16" s="399">
        <f>H15</f>
        <v>0</v>
      </c>
      <c r="I16" s="400">
        <f>EXP(E16)/(EXP($E16)+EXP($F16)+EXP($G16)+EXP($H16))</f>
        <v>6.1440991013794134E-6</v>
      </c>
      <c r="J16" s="72">
        <f>EXP(F16)/(EXP($E16)+EXP($F16)+EXP($G16)+EXP($H16))</f>
        <v>0.99998156770269586</v>
      </c>
      <c r="K16" s="73">
        <f t="shared" ref="K16" si="8">EXP(G16)/(EXP($E16)+EXP($F16)+EXP($G16)+EXP($H16))</f>
        <v>6.1440991013794134E-6</v>
      </c>
      <c r="L16" s="401">
        <f>EXP(H16)/(EXP($E16)+EXP($F16)+EXP($G16)+EXP($H16))</f>
        <v>6.1440991013794134E-6</v>
      </c>
      <c r="M16" s="92">
        <f t="shared" si="6"/>
        <v>13.203557083094442</v>
      </c>
      <c r="N16" s="8"/>
      <c r="O16" s="8"/>
      <c r="P16" s="8"/>
      <c r="R16" s="8"/>
      <c r="S16" s="8"/>
      <c r="T16" s="8"/>
      <c r="U16" s="8"/>
      <c r="V16" s="8"/>
      <c r="W16" s="8"/>
      <c r="X16" s="8"/>
      <c r="Y16" s="8"/>
      <c r="Z16" s="8"/>
      <c r="AA16" s="8"/>
      <c r="AB16" s="8"/>
      <c r="AC16" s="8"/>
      <c r="AD16" s="7"/>
      <c r="AE16" s="7"/>
      <c r="AF16" s="7"/>
      <c r="AG16" s="7"/>
      <c r="AH16" s="7"/>
      <c r="AI16" s="7"/>
      <c r="AJ16" s="7"/>
      <c r="AK16" s="7"/>
      <c r="AL16" s="7"/>
      <c r="AM16" s="7"/>
      <c r="AN16" s="7"/>
      <c r="AO16" s="7"/>
      <c r="AP16" s="7"/>
    </row>
    <row r="17" spans="1:18" ht="15.75" thickBot="1" x14ac:dyDescent="0.3">
      <c r="B17" s="7"/>
      <c r="C17" s="7"/>
      <c r="D17" s="7"/>
      <c r="M17" s="291">
        <f>(SUMPRODUCT(I16:L16,E16:H16))</f>
        <v>11.99977881243235</v>
      </c>
      <c r="N17" s="404"/>
    </row>
    <row r="18" spans="1:18" ht="15.75" thickBot="1" x14ac:dyDescent="0.3">
      <c r="B18" s="7"/>
      <c r="C18" s="7"/>
      <c r="D18" s="7"/>
      <c r="M18" s="92">
        <f>M16-M17</f>
        <v>1.2037782706620916</v>
      </c>
      <c r="N18" s="8"/>
    </row>
    <row r="19" spans="1:18" x14ac:dyDescent="0.25">
      <c r="B19" s="7"/>
      <c r="C19" s="7"/>
      <c r="D19" s="7"/>
    </row>
    <row r="20" spans="1:18" x14ac:dyDescent="0.25">
      <c r="A20" s="7"/>
      <c r="B20" s="7"/>
      <c r="C20" s="7"/>
      <c r="D20" s="7"/>
      <c r="E20" s="17"/>
      <c r="F20" s="17"/>
      <c r="G20" s="158"/>
      <c r="H20" s="158"/>
      <c r="I20" s="161"/>
      <c r="J20" s="161"/>
      <c r="K20" s="8"/>
      <c r="L20" s="8"/>
      <c r="M20" s="8"/>
      <c r="N20" s="8"/>
      <c r="O20" s="8"/>
      <c r="P20" s="8"/>
      <c r="Q20" s="8"/>
      <c r="R20" s="8"/>
    </row>
    <row r="21" spans="1:18" x14ac:dyDescent="0.25">
      <c r="A21" s="129"/>
      <c r="B21" s="17" t="s">
        <v>117</v>
      </c>
      <c r="C21" s="17"/>
      <c r="D21" s="17"/>
      <c r="E21" s="17"/>
      <c r="F21" s="17"/>
      <c r="G21" s="159"/>
      <c r="H21" s="158"/>
      <c r="I21" s="161"/>
      <c r="J21" s="161"/>
      <c r="K21" s="8"/>
      <c r="L21" s="8"/>
      <c r="M21" s="8"/>
      <c r="N21" s="8"/>
      <c r="O21" s="8"/>
      <c r="P21" s="8"/>
      <c r="Q21" s="8"/>
      <c r="R21" s="8"/>
    </row>
    <row r="22" spans="1:18" x14ac:dyDescent="0.25">
      <c r="A22" s="7"/>
      <c r="B22" s="7">
        <f>$N$13</f>
        <v>3.0661964806343143</v>
      </c>
      <c r="C22" s="7" t="s">
        <v>118</v>
      </c>
      <c r="D22" s="7"/>
      <c r="E22" s="17"/>
      <c r="F22" s="17"/>
      <c r="G22" s="160"/>
      <c r="H22" s="161"/>
      <c r="I22" s="162"/>
      <c r="J22" s="162"/>
      <c r="K22" s="163"/>
      <c r="L22" s="8"/>
      <c r="M22" s="164"/>
      <c r="N22" s="8"/>
      <c r="O22" s="8"/>
      <c r="P22" s="8"/>
      <c r="Q22" s="8"/>
      <c r="R22" s="8"/>
    </row>
    <row r="23" spans="1:18" x14ac:dyDescent="0.25">
      <c r="B23" s="7"/>
      <c r="C23" s="7"/>
      <c r="D23" s="7"/>
      <c r="E23" s="17"/>
      <c r="F23" s="17"/>
      <c r="G23" s="160"/>
      <c r="H23" s="161"/>
      <c r="I23" s="162"/>
      <c r="J23" s="162"/>
      <c r="K23" s="163"/>
      <c r="L23" s="8"/>
      <c r="M23" s="8"/>
      <c r="N23" s="8"/>
      <c r="O23" s="8"/>
      <c r="P23" s="8"/>
      <c r="Q23" s="8"/>
      <c r="R23" s="8"/>
    </row>
    <row r="24" spans="1:18" x14ac:dyDescent="0.25">
      <c r="B24" s="7" t="s">
        <v>119</v>
      </c>
      <c r="C24" s="7"/>
      <c r="D24" s="7"/>
      <c r="E24" s="17"/>
      <c r="F24" s="17"/>
      <c r="G24" s="158"/>
      <c r="H24" s="158"/>
      <c r="I24" s="165"/>
      <c r="J24" s="165"/>
      <c r="K24" s="163"/>
      <c r="L24" s="8"/>
      <c r="M24" s="8"/>
      <c r="N24" s="8"/>
      <c r="O24" s="8"/>
      <c r="P24" s="8"/>
      <c r="Q24" s="8"/>
      <c r="R24" s="8"/>
    </row>
  </sheetData>
  <conditionalFormatting sqref="AM9:AP15">
    <cfRule type="dataBar" priority="1">
      <dataBar>
        <cfvo type="min"/>
        <cfvo type="max"/>
        <color rgb="FF638EC6"/>
      </dataBar>
      <extLst>
        <ext xmlns:x14="http://schemas.microsoft.com/office/spreadsheetml/2009/9/main" uri="{B025F937-C7B1-47D3-B67F-A62EFF666E3E}">
          <x14:id>{92065603-D565-4D36-BD75-4261CB35D089}</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2065603-D565-4D36-BD75-4261CB35D089}">
            <x14:dataBar minLength="0" maxLength="100" gradient="0">
              <x14:cfvo type="autoMin"/>
              <x14:cfvo type="autoMax"/>
              <x14:negativeFillColor rgb="FFFF0000"/>
              <x14:axisColor rgb="FF000000"/>
            </x14:dataBar>
          </x14:cfRule>
          <xm:sqref>AM9:AP15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B3:T87"/>
  <sheetViews>
    <sheetView topLeftCell="A49" workbookViewId="0">
      <selection activeCell="I85" sqref="I85"/>
    </sheetView>
  </sheetViews>
  <sheetFormatPr defaultRowHeight="15" x14ac:dyDescent="0.25"/>
  <cols>
    <col min="3" max="3" width="7.85546875" customWidth="1"/>
    <col min="4" max="4" width="11.7109375" customWidth="1"/>
    <col min="5" max="6" width="9.5703125" bestFit="1" customWidth="1"/>
    <col min="10" max="10" width="13" customWidth="1"/>
    <col min="15" max="15" width="9.28515625" customWidth="1"/>
    <col min="18" max="18" width="9.5703125" bestFit="1" customWidth="1"/>
  </cols>
  <sheetData>
    <row r="3" spans="2:20" x14ac:dyDescent="0.25">
      <c r="D3" t="s">
        <v>83</v>
      </c>
    </row>
    <row r="4" spans="2:20" ht="15.75" thickBot="1" x14ac:dyDescent="0.3">
      <c r="D4" t="s">
        <v>68</v>
      </c>
    </row>
    <row r="5" spans="2:20" ht="15.75" thickBot="1" x14ac:dyDescent="0.3">
      <c r="Q5" s="182" t="s">
        <v>5</v>
      </c>
      <c r="R5" s="10"/>
      <c r="S5" s="10"/>
      <c r="T5" s="183">
        <v>1</v>
      </c>
    </row>
    <row r="6" spans="2:20" ht="21" x14ac:dyDescent="0.35">
      <c r="D6" s="157"/>
      <c r="E6" s="33"/>
      <c r="F6" s="33"/>
      <c r="G6" s="33"/>
      <c r="H6" s="33"/>
      <c r="I6" s="33"/>
      <c r="J6" s="33"/>
      <c r="K6" t="s">
        <v>44</v>
      </c>
      <c r="Q6" s="129" t="s">
        <v>70</v>
      </c>
      <c r="R6" s="7"/>
      <c r="S6" s="9" t="s">
        <v>2</v>
      </c>
      <c r="T6" s="11" t="s">
        <v>3</v>
      </c>
    </row>
    <row r="7" spans="2:20" ht="15.75" thickBot="1" x14ac:dyDescent="0.3">
      <c r="D7" t="s">
        <v>69</v>
      </c>
      <c r="E7" s="25" t="s">
        <v>2</v>
      </c>
      <c r="F7" s="25" t="s">
        <v>3</v>
      </c>
      <c r="G7" s="33"/>
      <c r="H7" s="33" t="s">
        <v>42</v>
      </c>
      <c r="I7" s="33">
        <f>COUNTA(E11:F11)</f>
        <v>2</v>
      </c>
      <c r="J7" s="33"/>
      <c r="K7">
        <f>I12</f>
        <v>0.69314718055994529</v>
      </c>
      <c r="Q7" s="129"/>
      <c r="R7" s="7"/>
      <c r="S7" s="185">
        <v>0.04</v>
      </c>
      <c r="T7" s="186">
        <f>1-S7</f>
        <v>0.96</v>
      </c>
    </row>
    <row r="8" spans="2:20" x14ac:dyDescent="0.25">
      <c r="B8" s="7"/>
      <c r="D8" s="7"/>
      <c r="E8" s="17"/>
      <c r="F8" s="17"/>
      <c r="G8" s="33"/>
      <c r="H8" s="33"/>
      <c r="I8" s="33"/>
      <c r="J8" s="33"/>
      <c r="P8" s="7"/>
      <c r="Q8" s="129" t="s">
        <v>72</v>
      </c>
      <c r="R8" s="7"/>
      <c r="S8" s="7">
        <v>500</v>
      </c>
      <c r="T8" s="113"/>
    </row>
    <row r="9" spans="2:20" ht="15.75" thickBot="1" x14ac:dyDescent="0.3">
      <c r="B9" s="7"/>
      <c r="E9" s="33"/>
      <c r="F9" s="33"/>
      <c r="G9" s="33"/>
      <c r="H9" s="33"/>
      <c r="I9" s="33"/>
      <c r="J9" s="33"/>
      <c r="Q9" s="137" t="s">
        <v>71</v>
      </c>
      <c r="R9" s="184"/>
      <c r="S9" s="184">
        <v>5000</v>
      </c>
      <c r="T9" s="115"/>
    </row>
    <row r="10" spans="2:20" x14ac:dyDescent="0.25">
      <c r="B10" s="7"/>
      <c r="C10" s="7"/>
      <c r="E10" s="64" t="s">
        <v>12</v>
      </c>
      <c r="F10" s="65"/>
      <c r="G10" s="65" t="s">
        <v>13</v>
      </c>
      <c r="H10" s="66"/>
      <c r="I10" s="64" t="s">
        <v>36</v>
      </c>
      <c r="J10" s="66" t="s">
        <v>35</v>
      </c>
      <c r="K10" s="20"/>
      <c r="L10" s="7"/>
      <c r="M10" s="7"/>
      <c r="N10" s="7"/>
      <c r="O10" s="7"/>
      <c r="P10" s="7"/>
      <c r="Q10" s="20"/>
    </row>
    <row r="11" spans="2:20" ht="15.75" thickBot="1" x14ac:dyDescent="0.3">
      <c r="B11" s="7"/>
      <c r="C11" s="32"/>
      <c r="D11" s="34" t="s">
        <v>34</v>
      </c>
      <c r="E11" s="39" t="s">
        <v>6</v>
      </c>
      <c r="F11" s="40" t="s">
        <v>7</v>
      </c>
      <c r="G11" s="85" t="s">
        <v>6</v>
      </c>
      <c r="H11" s="86" t="s">
        <v>7</v>
      </c>
      <c r="I11" s="42">
        <v>0</v>
      </c>
      <c r="J11" s="43"/>
      <c r="K11" s="7"/>
      <c r="L11" s="7"/>
      <c r="M11" s="7"/>
      <c r="N11" s="7" t="s">
        <v>78</v>
      </c>
      <c r="O11" s="7"/>
      <c r="P11" s="7"/>
      <c r="Q11" s="7"/>
    </row>
    <row r="12" spans="2:20" ht="15.75" thickTop="1" x14ac:dyDescent="0.25">
      <c r="B12" s="7"/>
      <c r="C12" s="7"/>
      <c r="D12" s="25" t="s">
        <v>39</v>
      </c>
      <c r="E12" s="44">
        <v>0</v>
      </c>
      <c r="F12" s="45">
        <v>0</v>
      </c>
      <c r="G12" s="50">
        <f t="shared" ref="G12:H15" si="0">EXP(E12/$T$5)/(EXP($F12/$T$5)+EXP($E12/$T$5))</f>
        <v>0.5</v>
      </c>
      <c r="H12" s="87">
        <f t="shared" si="0"/>
        <v>0.5</v>
      </c>
      <c r="I12" s="90">
        <f t="shared" ref="I12:I31" si="1">$T$5*LN(EXP($F12/$T$5)+EXP($E12/$T$5))</f>
        <v>0.69314718055994529</v>
      </c>
      <c r="J12" s="172">
        <f>(I12-I11)</f>
        <v>0.69314718055994529</v>
      </c>
      <c r="K12" s="7"/>
      <c r="L12" s="7"/>
      <c r="M12" s="7"/>
      <c r="N12" t="str">
        <f>IF(D12="Buyer",J12,"")</f>
        <v/>
      </c>
      <c r="P12" s="7"/>
      <c r="Q12" s="7"/>
    </row>
    <row r="13" spans="2:20" x14ac:dyDescent="0.25">
      <c r="B13" s="7"/>
      <c r="C13" s="7"/>
      <c r="D13" s="25" t="s">
        <v>75</v>
      </c>
      <c r="E13" s="47">
        <f>S8/S9</f>
        <v>0.1</v>
      </c>
      <c r="F13" s="41">
        <v>0</v>
      </c>
      <c r="G13" s="48">
        <f t="shared" si="0"/>
        <v>0.52497918747894001</v>
      </c>
      <c r="H13" s="88">
        <f t="shared" si="0"/>
        <v>0.47502081252105999</v>
      </c>
      <c r="I13" s="91">
        <f t="shared" si="1"/>
        <v>0.74439666007357097</v>
      </c>
      <c r="J13" s="173">
        <f>(I13-I12)</f>
        <v>5.1249479513625684E-2</v>
      </c>
      <c r="K13" s="7"/>
      <c r="L13" s="7" t="s">
        <v>73</v>
      </c>
      <c r="M13" s="7" t="s">
        <v>74</v>
      </c>
      <c r="N13" s="187">
        <f>IF(D13="Buyer",J13,"")</f>
        <v>5.1249479513625684E-2</v>
      </c>
      <c r="P13" s="7"/>
      <c r="Q13" s="7"/>
    </row>
    <row r="14" spans="2:20" x14ac:dyDescent="0.25">
      <c r="B14" s="7"/>
      <c r="C14" s="7">
        <v>1</v>
      </c>
      <c r="D14" s="25" t="s">
        <v>76</v>
      </c>
      <c r="E14" s="47">
        <f>IF(MOD(ROW(A14),2)=1,E13+E12,E13)</f>
        <v>0.1</v>
      </c>
      <c r="F14" s="177">
        <f>IF(MOD(ROW(A14),2)=0,L14,F13)</f>
        <v>3.2780538303479458</v>
      </c>
      <c r="G14" s="48">
        <f t="shared" si="0"/>
        <v>3.9999999999999994E-2</v>
      </c>
      <c r="H14" s="88">
        <f t="shared" si="0"/>
        <v>0.96000000000000008</v>
      </c>
      <c r="I14" s="91">
        <f t="shared" si="1"/>
        <v>3.3188758248682011</v>
      </c>
      <c r="J14" s="173">
        <f>(I14-I13)</f>
        <v>2.5744791647946301</v>
      </c>
      <c r="K14" s="7"/>
      <c r="L14" s="138">
        <f>$T$5*LN($T$7/$S$7)+E14</f>
        <v>3.2780538303479458</v>
      </c>
      <c r="M14" s="138">
        <f>IF( D14="Seller",((F14-F13)-J14)*$T$7,"")</f>
        <v>0.67543167893118305</v>
      </c>
      <c r="N14" t="str">
        <f>IF(D14="Buyer",J14,"")</f>
        <v/>
      </c>
      <c r="P14" s="178"/>
      <c r="Q14" s="7"/>
      <c r="R14" s="180"/>
    </row>
    <row r="15" spans="2:20" x14ac:dyDescent="0.25">
      <c r="B15" s="7"/>
      <c r="C15" s="7"/>
      <c r="D15" s="25" t="s">
        <v>75</v>
      </c>
      <c r="E15" s="47">
        <f>IF(MOD(ROW(A15),2)=1,E14+$E$13,E14)</f>
        <v>0.2</v>
      </c>
      <c r="F15" s="177">
        <f>IF(MOD(ROW(A15),2)=0,L15,F14)</f>
        <v>3.2780538303479458</v>
      </c>
      <c r="G15" s="48">
        <f t="shared" si="0"/>
        <v>4.4021644850859298E-2</v>
      </c>
      <c r="H15" s="88">
        <f t="shared" si="0"/>
        <v>0.95597835514914065</v>
      </c>
      <c r="I15" s="91">
        <f t="shared" si="1"/>
        <v>3.3230738375923785</v>
      </c>
      <c r="J15" s="173">
        <f>(I15-I14)</f>
        <v>4.1980127241774134E-3</v>
      </c>
      <c r="K15" s="7"/>
      <c r="L15" s="138">
        <f>$T$5*LN($T$7/$S$7)+E15</f>
        <v>3.3780538303479459</v>
      </c>
      <c r="M15" s="138" t="str">
        <f t="shared" ref="M15:M30" si="2">IF( D15="Seller",((F15-F14)-J15)*$T$7,"")</f>
        <v/>
      </c>
      <c r="N15">
        <f>IF(D15="Buyer",J15,"")</f>
        <v>4.1980127241774134E-3</v>
      </c>
      <c r="P15" s="7"/>
      <c r="Q15" s="7"/>
    </row>
    <row r="16" spans="2:20" x14ac:dyDescent="0.25">
      <c r="B16" s="7"/>
      <c r="C16" s="7">
        <v>2</v>
      </c>
      <c r="D16" s="25" t="s">
        <v>76</v>
      </c>
      <c r="E16" s="47">
        <f t="shared" ref="E16:E29" si="3">IF(MOD(ROW(A16),2)=1,E15+$E$13,E15)</f>
        <v>0.2</v>
      </c>
      <c r="F16" s="177">
        <f>IF(MOD(ROW(A16),2)=0,L16,F15)</f>
        <v>3.3780538303479459</v>
      </c>
      <c r="G16" s="48">
        <f t="shared" ref="G16:G30" si="4">EXP(E16/$T$5)/(EXP($F16/$T$5)+EXP($E16/$T$5))</f>
        <v>3.9999999999999987E-2</v>
      </c>
      <c r="H16" s="88">
        <f t="shared" ref="H16:H30" si="5">EXP(F16/$T$5)/(EXP($F16/$T$5)+EXP($E16/$T$5))</f>
        <v>0.96</v>
      </c>
      <c r="I16" s="91">
        <f t="shared" si="1"/>
        <v>3.4188758248682012</v>
      </c>
      <c r="J16" s="173">
        <f t="shared" ref="J16:J30" si="6">(I16-I15)</f>
        <v>9.5801987275822675E-2</v>
      </c>
      <c r="K16" s="7"/>
      <c r="L16" s="138">
        <f t="shared" ref="L16:L29" si="7">$T$5*LN($T$7/$S$7)+E16</f>
        <v>3.3780538303479459</v>
      </c>
      <c r="M16" s="138">
        <f>IF( D16="Seller",((F16-F15)-J16)*$T$7,"")</f>
        <v>4.0300922152103165E-3</v>
      </c>
      <c r="N16" t="str">
        <f t="shared" ref="N16:N30" si="8">IF(D16="Buyer",J16,"")</f>
        <v/>
      </c>
      <c r="O16" s="7"/>
      <c r="P16" s="7"/>
      <c r="Q16" s="7"/>
    </row>
    <row r="17" spans="2:17" x14ac:dyDescent="0.25">
      <c r="B17" s="7"/>
      <c r="D17" s="25" t="s">
        <v>75</v>
      </c>
      <c r="E17" s="47">
        <f t="shared" si="3"/>
        <v>0.30000000000000004</v>
      </c>
      <c r="F17" s="177">
        <f t="shared" ref="F17:F20" si="9">IF(MOD(ROW(A17),2)=0,L17,F16)</f>
        <v>3.3780538303479459</v>
      </c>
      <c r="G17" s="48">
        <f t="shared" si="4"/>
        <v>4.4021644850859298E-2</v>
      </c>
      <c r="H17" s="88">
        <f t="shared" si="5"/>
        <v>0.95597835514914076</v>
      </c>
      <c r="I17" s="91">
        <f t="shared" si="1"/>
        <v>3.4230738375923786</v>
      </c>
      <c r="J17" s="173">
        <f t="shared" si="6"/>
        <v>4.1980127241774134E-3</v>
      </c>
      <c r="K17" s="7"/>
      <c r="L17" s="138">
        <f t="shared" si="7"/>
        <v>3.478053830347946</v>
      </c>
      <c r="M17" s="138" t="str">
        <f t="shared" si="2"/>
        <v/>
      </c>
      <c r="N17">
        <f t="shared" si="8"/>
        <v>4.1980127241774134E-3</v>
      </c>
      <c r="O17" s="7"/>
      <c r="P17" s="7"/>
      <c r="Q17" s="7"/>
    </row>
    <row r="18" spans="2:17" x14ac:dyDescent="0.25">
      <c r="B18" s="7"/>
      <c r="C18">
        <v>3</v>
      </c>
      <c r="D18" s="25" t="s">
        <v>76</v>
      </c>
      <c r="E18" s="47">
        <f t="shared" si="3"/>
        <v>0.30000000000000004</v>
      </c>
      <c r="F18" s="177">
        <f t="shared" si="9"/>
        <v>3.478053830347946</v>
      </c>
      <c r="G18" s="48">
        <f t="shared" si="4"/>
        <v>3.9999999999999987E-2</v>
      </c>
      <c r="H18" s="88">
        <f t="shared" si="5"/>
        <v>0.96</v>
      </c>
      <c r="I18" s="91">
        <f t="shared" si="1"/>
        <v>3.5188758248682013</v>
      </c>
      <c r="J18" s="173">
        <f t="shared" si="6"/>
        <v>9.5801987275822675E-2</v>
      </c>
      <c r="K18" s="7"/>
      <c r="L18" s="138">
        <f t="shared" si="7"/>
        <v>3.478053830347946</v>
      </c>
      <c r="M18" s="138">
        <f>IF( D18="Seller",((F18-F17)-J18)*$T$7,"")</f>
        <v>4.0300922152103165E-3</v>
      </c>
      <c r="N18" t="str">
        <f t="shared" si="8"/>
        <v/>
      </c>
      <c r="O18" s="7"/>
      <c r="P18" s="7"/>
      <c r="Q18" s="7"/>
    </row>
    <row r="19" spans="2:17" x14ac:dyDescent="0.25">
      <c r="B19" s="7"/>
      <c r="C19" s="7"/>
      <c r="D19" s="25" t="s">
        <v>75</v>
      </c>
      <c r="E19" s="47">
        <f t="shared" si="3"/>
        <v>0.4</v>
      </c>
      <c r="F19" s="177">
        <f t="shared" si="9"/>
        <v>3.478053830347946</v>
      </c>
      <c r="G19" s="48">
        <f t="shared" si="4"/>
        <v>4.4021644850859291E-2</v>
      </c>
      <c r="H19" s="88">
        <f t="shared" si="5"/>
        <v>0.95597835514914076</v>
      </c>
      <c r="I19" s="91">
        <f t="shared" si="1"/>
        <v>3.5230738375923787</v>
      </c>
      <c r="J19" s="173">
        <f t="shared" si="6"/>
        <v>4.1980127241774134E-3</v>
      </c>
      <c r="K19" s="7"/>
      <c r="L19" s="138">
        <f t="shared" si="7"/>
        <v>3.5780538303479457</v>
      </c>
      <c r="M19" s="138" t="str">
        <f t="shared" si="2"/>
        <v/>
      </c>
      <c r="N19">
        <f t="shared" si="8"/>
        <v>4.1980127241774134E-3</v>
      </c>
      <c r="O19" s="7"/>
      <c r="P19" s="7"/>
      <c r="Q19" s="7"/>
    </row>
    <row r="20" spans="2:17" x14ac:dyDescent="0.25">
      <c r="B20" s="7"/>
      <c r="C20" s="7">
        <v>4</v>
      </c>
      <c r="D20" s="25" t="s">
        <v>76</v>
      </c>
      <c r="E20" s="47">
        <f t="shared" si="3"/>
        <v>0.4</v>
      </c>
      <c r="F20" s="177">
        <f t="shared" si="9"/>
        <v>3.5780538303479457</v>
      </c>
      <c r="G20" s="48">
        <f t="shared" si="4"/>
        <v>0.04</v>
      </c>
      <c r="H20" s="88">
        <f t="shared" si="5"/>
        <v>0.96</v>
      </c>
      <c r="I20" s="91">
        <f t="shared" si="1"/>
        <v>3.6188758248682009</v>
      </c>
      <c r="J20" s="173">
        <f t="shared" si="6"/>
        <v>9.5801987275822231E-2</v>
      </c>
      <c r="K20" s="7"/>
      <c r="L20" s="138">
        <f t="shared" si="7"/>
        <v>3.5780538303479457</v>
      </c>
      <c r="M20" s="138">
        <f>IF( D20="Seller",((F20-F19)-J20)*$T$7,"")</f>
        <v>4.0300922152103165E-3</v>
      </c>
      <c r="N20" t="str">
        <f t="shared" si="8"/>
        <v/>
      </c>
      <c r="O20" s="7"/>
      <c r="P20" s="7"/>
      <c r="Q20" s="7"/>
    </row>
    <row r="21" spans="2:17" x14ac:dyDescent="0.25">
      <c r="B21" s="7"/>
      <c r="C21" s="7"/>
      <c r="D21" s="25" t="s">
        <v>75</v>
      </c>
      <c r="E21" s="47">
        <f t="shared" si="3"/>
        <v>0.5</v>
      </c>
      <c r="F21" s="177">
        <f t="shared" ref="F21:F29" si="10">IF(MOD(ROW(A21),2)=0,L21,F20)</f>
        <v>3.5780538303479457</v>
      </c>
      <c r="G21" s="48">
        <f t="shared" si="4"/>
        <v>4.4021644850859305E-2</v>
      </c>
      <c r="H21" s="88">
        <f t="shared" si="5"/>
        <v>0.95597835514914065</v>
      </c>
      <c r="I21" s="91">
        <f t="shared" si="1"/>
        <v>3.6230738375923783</v>
      </c>
      <c r="J21" s="173">
        <f t="shared" si="6"/>
        <v>4.1980127241774134E-3</v>
      </c>
      <c r="K21" s="7"/>
      <c r="L21" s="138">
        <f t="shared" si="7"/>
        <v>3.6780538303479458</v>
      </c>
      <c r="M21" s="138" t="str">
        <f t="shared" si="2"/>
        <v/>
      </c>
      <c r="N21">
        <f t="shared" si="8"/>
        <v>4.1980127241774134E-3</v>
      </c>
      <c r="O21" s="7"/>
      <c r="P21" s="7"/>
      <c r="Q21" s="7"/>
    </row>
    <row r="22" spans="2:17" x14ac:dyDescent="0.25">
      <c r="B22" s="7"/>
      <c r="C22" s="7">
        <v>5</v>
      </c>
      <c r="D22" s="25" t="s">
        <v>76</v>
      </c>
      <c r="E22" s="47">
        <f t="shared" si="3"/>
        <v>0.5</v>
      </c>
      <c r="F22" s="177">
        <f t="shared" si="10"/>
        <v>3.6780538303479458</v>
      </c>
      <c r="G22" s="48">
        <f t="shared" si="4"/>
        <v>3.9999999999999994E-2</v>
      </c>
      <c r="H22" s="88">
        <f t="shared" si="5"/>
        <v>0.96</v>
      </c>
      <c r="I22" s="91">
        <f t="shared" si="1"/>
        <v>3.718875824868201</v>
      </c>
      <c r="J22" s="173">
        <f>(I22-I21)</f>
        <v>9.5801987275822675E-2</v>
      </c>
      <c r="K22" s="7"/>
      <c r="L22" s="138">
        <f>$T$5*LN($T$7/$S$7)+E22</f>
        <v>3.6780538303479458</v>
      </c>
      <c r="M22" s="138">
        <f t="shared" si="2"/>
        <v>4.0300922152103165E-3</v>
      </c>
      <c r="N22" t="str">
        <f t="shared" si="8"/>
        <v/>
      </c>
      <c r="O22" s="7"/>
      <c r="P22" s="7"/>
      <c r="Q22" s="7"/>
    </row>
    <row r="23" spans="2:17" x14ac:dyDescent="0.25">
      <c r="B23" s="7"/>
      <c r="C23" s="7"/>
      <c r="D23" s="25" t="s">
        <v>75</v>
      </c>
      <c r="E23" s="47">
        <f t="shared" si="3"/>
        <v>0.6</v>
      </c>
      <c r="F23" s="177">
        <f t="shared" si="10"/>
        <v>3.6780538303479458</v>
      </c>
      <c r="G23" s="48">
        <f t="shared" si="4"/>
        <v>4.4021644850859298E-2</v>
      </c>
      <c r="H23" s="88">
        <f t="shared" si="5"/>
        <v>0.95597835514914076</v>
      </c>
      <c r="I23" s="91">
        <f t="shared" si="1"/>
        <v>3.7230738375923784</v>
      </c>
      <c r="J23" s="173">
        <f t="shared" si="6"/>
        <v>4.1980127241774134E-3</v>
      </c>
      <c r="K23" s="7"/>
      <c r="L23" s="138">
        <f t="shared" si="7"/>
        <v>3.7780538303479458</v>
      </c>
      <c r="M23" s="138" t="str">
        <f t="shared" si="2"/>
        <v/>
      </c>
      <c r="N23">
        <f>IF(D23="Buyer",J23,"")</f>
        <v>4.1980127241774134E-3</v>
      </c>
      <c r="O23" s="7"/>
      <c r="P23" s="7"/>
      <c r="Q23" s="7"/>
    </row>
    <row r="24" spans="2:17" x14ac:dyDescent="0.25">
      <c r="B24" s="7"/>
      <c r="C24">
        <v>6</v>
      </c>
      <c r="D24" s="25" t="s">
        <v>76</v>
      </c>
      <c r="E24" s="47">
        <f t="shared" si="3"/>
        <v>0.6</v>
      </c>
      <c r="F24" s="177">
        <f t="shared" si="10"/>
        <v>3.7780538303479458</v>
      </c>
      <c r="G24" s="48">
        <f t="shared" si="4"/>
        <v>3.9999999999999994E-2</v>
      </c>
      <c r="H24" s="88">
        <f t="shared" si="5"/>
        <v>0.96000000000000008</v>
      </c>
      <c r="I24" s="91">
        <f t="shared" si="1"/>
        <v>3.8188758248682011</v>
      </c>
      <c r="J24" s="173">
        <f t="shared" si="6"/>
        <v>9.5801987275822675E-2</v>
      </c>
      <c r="K24" s="7"/>
      <c r="L24" s="138">
        <f t="shared" si="7"/>
        <v>3.7780538303479458</v>
      </c>
      <c r="M24" s="138">
        <f t="shared" si="2"/>
        <v>4.0300922152103165E-3</v>
      </c>
      <c r="N24" t="str">
        <f>IF(D24="Buyer",J24,"")</f>
        <v/>
      </c>
      <c r="O24" s="7"/>
      <c r="P24" s="7"/>
      <c r="Q24" s="7"/>
    </row>
    <row r="25" spans="2:17" x14ac:dyDescent="0.25">
      <c r="B25" s="7"/>
      <c r="C25" s="7"/>
      <c r="D25" s="25" t="s">
        <v>75</v>
      </c>
      <c r="E25" s="47">
        <f t="shared" si="3"/>
        <v>0.7</v>
      </c>
      <c r="F25" s="177">
        <f t="shared" si="10"/>
        <v>3.7780538303479458</v>
      </c>
      <c r="G25" s="48">
        <f t="shared" si="4"/>
        <v>4.4021644850859298E-2</v>
      </c>
      <c r="H25" s="88">
        <f t="shared" si="5"/>
        <v>0.95597835514914076</v>
      </c>
      <c r="I25" s="91">
        <f t="shared" si="1"/>
        <v>3.8230738375923785</v>
      </c>
      <c r="J25" s="173">
        <f t="shared" si="6"/>
        <v>4.1980127241774134E-3</v>
      </c>
      <c r="K25" s="7"/>
      <c r="L25" s="138">
        <f t="shared" si="7"/>
        <v>3.8780538303479455</v>
      </c>
      <c r="M25" s="138" t="str">
        <f t="shared" si="2"/>
        <v/>
      </c>
      <c r="N25">
        <f t="shared" si="8"/>
        <v>4.1980127241774134E-3</v>
      </c>
      <c r="O25" s="7"/>
      <c r="P25" s="7"/>
      <c r="Q25" s="7"/>
    </row>
    <row r="26" spans="2:17" x14ac:dyDescent="0.25">
      <c r="B26" s="7"/>
      <c r="C26" s="7">
        <v>7</v>
      </c>
      <c r="D26" s="25" t="s">
        <v>76</v>
      </c>
      <c r="E26" s="47">
        <f t="shared" si="3"/>
        <v>0.7</v>
      </c>
      <c r="F26" s="177">
        <f t="shared" si="10"/>
        <v>3.8780538303479455</v>
      </c>
      <c r="G26" s="48">
        <f t="shared" si="4"/>
        <v>4.0000000000000008E-2</v>
      </c>
      <c r="H26" s="88">
        <f t="shared" si="5"/>
        <v>0.96000000000000008</v>
      </c>
      <c r="I26" s="91">
        <f t="shared" si="1"/>
        <v>3.9188758248682007</v>
      </c>
      <c r="J26" s="173">
        <f>(I26-I25)</f>
        <v>9.5801987275822231E-2</v>
      </c>
      <c r="K26" s="7"/>
      <c r="L26" s="138">
        <f t="shared" si="7"/>
        <v>3.8780538303479455</v>
      </c>
      <c r="M26" s="138">
        <f t="shared" si="2"/>
        <v>4.0300922152103165E-3</v>
      </c>
      <c r="N26" t="str">
        <f t="shared" si="8"/>
        <v/>
      </c>
      <c r="O26" s="7"/>
      <c r="P26" s="7"/>
      <c r="Q26" s="7"/>
    </row>
    <row r="27" spans="2:17" x14ac:dyDescent="0.25">
      <c r="B27" s="7"/>
      <c r="C27" s="7"/>
      <c r="D27" s="25" t="s">
        <v>75</v>
      </c>
      <c r="E27" s="47">
        <f t="shared" si="3"/>
        <v>0.79999999999999993</v>
      </c>
      <c r="F27" s="177">
        <f t="shared" si="10"/>
        <v>3.8780538303479455</v>
      </c>
      <c r="G27" s="48">
        <f t="shared" si="4"/>
        <v>4.4021644850859305E-2</v>
      </c>
      <c r="H27" s="88">
        <f t="shared" si="5"/>
        <v>0.95597835514914065</v>
      </c>
      <c r="I27" s="91">
        <f t="shared" si="1"/>
        <v>3.9230738375923782</v>
      </c>
      <c r="J27" s="173">
        <f t="shared" si="6"/>
        <v>4.1980127241774134E-3</v>
      </c>
      <c r="K27" s="7"/>
      <c r="L27" s="138">
        <f t="shared" si="7"/>
        <v>3.9780538303479456</v>
      </c>
      <c r="M27" s="138" t="str">
        <f t="shared" si="2"/>
        <v/>
      </c>
      <c r="N27">
        <f t="shared" si="8"/>
        <v>4.1980127241774134E-3</v>
      </c>
      <c r="O27" s="7"/>
      <c r="P27" s="7"/>
      <c r="Q27" s="7"/>
    </row>
    <row r="28" spans="2:17" x14ac:dyDescent="0.25">
      <c r="B28" s="7"/>
      <c r="C28" s="7">
        <v>8</v>
      </c>
      <c r="D28" s="25" t="s">
        <v>76</v>
      </c>
      <c r="E28" s="47">
        <f t="shared" si="3"/>
        <v>0.79999999999999993</v>
      </c>
      <c r="F28" s="177">
        <f t="shared" si="10"/>
        <v>3.9780538303479456</v>
      </c>
      <c r="G28" s="48">
        <f t="shared" si="4"/>
        <v>0.04</v>
      </c>
      <c r="H28" s="88">
        <f t="shared" si="5"/>
        <v>0.96000000000000008</v>
      </c>
      <c r="I28" s="91">
        <f t="shared" si="1"/>
        <v>4.0188758248682008</v>
      </c>
      <c r="J28" s="173">
        <f t="shared" si="6"/>
        <v>9.5801987275822675E-2</v>
      </c>
      <c r="K28" s="7"/>
      <c r="L28" s="138">
        <f t="shared" si="7"/>
        <v>3.9780538303479456</v>
      </c>
      <c r="M28" s="138">
        <f>IF( D28="Seller",((F28-F27)-J28)*$T$7,"")</f>
        <v>4.0300922152103165E-3</v>
      </c>
      <c r="N28" t="str">
        <f t="shared" si="8"/>
        <v/>
      </c>
      <c r="O28" s="7"/>
      <c r="P28" s="7"/>
      <c r="Q28" s="7"/>
    </row>
    <row r="29" spans="2:17" x14ac:dyDescent="0.25">
      <c r="B29" s="7"/>
      <c r="D29" s="21" t="s">
        <v>77</v>
      </c>
      <c r="E29" s="47">
        <f t="shared" si="3"/>
        <v>0.89999999999999991</v>
      </c>
      <c r="F29" s="177">
        <f t="shared" si="10"/>
        <v>3.9780538303479456</v>
      </c>
      <c r="G29" s="48">
        <f t="shared" si="4"/>
        <v>4.4021644850859305E-2</v>
      </c>
      <c r="H29" s="88">
        <f t="shared" si="5"/>
        <v>0.95597835514914065</v>
      </c>
      <c r="I29" s="91">
        <f t="shared" si="1"/>
        <v>4.0230738375923778</v>
      </c>
      <c r="J29" s="173">
        <f t="shared" si="6"/>
        <v>4.1980127241769694E-3</v>
      </c>
      <c r="K29" s="7"/>
      <c r="L29" s="138">
        <f t="shared" si="7"/>
        <v>4.0780538303479457</v>
      </c>
      <c r="M29" s="138" t="str">
        <f t="shared" si="2"/>
        <v/>
      </c>
      <c r="N29" t="str">
        <f t="shared" si="8"/>
        <v/>
      </c>
      <c r="O29" s="7"/>
      <c r="P29" s="7"/>
      <c r="Q29" s="7"/>
    </row>
    <row r="30" spans="2:17" ht="15.75" thickBot="1" x14ac:dyDescent="0.3">
      <c r="B30" s="7"/>
      <c r="C30" s="7"/>
      <c r="D30" s="25" t="s">
        <v>38</v>
      </c>
      <c r="E30" s="47">
        <v>0</v>
      </c>
      <c r="F30" s="179">
        <f t="shared" ref="F30" si="11">F29</f>
        <v>3.9780538303479456</v>
      </c>
      <c r="G30" s="48">
        <f t="shared" si="4"/>
        <v>1.8377967132622502E-2</v>
      </c>
      <c r="H30" s="88">
        <f t="shared" si="5"/>
        <v>0.98162203286737748</v>
      </c>
      <c r="I30" s="127">
        <f t="shared" si="1"/>
        <v>3.9966027703138742</v>
      </c>
      <c r="J30" s="174">
        <f t="shared" si="6"/>
        <v>-2.6471067278503568E-2</v>
      </c>
      <c r="K30" s="7"/>
      <c r="L30" s="138">
        <f>$T$5*LN($T$7/$S$7)+E30</f>
        <v>3.1780538303479458</v>
      </c>
      <c r="M30" s="138" t="str">
        <f t="shared" si="2"/>
        <v/>
      </c>
      <c r="N30" t="str">
        <f t="shared" si="8"/>
        <v/>
      </c>
      <c r="O30" s="7"/>
      <c r="P30" s="7"/>
      <c r="Q30" s="7"/>
    </row>
    <row r="31" spans="2:17" ht="16.5" thickTop="1" thickBot="1" x14ac:dyDescent="0.3">
      <c r="B31" s="7"/>
      <c r="C31" s="7"/>
      <c r="D31" s="25" t="s">
        <v>0</v>
      </c>
      <c r="E31" s="51">
        <f>E30</f>
        <v>0</v>
      </c>
      <c r="F31" s="181">
        <f>F30</f>
        <v>3.9780538303479456</v>
      </c>
      <c r="G31" s="53">
        <f>EXP(E31)/(EXP($F31)+EXP($E31))</f>
        <v>1.8377967132622502E-2</v>
      </c>
      <c r="H31" s="89">
        <f>EXP(F31)/(EXP($F31)+EXP($E31))</f>
        <v>0.98162203286737748</v>
      </c>
      <c r="I31" s="92">
        <f t="shared" si="1"/>
        <v>3.9966027703138742</v>
      </c>
      <c r="J31" s="175">
        <f>SUM(J12:J30)</f>
        <v>3.9966027703138742</v>
      </c>
      <c r="K31" s="8" t="s">
        <v>43</v>
      </c>
      <c r="L31" s="7"/>
      <c r="M31" s="7"/>
      <c r="N31" s="7"/>
      <c r="O31" s="7"/>
      <c r="P31" s="7"/>
      <c r="Q31" s="8"/>
    </row>
    <row r="32" spans="2:17" ht="15.75" thickBot="1" x14ac:dyDescent="0.3">
      <c r="B32" s="7"/>
      <c r="E32" s="33"/>
      <c r="F32" s="33"/>
      <c r="G32" s="33"/>
      <c r="H32" s="33"/>
      <c r="I32" s="124">
        <v>0</v>
      </c>
      <c r="J32" s="176">
        <f>J31-(SUMPRODUCT(G31:H31,E31:F31))</f>
        <v>9.1657482511866117E-2</v>
      </c>
      <c r="K32" t="s">
        <v>57</v>
      </c>
      <c r="L32" s="7"/>
      <c r="M32" s="7"/>
      <c r="N32" s="7"/>
      <c r="O32" s="7"/>
      <c r="P32" s="7"/>
    </row>
    <row r="34" spans="8:15" x14ac:dyDescent="0.25">
      <c r="M34" t="s">
        <v>80</v>
      </c>
      <c r="N34" t="s">
        <v>81</v>
      </c>
      <c r="O34" t="s">
        <v>82</v>
      </c>
    </row>
    <row r="35" spans="8:15" x14ac:dyDescent="0.25">
      <c r="M35">
        <f>M14+(M28*($S$9-1))</f>
        <v>20.821862662767554</v>
      </c>
      <c r="N35">
        <f>N13+(N27*($S$9-1))</f>
        <v>21.037115087676515</v>
      </c>
      <c r="O35">
        <f>K7</f>
        <v>0.69314718055994529</v>
      </c>
    </row>
    <row r="37" spans="8:15" x14ac:dyDescent="0.25">
      <c r="H37" t="s">
        <v>85</v>
      </c>
      <c r="J37">
        <f>(J26*S9)+J14</f>
        <v>481.58441554390578</v>
      </c>
      <c r="M37" t="s">
        <v>79</v>
      </c>
    </row>
    <row r="38" spans="8:15" x14ac:dyDescent="0.25">
      <c r="H38" t="s">
        <v>88</v>
      </c>
      <c r="J38" s="189">
        <f>M35/J37</f>
        <v>4.3236163776710163E-2</v>
      </c>
    </row>
    <row r="39" spans="8:15" x14ac:dyDescent="0.25">
      <c r="H39" t="s">
        <v>89</v>
      </c>
      <c r="M39" t="s">
        <v>84</v>
      </c>
    </row>
    <row r="40" spans="8:15" x14ac:dyDescent="0.25">
      <c r="N40">
        <f>S7*S8</f>
        <v>20</v>
      </c>
    </row>
    <row r="41" spans="8:15" x14ac:dyDescent="0.25">
      <c r="H41" t="s">
        <v>90</v>
      </c>
    </row>
    <row r="42" spans="8:15" x14ac:dyDescent="0.25">
      <c r="H42" t="s">
        <v>91</v>
      </c>
    </row>
    <row r="50" spans="3:20" x14ac:dyDescent="0.25">
      <c r="D50" t="s">
        <v>67</v>
      </c>
    </row>
    <row r="51" spans="3:20" ht="15.75" thickBot="1" x14ac:dyDescent="0.3">
      <c r="D51" t="s">
        <v>68</v>
      </c>
    </row>
    <row r="52" spans="3:20" ht="15.75" thickBot="1" x14ac:dyDescent="0.3">
      <c r="Q52" s="182" t="s">
        <v>5</v>
      </c>
      <c r="R52" s="10"/>
      <c r="S52" s="10"/>
      <c r="T52" s="183">
        <v>1</v>
      </c>
    </row>
    <row r="53" spans="3:20" ht="21" x14ac:dyDescent="0.35">
      <c r="D53" s="157"/>
      <c r="E53" s="33"/>
      <c r="F53" s="33"/>
      <c r="G53" s="33"/>
      <c r="H53" s="33"/>
      <c r="I53" s="33"/>
      <c r="J53" s="33"/>
      <c r="K53" t="s">
        <v>44</v>
      </c>
      <c r="Q53" s="129" t="s">
        <v>70</v>
      </c>
      <c r="R53" s="7"/>
      <c r="S53" s="9" t="s">
        <v>2</v>
      </c>
      <c r="T53" s="11" t="s">
        <v>3</v>
      </c>
    </row>
    <row r="54" spans="3:20" ht="15.75" thickBot="1" x14ac:dyDescent="0.3">
      <c r="D54" t="s">
        <v>69</v>
      </c>
      <c r="E54" s="25" t="s">
        <v>2</v>
      </c>
      <c r="F54" s="25" t="s">
        <v>3</v>
      </c>
      <c r="G54" s="33"/>
      <c r="H54" s="33" t="s">
        <v>42</v>
      </c>
      <c r="I54" s="33">
        <f>COUNTA(E58:F58)</f>
        <v>2</v>
      </c>
      <c r="J54" s="33"/>
      <c r="K54">
        <f>I59</f>
        <v>0.69314718055994529</v>
      </c>
      <c r="Q54" s="129"/>
      <c r="R54" s="7"/>
      <c r="S54" s="185">
        <v>0.04</v>
      </c>
      <c r="T54" s="186">
        <f>1-S54</f>
        <v>0.96</v>
      </c>
    </row>
    <row r="55" spans="3:20" x14ac:dyDescent="0.25">
      <c r="D55" s="7"/>
      <c r="E55" s="17"/>
      <c r="F55" s="17"/>
      <c r="G55" s="33"/>
      <c r="H55" s="33"/>
      <c r="I55" s="33"/>
      <c r="J55" s="33"/>
      <c r="P55" s="7"/>
      <c r="Q55" s="129" t="s">
        <v>72</v>
      </c>
      <c r="R55" s="7"/>
      <c r="S55" s="7">
        <v>500</v>
      </c>
      <c r="T55" s="113"/>
    </row>
    <row r="56" spans="3:20" ht="15.75" thickBot="1" x14ac:dyDescent="0.3">
      <c r="E56" s="33"/>
      <c r="F56" s="33"/>
      <c r="G56" s="33"/>
      <c r="H56" s="33"/>
      <c r="I56" s="33"/>
      <c r="J56" s="33"/>
      <c r="Q56" s="137" t="s">
        <v>71</v>
      </c>
      <c r="R56" s="184"/>
      <c r="S56" s="184">
        <v>5000</v>
      </c>
      <c r="T56" s="115"/>
    </row>
    <row r="57" spans="3:20" x14ac:dyDescent="0.25">
      <c r="E57" s="64" t="s">
        <v>12</v>
      </c>
      <c r="F57" s="65"/>
      <c r="G57" s="65" t="s">
        <v>13</v>
      </c>
      <c r="H57" s="66"/>
      <c r="I57" s="64" t="s">
        <v>36</v>
      </c>
      <c r="J57" s="66" t="s">
        <v>35</v>
      </c>
      <c r="K57" s="20"/>
      <c r="L57" s="7"/>
      <c r="M57" s="7"/>
      <c r="N57" s="7"/>
      <c r="O57" s="7"/>
      <c r="P57" s="7"/>
      <c r="Q57" s="20"/>
    </row>
    <row r="58" spans="3:20" ht="15.75" thickBot="1" x14ac:dyDescent="0.3">
      <c r="D58" s="34" t="s">
        <v>34</v>
      </c>
      <c r="E58" s="39" t="s">
        <v>6</v>
      </c>
      <c r="F58" s="40" t="s">
        <v>7</v>
      </c>
      <c r="G58" s="85" t="s">
        <v>6</v>
      </c>
      <c r="H58" s="86" t="s">
        <v>7</v>
      </c>
      <c r="I58" s="42">
        <v>0</v>
      </c>
      <c r="J58" s="43"/>
      <c r="K58" s="7"/>
      <c r="L58" s="7"/>
      <c r="M58" s="7"/>
      <c r="N58" s="7" t="s">
        <v>78</v>
      </c>
      <c r="O58" s="7"/>
      <c r="P58" s="7"/>
      <c r="Q58" s="188"/>
    </row>
    <row r="59" spans="3:20" ht="15.75" thickTop="1" x14ac:dyDescent="0.25">
      <c r="D59" s="25" t="s">
        <v>39</v>
      </c>
      <c r="E59" s="44">
        <v>0</v>
      </c>
      <c r="F59" s="45">
        <v>0</v>
      </c>
      <c r="G59" s="50">
        <f t="shared" ref="G59:H62" si="12">EXP(E59/$T$5)/(EXP($F59/$T$5)+EXP($E59/$T$5))</f>
        <v>0.5</v>
      </c>
      <c r="H59" s="87">
        <f t="shared" si="12"/>
        <v>0.5</v>
      </c>
      <c r="I59" s="90">
        <f t="shared" ref="I59:I78" si="13">$T$5*LN(EXP($F59/$T$5)+EXP($E59/$T$5))</f>
        <v>0.69314718055994529</v>
      </c>
      <c r="J59" s="172">
        <f>(I59-I58)</f>
        <v>0.69314718055994529</v>
      </c>
      <c r="K59" s="7"/>
      <c r="L59" s="7"/>
      <c r="M59" s="7"/>
      <c r="N59" t="str">
        <f>IF(D59="Buyer",J59,"")</f>
        <v/>
      </c>
      <c r="P59" s="7"/>
      <c r="Q59" s="7"/>
    </row>
    <row r="60" spans="3:20" x14ac:dyDescent="0.25">
      <c r="D60" s="25" t="s">
        <v>75</v>
      </c>
      <c r="E60" s="47">
        <v>500</v>
      </c>
      <c r="F60" s="41">
        <v>503.18</v>
      </c>
      <c r="G60" s="48">
        <f t="shared" si="12"/>
        <v>3.992533395281353E-2</v>
      </c>
      <c r="H60" s="88">
        <f t="shared" si="12"/>
        <v>0.96007466604718639</v>
      </c>
      <c r="I60" s="91">
        <f t="shared" si="13"/>
        <v>503.22074422041226</v>
      </c>
      <c r="J60" s="173">
        <f>(I60-I59)</f>
        <v>502.52759703985231</v>
      </c>
      <c r="K60" s="7"/>
      <c r="L60" s="7" t="s">
        <v>73</v>
      </c>
      <c r="M60" s="7" t="s">
        <v>74</v>
      </c>
      <c r="N60" s="187">
        <f>IF(D60="Buyer",J60,"")</f>
        <v>502.52759703985231</v>
      </c>
      <c r="P60" s="7"/>
      <c r="Q60" s="7"/>
    </row>
    <row r="61" spans="3:20" x14ac:dyDescent="0.25">
      <c r="D61" s="25" t="s">
        <v>76</v>
      </c>
      <c r="E61" s="47">
        <f>IF(MOD(ROW(A61),2)=1,E60+E59,E60)</f>
        <v>500</v>
      </c>
      <c r="F61" s="41">
        <v>503.18</v>
      </c>
      <c r="G61" s="48">
        <f t="shared" si="12"/>
        <v>3.992533395281353E-2</v>
      </c>
      <c r="H61" s="88">
        <f t="shared" si="12"/>
        <v>0.96007466604718639</v>
      </c>
      <c r="I61" s="91">
        <f t="shared" si="13"/>
        <v>503.22074422041226</v>
      </c>
      <c r="J61" s="173">
        <f>(I61-I60)</f>
        <v>0</v>
      </c>
      <c r="K61" s="7"/>
      <c r="L61" s="138">
        <f>$T$5*LN($T$7/$S$7)+E61</f>
        <v>503.17805383034795</v>
      </c>
      <c r="M61" s="138">
        <f>IF( D61="Seller",((F61-F60)-J61)*$T$7,"")</f>
        <v>0</v>
      </c>
      <c r="N61" t="str">
        <f>IF(D61="Buyer",J61,"")</f>
        <v/>
      </c>
      <c r="P61" s="178"/>
      <c r="Q61" s="7" t="s">
        <v>87</v>
      </c>
      <c r="R61" s="180"/>
    </row>
    <row r="62" spans="3:20" x14ac:dyDescent="0.25">
      <c r="C62" t="s">
        <v>86</v>
      </c>
      <c r="D62" s="25" t="s">
        <v>75</v>
      </c>
      <c r="E62" s="47">
        <v>510</v>
      </c>
      <c r="F62" s="177">
        <f>F61</f>
        <v>503.18</v>
      </c>
      <c r="G62" s="48">
        <f t="shared" si="12"/>
        <v>0.99890946963253902</v>
      </c>
      <c r="H62" s="88">
        <f t="shared" si="12"/>
        <v>1.0905303674609804E-3</v>
      </c>
      <c r="I62" s="91">
        <f t="shared" si="13"/>
        <v>510.00109112542839</v>
      </c>
      <c r="J62" s="173">
        <f t="shared" ref="J62:J77" si="14">(I62-I61)</f>
        <v>6.7803469050161311</v>
      </c>
      <c r="K62" s="7"/>
      <c r="L62" s="138">
        <f>$T$5*LN($T$7/$S$7)+E62</f>
        <v>513.17805383034795</v>
      </c>
      <c r="M62" s="138" t="str">
        <f t="shared" ref="M62" si="15">IF( D62="Seller",((F62-F61)-J62)*$T$7,"")</f>
        <v/>
      </c>
      <c r="N62">
        <f>IF(D62="Buyer",J62,"")</f>
        <v>6.7803469050161311</v>
      </c>
      <c r="P62" s="7"/>
      <c r="Q62" s="7"/>
    </row>
    <row r="63" spans="3:20" x14ac:dyDescent="0.25">
      <c r="D63" s="25" t="s">
        <v>76</v>
      </c>
      <c r="E63" s="47">
        <v>510</v>
      </c>
      <c r="F63" s="177">
        <v>0</v>
      </c>
      <c r="G63" s="48">
        <f t="shared" ref="G63:G77" si="16">EXP(E63/$T$5)/(EXP($F63/$T$5)+EXP($E63/$T$5))</f>
        <v>1</v>
      </c>
      <c r="H63" s="88">
        <f t="shared" ref="H63:H77" si="17">EXP(F63/$T$5)/(EXP($F63/$T$5)+EXP($E63/$T$5))</f>
        <v>3.2345526845351109E-222</v>
      </c>
      <c r="I63" s="91">
        <f t="shared" si="13"/>
        <v>510</v>
      </c>
      <c r="J63" s="173">
        <f>(I63-I62)</f>
        <v>-1.0911254283882954E-3</v>
      </c>
      <c r="K63" s="7"/>
      <c r="L63" s="138">
        <f t="shared" ref="L63:L76" si="18">$T$5*LN($T$7/$S$7)+E63</f>
        <v>513.17805383034795</v>
      </c>
      <c r="M63" s="138">
        <f>IF( D63="Seller",((F63-F62)-J63)*$T$7,"")</f>
        <v>-483.05175251958872</v>
      </c>
      <c r="N63" t="str">
        <f t="shared" ref="N63:N69" si="19">IF(D63="Buyer",J63,"")</f>
        <v/>
      </c>
      <c r="O63" s="7"/>
      <c r="P63" s="7"/>
      <c r="Q63" s="7" t="s">
        <v>96</v>
      </c>
    </row>
    <row r="64" spans="3:20" x14ac:dyDescent="0.25">
      <c r="D64" s="25" t="s">
        <v>75</v>
      </c>
      <c r="E64" s="47"/>
      <c r="F64" s="177"/>
      <c r="G64" s="48">
        <f t="shared" si="16"/>
        <v>0.5</v>
      </c>
      <c r="H64" s="88">
        <f t="shared" si="17"/>
        <v>0.5</v>
      </c>
      <c r="I64" s="91">
        <f t="shared" si="13"/>
        <v>0.69314718055994529</v>
      </c>
      <c r="J64" s="173">
        <f t="shared" si="14"/>
        <v>-509.30685281944005</v>
      </c>
      <c r="K64" s="7"/>
      <c r="L64" s="138">
        <f t="shared" si="18"/>
        <v>3.1780538303479458</v>
      </c>
      <c r="M64" s="138" t="str">
        <f t="shared" ref="M64" si="20">IF( D64="Seller",((F64-F63)-J64)*$T$7,"")</f>
        <v/>
      </c>
      <c r="N64">
        <f t="shared" si="19"/>
        <v>-509.30685281944005</v>
      </c>
      <c r="O64" s="7"/>
      <c r="P64" s="7"/>
      <c r="Q64" s="7"/>
    </row>
    <row r="65" spans="4:17" x14ac:dyDescent="0.25">
      <c r="D65" s="25" t="s">
        <v>76</v>
      </c>
      <c r="E65" s="47"/>
      <c r="F65" s="177"/>
      <c r="G65" s="48">
        <f t="shared" si="16"/>
        <v>0.5</v>
      </c>
      <c r="H65" s="88">
        <f t="shared" si="17"/>
        <v>0.5</v>
      </c>
      <c r="I65" s="91">
        <f t="shared" si="13"/>
        <v>0.69314718055994529</v>
      </c>
      <c r="J65" s="173">
        <f t="shared" si="14"/>
        <v>0</v>
      </c>
      <c r="K65" s="7"/>
      <c r="L65" s="138">
        <f t="shared" si="18"/>
        <v>3.1780538303479458</v>
      </c>
      <c r="M65" s="138">
        <f>IF( D65="Seller",((F65-F64)-J65)*$T$7,"")</f>
        <v>0</v>
      </c>
      <c r="N65" t="str">
        <f t="shared" si="19"/>
        <v/>
      </c>
      <c r="O65" s="7"/>
      <c r="P65" s="7"/>
      <c r="Q65" s="7" t="s">
        <v>94</v>
      </c>
    </row>
    <row r="66" spans="4:17" x14ac:dyDescent="0.25">
      <c r="D66" s="25" t="s">
        <v>75</v>
      </c>
      <c r="E66" s="47"/>
      <c r="F66" s="177"/>
      <c r="G66" s="48">
        <f t="shared" si="16"/>
        <v>0.5</v>
      </c>
      <c r="H66" s="88">
        <f t="shared" si="17"/>
        <v>0.5</v>
      </c>
      <c r="I66" s="91">
        <f t="shared" si="13"/>
        <v>0.69314718055994529</v>
      </c>
      <c r="J66" s="173">
        <f t="shared" si="14"/>
        <v>0</v>
      </c>
      <c r="K66" s="7"/>
      <c r="L66" s="138">
        <f t="shared" si="18"/>
        <v>3.1780538303479458</v>
      </c>
      <c r="M66" s="138" t="str">
        <f t="shared" ref="M66" si="21">IF( D66="Seller",((F66-F65)-J66)*$T$7,"")</f>
        <v/>
      </c>
      <c r="N66">
        <f t="shared" si="19"/>
        <v>0</v>
      </c>
      <c r="O66" s="7"/>
      <c r="P66" s="7"/>
      <c r="Q66" s="8" t="s">
        <v>95</v>
      </c>
    </row>
    <row r="67" spans="4:17" x14ac:dyDescent="0.25">
      <c r="D67" s="25" t="s">
        <v>76</v>
      </c>
      <c r="E67" s="47"/>
      <c r="F67" s="177"/>
      <c r="G67" s="48">
        <f t="shared" si="16"/>
        <v>0.5</v>
      </c>
      <c r="H67" s="88">
        <f t="shared" si="17"/>
        <v>0.5</v>
      </c>
      <c r="I67" s="91">
        <f t="shared" si="13"/>
        <v>0.69314718055994529</v>
      </c>
      <c r="J67" s="173">
        <f t="shared" si="14"/>
        <v>0</v>
      </c>
      <c r="K67" s="7"/>
      <c r="L67" s="138">
        <f t="shared" si="18"/>
        <v>3.1780538303479458</v>
      </c>
      <c r="M67" s="138">
        <f>IF( D67="Seller",((F67-F66)-J67)*$T$7,"")</f>
        <v>0</v>
      </c>
      <c r="N67" t="str">
        <f t="shared" si="19"/>
        <v/>
      </c>
      <c r="O67" s="7"/>
      <c r="P67" s="7"/>
      <c r="Q67" s="8" t="s">
        <v>92</v>
      </c>
    </row>
    <row r="68" spans="4:17" x14ac:dyDescent="0.25">
      <c r="D68" s="25" t="s">
        <v>75</v>
      </c>
      <c r="E68" s="47"/>
      <c r="F68" s="177"/>
      <c r="G68" s="48">
        <f t="shared" si="16"/>
        <v>0.5</v>
      </c>
      <c r="H68" s="88">
        <f t="shared" si="17"/>
        <v>0.5</v>
      </c>
      <c r="I68" s="91">
        <f t="shared" si="13"/>
        <v>0.69314718055994529</v>
      </c>
      <c r="J68" s="173">
        <f t="shared" si="14"/>
        <v>0</v>
      </c>
      <c r="K68" s="7"/>
      <c r="L68" s="138">
        <f t="shared" si="18"/>
        <v>3.1780538303479458</v>
      </c>
      <c r="M68" s="138" t="str">
        <f t="shared" ref="M68:M74" si="22">IF( D68="Seller",((F68-F67)-J68)*$T$7,"")</f>
        <v/>
      </c>
      <c r="N68">
        <f t="shared" si="19"/>
        <v>0</v>
      </c>
      <c r="O68" s="7"/>
      <c r="P68" s="7"/>
      <c r="Q68" s="8" t="s">
        <v>93</v>
      </c>
    </row>
    <row r="69" spans="4:17" x14ac:dyDescent="0.25">
      <c r="D69" s="25" t="s">
        <v>76</v>
      </c>
      <c r="E69" s="47"/>
      <c r="F69" s="177"/>
      <c r="G69" s="48">
        <f t="shared" si="16"/>
        <v>0.5</v>
      </c>
      <c r="H69" s="88">
        <f t="shared" si="17"/>
        <v>0.5</v>
      </c>
      <c r="I69" s="91">
        <f t="shared" si="13"/>
        <v>0.69314718055994529</v>
      </c>
      <c r="J69" s="173">
        <f t="shared" si="14"/>
        <v>0</v>
      </c>
      <c r="K69" s="7"/>
      <c r="L69" s="138">
        <f t="shared" si="18"/>
        <v>3.1780538303479458</v>
      </c>
      <c r="M69" s="138">
        <f t="shared" si="22"/>
        <v>0</v>
      </c>
      <c r="N69" t="str">
        <f t="shared" si="19"/>
        <v/>
      </c>
      <c r="O69" s="7"/>
      <c r="P69" s="7"/>
      <c r="Q69" s="7"/>
    </row>
    <row r="70" spans="4:17" x14ac:dyDescent="0.25">
      <c r="D70" s="25" t="s">
        <v>75</v>
      </c>
      <c r="E70" s="47"/>
      <c r="F70" s="177"/>
      <c r="G70" s="48">
        <f t="shared" si="16"/>
        <v>0.5</v>
      </c>
      <c r="H70" s="88">
        <f t="shared" si="17"/>
        <v>0.5</v>
      </c>
      <c r="I70" s="91">
        <f t="shared" si="13"/>
        <v>0.69314718055994529</v>
      </c>
      <c r="J70" s="173">
        <f t="shared" si="14"/>
        <v>0</v>
      </c>
      <c r="K70" s="7"/>
      <c r="L70" s="138">
        <f t="shared" si="18"/>
        <v>3.1780538303479458</v>
      </c>
      <c r="M70" s="138" t="str">
        <f t="shared" si="22"/>
        <v/>
      </c>
      <c r="N70">
        <f>IF(D70="Buyer",J70,"")</f>
        <v>0</v>
      </c>
      <c r="O70" s="7"/>
      <c r="P70" s="7"/>
      <c r="Q70" s="7"/>
    </row>
    <row r="71" spans="4:17" x14ac:dyDescent="0.25">
      <c r="D71" s="25" t="s">
        <v>76</v>
      </c>
      <c r="E71" s="47"/>
      <c r="F71" s="177"/>
      <c r="G71" s="48">
        <f t="shared" si="16"/>
        <v>0.5</v>
      </c>
      <c r="H71" s="88">
        <f t="shared" si="17"/>
        <v>0.5</v>
      </c>
      <c r="I71" s="91">
        <f t="shared" si="13"/>
        <v>0.69314718055994529</v>
      </c>
      <c r="J71" s="173">
        <f t="shared" si="14"/>
        <v>0</v>
      </c>
      <c r="K71" s="7"/>
      <c r="L71" s="138">
        <f t="shared" si="18"/>
        <v>3.1780538303479458</v>
      </c>
      <c r="M71" s="138">
        <f t="shared" si="22"/>
        <v>0</v>
      </c>
      <c r="N71" t="str">
        <f>IF(D71="Buyer",J71,"")</f>
        <v/>
      </c>
      <c r="O71" s="7"/>
      <c r="P71" s="7"/>
      <c r="Q71" s="7"/>
    </row>
    <row r="72" spans="4:17" x14ac:dyDescent="0.25">
      <c r="D72" s="25" t="s">
        <v>75</v>
      </c>
      <c r="E72" s="47"/>
      <c r="F72" s="177"/>
      <c r="G72" s="48">
        <f t="shared" si="16"/>
        <v>0.5</v>
      </c>
      <c r="H72" s="88">
        <f t="shared" si="17"/>
        <v>0.5</v>
      </c>
      <c r="I72" s="91">
        <f t="shared" si="13"/>
        <v>0.69314718055994529</v>
      </c>
      <c r="J72" s="173">
        <f t="shared" si="14"/>
        <v>0</v>
      </c>
      <c r="K72" s="7"/>
      <c r="L72" s="138">
        <f t="shared" si="18"/>
        <v>3.1780538303479458</v>
      </c>
      <c r="M72" s="138" t="str">
        <f t="shared" si="22"/>
        <v/>
      </c>
      <c r="N72">
        <f t="shared" ref="N72:N77" si="23">IF(D72="Buyer",J72,"")</f>
        <v>0</v>
      </c>
      <c r="O72" s="7"/>
      <c r="P72" s="7"/>
      <c r="Q72" s="7"/>
    </row>
    <row r="73" spans="4:17" x14ac:dyDescent="0.25">
      <c r="D73" s="25" t="s">
        <v>76</v>
      </c>
      <c r="E73" s="47"/>
      <c r="F73" s="177"/>
      <c r="G73" s="48">
        <f t="shared" si="16"/>
        <v>0.5</v>
      </c>
      <c r="H73" s="88">
        <f t="shared" si="17"/>
        <v>0.5</v>
      </c>
      <c r="I73" s="91">
        <f t="shared" si="13"/>
        <v>0.69314718055994529</v>
      </c>
      <c r="J73" s="173">
        <f t="shared" si="14"/>
        <v>0</v>
      </c>
      <c r="K73" s="7"/>
      <c r="L73" s="138">
        <f t="shared" si="18"/>
        <v>3.1780538303479458</v>
      </c>
      <c r="M73" s="138">
        <f t="shared" si="22"/>
        <v>0</v>
      </c>
      <c r="N73" t="str">
        <f t="shared" si="23"/>
        <v/>
      </c>
      <c r="O73" s="7"/>
      <c r="P73" s="7"/>
      <c r="Q73" s="7"/>
    </row>
    <row r="74" spans="4:17" x14ac:dyDescent="0.25">
      <c r="D74" s="25" t="s">
        <v>75</v>
      </c>
      <c r="E74" s="47"/>
      <c r="F74" s="177"/>
      <c r="G74" s="48">
        <f t="shared" si="16"/>
        <v>0.5</v>
      </c>
      <c r="H74" s="88">
        <f t="shared" si="17"/>
        <v>0.5</v>
      </c>
      <c r="I74" s="91">
        <f t="shared" si="13"/>
        <v>0.69314718055994529</v>
      </c>
      <c r="J74" s="173">
        <f t="shared" si="14"/>
        <v>0</v>
      </c>
      <c r="K74" s="7"/>
      <c r="L74" s="138">
        <f t="shared" si="18"/>
        <v>3.1780538303479458</v>
      </c>
      <c r="M74" s="138" t="str">
        <f t="shared" si="22"/>
        <v/>
      </c>
      <c r="N74">
        <f t="shared" si="23"/>
        <v>0</v>
      </c>
      <c r="O74" s="7"/>
      <c r="P74" s="7"/>
      <c r="Q74" s="7"/>
    </row>
    <row r="75" spans="4:17" x14ac:dyDescent="0.25">
      <c r="D75" s="25" t="s">
        <v>76</v>
      </c>
      <c r="E75" s="47"/>
      <c r="F75" s="177"/>
      <c r="G75" s="48">
        <f t="shared" si="16"/>
        <v>0.5</v>
      </c>
      <c r="H75" s="88">
        <f t="shared" si="17"/>
        <v>0.5</v>
      </c>
      <c r="I75" s="91">
        <f t="shared" si="13"/>
        <v>0.69314718055994529</v>
      </c>
      <c r="J75" s="173">
        <f t="shared" si="14"/>
        <v>0</v>
      </c>
      <c r="K75" s="7"/>
      <c r="L75" s="138">
        <f t="shared" si="18"/>
        <v>3.1780538303479458</v>
      </c>
      <c r="M75" s="138">
        <f>IF( D75="Seller",((F75-F74)-J75)*$T$7,"")</f>
        <v>0</v>
      </c>
      <c r="N75" t="str">
        <f t="shared" si="23"/>
        <v/>
      </c>
      <c r="O75" s="7"/>
      <c r="P75" s="7"/>
      <c r="Q75" s="7"/>
    </row>
    <row r="76" spans="4:17" x14ac:dyDescent="0.25">
      <c r="D76" s="21" t="s">
        <v>77</v>
      </c>
      <c r="E76" s="47"/>
      <c r="F76" s="177"/>
      <c r="G76" s="48">
        <f t="shared" si="16"/>
        <v>0.5</v>
      </c>
      <c r="H76" s="88">
        <f t="shared" si="17"/>
        <v>0.5</v>
      </c>
      <c r="I76" s="91">
        <f t="shared" si="13"/>
        <v>0.69314718055994529</v>
      </c>
      <c r="J76" s="173">
        <f t="shared" si="14"/>
        <v>0</v>
      </c>
      <c r="K76" s="7"/>
      <c r="L76" s="138">
        <f t="shared" si="18"/>
        <v>3.1780538303479458</v>
      </c>
      <c r="M76" s="138" t="str">
        <f t="shared" ref="M76:M77" si="24">IF( D76="Seller",((F76-F75)-J76)*$T$7,"")</f>
        <v/>
      </c>
      <c r="N76" t="str">
        <f t="shared" si="23"/>
        <v/>
      </c>
      <c r="O76" s="7"/>
      <c r="P76" s="7"/>
      <c r="Q76" s="7"/>
    </row>
    <row r="77" spans="4:17" ht="15.75" thickBot="1" x14ac:dyDescent="0.3">
      <c r="D77" s="25" t="s">
        <v>38</v>
      </c>
      <c r="E77" s="47"/>
      <c r="F77" s="179"/>
      <c r="G77" s="48">
        <f t="shared" si="16"/>
        <v>0.5</v>
      </c>
      <c r="H77" s="88">
        <f t="shared" si="17"/>
        <v>0.5</v>
      </c>
      <c r="I77" s="127">
        <f t="shared" si="13"/>
        <v>0.69314718055994529</v>
      </c>
      <c r="J77" s="174">
        <f t="shared" si="14"/>
        <v>0</v>
      </c>
      <c r="K77" s="7"/>
      <c r="L77" s="138">
        <f>$T$5*LN($T$7/$S$7)+E77</f>
        <v>3.1780538303479458</v>
      </c>
      <c r="M77" s="138" t="str">
        <f t="shared" si="24"/>
        <v/>
      </c>
      <c r="N77" t="str">
        <f t="shared" si="23"/>
        <v/>
      </c>
      <c r="O77" s="7"/>
      <c r="P77" s="7"/>
      <c r="Q77" s="7"/>
    </row>
    <row r="78" spans="4:17" ht="16.5" thickTop="1" thickBot="1" x14ac:dyDescent="0.3">
      <c r="D78" s="25" t="s">
        <v>0</v>
      </c>
      <c r="E78" s="51">
        <f>E77</f>
        <v>0</v>
      </c>
      <c r="F78" s="181">
        <f>F77</f>
        <v>0</v>
      </c>
      <c r="G78" s="53">
        <f>EXP(E78)/(EXP($F78)+EXP($E78))</f>
        <v>0.5</v>
      </c>
      <c r="H78" s="89">
        <f>EXP(F78)/(EXP($F78)+EXP($E78))</f>
        <v>0.5</v>
      </c>
      <c r="I78" s="92">
        <f t="shared" si="13"/>
        <v>0.69314718055994529</v>
      </c>
      <c r="J78" s="175">
        <f>SUM(J59:J77)</f>
        <v>0.69314718055994717</v>
      </c>
      <c r="K78" s="8" t="s">
        <v>43</v>
      </c>
      <c r="L78" s="7"/>
      <c r="M78" s="7"/>
      <c r="N78" s="7"/>
      <c r="O78" s="7"/>
      <c r="P78" s="7"/>
      <c r="Q78" s="8"/>
    </row>
    <row r="79" spans="4:17" ht="15.75" thickBot="1" x14ac:dyDescent="0.3">
      <c r="E79" s="33"/>
      <c r="F79" s="33"/>
      <c r="G79" s="33"/>
      <c r="H79" s="33"/>
      <c r="I79" s="124">
        <v>0</v>
      </c>
      <c r="J79" s="176">
        <f>J78-(SUMPRODUCT(G78:H78,E78:F78))</f>
        <v>0.69314718055994717</v>
      </c>
      <c r="K79" t="s">
        <v>57</v>
      </c>
      <c r="L79" s="7"/>
      <c r="M79" s="7"/>
      <c r="N79" s="7"/>
      <c r="O79" s="7"/>
      <c r="P79" s="7"/>
    </row>
    <row r="81" spans="13:15" x14ac:dyDescent="0.25">
      <c r="M81" t="s">
        <v>80</v>
      </c>
      <c r="N81" t="s">
        <v>81</v>
      </c>
      <c r="O81" t="s">
        <v>82</v>
      </c>
    </row>
    <row r="82" spans="13:15" x14ac:dyDescent="0.25">
      <c r="M82">
        <f>M61+(M75*($S$9-1))</f>
        <v>0</v>
      </c>
      <c r="N82">
        <f>N60+(N74*($S$9-1))</f>
        <v>502.52759703985231</v>
      </c>
      <c r="O82">
        <f>K54</f>
        <v>0.69314718055994529</v>
      </c>
    </row>
    <row r="84" spans="13:15" x14ac:dyDescent="0.25">
      <c r="M84" t="s">
        <v>79</v>
      </c>
    </row>
    <row r="86" spans="13:15" x14ac:dyDescent="0.25">
      <c r="M86" t="s">
        <v>84</v>
      </c>
    </row>
    <row r="87" spans="13:15" x14ac:dyDescent="0.25">
      <c r="N87">
        <f>S54*S55</f>
        <v>20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R73"/>
  <sheetViews>
    <sheetView topLeftCell="A16" workbookViewId="0">
      <selection activeCell="O29" sqref="O29"/>
    </sheetView>
  </sheetViews>
  <sheetFormatPr defaultRowHeight="15" x14ac:dyDescent="0.25"/>
  <sheetData>
    <row r="2" spans="2:15" ht="15.75" thickBot="1" x14ac:dyDescent="0.3">
      <c r="B2" t="s">
        <v>58</v>
      </c>
    </row>
    <row r="3" spans="2:15" ht="15.75" thickBot="1" x14ac:dyDescent="0.3">
      <c r="F3" s="107" t="s">
        <v>5</v>
      </c>
      <c r="G3" s="108">
        <v>5</v>
      </c>
    </row>
    <row r="5" spans="2:15" x14ac:dyDescent="0.25">
      <c r="B5" t="s">
        <v>45</v>
      </c>
      <c r="C5" t="s">
        <v>46</v>
      </c>
      <c r="D5" t="s">
        <v>47</v>
      </c>
      <c r="E5" t="s">
        <v>48</v>
      </c>
      <c r="F5" t="s">
        <v>49</v>
      </c>
      <c r="H5" t="s">
        <v>50</v>
      </c>
      <c r="I5" t="s">
        <v>51</v>
      </c>
      <c r="J5" t="s">
        <v>52</v>
      </c>
      <c r="K5" t="s">
        <v>53</v>
      </c>
      <c r="M5" t="s">
        <v>36</v>
      </c>
      <c r="N5" t="s">
        <v>1</v>
      </c>
    </row>
    <row r="6" spans="2:15" x14ac:dyDescent="0.25">
      <c r="B6">
        <v>1</v>
      </c>
      <c r="C6">
        <v>0</v>
      </c>
      <c r="D6">
        <v>0</v>
      </c>
      <c r="E6">
        <v>0</v>
      </c>
      <c r="F6">
        <v>0</v>
      </c>
      <c r="H6">
        <f>EXP(C6/$G$3)/SUM(EXP($C6/$G$3),EXP($D6/$G$3),EXP($E6/$G$3),EXP($F6/$G$3))</f>
        <v>0.25</v>
      </c>
      <c r="I6">
        <f t="shared" ref="I6:K14" si="0">EXP(D6/$G$3)/SUM(EXP($C6/$G$3),EXP($D6/$G$3),EXP($E6/$G$3),EXP($F6/$G$3))</f>
        <v>0.25</v>
      </c>
      <c r="J6">
        <f t="shared" si="0"/>
        <v>0.25</v>
      </c>
      <c r="K6">
        <f t="shared" si="0"/>
        <v>0.25</v>
      </c>
      <c r="M6">
        <f>LN(SUM(EXP(C6/$G$3),EXP(D6/$G$3),EXP(E6/$G$3),EXP(F6/$G$3)))</f>
        <v>1.3862943611198906</v>
      </c>
      <c r="N6">
        <f>IFERROR(M6-M5,M6)</f>
        <v>1.3862943611198906</v>
      </c>
    </row>
    <row r="7" spans="2:15" x14ac:dyDescent="0.25">
      <c r="B7">
        <v>2</v>
      </c>
      <c r="C7">
        <v>1</v>
      </c>
      <c r="D7">
        <v>0</v>
      </c>
      <c r="E7">
        <v>0</v>
      </c>
      <c r="F7">
        <v>0</v>
      </c>
      <c r="H7">
        <f t="shared" ref="H7:H14" si="1">EXP(C7/$G$3)/SUM(EXP($C7/$G$3),EXP($D7/$G$3),EXP($E7/$G$3),EXP($F7/$G$3))</f>
        <v>0.28933575594016492</v>
      </c>
      <c r="I7">
        <f t="shared" si="0"/>
        <v>0.23688808135327838</v>
      </c>
      <c r="J7">
        <f t="shared" si="0"/>
        <v>0.23688808135327838</v>
      </c>
      <c r="K7">
        <f t="shared" si="0"/>
        <v>0.23688808135327838</v>
      </c>
      <c r="M7">
        <f t="shared" ref="M7:M14" si="2">LN(SUM(EXP(C7/$G$3),EXP(D7/$G$3),EXP(E7/$G$3),EXP(F7/$G$3)))</f>
        <v>1.4401674799598645</v>
      </c>
      <c r="N7" s="109">
        <f t="shared" ref="N7:N14" si="3">IFERROR(M7-M6,M7)</f>
        <v>5.3873118839973921E-2</v>
      </c>
    </row>
    <row r="8" spans="2:15" x14ac:dyDescent="0.25">
      <c r="B8">
        <v>3</v>
      </c>
      <c r="C8">
        <v>2</v>
      </c>
      <c r="D8">
        <v>3</v>
      </c>
      <c r="E8">
        <v>0</v>
      </c>
      <c r="F8">
        <v>0</v>
      </c>
      <c r="H8">
        <f t="shared" si="1"/>
        <v>0.28073777942761796</v>
      </c>
      <c r="I8">
        <f t="shared" si="0"/>
        <v>0.34289389811265397</v>
      </c>
      <c r="J8">
        <f t="shared" si="0"/>
        <v>0.18818416122986403</v>
      </c>
      <c r="K8">
        <f t="shared" si="0"/>
        <v>0.18818416122986403</v>
      </c>
      <c r="M8">
        <f t="shared" si="2"/>
        <v>1.6703342146186519</v>
      </c>
      <c r="N8" s="109">
        <f t="shared" si="3"/>
        <v>0.23016673465878745</v>
      </c>
    </row>
    <row r="9" spans="2:15" x14ac:dyDescent="0.25">
      <c r="B9">
        <v>4</v>
      </c>
      <c r="C9">
        <v>8</v>
      </c>
      <c r="D9">
        <v>9</v>
      </c>
      <c r="E9">
        <v>11</v>
      </c>
      <c r="F9">
        <v>0</v>
      </c>
      <c r="H9">
        <f t="shared" si="1"/>
        <v>0.23554806192697511</v>
      </c>
      <c r="I9">
        <f t="shared" si="0"/>
        <v>0.28769905251688987</v>
      </c>
      <c r="J9">
        <f t="shared" si="0"/>
        <v>0.42919655203268925</v>
      </c>
      <c r="K9">
        <f t="shared" si="0"/>
        <v>4.755633352344573E-2</v>
      </c>
      <c r="M9">
        <f t="shared" si="2"/>
        <v>3.0458403017324911</v>
      </c>
      <c r="N9" s="109">
        <f t="shared" si="3"/>
        <v>1.3755060871138391</v>
      </c>
    </row>
    <row r="10" spans="2:15" x14ac:dyDescent="0.25">
      <c r="B10">
        <v>5</v>
      </c>
      <c r="C10">
        <v>21</v>
      </c>
      <c r="D10">
        <v>25</v>
      </c>
      <c r="E10">
        <v>27</v>
      </c>
      <c r="F10">
        <v>17</v>
      </c>
      <c r="H10">
        <f t="shared" si="1"/>
        <v>0.14295952607174461</v>
      </c>
      <c r="I10">
        <f t="shared" si="0"/>
        <v>0.31816227639055356</v>
      </c>
      <c r="J10">
        <f t="shared" si="0"/>
        <v>0.47464234177719605</v>
      </c>
      <c r="K10">
        <f t="shared" si="0"/>
        <v>6.4235855760505917E-2</v>
      </c>
      <c r="M10">
        <f t="shared" si="2"/>
        <v>6.1451937232473677</v>
      </c>
      <c r="N10" s="109">
        <f t="shared" si="3"/>
        <v>3.0993534215148766</v>
      </c>
      <c r="O10">
        <f>SUM(N7:N10)</f>
        <v>4.7588993621274769</v>
      </c>
    </row>
    <row r="11" spans="2:15" x14ac:dyDescent="0.25">
      <c r="B11">
        <v>6</v>
      </c>
      <c r="C11">
        <v>31</v>
      </c>
      <c r="D11">
        <v>36</v>
      </c>
      <c r="E11">
        <v>42</v>
      </c>
      <c r="F11">
        <v>57</v>
      </c>
      <c r="H11">
        <f t="shared" si="1"/>
        <v>5.1542263800937928E-3</v>
      </c>
      <c r="I11">
        <f t="shared" si="0"/>
        <v>1.4010639908773201E-2</v>
      </c>
      <c r="J11">
        <f t="shared" si="0"/>
        <v>4.6516962659485954E-2</v>
      </c>
      <c r="K11">
        <f t="shared" si="0"/>
        <v>0.93431817105164705</v>
      </c>
      <c r="M11">
        <f t="shared" si="2"/>
        <v>11.467938244531888</v>
      </c>
      <c r="N11" s="110">
        <f t="shared" si="3"/>
        <v>5.3227445212845206</v>
      </c>
    </row>
    <row r="12" spans="2:15" x14ac:dyDescent="0.25">
      <c r="B12">
        <v>7</v>
      </c>
      <c r="C12">
        <v>42</v>
      </c>
      <c r="D12">
        <v>53</v>
      </c>
      <c r="E12">
        <v>55</v>
      </c>
      <c r="F12">
        <v>40</v>
      </c>
      <c r="H12">
        <f t="shared" si="1"/>
        <v>4.1392319099229483E-2</v>
      </c>
      <c r="I12">
        <f t="shared" si="0"/>
        <v>0.37356623864343058</v>
      </c>
      <c r="J12">
        <f t="shared" si="0"/>
        <v>0.55729534101322264</v>
      </c>
      <c r="K12">
        <f t="shared" si="0"/>
        <v>2.7746101244117367E-2</v>
      </c>
      <c r="M12">
        <f t="shared" si="2"/>
        <v>11.584659944367623</v>
      </c>
      <c r="N12" s="110">
        <f>IFERROR(M12-M11,M12)</f>
        <v>0.11672169983573433</v>
      </c>
    </row>
    <row r="13" spans="2:15" x14ac:dyDescent="0.25">
      <c r="B13">
        <v>8</v>
      </c>
      <c r="C13">
        <v>50</v>
      </c>
      <c r="D13">
        <v>80</v>
      </c>
      <c r="E13">
        <v>70</v>
      </c>
      <c r="F13">
        <v>42</v>
      </c>
      <c r="H13">
        <f t="shared" si="1"/>
        <v>2.1775635866085013E-3</v>
      </c>
      <c r="I13">
        <f t="shared" si="0"/>
        <v>0.87849185049918066</v>
      </c>
      <c r="J13">
        <f t="shared" si="0"/>
        <v>0.11889094340836263</v>
      </c>
      <c r="K13">
        <f t="shared" si="0"/>
        <v>4.3964250584820985E-4</v>
      </c>
      <c r="M13">
        <f t="shared" si="2"/>
        <v>16.1295486480068</v>
      </c>
      <c r="N13" s="110">
        <f t="shared" si="3"/>
        <v>4.5448887036391774</v>
      </c>
    </row>
    <row r="14" spans="2:15" x14ac:dyDescent="0.25">
      <c r="B14">
        <v>9</v>
      </c>
      <c r="C14">
        <v>30</v>
      </c>
      <c r="D14">
        <v>40</v>
      </c>
      <c r="E14">
        <v>113</v>
      </c>
      <c r="F14">
        <v>47</v>
      </c>
      <c r="H14">
        <f t="shared" si="1"/>
        <v>6.1760467062892996E-8</v>
      </c>
      <c r="I14">
        <f t="shared" si="0"/>
        <v>4.5635155582387502E-7</v>
      </c>
      <c r="J14">
        <f t="shared" si="0"/>
        <v>0.99999763129116293</v>
      </c>
      <c r="K14">
        <f t="shared" si="0"/>
        <v>1.8505968140464941E-6</v>
      </c>
      <c r="M14">
        <f t="shared" si="2"/>
        <v>22.600002368711642</v>
      </c>
      <c r="N14" s="110">
        <f t="shared" si="3"/>
        <v>6.4704537207048425</v>
      </c>
      <c r="O14">
        <f>SUM(N11:N14)</f>
        <v>16.454808645464276</v>
      </c>
    </row>
    <row r="17" spans="2:15" x14ac:dyDescent="0.25">
      <c r="B17" t="s">
        <v>45</v>
      </c>
      <c r="C17" t="s">
        <v>46</v>
      </c>
      <c r="D17" t="s">
        <v>47</v>
      </c>
      <c r="E17" t="s">
        <v>48</v>
      </c>
      <c r="F17" t="s">
        <v>49</v>
      </c>
      <c r="H17" t="s">
        <v>50</v>
      </c>
      <c r="I17" t="s">
        <v>51</v>
      </c>
      <c r="J17" t="s">
        <v>52</v>
      </c>
      <c r="K17" t="s">
        <v>53</v>
      </c>
      <c r="M17" t="s">
        <v>36</v>
      </c>
      <c r="N17" t="s">
        <v>1</v>
      </c>
    </row>
    <row r="18" spans="2:15" ht="15.75" thickBot="1" x14ac:dyDescent="0.3">
      <c r="B18">
        <v>1</v>
      </c>
      <c r="C18">
        <v>0</v>
      </c>
      <c r="D18">
        <v>0</v>
      </c>
      <c r="E18">
        <v>0</v>
      </c>
      <c r="F18">
        <v>0</v>
      </c>
      <c r="H18">
        <f>EXP(C18/$G$3)/SUM(EXP($C18/$G$3),EXP($D18/$G$3),EXP($E18/$G$3),EXP($F18/$G$3))</f>
        <v>0.25</v>
      </c>
      <c r="I18">
        <f t="shared" ref="I18:K26" si="4">EXP(D18/$G$3)/SUM(EXP($C18/$G$3),EXP($D18/$G$3),EXP($E18/$G$3),EXP($F18/$G$3))</f>
        <v>0.25</v>
      </c>
      <c r="J18">
        <f t="shared" si="4"/>
        <v>0.25</v>
      </c>
      <c r="K18">
        <f t="shared" si="4"/>
        <v>0.25</v>
      </c>
      <c r="M18">
        <f>LN(SUM(EXP(C18/$G$3),EXP(D18/$G$3),EXP(E18/$G$3),EXP(F18/$G$3)))</f>
        <v>1.3862943611198906</v>
      </c>
      <c r="N18">
        <f>IFERROR(M18-M17,M18)</f>
        <v>1.3862943611198906</v>
      </c>
    </row>
    <row r="19" spans="2:15" x14ac:dyDescent="0.25">
      <c r="B19">
        <v>2</v>
      </c>
      <c r="C19">
        <v>0</v>
      </c>
      <c r="D19">
        <v>0</v>
      </c>
      <c r="E19">
        <v>0</v>
      </c>
      <c r="F19">
        <v>0</v>
      </c>
      <c r="H19">
        <f t="shared" ref="H19:H26" si="5">EXP(C19/$G$3)/SUM(EXP($C19/$G$3),EXP($D19/$G$3),EXP($E19/$G$3),EXP($F19/$G$3))</f>
        <v>0.25</v>
      </c>
      <c r="I19">
        <f t="shared" si="4"/>
        <v>0.25</v>
      </c>
      <c r="J19">
        <f t="shared" si="4"/>
        <v>0.25</v>
      </c>
      <c r="K19">
        <f t="shared" si="4"/>
        <v>0.25</v>
      </c>
      <c r="M19">
        <f t="shared" ref="M19:M26" si="6">LN(SUM(EXP(C19/$G$3),EXP(D19/$G$3),EXP(E19/$G$3),EXP(F19/$G$3)))</f>
        <v>1.3862943611198906</v>
      </c>
      <c r="N19" s="111">
        <f t="shared" ref="N19:N26" si="7">IFERROR(M19-M18,M19)</f>
        <v>0</v>
      </c>
      <c r="O19" s="11"/>
    </row>
    <row r="20" spans="2:15" x14ac:dyDescent="0.25">
      <c r="B20">
        <v>3</v>
      </c>
      <c r="C20">
        <v>0</v>
      </c>
      <c r="D20">
        <v>0</v>
      </c>
      <c r="E20">
        <v>0</v>
      </c>
      <c r="F20">
        <v>0</v>
      </c>
      <c r="H20">
        <f t="shared" si="5"/>
        <v>0.25</v>
      </c>
      <c r="I20">
        <f t="shared" si="4"/>
        <v>0.25</v>
      </c>
      <c r="J20">
        <f t="shared" si="4"/>
        <v>0.25</v>
      </c>
      <c r="K20">
        <f t="shared" si="4"/>
        <v>0.25</v>
      </c>
      <c r="M20">
        <f t="shared" si="6"/>
        <v>1.3862943611198906</v>
      </c>
      <c r="N20" s="112">
        <f t="shared" si="7"/>
        <v>0</v>
      </c>
      <c r="O20" s="113"/>
    </row>
    <row r="21" spans="2:15" x14ac:dyDescent="0.25">
      <c r="B21">
        <v>4</v>
      </c>
      <c r="C21">
        <v>0</v>
      </c>
      <c r="D21">
        <v>0</v>
      </c>
      <c r="E21">
        <v>0</v>
      </c>
      <c r="F21">
        <v>0</v>
      </c>
      <c r="H21">
        <f t="shared" si="5"/>
        <v>0.25</v>
      </c>
      <c r="I21">
        <f t="shared" si="4"/>
        <v>0.25</v>
      </c>
      <c r="J21">
        <f t="shared" si="4"/>
        <v>0.25</v>
      </c>
      <c r="K21">
        <f t="shared" si="4"/>
        <v>0.25</v>
      </c>
      <c r="M21">
        <f t="shared" si="6"/>
        <v>1.3862943611198906</v>
      </c>
      <c r="N21" s="112">
        <f>IFERROR(M21-M20,M21)</f>
        <v>0</v>
      </c>
      <c r="O21" s="113"/>
    </row>
    <row r="22" spans="2:15" ht="15.75" thickBot="1" x14ac:dyDescent="0.3">
      <c r="B22">
        <v>5</v>
      </c>
      <c r="C22">
        <v>21</v>
      </c>
      <c r="D22">
        <v>25</v>
      </c>
      <c r="E22">
        <v>27</v>
      </c>
      <c r="F22">
        <v>17</v>
      </c>
      <c r="H22">
        <f t="shared" si="5"/>
        <v>0.14295952607174461</v>
      </c>
      <c r="I22">
        <f t="shared" si="4"/>
        <v>0.31816227639055356</v>
      </c>
      <c r="J22">
        <f t="shared" si="4"/>
        <v>0.47464234177719605</v>
      </c>
      <c r="K22">
        <f t="shared" si="4"/>
        <v>6.4235855760505917E-2</v>
      </c>
      <c r="M22">
        <f t="shared" si="6"/>
        <v>6.1451937232473677</v>
      </c>
      <c r="N22" s="114">
        <f>IFERROR(M22-M21,M22)</f>
        <v>4.7588993621274769</v>
      </c>
      <c r="O22" s="115">
        <f>SUM(N19:N22)</f>
        <v>4.7588993621274769</v>
      </c>
    </row>
    <row r="23" spans="2:15" x14ac:dyDescent="0.25">
      <c r="B23">
        <v>6</v>
      </c>
      <c r="C23">
        <v>0</v>
      </c>
      <c r="D23">
        <v>0</v>
      </c>
      <c r="E23">
        <v>0</v>
      </c>
      <c r="F23">
        <v>0</v>
      </c>
      <c r="H23">
        <f t="shared" si="5"/>
        <v>0.25</v>
      </c>
      <c r="I23">
        <f t="shared" si="4"/>
        <v>0.25</v>
      </c>
      <c r="J23">
        <f t="shared" si="4"/>
        <v>0.25</v>
      </c>
      <c r="K23">
        <f t="shared" si="4"/>
        <v>0.25</v>
      </c>
      <c r="M23">
        <f t="shared" si="6"/>
        <v>1.3862943611198906</v>
      </c>
      <c r="N23" s="116">
        <f t="shared" si="7"/>
        <v>-4.7588993621274769</v>
      </c>
      <c r="O23" s="11"/>
    </row>
    <row r="24" spans="2:15" x14ac:dyDescent="0.25">
      <c r="B24">
        <v>7</v>
      </c>
      <c r="C24">
        <v>0</v>
      </c>
      <c r="D24">
        <v>0</v>
      </c>
      <c r="E24">
        <v>0</v>
      </c>
      <c r="F24">
        <v>0</v>
      </c>
      <c r="H24">
        <f t="shared" si="5"/>
        <v>0.25</v>
      </c>
      <c r="I24">
        <f t="shared" si="4"/>
        <v>0.25</v>
      </c>
      <c r="J24">
        <f t="shared" si="4"/>
        <v>0.25</v>
      </c>
      <c r="K24">
        <f t="shared" si="4"/>
        <v>0.25</v>
      </c>
      <c r="M24">
        <f t="shared" si="6"/>
        <v>1.3862943611198906</v>
      </c>
      <c r="N24" s="117">
        <f>IFERROR(M24-M23,M24)</f>
        <v>0</v>
      </c>
      <c r="O24" s="113"/>
    </row>
    <row r="25" spans="2:15" x14ac:dyDescent="0.25">
      <c r="B25">
        <v>8</v>
      </c>
      <c r="C25">
        <v>0</v>
      </c>
      <c r="D25">
        <v>0</v>
      </c>
      <c r="E25">
        <v>0</v>
      </c>
      <c r="F25">
        <v>0</v>
      </c>
      <c r="H25">
        <f t="shared" si="5"/>
        <v>0.25</v>
      </c>
      <c r="I25">
        <f t="shared" si="4"/>
        <v>0.25</v>
      </c>
      <c r="J25">
        <f t="shared" si="4"/>
        <v>0.25</v>
      </c>
      <c r="K25">
        <f t="shared" si="4"/>
        <v>0.25</v>
      </c>
      <c r="M25">
        <f t="shared" si="6"/>
        <v>1.3862943611198906</v>
      </c>
      <c r="N25" s="117">
        <f t="shared" si="7"/>
        <v>0</v>
      </c>
      <c r="O25" s="113"/>
    </row>
    <row r="26" spans="2:15" ht="15.75" thickBot="1" x14ac:dyDescent="0.3">
      <c r="B26">
        <v>9</v>
      </c>
      <c r="C26">
        <v>30</v>
      </c>
      <c r="D26">
        <v>40</v>
      </c>
      <c r="E26">
        <v>113</v>
      </c>
      <c r="F26">
        <v>47</v>
      </c>
      <c r="H26">
        <f t="shared" si="5"/>
        <v>6.1760467062892996E-8</v>
      </c>
      <c r="I26">
        <f t="shared" si="4"/>
        <v>4.5635155582387502E-7</v>
      </c>
      <c r="J26">
        <f t="shared" si="4"/>
        <v>0.99999763129116293</v>
      </c>
      <c r="K26">
        <f t="shared" si="4"/>
        <v>1.8505968140464941E-6</v>
      </c>
      <c r="M26">
        <f t="shared" si="6"/>
        <v>22.600002368711642</v>
      </c>
      <c r="N26" s="118">
        <f t="shared" si="7"/>
        <v>21.213708007591752</v>
      </c>
      <c r="O26" s="115">
        <f>SUM(N23:N26)</f>
        <v>16.454808645464276</v>
      </c>
    </row>
    <row r="29" spans="2:15" ht="15.75" thickBot="1" x14ac:dyDescent="0.3"/>
    <row r="30" spans="2:15" ht="15.75" thickBot="1" x14ac:dyDescent="0.3">
      <c r="F30" s="107" t="s">
        <v>5</v>
      </c>
      <c r="G30" s="108">
        <v>5</v>
      </c>
    </row>
    <row r="32" spans="2:15" x14ac:dyDescent="0.25">
      <c r="B32" t="s">
        <v>45</v>
      </c>
      <c r="C32" t="s">
        <v>46</v>
      </c>
      <c r="D32" t="s">
        <v>47</v>
      </c>
      <c r="E32" t="s">
        <v>48</v>
      </c>
      <c r="F32" t="s">
        <v>49</v>
      </c>
      <c r="H32" t="s">
        <v>50</v>
      </c>
      <c r="I32" t="s">
        <v>51</v>
      </c>
      <c r="J32" t="s">
        <v>52</v>
      </c>
      <c r="K32" t="s">
        <v>53</v>
      </c>
      <c r="M32" t="s">
        <v>36</v>
      </c>
      <c r="N32" t="s">
        <v>1</v>
      </c>
    </row>
    <row r="33" spans="2:18" x14ac:dyDescent="0.25">
      <c r="B33">
        <v>1</v>
      </c>
      <c r="C33">
        <v>0</v>
      </c>
      <c r="D33">
        <v>0</v>
      </c>
      <c r="E33">
        <v>0</v>
      </c>
      <c r="F33">
        <v>0</v>
      </c>
      <c r="H33">
        <f>EXP(C33/$G$3)/SUM(EXP($C33/$G$3),EXP($D33/$G$3),EXP($E33/$G$3),EXP($F33/$G$3))</f>
        <v>0.25</v>
      </c>
      <c r="I33">
        <f t="shared" ref="I33:K48" si="8">EXP(D33/$G$3)/SUM(EXP($C33/$G$3),EXP($D33/$G$3),EXP($E33/$G$3),EXP($F33/$G$3))</f>
        <v>0.25</v>
      </c>
      <c r="J33">
        <f t="shared" si="8"/>
        <v>0.25</v>
      </c>
      <c r="K33">
        <f t="shared" si="8"/>
        <v>0.25</v>
      </c>
      <c r="M33">
        <f>LN(SUM(EXP(C33/$G$3),EXP(D33/$G$3),EXP(E33/$G$3),EXP(F33/$G$3)))</f>
        <v>1.3862943611198906</v>
      </c>
      <c r="N33">
        <f>$G$30*IFERROR(M33-M32,M33)</f>
        <v>6.9314718055994531</v>
      </c>
      <c r="Q33">
        <f>SUM($N$33:N33)</f>
        <v>6.9314718055994531</v>
      </c>
    </row>
    <row r="34" spans="2:18" x14ac:dyDescent="0.25">
      <c r="B34">
        <v>2</v>
      </c>
      <c r="C34">
        <v>1</v>
      </c>
      <c r="D34">
        <v>0</v>
      </c>
      <c r="E34">
        <v>0</v>
      </c>
      <c r="F34">
        <v>0</v>
      </c>
      <c r="H34">
        <f t="shared" ref="H34:K49" si="9">EXP(C34/$G$3)/SUM(EXP($C34/$G$3),EXP($D34/$G$3),EXP($E34/$G$3),EXP($F34/$G$3))</f>
        <v>0.28933575594016492</v>
      </c>
      <c r="I34">
        <f t="shared" si="8"/>
        <v>0.23688808135327838</v>
      </c>
      <c r="J34">
        <f t="shared" si="8"/>
        <v>0.23688808135327838</v>
      </c>
      <c r="K34">
        <f t="shared" si="8"/>
        <v>0.23688808135327838</v>
      </c>
      <c r="M34">
        <f t="shared" ref="M34:M73" si="10">LN(SUM(EXP(C34/$G$3),EXP(D34/$G$3),EXP(E34/$G$3),EXP(F34/$G$3)))</f>
        <v>1.4401674799598645</v>
      </c>
      <c r="N34" s="109">
        <f t="shared" ref="N34:N73" si="11">$G$30*IFERROR(M34-M33,M34)</f>
        <v>0.26936559419986961</v>
      </c>
      <c r="Q34">
        <f>SUM($N$33:N34)</f>
        <v>7.2008373997993225</v>
      </c>
    </row>
    <row r="35" spans="2:18" x14ac:dyDescent="0.25">
      <c r="B35">
        <v>3</v>
      </c>
      <c r="C35">
        <v>2</v>
      </c>
      <c r="D35">
        <v>3</v>
      </c>
      <c r="E35">
        <v>0</v>
      </c>
      <c r="F35">
        <v>0</v>
      </c>
      <c r="H35">
        <f t="shared" si="9"/>
        <v>0.28073777942761796</v>
      </c>
      <c r="I35">
        <f t="shared" si="8"/>
        <v>0.34289389811265397</v>
      </c>
      <c r="J35">
        <f t="shared" si="8"/>
        <v>0.18818416122986403</v>
      </c>
      <c r="K35">
        <f t="shared" si="8"/>
        <v>0.18818416122986403</v>
      </c>
      <c r="M35">
        <f t="shared" si="10"/>
        <v>1.6703342146186519</v>
      </c>
      <c r="N35" s="109">
        <f t="shared" si="11"/>
        <v>1.1508336732939373</v>
      </c>
      <c r="Q35">
        <f>SUM($N$33:N35)</f>
        <v>8.3516710730932591</v>
      </c>
    </row>
    <row r="36" spans="2:18" x14ac:dyDescent="0.25">
      <c r="B36">
        <v>4</v>
      </c>
      <c r="C36">
        <v>8</v>
      </c>
      <c r="D36">
        <v>9</v>
      </c>
      <c r="E36">
        <v>11</v>
      </c>
      <c r="F36">
        <v>0</v>
      </c>
      <c r="H36">
        <f t="shared" si="9"/>
        <v>0.23554806192697511</v>
      </c>
      <c r="I36">
        <f t="shared" si="8"/>
        <v>0.28769905251688987</v>
      </c>
      <c r="J36">
        <f t="shared" si="8"/>
        <v>0.42919655203268925</v>
      </c>
      <c r="K36">
        <f t="shared" si="8"/>
        <v>4.755633352344573E-2</v>
      </c>
      <c r="M36">
        <f t="shared" si="10"/>
        <v>3.0458403017324911</v>
      </c>
      <c r="N36" s="109">
        <f t="shared" si="11"/>
        <v>6.877530435569196</v>
      </c>
      <c r="Q36">
        <f>SUM($N$33:N36)</f>
        <v>15.229201508662456</v>
      </c>
    </row>
    <row r="37" spans="2:18" x14ac:dyDescent="0.25">
      <c r="B37">
        <v>5</v>
      </c>
      <c r="C37">
        <v>21</v>
      </c>
      <c r="D37">
        <v>25</v>
      </c>
      <c r="E37">
        <v>27</v>
      </c>
      <c r="F37">
        <v>17</v>
      </c>
      <c r="H37">
        <f t="shared" si="9"/>
        <v>0.14295952607174461</v>
      </c>
      <c r="I37">
        <f t="shared" si="8"/>
        <v>0.31816227639055356</v>
      </c>
      <c r="J37">
        <f t="shared" si="8"/>
        <v>0.47464234177719605</v>
      </c>
      <c r="K37">
        <f t="shared" si="8"/>
        <v>6.4235855760505917E-2</v>
      </c>
      <c r="M37">
        <f t="shared" si="10"/>
        <v>6.1451937232473677</v>
      </c>
      <c r="N37" s="109">
        <f t="shared" si="11"/>
        <v>15.496767107574383</v>
      </c>
      <c r="O37">
        <f>SUM(N34:N37)</f>
        <v>23.794496810637384</v>
      </c>
      <c r="Q37">
        <f>SUM($N$33:N37)</f>
        <v>30.725968616236841</v>
      </c>
    </row>
    <row r="38" spans="2:18" x14ac:dyDescent="0.25">
      <c r="B38">
        <v>6</v>
      </c>
      <c r="C38">
        <v>31</v>
      </c>
      <c r="D38">
        <v>36</v>
      </c>
      <c r="E38">
        <v>42</v>
      </c>
      <c r="F38">
        <v>57</v>
      </c>
      <c r="H38">
        <f t="shared" si="9"/>
        <v>5.1542263800937928E-3</v>
      </c>
      <c r="I38">
        <f t="shared" si="8"/>
        <v>1.4010639908773201E-2</v>
      </c>
      <c r="J38">
        <f t="shared" si="8"/>
        <v>4.6516962659485954E-2</v>
      </c>
      <c r="K38">
        <f t="shared" si="8"/>
        <v>0.93431817105164705</v>
      </c>
      <c r="M38">
        <f t="shared" si="10"/>
        <v>11.467938244531888</v>
      </c>
      <c r="N38" s="110">
        <f t="shared" si="11"/>
        <v>26.613722606422602</v>
      </c>
      <c r="Q38">
        <f>SUM($N$33:N38)</f>
        <v>57.33969122265944</v>
      </c>
    </row>
    <row r="39" spans="2:18" x14ac:dyDescent="0.25">
      <c r="B39">
        <v>7</v>
      </c>
      <c r="C39">
        <v>42</v>
      </c>
      <c r="D39">
        <v>53</v>
      </c>
      <c r="E39">
        <v>55</v>
      </c>
      <c r="F39">
        <v>40</v>
      </c>
      <c r="H39">
        <f t="shared" si="9"/>
        <v>4.1392319099229483E-2</v>
      </c>
      <c r="I39">
        <f t="shared" si="8"/>
        <v>0.37356623864343058</v>
      </c>
      <c r="J39">
        <f t="shared" si="8"/>
        <v>0.55729534101322264</v>
      </c>
      <c r="K39">
        <f t="shared" si="8"/>
        <v>2.7746101244117367E-2</v>
      </c>
      <c r="M39">
        <f t="shared" si="10"/>
        <v>11.584659944367623</v>
      </c>
      <c r="N39" s="110">
        <f t="shared" si="11"/>
        <v>0.58360849917867164</v>
      </c>
      <c r="Q39">
        <f>SUM($N$33:N39)</f>
        <v>57.923299721838113</v>
      </c>
    </row>
    <row r="40" spans="2:18" x14ac:dyDescent="0.25">
      <c r="B40">
        <v>8</v>
      </c>
      <c r="C40">
        <v>50</v>
      </c>
      <c r="D40">
        <v>80</v>
      </c>
      <c r="E40">
        <v>70</v>
      </c>
      <c r="F40">
        <v>42</v>
      </c>
      <c r="H40">
        <f t="shared" si="9"/>
        <v>2.1775635866085013E-3</v>
      </c>
      <c r="I40">
        <f t="shared" si="8"/>
        <v>0.87849185049918066</v>
      </c>
      <c r="J40">
        <f t="shared" si="8"/>
        <v>0.11889094340836263</v>
      </c>
      <c r="K40">
        <f t="shared" si="8"/>
        <v>4.3964250584820985E-4</v>
      </c>
      <c r="M40">
        <f t="shared" si="10"/>
        <v>16.1295486480068</v>
      </c>
      <c r="N40" s="110">
        <f t="shared" si="11"/>
        <v>22.724443518195887</v>
      </c>
      <c r="Q40">
        <f>SUM($N$33:N40)</f>
        <v>80.647743240034004</v>
      </c>
    </row>
    <row r="41" spans="2:18" x14ac:dyDescent="0.25">
      <c r="B41">
        <v>9</v>
      </c>
      <c r="C41">
        <v>30</v>
      </c>
      <c r="D41">
        <v>40</v>
      </c>
      <c r="E41">
        <v>113</v>
      </c>
      <c r="F41">
        <v>47</v>
      </c>
      <c r="H41">
        <f t="shared" si="9"/>
        <v>6.1760467062892996E-8</v>
      </c>
      <c r="I41">
        <f t="shared" si="8"/>
        <v>4.5635155582387502E-7</v>
      </c>
      <c r="J41">
        <f t="shared" si="8"/>
        <v>0.99999763129116293</v>
      </c>
      <c r="K41">
        <f t="shared" si="8"/>
        <v>1.8505968140464941E-6</v>
      </c>
      <c r="M41">
        <f t="shared" si="10"/>
        <v>22.600002368711642</v>
      </c>
      <c r="N41" s="110">
        <f t="shared" si="11"/>
        <v>32.352268603524209</v>
      </c>
      <c r="O41">
        <f>SUM(N38:N41)</f>
        <v>82.274043227321371</v>
      </c>
      <c r="Q41">
        <f>SUM($N$33:N41)</f>
        <v>113.00001184355821</v>
      </c>
    </row>
    <row r="42" spans="2:18" ht="15.75" thickBot="1" x14ac:dyDescent="0.3">
      <c r="B42" s="7">
        <v>10</v>
      </c>
      <c r="C42" s="7">
        <v>30</v>
      </c>
      <c r="D42" s="7">
        <v>11</v>
      </c>
      <c r="E42" s="7">
        <v>3</v>
      </c>
      <c r="F42" s="7">
        <v>4</v>
      </c>
      <c r="G42" s="7"/>
      <c r="H42" s="7">
        <f t="shared" si="9"/>
        <v>0.96861313999388043</v>
      </c>
      <c r="I42" s="7">
        <f t="shared" si="8"/>
        <v>2.1668623571687289E-2</v>
      </c>
      <c r="J42" s="7">
        <f t="shared" si="8"/>
        <v>4.3748196488605767E-3</v>
      </c>
      <c r="K42" s="7">
        <f t="shared" si="8"/>
        <v>5.3434167855716148E-3</v>
      </c>
      <c r="L42" s="7"/>
      <c r="M42" s="7">
        <f t="shared" si="10"/>
        <v>6.0318899831398376</v>
      </c>
      <c r="N42" s="8">
        <f t="shared" si="11"/>
        <v>-82.840561927859028</v>
      </c>
      <c r="O42" s="7"/>
      <c r="Q42">
        <f>SUM($N$33:N42)</f>
        <v>30.159449915699184</v>
      </c>
    </row>
    <row r="43" spans="2:18" ht="15.75" thickBot="1" x14ac:dyDescent="0.3">
      <c r="B43" s="119">
        <v>11</v>
      </c>
      <c r="C43" s="120">
        <v>30</v>
      </c>
      <c r="D43" s="120">
        <v>0</v>
      </c>
      <c r="E43" s="120">
        <v>0</v>
      </c>
      <c r="F43" s="120">
        <v>0</v>
      </c>
      <c r="G43" s="121"/>
      <c r="H43" s="121">
        <f t="shared" si="9"/>
        <v>0.9926186332070156</v>
      </c>
      <c r="I43" s="121">
        <f t="shared" si="8"/>
        <v>2.4604555976614757E-3</v>
      </c>
      <c r="J43" s="121">
        <f t="shared" si="8"/>
        <v>2.4604555976614757E-3</v>
      </c>
      <c r="K43" s="121">
        <f t="shared" si="8"/>
        <v>2.4604555976614757E-3</v>
      </c>
      <c r="L43" s="121"/>
      <c r="M43" s="121">
        <f t="shared" si="10"/>
        <v>6.007408743884282</v>
      </c>
      <c r="N43" s="122">
        <f t="shared" si="11"/>
        <v>-0.12240619627777782</v>
      </c>
      <c r="O43" s="108"/>
      <c r="Q43" s="119">
        <f>SUM($N$33:N43)</f>
        <v>30.037043719421405</v>
      </c>
      <c r="R43" s="119">
        <f>Q43</f>
        <v>30.037043719421405</v>
      </c>
    </row>
    <row r="44" spans="2:18" x14ac:dyDescent="0.25">
      <c r="B44">
        <v>12</v>
      </c>
      <c r="C44">
        <f>C43-1</f>
        <v>29</v>
      </c>
      <c r="D44">
        <v>0</v>
      </c>
      <c r="E44">
        <v>0</v>
      </c>
      <c r="F44">
        <v>0</v>
      </c>
      <c r="H44">
        <f t="shared" si="9"/>
        <v>0.99099908802515901</v>
      </c>
      <c r="I44">
        <f t="shared" si="8"/>
        <v>3.000303991613675E-3</v>
      </c>
      <c r="J44">
        <f t="shared" si="8"/>
        <v>3.000303991613675E-3</v>
      </c>
      <c r="K44">
        <f t="shared" si="8"/>
        <v>3.000303991613675E-3</v>
      </c>
      <c r="M44">
        <f t="shared" si="10"/>
        <v>5.8090416649097278</v>
      </c>
      <c r="N44" s="123">
        <f t="shared" si="11"/>
        <v>-0.99183539487277095</v>
      </c>
      <c r="Q44">
        <f>SUM($N$33:N44)</f>
        <v>29.045208324548632</v>
      </c>
      <c r="R44">
        <f>R43-(C43-C44)</f>
        <v>29.037043719421405</v>
      </c>
    </row>
    <row r="45" spans="2:18" x14ac:dyDescent="0.25">
      <c r="B45">
        <v>13</v>
      </c>
      <c r="C45">
        <f t="shared" ref="C45:C73" si="12">C44-1</f>
        <v>28</v>
      </c>
      <c r="D45">
        <v>0</v>
      </c>
      <c r="E45">
        <v>0</v>
      </c>
      <c r="F45">
        <v>0</v>
      </c>
      <c r="H45">
        <f t="shared" si="9"/>
        <v>0.98902812633117654</v>
      </c>
      <c r="I45">
        <f t="shared" si="8"/>
        <v>3.6572912229411551E-3</v>
      </c>
      <c r="J45">
        <f t="shared" si="8"/>
        <v>3.6572912229411551E-3</v>
      </c>
      <c r="K45">
        <f t="shared" si="8"/>
        <v>3.6572912229411551E-3</v>
      </c>
      <c r="M45">
        <f t="shared" si="10"/>
        <v>5.611032508601852</v>
      </c>
      <c r="N45" s="123">
        <f t="shared" si="11"/>
        <v>-0.99004578153937928</v>
      </c>
      <c r="Q45">
        <f>SUM($N$33:N45)</f>
        <v>28.055162543009253</v>
      </c>
      <c r="R45">
        <f t="shared" ref="R45:R73" si="13">R44-(C44-C45)</f>
        <v>28.037043719421405</v>
      </c>
    </row>
    <row r="46" spans="2:18" x14ac:dyDescent="0.25">
      <c r="B46">
        <v>14</v>
      </c>
      <c r="C46">
        <f t="shared" si="12"/>
        <v>27</v>
      </c>
      <c r="D46">
        <v>0</v>
      </c>
      <c r="E46">
        <v>0</v>
      </c>
      <c r="F46">
        <v>0</v>
      </c>
      <c r="H46">
        <f t="shared" si="9"/>
        <v>0.98663139828733637</v>
      </c>
      <c r="I46">
        <f t="shared" si="8"/>
        <v>4.4562005708878704E-3</v>
      </c>
      <c r="J46">
        <f t="shared" si="8"/>
        <v>4.4562005708878704E-3</v>
      </c>
      <c r="K46">
        <f t="shared" si="8"/>
        <v>4.4562005708878704E-3</v>
      </c>
      <c r="M46">
        <f t="shared" si="10"/>
        <v>5.4134587659500593</v>
      </c>
      <c r="N46" s="123">
        <f t="shared" si="11"/>
        <v>-0.98786871325896364</v>
      </c>
      <c r="Q46">
        <f>SUM($N$33:N46)</f>
        <v>27.067293829750291</v>
      </c>
      <c r="R46">
        <f t="shared" si="13"/>
        <v>27.037043719421405</v>
      </c>
    </row>
    <row r="47" spans="2:18" x14ac:dyDescent="0.25">
      <c r="B47">
        <v>15</v>
      </c>
      <c r="C47">
        <f t="shared" si="12"/>
        <v>26</v>
      </c>
      <c r="D47">
        <v>0</v>
      </c>
      <c r="E47">
        <v>0</v>
      </c>
      <c r="F47">
        <v>0</v>
      </c>
      <c r="H47">
        <f t="shared" si="9"/>
        <v>0.98371974004618357</v>
      </c>
      <c r="I47">
        <f t="shared" si="8"/>
        <v>5.426753317938811E-3</v>
      </c>
      <c r="J47">
        <f t="shared" si="8"/>
        <v>5.426753317938811E-3</v>
      </c>
      <c r="K47">
        <f t="shared" si="8"/>
        <v>5.426753317938811E-3</v>
      </c>
      <c r="M47">
        <f t="shared" si="10"/>
        <v>5.2164142395241928</v>
      </c>
      <c r="N47" s="123">
        <f t="shared" si="11"/>
        <v>-0.98522263212933225</v>
      </c>
      <c r="Q47">
        <f>SUM($N$33:N47)</f>
        <v>26.082071197620959</v>
      </c>
      <c r="R47">
        <f t="shared" si="13"/>
        <v>26.037043719421405</v>
      </c>
    </row>
    <row r="48" spans="2:18" x14ac:dyDescent="0.25">
      <c r="B48">
        <v>16</v>
      </c>
      <c r="C48">
        <f t="shared" si="12"/>
        <v>25</v>
      </c>
      <c r="D48">
        <v>0</v>
      </c>
      <c r="E48">
        <v>0</v>
      </c>
      <c r="F48">
        <v>0</v>
      </c>
      <c r="H48">
        <f t="shared" si="9"/>
        <v>0.98018666265349097</v>
      </c>
      <c r="I48">
        <f t="shared" si="8"/>
        <v>6.6044457821696888E-3</v>
      </c>
      <c r="J48">
        <f t="shared" si="8"/>
        <v>6.6044457821696888E-3</v>
      </c>
      <c r="K48">
        <f t="shared" si="8"/>
        <v>6.6044457821696888E-3</v>
      </c>
      <c r="M48">
        <f t="shared" si="10"/>
        <v>5.020012253359627</v>
      </c>
      <c r="N48" s="123">
        <f t="shared" si="11"/>
        <v>-0.98200993082282917</v>
      </c>
      <c r="Q48">
        <f>SUM($N$33:N48)</f>
        <v>25.100061266798129</v>
      </c>
      <c r="R48">
        <f t="shared" si="13"/>
        <v>25.037043719421405</v>
      </c>
    </row>
    <row r="49" spans="2:18" x14ac:dyDescent="0.25">
      <c r="B49">
        <v>17</v>
      </c>
      <c r="C49">
        <f t="shared" si="12"/>
        <v>24</v>
      </c>
      <c r="D49">
        <v>0</v>
      </c>
      <c r="E49">
        <v>0</v>
      </c>
      <c r="F49">
        <v>0</v>
      </c>
      <c r="H49">
        <f t="shared" si="9"/>
        <v>0.97590563055056345</v>
      </c>
      <c r="I49">
        <f t="shared" si="9"/>
        <v>8.0314564831455316E-3</v>
      </c>
      <c r="J49">
        <f t="shared" si="9"/>
        <v>8.0314564831455316E-3</v>
      </c>
      <c r="K49">
        <f t="shared" si="9"/>
        <v>8.0314564831455316E-3</v>
      </c>
      <c r="M49">
        <f t="shared" si="10"/>
        <v>4.8243893872534933</v>
      </c>
      <c r="N49" s="123">
        <f t="shared" si="11"/>
        <v>-0.97811433053066832</v>
      </c>
      <c r="Q49">
        <f>SUM($N$33:N49)</f>
        <v>24.121946936267459</v>
      </c>
      <c r="R49">
        <f t="shared" si="13"/>
        <v>24.037043719421405</v>
      </c>
    </row>
    <row r="50" spans="2:18" x14ac:dyDescent="0.25">
      <c r="B50">
        <v>18</v>
      </c>
      <c r="C50">
        <f t="shared" si="12"/>
        <v>23</v>
      </c>
      <c r="D50">
        <v>0</v>
      </c>
      <c r="E50">
        <v>0</v>
      </c>
      <c r="F50">
        <v>0</v>
      </c>
      <c r="H50">
        <f t="shared" ref="H50:K65" si="14">EXP(C50/$G$3)/SUM(EXP($C50/$G$3),EXP($D50/$G$3),EXP($E50/$G$3),EXP($F50/$G$3))</f>
        <v>0.9707272280523237</v>
      </c>
      <c r="I50">
        <f t="shared" si="14"/>
        <v>9.7575906492254252E-3</v>
      </c>
      <c r="J50">
        <f t="shared" si="14"/>
        <v>9.7575906492254252E-3</v>
      </c>
      <c r="K50">
        <f t="shared" si="14"/>
        <v>9.7575906492254252E-3</v>
      </c>
      <c r="M50">
        <f t="shared" si="10"/>
        <v>4.6297097687425195</v>
      </c>
      <c r="N50" s="123">
        <f t="shared" si="11"/>
        <v>-0.97339809255486909</v>
      </c>
      <c r="Q50">
        <f>SUM($N$33:N50)</f>
        <v>23.148548843712589</v>
      </c>
      <c r="R50">
        <f t="shared" si="13"/>
        <v>23.037043719421405</v>
      </c>
    </row>
    <row r="51" spans="2:18" x14ac:dyDescent="0.25">
      <c r="B51">
        <v>19</v>
      </c>
      <c r="C51">
        <f t="shared" si="12"/>
        <v>22</v>
      </c>
      <c r="D51">
        <v>0</v>
      </c>
      <c r="E51">
        <v>0</v>
      </c>
      <c r="F51">
        <v>0</v>
      </c>
      <c r="H51">
        <f t="shared" si="14"/>
        <v>0.96447638671543401</v>
      </c>
      <c r="I51">
        <f t="shared" si="14"/>
        <v>1.1841204428188664E-2</v>
      </c>
      <c r="J51">
        <f t="shared" si="14"/>
        <v>1.1841204428188664E-2</v>
      </c>
      <c r="K51">
        <f t="shared" si="14"/>
        <v>1.1841204428188664E-2</v>
      </c>
      <c r="M51">
        <f t="shared" si="10"/>
        <v>4.4361699293461783</v>
      </c>
      <c r="N51" s="123">
        <f t="shared" si="11"/>
        <v>-0.96769919698170614</v>
      </c>
      <c r="Q51">
        <f>SUM($N$33:N51)</f>
        <v>22.180849646730884</v>
      </c>
      <c r="R51">
        <f t="shared" si="13"/>
        <v>22.037043719421405</v>
      </c>
    </row>
    <row r="52" spans="2:18" x14ac:dyDescent="0.25">
      <c r="B52">
        <v>20</v>
      </c>
      <c r="C52">
        <f t="shared" si="12"/>
        <v>21</v>
      </c>
      <c r="D52">
        <v>0</v>
      </c>
      <c r="E52">
        <v>0</v>
      </c>
      <c r="F52">
        <v>0</v>
      </c>
      <c r="H52">
        <f t="shared" si="14"/>
        <v>0.95694995051126786</v>
      </c>
      <c r="I52">
        <f t="shared" si="14"/>
        <v>1.4350016496244053E-2</v>
      </c>
      <c r="J52">
        <f t="shared" si="14"/>
        <v>1.4350016496244053E-2</v>
      </c>
      <c r="K52">
        <f t="shared" si="14"/>
        <v>1.4350016496244053E-2</v>
      </c>
      <c r="M52">
        <f t="shared" si="10"/>
        <v>4.2440041872131218</v>
      </c>
      <c r="N52" s="123">
        <f t="shared" si="11"/>
        <v>-0.96082871066528241</v>
      </c>
      <c r="Q52">
        <f>SUM($N$33:N52)</f>
        <v>21.220020936065602</v>
      </c>
      <c r="R52">
        <f t="shared" si="13"/>
        <v>21.037043719421405</v>
      </c>
    </row>
    <row r="53" spans="2:18" x14ac:dyDescent="0.25">
      <c r="B53">
        <v>21</v>
      </c>
      <c r="C53">
        <f t="shared" si="12"/>
        <v>20</v>
      </c>
      <c r="D53">
        <v>0</v>
      </c>
      <c r="E53">
        <v>0</v>
      </c>
      <c r="F53">
        <v>0</v>
      </c>
      <c r="H53">
        <f t="shared" si="14"/>
        <v>0.94791499382751565</v>
      </c>
      <c r="I53">
        <f t="shared" si="14"/>
        <v>1.7361668724161467E-2</v>
      </c>
      <c r="J53">
        <f t="shared" si="14"/>
        <v>1.7361668724161467E-2</v>
      </c>
      <c r="K53">
        <f t="shared" si="14"/>
        <v>1.7361668724161467E-2</v>
      </c>
      <c r="M53">
        <f t="shared" si="10"/>
        <v>4.0534904497059339</v>
      </c>
      <c r="N53" s="123">
        <f t="shared" si="11"/>
        <v>-0.9525686875359396</v>
      </c>
      <c r="Q53">
        <f>SUM($N$33:N53)</f>
        <v>20.267452248529661</v>
      </c>
      <c r="R53">
        <f t="shared" si="13"/>
        <v>20.037043719421405</v>
      </c>
    </row>
    <row r="54" spans="2:18" x14ac:dyDescent="0.25">
      <c r="B54">
        <v>22</v>
      </c>
      <c r="C54">
        <f t="shared" si="12"/>
        <v>19</v>
      </c>
      <c r="D54">
        <v>0</v>
      </c>
      <c r="E54">
        <v>0</v>
      </c>
      <c r="F54">
        <v>0</v>
      </c>
      <c r="H54">
        <f t="shared" si="14"/>
        <v>0.93710847997031765</v>
      </c>
      <c r="I54">
        <f t="shared" si="14"/>
        <v>2.0963840009894107E-2</v>
      </c>
      <c r="J54">
        <f t="shared" si="14"/>
        <v>2.0963840009894107E-2</v>
      </c>
      <c r="K54">
        <f t="shared" si="14"/>
        <v>2.0963840009894107E-2</v>
      </c>
      <c r="M54">
        <f t="shared" si="10"/>
        <v>3.8649562297306539</v>
      </c>
      <c r="N54" s="123">
        <f t="shared" si="11"/>
        <v>-0.94267109987639985</v>
      </c>
      <c r="Q54">
        <f>SUM($N$33:N54)</f>
        <v>19.324781148653262</v>
      </c>
      <c r="R54">
        <f t="shared" si="13"/>
        <v>19.037043719421405</v>
      </c>
    </row>
    <row r="55" spans="2:18" x14ac:dyDescent="0.25">
      <c r="B55">
        <v>23</v>
      </c>
      <c r="C55">
        <f t="shared" si="12"/>
        <v>18</v>
      </c>
      <c r="D55">
        <v>0</v>
      </c>
      <c r="E55">
        <v>0</v>
      </c>
      <c r="F55">
        <v>0</v>
      </c>
      <c r="H55">
        <f t="shared" si="14"/>
        <v>0.92423904645882615</v>
      </c>
      <c r="I55">
        <f t="shared" si="14"/>
        <v>2.5253651180391298E-2</v>
      </c>
      <c r="J55">
        <f t="shared" si="14"/>
        <v>2.5253651180391298E-2</v>
      </c>
      <c r="K55">
        <f t="shared" si="14"/>
        <v>2.5253651180391298E-2</v>
      </c>
      <c r="M55">
        <f t="shared" si="10"/>
        <v>3.6787845325108988</v>
      </c>
      <c r="N55" s="123">
        <f t="shared" si="11"/>
        <v>-0.93085848609877564</v>
      </c>
      <c r="Q55">
        <f>SUM($N$33:N55)</f>
        <v>18.393922662554488</v>
      </c>
      <c r="R55">
        <f t="shared" si="13"/>
        <v>18.037043719421405</v>
      </c>
    </row>
    <row r="56" spans="2:18" x14ac:dyDescent="0.25">
      <c r="B56">
        <v>24</v>
      </c>
      <c r="C56">
        <f t="shared" si="12"/>
        <v>17</v>
      </c>
      <c r="D56">
        <v>0</v>
      </c>
      <c r="E56">
        <v>0</v>
      </c>
      <c r="F56">
        <v>0</v>
      </c>
      <c r="H56">
        <f t="shared" si="14"/>
        <v>0.90899190344385294</v>
      </c>
      <c r="I56">
        <f t="shared" si="14"/>
        <v>3.0336032185382365E-2</v>
      </c>
      <c r="J56">
        <f t="shared" si="14"/>
        <v>3.0336032185382365E-2</v>
      </c>
      <c r="K56">
        <f t="shared" si="14"/>
        <v>3.0336032185382365E-2</v>
      </c>
      <c r="M56">
        <f t="shared" si="10"/>
        <v>3.4954190919467987</v>
      </c>
      <c r="N56" s="123">
        <f t="shared" si="11"/>
        <v>-0.91682720282050045</v>
      </c>
      <c r="Q56">
        <f>SUM($N$33:N56)</f>
        <v>17.477095459733988</v>
      </c>
      <c r="R56">
        <f t="shared" si="13"/>
        <v>17.037043719421405</v>
      </c>
    </row>
    <row r="57" spans="2:18" x14ac:dyDescent="0.25">
      <c r="B57">
        <v>25</v>
      </c>
      <c r="C57">
        <f t="shared" si="12"/>
        <v>16</v>
      </c>
      <c r="D57">
        <v>0</v>
      </c>
      <c r="E57">
        <v>0</v>
      </c>
      <c r="F57">
        <v>0</v>
      </c>
      <c r="H57">
        <f t="shared" si="14"/>
        <v>0.89103798384955657</v>
      </c>
      <c r="I57">
        <f t="shared" si="14"/>
        <v>3.6320672050147801E-2</v>
      </c>
      <c r="J57">
        <f t="shared" si="14"/>
        <v>3.6320672050147801E-2</v>
      </c>
      <c r="K57">
        <f t="shared" si="14"/>
        <v>3.6320672050147801E-2</v>
      </c>
      <c r="M57">
        <f t="shared" si="10"/>
        <v>3.3153682218368692</v>
      </c>
      <c r="N57" s="123">
        <f t="shared" si="11"/>
        <v>-0.90025435054964742</v>
      </c>
      <c r="Q57">
        <f>SUM($N$33:N57)</f>
        <v>16.57684110918434</v>
      </c>
      <c r="R57">
        <f t="shared" si="13"/>
        <v>16.037043719421405</v>
      </c>
    </row>
    <row r="58" spans="2:18" x14ac:dyDescent="0.25">
      <c r="B58">
        <v>26</v>
      </c>
      <c r="C58">
        <f t="shared" si="12"/>
        <v>15</v>
      </c>
      <c r="D58">
        <v>0</v>
      </c>
      <c r="E58">
        <v>0</v>
      </c>
      <c r="F58">
        <v>0</v>
      </c>
      <c r="H58">
        <f t="shared" si="14"/>
        <v>0.87004850656140775</v>
      </c>
      <c r="I58">
        <f t="shared" si="14"/>
        <v>4.3317164479530733E-2</v>
      </c>
      <c r="J58">
        <f t="shared" si="14"/>
        <v>4.3317164479530733E-2</v>
      </c>
      <c r="K58">
        <f t="shared" si="14"/>
        <v>4.3317164479530733E-2</v>
      </c>
      <c r="M58">
        <f t="shared" si="10"/>
        <v>3.1392063142194564</v>
      </c>
      <c r="N58" s="123">
        <f t="shared" si="11"/>
        <v>-0.88080953808706397</v>
      </c>
      <c r="Q58">
        <f>SUM($N$33:N58)</f>
        <v>15.696031571097276</v>
      </c>
      <c r="R58">
        <f t="shared" si="13"/>
        <v>15.037043719421405</v>
      </c>
    </row>
    <row r="59" spans="2:18" x14ac:dyDescent="0.25">
      <c r="B59">
        <v>27</v>
      </c>
      <c r="C59">
        <f t="shared" si="12"/>
        <v>14</v>
      </c>
      <c r="D59">
        <v>0</v>
      </c>
      <c r="E59">
        <v>0</v>
      </c>
      <c r="F59">
        <v>0</v>
      </c>
      <c r="H59">
        <f t="shared" si="14"/>
        <v>0.84571589109763279</v>
      </c>
      <c r="I59">
        <f t="shared" si="14"/>
        <v>5.1428036300789071E-2</v>
      </c>
      <c r="J59">
        <f t="shared" si="14"/>
        <v>5.1428036300789071E-2</v>
      </c>
      <c r="K59">
        <f t="shared" si="14"/>
        <v>5.1428036300789071E-2</v>
      </c>
      <c r="M59">
        <f t="shared" si="10"/>
        <v>2.9675718019038646</v>
      </c>
      <c r="N59" s="123">
        <f t="shared" si="11"/>
        <v>-0.85817256157795896</v>
      </c>
      <c r="Q59">
        <f>SUM($N$33:N59)</f>
        <v>14.837859009519317</v>
      </c>
      <c r="R59">
        <f t="shared" si="13"/>
        <v>14.037043719421405</v>
      </c>
    </row>
    <row r="60" spans="2:18" x14ac:dyDescent="0.25">
      <c r="B60">
        <v>28</v>
      </c>
      <c r="C60">
        <f t="shared" si="12"/>
        <v>13</v>
      </c>
      <c r="D60">
        <v>0</v>
      </c>
      <c r="E60">
        <v>0</v>
      </c>
      <c r="F60">
        <v>0</v>
      </c>
      <c r="H60">
        <f t="shared" si="14"/>
        <v>0.81778135720927791</v>
      </c>
      <c r="I60">
        <f t="shared" si="14"/>
        <v>6.073954759690741E-2</v>
      </c>
      <c r="J60">
        <f t="shared" si="14"/>
        <v>6.073954759690741E-2</v>
      </c>
      <c r="K60">
        <f t="shared" si="14"/>
        <v>6.073954759690741E-2</v>
      </c>
      <c r="M60">
        <f t="shared" si="10"/>
        <v>2.8011602675827989</v>
      </c>
      <c r="N60" s="123">
        <f t="shared" si="11"/>
        <v>-0.83205767160532851</v>
      </c>
      <c r="Q60">
        <f>SUM($N$33:N60)</f>
        <v>14.005801337913988</v>
      </c>
      <c r="R60">
        <f t="shared" si="13"/>
        <v>13.037043719421405</v>
      </c>
    </row>
    <row r="61" spans="2:18" x14ac:dyDescent="0.25">
      <c r="B61">
        <v>29</v>
      </c>
      <c r="C61">
        <f t="shared" si="12"/>
        <v>12</v>
      </c>
      <c r="D61">
        <v>0</v>
      </c>
      <c r="E61">
        <v>0</v>
      </c>
      <c r="F61">
        <v>0</v>
      </c>
      <c r="H61">
        <f t="shared" si="14"/>
        <v>0.78606843994764464</v>
      </c>
      <c r="I61">
        <f t="shared" si="14"/>
        <v>7.1310520017451792E-2</v>
      </c>
      <c r="J61">
        <f t="shared" si="14"/>
        <v>7.1310520017451792E-2</v>
      </c>
      <c r="K61">
        <f t="shared" si="14"/>
        <v>7.1310520017451792E-2</v>
      </c>
      <c r="M61">
        <f t="shared" si="10"/>
        <v>2.6407114166188883</v>
      </c>
      <c r="N61" s="123">
        <f t="shared" si="11"/>
        <v>-0.80224425481955297</v>
      </c>
      <c r="Q61">
        <f>SUM($N$33:N61)</f>
        <v>13.203557083094434</v>
      </c>
      <c r="R61">
        <f t="shared" si="13"/>
        <v>12.037043719421405</v>
      </c>
    </row>
    <row r="62" spans="2:18" x14ac:dyDescent="0.25">
      <c r="B62">
        <v>30</v>
      </c>
      <c r="C62">
        <f t="shared" si="12"/>
        <v>11</v>
      </c>
      <c r="D62">
        <v>0</v>
      </c>
      <c r="E62">
        <v>0</v>
      </c>
      <c r="F62">
        <v>0</v>
      </c>
      <c r="H62">
        <f t="shared" si="14"/>
        <v>0.75052003058947292</v>
      </c>
      <c r="I62">
        <f t="shared" si="14"/>
        <v>8.3159989803509027E-2</v>
      </c>
      <c r="J62">
        <f t="shared" si="14"/>
        <v>8.3159989803509027E-2</v>
      </c>
      <c r="K62">
        <f t="shared" si="14"/>
        <v>8.3159989803509027E-2</v>
      </c>
      <c r="M62">
        <f t="shared" si="10"/>
        <v>2.486988938605259</v>
      </c>
      <c r="N62" s="123">
        <f t="shared" si="11"/>
        <v>-0.7686123900681463</v>
      </c>
      <c r="Q62">
        <f>SUM($N$33:N62)</f>
        <v>12.434944693026289</v>
      </c>
      <c r="R62">
        <f t="shared" si="13"/>
        <v>11.037043719421405</v>
      </c>
    </row>
    <row r="63" spans="2:18" x14ac:dyDescent="0.25">
      <c r="B63">
        <v>31</v>
      </c>
      <c r="C63">
        <f t="shared" si="12"/>
        <v>10</v>
      </c>
      <c r="D63">
        <v>0</v>
      </c>
      <c r="E63">
        <v>0</v>
      </c>
      <c r="F63">
        <v>0</v>
      </c>
      <c r="H63">
        <f t="shared" si="14"/>
        <v>0.71123459422759383</v>
      </c>
      <c r="I63">
        <f t="shared" si="14"/>
        <v>9.6255135257468719E-2</v>
      </c>
      <c r="J63">
        <f t="shared" si="14"/>
        <v>9.6255135257468719E-2</v>
      </c>
      <c r="K63">
        <f t="shared" si="14"/>
        <v>9.6255135257468719E-2</v>
      </c>
      <c r="M63">
        <f t="shared" si="10"/>
        <v>2.3407529539131313</v>
      </c>
      <c r="N63" s="123">
        <f t="shared" si="11"/>
        <v>-0.73117992346063865</v>
      </c>
      <c r="Q63">
        <f>SUM($N$33:N63)</f>
        <v>11.70376476956565</v>
      </c>
      <c r="R63">
        <f t="shared" si="13"/>
        <v>10.037043719421405</v>
      </c>
    </row>
    <row r="64" spans="2:18" x14ac:dyDescent="0.25">
      <c r="B64">
        <v>32</v>
      </c>
      <c r="C64">
        <f t="shared" si="12"/>
        <v>9</v>
      </c>
      <c r="D64">
        <v>0</v>
      </c>
      <c r="E64">
        <v>0</v>
      </c>
      <c r="F64">
        <v>0</v>
      </c>
      <c r="H64">
        <f t="shared" si="14"/>
        <v>0.66849537379248503</v>
      </c>
      <c r="I64">
        <f t="shared" si="14"/>
        <v>0.11050154206917169</v>
      </c>
      <c r="J64">
        <f t="shared" si="14"/>
        <v>0.11050154206917169</v>
      </c>
      <c r="K64">
        <f t="shared" si="14"/>
        <v>0.11050154206917169</v>
      </c>
      <c r="M64">
        <f t="shared" si="10"/>
        <v>2.2027258027445855</v>
      </c>
      <c r="N64" s="123">
        <f t="shared" si="11"/>
        <v>-0.69013575584272902</v>
      </c>
      <c r="Q64">
        <f>SUM($N$33:N64)</f>
        <v>11.013629013722921</v>
      </c>
      <c r="R64">
        <f t="shared" si="13"/>
        <v>9.0370437194214048</v>
      </c>
    </row>
    <row r="65" spans="2:18" x14ac:dyDescent="0.25">
      <c r="B65">
        <v>33</v>
      </c>
      <c r="C65">
        <f t="shared" si="12"/>
        <v>8</v>
      </c>
      <c r="D65">
        <v>0</v>
      </c>
      <c r="E65">
        <v>0</v>
      </c>
      <c r="F65">
        <v>0</v>
      </c>
      <c r="H65">
        <f t="shared" si="14"/>
        <v>0.62278539305362235</v>
      </c>
      <c r="I65">
        <f t="shared" si="14"/>
        <v>0.12573820231545921</v>
      </c>
      <c r="J65">
        <f t="shared" si="14"/>
        <v>0.12573820231545921</v>
      </c>
      <c r="K65">
        <f t="shared" si="14"/>
        <v>0.12573820231545921</v>
      </c>
      <c r="M65">
        <f t="shared" si="10"/>
        <v>2.0735532929684619</v>
      </c>
      <c r="N65" s="123">
        <f t="shared" si="11"/>
        <v>-0.645862548880618</v>
      </c>
      <c r="Q65">
        <f>SUM($N$33:N65)</f>
        <v>10.367766464842303</v>
      </c>
      <c r="R65">
        <f t="shared" si="13"/>
        <v>8.0370437194214048</v>
      </c>
    </row>
    <row r="66" spans="2:18" x14ac:dyDescent="0.25">
      <c r="B66">
        <v>34</v>
      </c>
      <c r="C66">
        <f t="shared" si="12"/>
        <v>7</v>
      </c>
      <c r="D66">
        <v>0</v>
      </c>
      <c r="E66">
        <v>0</v>
      </c>
      <c r="F66">
        <v>0</v>
      </c>
      <c r="H66">
        <f t="shared" ref="H66:K73" si="15">EXP(C66/$G$3)/SUM(EXP($C66/$G$3),EXP($D66/$G$3),EXP($E66/$G$3),EXP($F66/$G$3))</f>
        <v>0.5747817192853143</v>
      </c>
      <c r="I66">
        <f t="shared" si="15"/>
        <v>0.14173942690489524</v>
      </c>
      <c r="J66">
        <f t="shared" si="15"/>
        <v>0.14173942690489524</v>
      </c>
      <c r="K66">
        <f t="shared" si="15"/>
        <v>0.14173942690489524</v>
      </c>
      <c r="M66">
        <f t="shared" si="10"/>
        <v>1.9537649288924173</v>
      </c>
      <c r="N66" s="123">
        <f t="shared" si="11"/>
        <v>-0.59894182038022326</v>
      </c>
      <c r="Q66">
        <f>SUM($N$33:N66)</f>
        <v>9.7688246444620788</v>
      </c>
      <c r="R66">
        <f t="shared" si="13"/>
        <v>7.0370437194214048</v>
      </c>
    </row>
    <row r="67" spans="2:18" x14ac:dyDescent="0.25">
      <c r="B67">
        <v>35</v>
      </c>
      <c r="C67">
        <f t="shared" si="12"/>
        <v>6</v>
      </c>
      <c r="D67">
        <v>0</v>
      </c>
      <c r="E67">
        <v>0</v>
      </c>
      <c r="F67">
        <v>0</v>
      </c>
      <c r="H67">
        <f t="shared" si="15"/>
        <v>0.52532523738484416</v>
      </c>
      <c r="I67">
        <f t="shared" si="15"/>
        <v>0.15822492087171863</v>
      </c>
      <c r="J67">
        <f t="shared" si="15"/>
        <v>0.15822492087171863</v>
      </c>
      <c r="K67">
        <f t="shared" si="15"/>
        <v>0.15822492087171863</v>
      </c>
      <c r="M67">
        <f t="shared" si="10"/>
        <v>1.8437377084206332</v>
      </c>
      <c r="N67" s="123">
        <f t="shared" si="11"/>
        <v>-0.55013610235892019</v>
      </c>
      <c r="Q67">
        <f>SUM($N$33:N67)</f>
        <v>9.218688542103159</v>
      </c>
      <c r="R67">
        <f t="shared" si="13"/>
        <v>6.0370437194214048</v>
      </c>
    </row>
    <row r="68" spans="2:18" x14ac:dyDescent="0.25">
      <c r="B68">
        <v>36</v>
      </c>
      <c r="C68">
        <f t="shared" si="12"/>
        <v>5</v>
      </c>
      <c r="D68">
        <v>0</v>
      </c>
      <c r="E68">
        <v>0</v>
      </c>
      <c r="F68">
        <v>0</v>
      </c>
      <c r="H68">
        <f t="shared" si="15"/>
        <v>0.4753668864186717</v>
      </c>
      <c r="I68">
        <f t="shared" si="15"/>
        <v>0.17487770452710946</v>
      </c>
      <c r="J68">
        <f t="shared" si="15"/>
        <v>0.17487770452710946</v>
      </c>
      <c r="K68">
        <f t="shared" si="15"/>
        <v>0.17487770452710946</v>
      </c>
      <c r="M68">
        <f t="shared" si="10"/>
        <v>1.743668380628679</v>
      </c>
      <c r="N68" s="123">
        <f t="shared" si="11"/>
        <v>-0.50034663895977105</v>
      </c>
      <c r="Q68">
        <f>SUM($N$33:N68)</f>
        <v>8.7183419031433882</v>
      </c>
      <c r="R68">
        <f t="shared" si="13"/>
        <v>5.0370437194214048</v>
      </c>
    </row>
    <row r="69" spans="2:18" x14ac:dyDescent="0.25">
      <c r="B69">
        <v>37</v>
      </c>
      <c r="C69">
        <f t="shared" si="12"/>
        <v>4</v>
      </c>
      <c r="D69">
        <v>0</v>
      </c>
      <c r="E69">
        <v>0</v>
      </c>
      <c r="F69">
        <v>0</v>
      </c>
      <c r="H69">
        <f t="shared" si="15"/>
        <v>0.42589675575166169</v>
      </c>
      <c r="I69">
        <f t="shared" si="15"/>
        <v>0.19136774808277945</v>
      </c>
      <c r="J69">
        <f t="shared" si="15"/>
        <v>0.19136774808277945</v>
      </c>
      <c r="K69">
        <f t="shared" si="15"/>
        <v>0.19136774808277945</v>
      </c>
      <c r="M69">
        <f t="shared" si="10"/>
        <v>1.6535583194765306</v>
      </c>
      <c r="N69" s="123">
        <f t="shared" si="11"/>
        <v>-0.45055030576074184</v>
      </c>
      <c r="Q69">
        <f>SUM($N$33:N69)</f>
        <v>8.2677915973826472</v>
      </c>
      <c r="R69">
        <f t="shared" si="13"/>
        <v>4.0370437194214048</v>
      </c>
    </row>
    <row r="70" spans="2:18" x14ac:dyDescent="0.25">
      <c r="B70">
        <v>38</v>
      </c>
      <c r="C70">
        <f t="shared" si="12"/>
        <v>3</v>
      </c>
      <c r="D70">
        <v>0</v>
      </c>
      <c r="E70">
        <v>0</v>
      </c>
      <c r="F70">
        <v>0</v>
      </c>
      <c r="H70">
        <f t="shared" si="15"/>
        <v>0.3778668414894607</v>
      </c>
      <c r="I70">
        <f t="shared" si="15"/>
        <v>0.20737771950351308</v>
      </c>
      <c r="J70">
        <f t="shared" si="15"/>
        <v>0.20737771950351308</v>
      </c>
      <c r="K70">
        <f t="shared" si="15"/>
        <v>0.20737771950351308</v>
      </c>
      <c r="M70">
        <f t="shared" si="10"/>
        <v>1.5732134166165241</v>
      </c>
      <c r="N70" s="123">
        <f t="shared" si="11"/>
        <v>-0.40172451430003253</v>
      </c>
      <c r="Q70">
        <f>SUM($N$33:N70)</f>
        <v>7.8660670830826147</v>
      </c>
      <c r="R70">
        <f t="shared" si="13"/>
        <v>3.0370437194214048</v>
      </c>
    </row>
    <row r="71" spans="2:18" x14ac:dyDescent="0.25">
      <c r="B71">
        <v>39</v>
      </c>
      <c r="C71">
        <f t="shared" si="12"/>
        <v>2</v>
      </c>
      <c r="D71">
        <v>0</v>
      </c>
      <c r="E71">
        <v>0</v>
      </c>
      <c r="F71">
        <v>0</v>
      </c>
      <c r="H71">
        <f t="shared" si="15"/>
        <v>0.33211997307567492</v>
      </c>
      <c r="I71">
        <f t="shared" si="15"/>
        <v>0.2226266756414417</v>
      </c>
      <c r="J71">
        <f t="shared" si="15"/>
        <v>0.2226266756414417</v>
      </c>
      <c r="K71">
        <f t="shared" si="15"/>
        <v>0.2226266756414417</v>
      </c>
      <c r="M71">
        <f t="shared" si="10"/>
        <v>1.5022590106563736</v>
      </c>
      <c r="N71" s="123">
        <f t="shared" si="11"/>
        <v>-0.35477202980075284</v>
      </c>
      <c r="Q71">
        <f>SUM($N$33:N71)</f>
        <v>7.5112950532818621</v>
      </c>
      <c r="R71">
        <f t="shared" si="13"/>
        <v>2.0370437194214048</v>
      </c>
    </row>
    <row r="72" spans="2:18" x14ac:dyDescent="0.25">
      <c r="B72">
        <v>40</v>
      </c>
      <c r="C72">
        <f t="shared" si="12"/>
        <v>1</v>
      </c>
      <c r="D72">
        <v>0</v>
      </c>
      <c r="E72">
        <v>0</v>
      </c>
      <c r="F72">
        <v>0</v>
      </c>
      <c r="H72">
        <f t="shared" si="15"/>
        <v>0.28933575594016492</v>
      </c>
      <c r="I72">
        <f t="shared" si="15"/>
        <v>0.23688808135327838</v>
      </c>
      <c r="J72">
        <f t="shared" si="15"/>
        <v>0.23688808135327838</v>
      </c>
      <c r="K72">
        <f t="shared" si="15"/>
        <v>0.23688808135327838</v>
      </c>
      <c r="M72">
        <f t="shared" si="10"/>
        <v>1.4401674799598645</v>
      </c>
      <c r="N72" s="123">
        <f t="shared" si="11"/>
        <v>-0.31045765348254539</v>
      </c>
      <c r="Q72">
        <f>SUM($N$33:N72)</f>
        <v>7.2008373997993171</v>
      </c>
      <c r="R72">
        <f t="shared" si="13"/>
        <v>1.0370437194214048</v>
      </c>
    </row>
    <row r="73" spans="2:18" x14ac:dyDescent="0.25">
      <c r="B73">
        <v>41</v>
      </c>
      <c r="C73">
        <f t="shared" si="12"/>
        <v>0</v>
      </c>
      <c r="D73">
        <v>0</v>
      </c>
      <c r="E73">
        <v>0</v>
      </c>
      <c r="F73">
        <v>0</v>
      </c>
      <c r="H73">
        <f t="shared" si="15"/>
        <v>0.25</v>
      </c>
      <c r="I73">
        <f t="shared" si="15"/>
        <v>0.25</v>
      </c>
      <c r="J73">
        <f t="shared" si="15"/>
        <v>0.25</v>
      </c>
      <c r="K73">
        <f t="shared" si="15"/>
        <v>0.25</v>
      </c>
      <c r="M73">
        <f t="shared" si="10"/>
        <v>1.3862943611198906</v>
      </c>
      <c r="N73" s="123">
        <f t="shared" si="11"/>
        <v>-0.26936559419986961</v>
      </c>
      <c r="Q73">
        <f>SUM($N$33:N73)</f>
        <v>6.9314718055994478</v>
      </c>
      <c r="R73">
        <f t="shared" si="13"/>
        <v>3.704371942140483E-2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U22"/>
  <sheetViews>
    <sheetView zoomScale="70" zoomScaleNormal="70" workbookViewId="0">
      <selection activeCell="O56" sqref="O56"/>
    </sheetView>
  </sheetViews>
  <sheetFormatPr defaultRowHeight="15" x14ac:dyDescent="0.25"/>
  <cols>
    <col min="2" max="2" width="9.28515625" customWidth="1"/>
    <col min="3" max="5" width="14.85546875" bestFit="1" customWidth="1"/>
    <col min="6" max="6" width="10.7109375" customWidth="1"/>
    <col min="7" max="7" width="11.5703125" customWidth="1"/>
    <col min="8" max="8" width="10.140625" bestFit="1" customWidth="1"/>
    <col min="9" max="9" width="9.5703125" bestFit="1" customWidth="1"/>
    <col min="10" max="10" width="12.5703125" bestFit="1" customWidth="1"/>
    <col min="12" max="14" width="14.85546875" bestFit="1" customWidth="1"/>
    <col min="15" max="15" width="21" bestFit="1" customWidth="1"/>
    <col min="16" max="18" width="8.140625" bestFit="1" customWidth="1"/>
    <col min="19" max="19" width="7.42578125" bestFit="1" customWidth="1"/>
    <col min="20" max="21" width="6.28515625" bestFit="1" customWidth="1"/>
  </cols>
  <sheetData>
    <row r="1" spans="2:21" s="7" customFormat="1" x14ac:dyDescent="0.25"/>
    <row r="2" spans="2:21" s="7" customFormat="1" x14ac:dyDescent="0.25">
      <c r="B2" t="s">
        <v>59</v>
      </c>
      <c r="C2"/>
      <c r="D2"/>
      <c r="E2"/>
      <c r="F2"/>
      <c r="G2"/>
      <c r="H2"/>
      <c r="I2"/>
      <c r="J2"/>
      <c r="K2"/>
      <c r="L2"/>
      <c r="M2"/>
      <c r="N2"/>
      <c r="O2"/>
      <c r="P2"/>
      <c r="Q2"/>
      <c r="R2"/>
      <c r="S2"/>
      <c r="T2"/>
      <c r="U2"/>
    </row>
    <row r="3" spans="2:21" s="7" customFormat="1" ht="15.75" thickBot="1" x14ac:dyDescent="0.3">
      <c r="B3"/>
      <c r="C3"/>
      <c r="D3"/>
      <c r="E3"/>
      <c r="F3"/>
      <c r="G3"/>
      <c r="H3"/>
      <c r="I3"/>
      <c r="J3"/>
      <c r="K3"/>
      <c r="L3"/>
      <c r="M3"/>
      <c r="N3"/>
      <c r="O3"/>
      <c r="P3"/>
      <c r="Q3"/>
      <c r="R3"/>
      <c r="S3"/>
      <c r="T3"/>
      <c r="U3"/>
    </row>
    <row r="4" spans="2:21" s="7" customFormat="1" ht="15.75" thickBot="1" x14ac:dyDescent="0.3">
      <c r="B4" t="s">
        <v>18</v>
      </c>
      <c r="C4"/>
      <c r="D4"/>
      <c r="E4"/>
      <c r="F4" s="371" t="s">
        <v>60</v>
      </c>
      <c r="G4" s="372"/>
      <c r="H4"/>
      <c r="I4"/>
      <c r="J4"/>
      <c r="K4"/>
      <c r="L4"/>
      <c r="M4"/>
      <c r="N4"/>
      <c r="O4"/>
      <c r="P4"/>
      <c r="Q4"/>
      <c r="R4"/>
      <c r="S4"/>
      <c r="T4"/>
      <c r="U4"/>
    </row>
    <row r="5" spans="2:21" s="7" customFormat="1" x14ac:dyDescent="0.25">
      <c r="B5"/>
      <c r="C5" t="s">
        <v>26</v>
      </c>
      <c r="D5"/>
      <c r="E5"/>
      <c r="F5" s="129"/>
      <c r="G5" s="113" t="s">
        <v>28</v>
      </c>
      <c r="H5" s="142" t="s">
        <v>32</v>
      </c>
      <c r="I5" s="6" t="s">
        <v>33</v>
      </c>
      <c r="J5" s="6" t="s">
        <v>31</v>
      </c>
      <c r="K5" s="6" t="s">
        <v>30</v>
      </c>
      <c r="L5"/>
      <c r="M5"/>
      <c r="N5"/>
      <c r="O5"/>
      <c r="P5"/>
      <c r="Q5"/>
      <c r="R5" t="s">
        <v>27</v>
      </c>
      <c r="S5"/>
      <c r="T5"/>
      <c r="U5"/>
    </row>
    <row r="6" spans="2:21" s="7" customFormat="1" ht="15.75" thickBot="1" x14ac:dyDescent="0.3">
      <c r="B6" s="13"/>
      <c r="C6" s="13" t="s">
        <v>19</v>
      </c>
      <c r="D6" s="13" t="s">
        <v>20</v>
      </c>
      <c r="E6" s="13" t="s">
        <v>25</v>
      </c>
      <c r="F6" s="147"/>
      <c r="G6" s="148"/>
      <c r="H6" s="149"/>
      <c r="I6" s="12"/>
      <c r="J6" s="12"/>
      <c r="K6" s="12"/>
      <c r="L6" s="13" t="s">
        <v>19</v>
      </c>
      <c r="M6" s="13" t="s">
        <v>20</v>
      </c>
      <c r="N6" s="12" t="s">
        <v>25</v>
      </c>
      <c r="O6" s="13" t="s">
        <v>29</v>
      </c>
      <c r="P6" s="13"/>
      <c r="Q6" s="13"/>
      <c r="R6" s="13"/>
      <c r="S6" s="13"/>
      <c r="T6"/>
      <c r="U6"/>
    </row>
    <row r="7" spans="2:21" s="7" customFormat="1" ht="15.75" thickTop="1" x14ac:dyDescent="0.25">
      <c r="B7" s="21" t="s">
        <v>4</v>
      </c>
      <c r="C7" s="23">
        <v>0.3</v>
      </c>
      <c r="D7">
        <f>SUM(D10:D11)</f>
        <v>0.30000000000000004</v>
      </c>
      <c r="E7">
        <f>SUM(E10:E11)</f>
        <v>0.30000000000000004</v>
      </c>
      <c r="F7" s="136" t="str">
        <f t="shared" ref="F7:F16" si="0">B7</f>
        <v>a</v>
      </c>
      <c r="G7" s="143">
        <v>0</v>
      </c>
      <c r="H7" s="142">
        <f t="shared" ref="H7:H16" si="1">IF(G7=0,0,1)</f>
        <v>0</v>
      </c>
      <c r="I7" s="6">
        <f>1-SUMPRODUCT($H$7:$H$9,$C$7:$C$9)</f>
        <v>0.30000000000000004</v>
      </c>
      <c r="J7" s="6">
        <f>IF(SUM($G$7:$G$9)=0,0,SUM($G$7:$G$9))</f>
        <v>0.2</v>
      </c>
      <c r="K7" s="140">
        <f t="shared" ref="K7:K16" si="2">IF(G7&lt;&gt;0,G7,(G7-J7)*(C7/I7))</f>
        <v>-0.19999999999999996</v>
      </c>
      <c r="L7" s="140">
        <f>C7+K7</f>
        <v>0.10000000000000003</v>
      </c>
      <c r="M7" s="7">
        <f>SUM(M10:M11)</f>
        <v>0.30000000000000004</v>
      </c>
      <c r="N7" s="7">
        <f>SUM(N10:N11)</f>
        <v>0.30000000000000004</v>
      </c>
      <c r="O7" s="27">
        <f>L7-$C7</f>
        <v>-0.19999999999999996</v>
      </c>
      <c r="P7" s="27">
        <f>M7-$C7</f>
        <v>0</v>
      </c>
      <c r="Q7" s="27">
        <f>N7-$C7</f>
        <v>0</v>
      </c>
      <c r="R7" s="4">
        <f t="shared" ref="R7:R16" si="3">C7+SUM(O7:Q7)</f>
        <v>0.10000000000000003</v>
      </c>
      <c r="S7" s="26" t="str">
        <f t="shared" ref="S7:S16" si="4">B7</f>
        <v>a</v>
      </c>
      <c r="T7"/>
      <c r="U7"/>
    </row>
    <row r="8" spans="2:21" s="7" customFormat="1" x14ac:dyDescent="0.25">
      <c r="B8" s="21" t="s">
        <v>14</v>
      </c>
      <c r="C8" s="23">
        <v>0.7</v>
      </c>
      <c r="D8">
        <f>D10/(D10+D11)</f>
        <v>0.69999999999999984</v>
      </c>
      <c r="E8">
        <f>E10/(E10+E11)</f>
        <v>0.69999999999999984</v>
      </c>
      <c r="F8" s="136" t="str">
        <f t="shared" si="0"/>
        <v>b|a</v>
      </c>
      <c r="G8" s="143">
        <v>0.2</v>
      </c>
      <c r="H8" s="142">
        <f t="shared" si="1"/>
        <v>1</v>
      </c>
      <c r="I8" s="6">
        <f>1-SUMPRODUCT($H$7:$H$9,$C$7:$C$9)</f>
        <v>0.30000000000000004</v>
      </c>
      <c r="J8" s="6">
        <f>IF(SUM($G$7:$G$9)=0,0,SUM($G$7:$G$9))</f>
        <v>0.2</v>
      </c>
      <c r="K8" s="140">
        <f t="shared" si="2"/>
        <v>0.2</v>
      </c>
      <c r="L8" s="6">
        <f>C8+K8</f>
        <v>0.89999999999999991</v>
      </c>
      <c r="M8" s="7">
        <f>M10/(M10+M11)</f>
        <v>0.69999999999999984</v>
      </c>
      <c r="N8" s="7">
        <f>N10/(N10+N11)</f>
        <v>0.69999999999999984</v>
      </c>
      <c r="O8" s="27">
        <f t="shared" ref="O8:O16" si="5">L8-C8</f>
        <v>0.19999999999999996</v>
      </c>
      <c r="P8" s="27">
        <f t="shared" ref="P8:P16" si="6">M8-D8</f>
        <v>0</v>
      </c>
      <c r="Q8" s="27">
        <f t="shared" ref="Q8:Q16" si="7">N8-E8</f>
        <v>0</v>
      </c>
      <c r="R8" s="4">
        <f t="shared" si="3"/>
        <v>0.89999999999999991</v>
      </c>
      <c r="S8" s="26" t="str">
        <f t="shared" si="4"/>
        <v>b|a</v>
      </c>
      <c r="T8"/>
      <c r="U8"/>
    </row>
    <row r="9" spans="2:21" s="7" customFormat="1" x14ac:dyDescent="0.25">
      <c r="B9" s="21" t="s">
        <v>16</v>
      </c>
      <c r="C9" s="24">
        <v>0.3</v>
      </c>
      <c r="D9">
        <f>D12/(D12+D13)</f>
        <v>0.29999999999999993</v>
      </c>
      <c r="E9">
        <f>E12/(E12+E13)</f>
        <v>0.29999999999999993</v>
      </c>
      <c r="F9" s="136" t="str">
        <f t="shared" si="0"/>
        <v>b|~a</v>
      </c>
      <c r="G9" s="143">
        <v>0</v>
      </c>
      <c r="H9" s="142">
        <f t="shared" si="1"/>
        <v>0</v>
      </c>
      <c r="I9" s="6">
        <f>1-SUMPRODUCT($H$7:$H$9,$C$7:$C$9)</f>
        <v>0.30000000000000004</v>
      </c>
      <c r="J9" s="6">
        <f>IF(SUM($G$7:$G$9)=0,0,SUM($G$7:$G$9))</f>
        <v>0.2</v>
      </c>
      <c r="K9" s="140">
        <f t="shared" si="2"/>
        <v>-0.19999999999999996</v>
      </c>
      <c r="L9" s="3">
        <f>C9+K9</f>
        <v>0.10000000000000003</v>
      </c>
      <c r="M9" s="7">
        <f>M12/(M12+M13)</f>
        <v>0.29999999999999993</v>
      </c>
      <c r="N9" s="7">
        <f>N12/(N12+N13)</f>
        <v>0.29999999999999993</v>
      </c>
      <c r="O9" s="27">
        <f t="shared" si="5"/>
        <v>-0.19999999999999996</v>
      </c>
      <c r="P9" s="27">
        <f t="shared" si="6"/>
        <v>0</v>
      </c>
      <c r="Q9" s="27">
        <f t="shared" si="7"/>
        <v>0</v>
      </c>
      <c r="R9" s="4">
        <f t="shared" si="3"/>
        <v>0.10000000000000003</v>
      </c>
      <c r="S9" s="26" t="str">
        <f t="shared" si="4"/>
        <v>b|~a</v>
      </c>
      <c r="T9"/>
      <c r="U9"/>
    </row>
    <row r="10" spans="2:21" s="7" customFormat="1" x14ac:dyDescent="0.25">
      <c r="B10" s="21" t="s">
        <v>21</v>
      </c>
      <c r="C10" s="7">
        <f>C7*C8</f>
        <v>0.21</v>
      </c>
      <c r="D10">
        <f>D14*D15</f>
        <v>0.21</v>
      </c>
      <c r="E10" s="1">
        <f>D10</f>
        <v>0.21</v>
      </c>
      <c r="F10" s="136" t="str">
        <f t="shared" si="0"/>
        <v>a &amp; b</v>
      </c>
      <c r="G10" s="143">
        <v>0</v>
      </c>
      <c r="H10" s="142">
        <f t="shared" si="1"/>
        <v>0</v>
      </c>
      <c r="I10" s="6">
        <f>1-SUMPRODUCT($H$10:$H$13,$C$10:$C$13)</f>
        <v>1</v>
      </c>
      <c r="J10" s="6">
        <f>IF(SUM($G$10:$G$13)=0,0,SUM($G$10:$G$13))</f>
        <v>0</v>
      </c>
      <c r="K10" s="6">
        <f t="shared" si="2"/>
        <v>0</v>
      </c>
      <c r="L10" s="7">
        <f>L7*L8</f>
        <v>9.0000000000000024E-2</v>
      </c>
      <c r="M10" s="7">
        <f>M14*M15</f>
        <v>0.21</v>
      </c>
      <c r="N10" s="1">
        <f>E10+K10</f>
        <v>0.21</v>
      </c>
      <c r="O10" s="27">
        <f t="shared" si="5"/>
        <v>-0.11999999999999997</v>
      </c>
      <c r="P10" s="27">
        <f t="shared" si="6"/>
        <v>0</v>
      </c>
      <c r="Q10" s="27">
        <f t="shared" si="7"/>
        <v>0</v>
      </c>
      <c r="R10" s="139">
        <f t="shared" si="3"/>
        <v>9.0000000000000024E-2</v>
      </c>
      <c r="S10" s="26" t="str">
        <f t="shared" si="4"/>
        <v>a &amp; b</v>
      </c>
      <c r="T10"/>
      <c r="U10"/>
    </row>
    <row r="11" spans="2:21" s="7" customFormat="1" x14ac:dyDescent="0.25">
      <c r="B11" s="21" t="s">
        <v>22</v>
      </c>
      <c r="C11" s="7">
        <f>C7*(1-C8)</f>
        <v>9.0000000000000011E-2</v>
      </c>
      <c r="D11">
        <f>(1-D14)*D16</f>
        <v>9.0000000000000024E-2</v>
      </c>
      <c r="E11" s="5">
        <f>D11</f>
        <v>9.0000000000000024E-2</v>
      </c>
      <c r="F11" s="136" t="str">
        <f t="shared" si="0"/>
        <v>a &amp; ~b</v>
      </c>
      <c r="G11" s="143">
        <v>0</v>
      </c>
      <c r="H11" s="142">
        <f t="shared" si="1"/>
        <v>0</v>
      </c>
      <c r="I11" s="6">
        <f>1-SUMPRODUCT($H$10:$H$13,$C$10:$C$13)</f>
        <v>1</v>
      </c>
      <c r="J11" s="6">
        <f>IF(SUM($G$10:$G$13)=0,0,SUM($G$10:$G$13))</f>
        <v>0</v>
      </c>
      <c r="K11" s="6">
        <f t="shared" si="2"/>
        <v>0</v>
      </c>
      <c r="L11" s="7">
        <f>L7*(1-L8)</f>
        <v>1.0000000000000012E-2</v>
      </c>
      <c r="M11" s="7">
        <f>(1-M14)*M16</f>
        <v>9.0000000000000024E-2</v>
      </c>
      <c r="N11" s="5">
        <f>E11+K11</f>
        <v>9.0000000000000024E-2</v>
      </c>
      <c r="O11" s="27">
        <f t="shared" si="5"/>
        <v>-0.08</v>
      </c>
      <c r="P11" s="27">
        <f t="shared" si="6"/>
        <v>0</v>
      </c>
      <c r="Q11" s="27">
        <f t="shared" si="7"/>
        <v>0</v>
      </c>
      <c r="R11" s="140">
        <f t="shared" si="3"/>
        <v>1.0000000000000009E-2</v>
      </c>
      <c r="S11" s="26" t="str">
        <f t="shared" si="4"/>
        <v>a &amp; ~b</v>
      </c>
      <c r="T11"/>
      <c r="U11"/>
    </row>
    <row r="12" spans="2:21" s="7" customFormat="1" x14ac:dyDescent="0.25">
      <c r="B12" s="21" t="s">
        <v>23</v>
      </c>
      <c r="C12" s="7">
        <f>(1-C7)*C9</f>
        <v>0.21</v>
      </c>
      <c r="D12">
        <f>D14*(1-D15)</f>
        <v>0.21</v>
      </c>
      <c r="E12" s="5">
        <f>D12</f>
        <v>0.21</v>
      </c>
      <c r="F12" s="136" t="str">
        <f t="shared" si="0"/>
        <v>~a &amp; b</v>
      </c>
      <c r="G12" s="143">
        <v>0</v>
      </c>
      <c r="H12" s="142">
        <f t="shared" si="1"/>
        <v>0</v>
      </c>
      <c r="I12" s="6">
        <f>1-SUMPRODUCT($H$10:$H$13,$C$10:$C$13)</f>
        <v>1</v>
      </c>
      <c r="J12" s="6">
        <f>IF(SUM($G$10:$G$13)=0,0,SUM($G$10:$G$13))</f>
        <v>0</v>
      </c>
      <c r="K12" s="6">
        <f t="shared" si="2"/>
        <v>0</v>
      </c>
      <c r="L12" s="7">
        <f>(1-L7)*L9</f>
        <v>9.0000000000000024E-2</v>
      </c>
      <c r="M12" s="7">
        <f>M14*(1-M15)</f>
        <v>0.21</v>
      </c>
      <c r="N12" s="5">
        <f>E12+K12</f>
        <v>0.21</v>
      </c>
      <c r="O12" s="27">
        <f t="shared" si="5"/>
        <v>-0.11999999999999997</v>
      </c>
      <c r="P12" s="27">
        <f t="shared" si="6"/>
        <v>0</v>
      </c>
      <c r="Q12" s="27">
        <f t="shared" si="7"/>
        <v>0</v>
      </c>
      <c r="R12" s="140">
        <f t="shared" si="3"/>
        <v>9.0000000000000024E-2</v>
      </c>
      <c r="S12" s="26" t="str">
        <f t="shared" si="4"/>
        <v>~a &amp; b</v>
      </c>
      <c r="T12"/>
      <c r="U12"/>
    </row>
    <row r="13" spans="2:21" s="7" customFormat="1" x14ac:dyDescent="0.25">
      <c r="B13" s="21" t="s">
        <v>24</v>
      </c>
      <c r="C13" s="7">
        <f>(1-C7)*(1-C9)</f>
        <v>0.48999999999999994</v>
      </c>
      <c r="D13">
        <f>(1-D14)*(1-D16)</f>
        <v>0.49000000000000005</v>
      </c>
      <c r="E13" s="2">
        <f>D13</f>
        <v>0.49000000000000005</v>
      </c>
      <c r="F13" s="136" t="str">
        <f t="shared" si="0"/>
        <v>~a &amp; ~b</v>
      </c>
      <c r="G13" s="143">
        <v>0</v>
      </c>
      <c r="H13" s="142">
        <f t="shared" si="1"/>
        <v>0</v>
      </c>
      <c r="I13" s="6">
        <f>1-SUMPRODUCT($H$10:$H$13,$C$10:$C$13)</f>
        <v>1</v>
      </c>
      <c r="J13" s="6">
        <f>IF(SUM($G$10:$G$13)=0,0,SUM($G$10:$G$13))</f>
        <v>0</v>
      </c>
      <c r="K13" s="6">
        <f t="shared" si="2"/>
        <v>0</v>
      </c>
      <c r="L13" s="7">
        <f>(1-L7)*(1-L9)</f>
        <v>0.80999999999999983</v>
      </c>
      <c r="M13" s="7">
        <f>(1-M14)*(1-M16)</f>
        <v>0.49000000000000005</v>
      </c>
      <c r="N13" s="2">
        <f>E13+K13</f>
        <v>0.49000000000000005</v>
      </c>
      <c r="O13" s="27">
        <f t="shared" si="5"/>
        <v>0.3199999999999999</v>
      </c>
      <c r="P13" s="27">
        <f t="shared" si="6"/>
        <v>0</v>
      </c>
      <c r="Q13" s="27">
        <f t="shared" si="7"/>
        <v>0</v>
      </c>
      <c r="R13" s="141">
        <f t="shared" si="3"/>
        <v>0.80999999999999983</v>
      </c>
      <c r="S13" s="26" t="str">
        <f t="shared" si="4"/>
        <v>~a &amp; ~b</v>
      </c>
      <c r="T13"/>
      <c r="U13"/>
    </row>
    <row r="14" spans="2:21" s="7" customFormat="1" ht="18" customHeight="1" x14ac:dyDescent="0.25">
      <c r="B14" s="25" t="s">
        <v>5</v>
      </c>
      <c r="C14">
        <f>C10+C12</f>
        <v>0.42</v>
      </c>
      <c r="D14" s="22">
        <f>C14</f>
        <v>0.42</v>
      </c>
      <c r="E14">
        <f>E10+E12</f>
        <v>0.42</v>
      </c>
      <c r="F14" s="136" t="str">
        <f t="shared" si="0"/>
        <v>b</v>
      </c>
      <c r="G14" s="143">
        <v>0</v>
      </c>
      <c r="H14" s="142">
        <f t="shared" si="1"/>
        <v>0</v>
      </c>
      <c r="I14" s="6">
        <f>1-SUMPRODUCT($H$14:$H$16,$C$14:$C$16)</f>
        <v>1</v>
      </c>
      <c r="J14" s="6">
        <f>IF(SUM($G$14:$G$16)=0,0,SUM($G$14:$G$16))</f>
        <v>0</v>
      </c>
      <c r="K14" s="6">
        <f t="shared" si="2"/>
        <v>0</v>
      </c>
      <c r="L14" s="7">
        <f>L10+L12</f>
        <v>0.18000000000000005</v>
      </c>
      <c r="M14" s="22">
        <f>D14+K14</f>
        <v>0.42</v>
      </c>
      <c r="N14" s="7">
        <f>N10+N12</f>
        <v>0.42</v>
      </c>
      <c r="O14" s="27">
        <f t="shared" si="5"/>
        <v>-0.23999999999999994</v>
      </c>
      <c r="P14" s="27">
        <f t="shared" si="6"/>
        <v>0</v>
      </c>
      <c r="Q14" s="27">
        <f t="shared" si="7"/>
        <v>0</v>
      </c>
      <c r="R14" s="138">
        <f t="shared" si="3"/>
        <v>0.18000000000000005</v>
      </c>
      <c r="S14" s="26" t="str">
        <f t="shared" si="4"/>
        <v>b</v>
      </c>
      <c r="T14"/>
      <c r="U14"/>
    </row>
    <row r="15" spans="2:21" s="7" customFormat="1" x14ac:dyDescent="0.25">
      <c r="B15" s="25" t="s">
        <v>15</v>
      </c>
      <c r="C15">
        <f>C10/(C10+C12)</f>
        <v>0.5</v>
      </c>
      <c r="D15" s="23">
        <f>C15</f>
        <v>0.5</v>
      </c>
      <c r="E15">
        <f>E10/(E10+E12)</f>
        <v>0.5</v>
      </c>
      <c r="F15" s="136" t="str">
        <f t="shared" si="0"/>
        <v>a|b</v>
      </c>
      <c r="G15" s="143">
        <v>0</v>
      </c>
      <c r="H15" s="142">
        <f t="shared" si="1"/>
        <v>0</v>
      </c>
      <c r="I15" s="6">
        <f>1-SUMPRODUCT($H$14:$H$16,$C$14:$C$16)</f>
        <v>1</v>
      </c>
      <c r="J15" s="6">
        <f>IF(SUM($G$14:$G$16)=0,0,SUM($G$14:$G$16))</f>
        <v>0</v>
      </c>
      <c r="K15" s="6">
        <f t="shared" si="2"/>
        <v>0</v>
      </c>
      <c r="L15" s="7">
        <f>L10/(L10+L12)</f>
        <v>0.5</v>
      </c>
      <c r="M15" s="23">
        <f>D15+K15</f>
        <v>0.5</v>
      </c>
      <c r="N15" s="7">
        <f>N10/(N10+N12)</f>
        <v>0.5</v>
      </c>
      <c r="O15" s="27">
        <f t="shared" si="5"/>
        <v>0</v>
      </c>
      <c r="P15" s="27">
        <f t="shared" si="6"/>
        <v>0</v>
      </c>
      <c r="Q15" s="27">
        <f t="shared" si="7"/>
        <v>0</v>
      </c>
      <c r="R15" s="138">
        <f t="shared" si="3"/>
        <v>0.5</v>
      </c>
      <c r="S15" s="26" t="str">
        <f t="shared" si="4"/>
        <v>a|b</v>
      </c>
      <c r="T15"/>
      <c r="U15"/>
    </row>
    <row r="16" spans="2:21" s="7" customFormat="1" ht="15.75" thickBot="1" x14ac:dyDescent="0.3">
      <c r="B16" s="150" t="s">
        <v>17</v>
      </c>
      <c r="C16" s="13">
        <f>C11/(C11+C13)</f>
        <v>0.15517241379310348</v>
      </c>
      <c r="D16" s="151">
        <f>C16</f>
        <v>0.15517241379310348</v>
      </c>
      <c r="E16" s="13">
        <f>E11/(E11+E13)</f>
        <v>0.15517241379310348</v>
      </c>
      <c r="F16" s="152" t="str">
        <f t="shared" si="0"/>
        <v>a|~b</v>
      </c>
      <c r="G16" s="153">
        <v>0</v>
      </c>
      <c r="H16" s="149">
        <f t="shared" si="1"/>
        <v>0</v>
      </c>
      <c r="I16" s="12">
        <f>1-SUMPRODUCT($H$14:$H$16,$C$14:$C$16)</f>
        <v>1</v>
      </c>
      <c r="J16" s="12">
        <f>IF(SUM($G$14:$G$16)=0,0,SUM($G$14:$G$16))</f>
        <v>0</v>
      </c>
      <c r="K16" s="12">
        <f t="shared" si="2"/>
        <v>0</v>
      </c>
      <c r="L16" s="13">
        <f>L11/(L11+L13)</f>
        <v>1.219512195121953E-2</v>
      </c>
      <c r="M16" s="151">
        <f>D16+K16</f>
        <v>0.15517241379310348</v>
      </c>
      <c r="N16" s="13">
        <f>N11/(N11+N13)</f>
        <v>0.15517241379310348</v>
      </c>
      <c r="O16" s="154">
        <f t="shared" si="5"/>
        <v>-0.14297729184188396</v>
      </c>
      <c r="P16" s="154">
        <f t="shared" si="6"/>
        <v>0</v>
      </c>
      <c r="Q16" s="154">
        <f t="shared" si="7"/>
        <v>0</v>
      </c>
      <c r="R16" s="155">
        <f t="shared" si="3"/>
        <v>1.2195121951219523E-2</v>
      </c>
      <c r="S16" s="156" t="str">
        <f t="shared" si="4"/>
        <v>a|~b</v>
      </c>
      <c r="T16"/>
      <c r="U16"/>
    </row>
    <row r="17" spans="2:21" s="7" customFormat="1" ht="16.5" thickTop="1" thickBot="1" x14ac:dyDescent="0.3">
      <c r="B17"/>
      <c r="C17"/>
      <c r="D17"/>
      <c r="E17"/>
      <c r="F17" s="137"/>
      <c r="G17" s="115"/>
      <c r="H17"/>
      <c r="I17"/>
      <c r="J17"/>
      <c r="K17"/>
      <c r="O17"/>
      <c r="P17"/>
      <c r="Q17"/>
      <c r="R17" s="5"/>
      <c r="S17"/>
      <c r="T17"/>
      <c r="U17"/>
    </row>
    <row r="18" spans="2:21" s="7" customFormat="1" ht="15.75" thickBot="1" x14ac:dyDescent="0.3">
      <c r="B18"/>
      <c r="C18" s="97">
        <f>SUM(C10:C13)</f>
        <v>1</v>
      </c>
      <c r="D18" s="97">
        <f>SUM(D10:D13)</f>
        <v>1</v>
      </c>
      <c r="E18" s="97">
        <f>SUM(E10:E13)</f>
        <v>1</v>
      </c>
      <c r="F18"/>
      <c r="G18"/>
      <c r="H18"/>
      <c r="I18"/>
      <c r="J18"/>
      <c r="K18"/>
      <c r="L18" s="97">
        <f t="shared" ref="L18:Q18" si="8">SUM(L10:L13)</f>
        <v>0.99999999999999989</v>
      </c>
      <c r="M18" s="97">
        <f t="shared" si="8"/>
        <v>1</v>
      </c>
      <c r="N18" s="97">
        <f t="shared" si="8"/>
        <v>1</v>
      </c>
      <c r="O18" s="97">
        <f t="shared" si="8"/>
        <v>0</v>
      </c>
      <c r="P18" s="97">
        <f t="shared" si="8"/>
        <v>0</v>
      </c>
      <c r="Q18" s="97">
        <f t="shared" si="8"/>
        <v>0</v>
      </c>
      <c r="R18" s="5"/>
      <c r="S18"/>
      <c r="T18"/>
      <c r="U18"/>
    </row>
    <row r="19" spans="2:21" s="7" customFormat="1" x14ac:dyDescent="0.25">
      <c r="B19"/>
      <c r="C19"/>
      <c r="D19"/>
      <c r="E19"/>
      <c r="F19"/>
      <c r="G19"/>
      <c r="H19"/>
      <c r="I19"/>
      <c r="J19"/>
      <c r="K19"/>
      <c r="L19"/>
      <c r="M19"/>
      <c r="N19"/>
      <c r="O19"/>
      <c r="P19"/>
      <c r="Q19"/>
      <c r="R19" s="9"/>
      <c r="S19" s="10"/>
      <c r="T19" s="10"/>
      <c r="U19" s="11"/>
    </row>
    <row r="20" spans="2:21" x14ac:dyDescent="0.25">
      <c r="R20" s="144">
        <f>INDEX($R$10:$R$13,COLUMN(Q20)-COLUMN($P$20))</f>
        <v>9.0000000000000024E-2</v>
      </c>
      <c r="S20" s="145">
        <f>INDEX($R$10:$R$13,COLUMN(R20)-COLUMN($P$20))</f>
        <v>1.0000000000000009E-2</v>
      </c>
      <c r="T20" s="145">
        <f>INDEX($R$10:$R$13,COLUMN(S20)-COLUMN($P$20))</f>
        <v>9.0000000000000024E-2</v>
      </c>
      <c r="U20" s="146">
        <f>INDEX($R$10:$R$13,COLUMN(T20)-COLUMN($P$20))</f>
        <v>0.80999999999999983</v>
      </c>
    </row>
    <row r="21" spans="2:21" x14ac:dyDescent="0.25">
      <c r="R21" s="129"/>
      <c r="S21" s="7"/>
      <c r="T21" s="7"/>
      <c r="U21" s="113"/>
    </row>
    <row r="22" spans="2:21" ht="15.75" thickBot="1" x14ac:dyDescent="0.3">
      <c r="R22" s="373" t="s">
        <v>61</v>
      </c>
      <c r="S22" s="374"/>
      <c r="T22" s="374"/>
      <c r="U22" s="375"/>
    </row>
  </sheetData>
  <mergeCells count="2">
    <mergeCell ref="F4:G4"/>
    <mergeCell ref="R22:U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Simple Example</vt:lpstr>
      <vt:lpstr>LMSR</vt:lpstr>
      <vt:lpstr>Scaled Claims</vt:lpstr>
      <vt:lpstr>Conditional Scaled</vt:lpstr>
      <vt:lpstr>MV Scaled</vt:lpstr>
      <vt:lpstr>Changing b mid contract</vt:lpstr>
      <vt:lpstr>Insurance Fraud Experiments</vt:lpstr>
      <vt:lpstr>Some Accounting</vt:lpstr>
      <vt:lpstr>2x2 Update Calculator</vt:lpstr>
    </vt:vector>
  </TitlesOfParts>
  <Company>Faculty Support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Sztorc, Paul</dc:creator>
  <cp:lastModifiedBy>Psztorc</cp:lastModifiedBy>
  <dcterms:created xsi:type="dcterms:W3CDTF">2013-11-06T14:19:02Z</dcterms:created>
  <dcterms:modified xsi:type="dcterms:W3CDTF">2014-05-08T04:54:48Z</dcterms:modified>
</cp:coreProperties>
</file>