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activeTab="2"/>
  </bookViews>
  <sheets>
    <sheet name="HLMSR" sheetId="6" r:id="rId1"/>
    <sheet name="Simple Example" sheetId="10" r:id="rId2"/>
    <sheet name="Scaled Claims" sheetId="11" r:id="rId3"/>
    <sheet name="MV Scaled" sheetId="12" r:id="rId4"/>
    <sheet name="Changing b mid contract" sheetId="8" r:id="rId5"/>
    <sheet name="Insurance Fraud Experiments" sheetId="9" r:id="rId6"/>
    <sheet name="Some Accounting" sheetId="7" r:id="rId7"/>
    <sheet name="2x2 Update Calculator" sheetId="5" r:id="rId8"/>
  </sheets>
  <calcPr calcId="145621"/>
</workbook>
</file>

<file path=xl/calcChain.xml><?xml version="1.0" encoding="utf-8"?>
<calcChain xmlns="http://schemas.openxmlformats.org/spreadsheetml/2006/main">
  <c r="E9" i="12" l="1"/>
  <c r="F9" i="12"/>
  <c r="G9" i="12"/>
  <c r="H9" i="12"/>
  <c r="I9" i="12"/>
  <c r="J9" i="12"/>
  <c r="K9" i="12"/>
  <c r="L9" i="12"/>
  <c r="M9" i="12"/>
  <c r="N9" i="12"/>
  <c r="O9" i="12"/>
  <c r="P9" i="12"/>
  <c r="W9" i="12"/>
  <c r="X9" i="12"/>
  <c r="I10" i="12"/>
  <c r="J10" i="12"/>
  <c r="K10" i="12"/>
  <c r="L10" i="12"/>
  <c r="I11" i="12"/>
  <c r="J11" i="12"/>
  <c r="K11" i="12"/>
  <c r="L11" i="12"/>
  <c r="W11" i="12"/>
  <c r="X11" i="12"/>
  <c r="I12" i="12"/>
  <c r="J12" i="12"/>
  <c r="K12" i="12"/>
  <c r="L12" i="12"/>
  <c r="W12" i="12"/>
  <c r="AA12" i="12" s="1"/>
  <c r="X12" i="12"/>
  <c r="I13" i="12"/>
  <c r="J13" i="12"/>
  <c r="K13" i="12"/>
  <c r="L13" i="12"/>
  <c r="W13" i="12"/>
  <c r="X13" i="12"/>
  <c r="AB13" i="12" s="1"/>
  <c r="AA13" i="12"/>
  <c r="AC13" i="12" s="1"/>
  <c r="I14" i="12"/>
  <c r="J14" i="12"/>
  <c r="K14" i="12"/>
  <c r="L14" i="12"/>
  <c r="W14" i="12"/>
  <c r="AA14" i="12" s="1"/>
  <c r="AC14" i="12" s="1"/>
  <c r="X14" i="12"/>
  <c r="AB14" i="12" s="1"/>
  <c r="I15" i="12"/>
  <c r="J15" i="12"/>
  <c r="K15" i="12"/>
  <c r="L15" i="12"/>
  <c r="W15" i="12"/>
  <c r="X15" i="12"/>
  <c r="AB15" i="12" s="1"/>
  <c r="AA15" i="12"/>
  <c r="I16" i="12"/>
  <c r="J16" i="12"/>
  <c r="K16" i="12"/>
  <c r="L16" i="12"/>
  <c r="W16" i="12"/>
  <c r="AA16" i="12" s="1"/>
  <c r="AC16" i="12" s="1"/>
  <c r="X16" i="12"/>
  <c r="AB16" i="12" s="1"/>
  <c r="I17" i="12"/>
  <c r="J17" i="12"/>
  <c r="K17" i="12"/>
  <c r="L17" i="12"/>
  <c r="W17" i="12"/>
  <c r="X17" i="12"/>
  <c r="I18" i="12"/>
  <c r="J18" i="12"/>
  <c r="N18" i="12" s="1"/>
  <c r="K18" i="12"/>
  <c r="L18" i="12"/>
  <c r="W18" i="12"/>
  <c r="X18" i="12"/>
  <c r="AB18" i="12" s="1"/>
  <c r="I19" i="12"/>
  <c r="J19" i="12"/>
  <c r="K19" i="12"/>
  <c r="L19" i="12"/>
  <c r="P19" i="12" s="1"/>
  <c r="R19" i="12" s="1"/>
  <c r="W19" i="12"/>
  <c r="X19" i="12"/>
  <c r="N20" i="12"/>
  <c r="P24" i="12" s="1"/>
  <c r="P20" i="12"/>
  <c r="Q20" i="12"/>
  <c r="R20" i="12"/>
  <c r="I25" i="12"/>
  <c r="N10" i="12" s="1"/>
  <c r="G27" i="12"/>
  <c r="H20" i="12" s="1"/>
  <c r="K20" i="12" l="1"/>
  <c r="T21" i="12"/>
  <c r="L20" i="12"/>
  <c r="I20" i="12"/>
  <c r="J20" i="12"/>
  <c r="AC15" i="12"/>
  <c r="M19" i="12"/>
  <c r="S18" i="12"/>
  <c r="O18" i="12"/>
  <c r="Q18" i="12" s="1"/>
  <c r="M17" i="12"/>
  <c r="S16" i="12"/>
  <c r="O16" i="12"/>
  <c r="Q16" i="12" s="1"/>
  <c r="M15" i="12"/>
  <c r="S14" i="12"/>
  <c r="O14" i="12"/>
  <c r="Q14" i="12" s="1"/>
  <c r="M13" i="12"/>
  <c r="S12" i="12"/>
  <c r="T12" i="12" s="1"/>
  <c r="Y12" i="12" s="1"/>
  <c r="AB12" i="12" s="1"/>
  <c r="AC12" i="12" s="1"/>
  <c r="O12" i="12"/>
  <c r="Q12" i="12" s="1"/>
  <c r="M11" i="12"/>
  <c r="M10" i="12"/>
  <c r="P17" i="12"/>
  <c r="R17" i="12" s="1"/>
  <c r="N16" i="12"/>
  <c r="P15" i="12"/>
  <c r="R15" i="12" s="1"/>
  <c r="N14" i="12"/>
  <c r="P13" i="12"/>
  <c r="R13" i="12" s="1"/>
  <c r="N12" i="12"/>
  <c r="P11" i="12"/>
  <c r="R11" i="12" s="1"/>
  <c r="P10" i="12"/>
  <c r="R10" i="12" s="1"/>
  <c r="S20" i="12"/>
  <c r="S19" i="12"/>
  <c r="O19" i="12"/>
  <c r="Q19" i="12" s="1"/>
  <c r="M18" i="12"/>
  <c r="S17" i="12"/>
  <c r="T17" i="12" s="1"/>
  <c r="Y17" i="12" s="1"/>
  <c r="AA17" i="12" s="1"/>
  <c r="O17" i="12"/>
  <c r="Q17" i="12" s="1"/>
  <c r="M16" i="12"/>
  <c r="S15" i="12"/>
  <c r="T15" i="12" s="1"/>
  <c r="Y15" i="12" s="1"/>
  <c r="O15" i="12"/>
  <c r="Q15" i="12" s="1"/>
  <c r="M14" i="12"/>
  <c r="S13" i="12"/>
  <c r="T13" i="12" s="1"/>
  <c r="Y13" i="12" s="1"/>
  <c r="O13" i="12"/>
  <c r="Q13" i="12" s="1"/>
  <c r="M12" i="12"/>
  <c r="S11" i="12"/>
  <c r="O11" i="12"/>
  <c r="Q11" i="12" s="1"/>
  <c r="S10" i="12"/>
  <c r="O10" i="12"/>
  <c r="Q10" i="12" s="1"/>
  <c r="N19" i="12"/>
  <c r="P18" i="12"/>
  <c r="R18" i="12" s="1"/>
  <c r="N17" i="12"/>
  <c r="P16" i="12"/>
  <c r="R16" i="12" s="1"/>
  <c r="N15" i="12"/>
  <c r="P14" i="12"/>
  <c r="R14" i="12" s="1"/>
  <c r="N13" i="12"/>
  <c r="P12" i="12"/>
  <c r="R12" i="12" s="1"/>
  <c r="N11" i="12"/>
  <c r="T11" i="12" l="1"/>
  <c r="Y11" i="12" s="1"/>
  <c r="T19" i="12"/>
  <c r="Y19" i="12" s="1"/>
  <c r="T14" i="12"/>
  <c r="Y14" i="12" s="1"/>
  <c r="P22" i="12"/>
  <c r="T18" i="12"/>
  <c r="Y18" i="12" s="1"/>
  <c r="AA18" i="12" s="1"/>
  <c r="AC18" i="12" s="1"/>
  <c r="W4" i="12"/>
  <c r="T10" i="12"/>
  <c r="T16" i="12"/>
  <c r="Y16" i="12" s="1"/>
  <c r="P23" i="12"/>
  <c r="AB17" i="12"/>
  <c r="AC17" i="12" s="1"/>
  <c r="AA11" i="12" l="1"/>
  <c r="AB11" i="12"/>
  <c r="T20" i="12"/>
  <c r="T22" i="12" s="1"/>
  <c r="T23" i="12" s="1"/>
  <c r="AA19" i="12"/>
  <c r="AB19" i="12"/>
  <c r="AC11" i="12" l="1"/>
  <c r="AC19" i="12"/>
  <c r="L20" i="11" l="1"/>
  <c r="M21" i="11"/>
  <c r="M23" i="11"/>
  <c r="C14" i="11"/>
  <c r="F20" i="11" s="1"/>
  <c r="C12" i="11"/>
  <c r="J9" i="11" s="1"/>
  <c r="L10" i="11"/>
  <c r="G8" i="10"/>
  <c r="J9" i="10"/>
  <c r="L11" i="11" l="1"/>
  <c r="H9" i="11"/>
  <c r="G9" i="11"/>
  <c r="F9" i="11"/>
  <c r="Q9" i="11" s="1"/>
  <c r="E9" i="11"/>
  <c r="P9" i="11" s="1"/>
  <c r="P15" i="11"/>
  <c r="E20" i="11"/>
  <c r="L10" i="6"/>
  <c r="P19" i="11"/>
  <c r="P18" i="11"/>
  <c r="P17" i="11"/>
  <c r="P16" i="11"/>
  <c r="P14" i="11"/>
  <c r="Q13" i="11"/>
  <c r="P13" i="11"/>
  <c r="H13" i="11"/>
  <c r="G13" i="11"/>
  <c r="Q12" i="11"/>
  <c r="P12" i="11"/>
  <c r="H12" i="11"/>
  <c r="G12" i="11"/>
  <c r="Q11" i="11"/>
  <c r="P11" i="11"/>
  <c r="H11" i="11"/>
  <c r="G11" i="11"/>
  <c r="I11" i="11" s="1"/>
  <c r="H10" i="11"/>
  <c r="J10" i="11" s="1"/>
  <c r="G10" i="11"/>
  <c r="I10" i="11" s="1"/>
  <c r="P4" i="11" l="1"/>
  <c r="J13" i="11"/>
  <c r="K13" i="11" s="1"/>
  <c r="L12" i="11"/>
  <c r="I12" i="11"/>
  <c r="L13" i="11"/>
  <c r="K10" i="11"/>
  <c r="J12" i="11"/>
  <c r="K12" i="11" s="1"/>
  <c r="L14" i="11"/>
  <c r="I13" i="11"/>
  <c r="J11" i="11"/>
  <c r="K11" i="11" s="1"/>
  <c r="Q23" i="10"/>
  <c r="Q21" i="10"/>
  <c r="Q19" i="10"/>
  <c r="Q17" i="10"/>
  <c r="Q15" i="10"/>
  <c r="Q13" i="10"/>
  <c r="Q11" i="10"/>
  <c r="Q9" i="10"/>
  <c r="P23" i="10"/>
  <c r="R23" i="10" s="1"/>
  <c r="P22" i="10"/>
  <c r="P20" i="10"/>
  <c r="P18" i="10"/>
  <c r="P16" i="10"/>
  <c r="P14" i="10"/>
  <c r="P12" i="10"/>
  <c r="P10" i="10"/>
  <c r="M7" i="10"/>
  <c r="L7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M9" i="10"/>
  <c r="L9" i="10"/>
  <c r="I8" i="10"/>
  <c r="J8" i="10" s="1"/>
  <c r="I20" i="10"/>
  <c r="H20" i="10"/>
  <c r="G20" i="10"/>
  <c r="E24" i="10"/>
  <c r="I23" i="10"/>
  <c r="H23" i="10"/>
  <c r="G23" i="10"/>
  <c r="I22" i="10"/>
  <c r="H22" i="10"/>
  <c r="G22" i="10"/>
  <c r="I21" i="10"/>
  <c r="H21" i="10"/>
  <c r="G21" i="10"/>
  <c r="I9" i="10"/>
  <c r="H9" i="10"/>
  <c r="G9" i="10"/>
  <c r="L3" i="10"/>
  <c r="H8" i="10"/>
  <c r="M12" i="11" l="1"/>
  <c r="R12" i="11" s="1"/>
  <c r="U12" i="11" s="1"/>
  <c r="M13" i="11"/>
  <c r="R13" i="11" s="1"/>
  <c r="T13" i="11" s="1"/>
  <c r="M11" i="11"/>
  <c r="R11" i="11" s="1"/>
  <c r="T11" i="11" s="1"/>
  <c r="M10" i="11"/>
  <c r="F19" i="11"/>
  <c r="L19" i="11" s="1"/>
  <c r="H20" i="11"/>
  <c r="J20" i="11" s="1"/>
  <c r="K20" i="11" s="1"/>
  <c r="G20" i="11"/>
  <c r="I20" i="11" s="1"/>
  <c r="L15" i="11"/>
  <c r="L18" i="11"/>
  <c r="M14" i="11"/>
  <c r="L17" i="11"/>
  <c r="L16" i="11"/>
  <c r="U13" i="11"/>
  <c r="U11" i="11"/>
  <c r="T12" i="11"/>
  <c r="G10" i="10"/>
  <c r="J21" i="10"/>
  <c r="N21" i="10" s="1"/>
  <c r="P21" i="10" s="1"/>
  <c r="R21" i="10" s="1"/>
  <c r="J23" i="10"/>
  <c r="N23" i="10" s="1"/>
  <c r="N9" i="10"/>
  <c r="P9" i="10" s="1"/>
  <c r="R9" i="10" s="1"/>
  <c r="H24" i="10"/>
  <c r="J22" i="10"/>
  <c r="N22" i="10" s="1"/>
  <c r="Q22" i="10" s="1"/>
  <c r="R22" i="10" s="1"/>
  <c r="I10" i="10"/>
  <c r="G24" i="10"/>
  <c r="I24" i="10"/>
  <c r="H10" i="10"/>
  <c r="J38" i="9"/>
  <c r="J37" i="9"/>
  <c r="V13" i="11" l="1"/>
  <c r="M19" i="11"/>
  <c r="V11" i="11"/>
  <c r="V12" i="11"/>
  <c r="Q17" i="11"/>
  <c r="H16" i="11"/>
  <c r="J16" i="11" s="1"/>
  <c r="K16" i="11" s="1"/>
  <c r="Q16" i="11"/>
  <c r="G16" i="11"/>
  <c r="I16" i="11" s="1"/>
  <c r="H15" i="11"/>
  <c r="J15" i="11" s="1"/>
  <c r="K15" i="11" s="1"/>
  <c r="G15" i="11"/>
  <c r="I15" i="11" s="1"/>
  <c r="M17" i="11"/>
  <c r="H17" i="11"/>
  <c r="J17" i="11" s="1"/>
  <c r="K17" i="11" s="1"/>
  <c r="G17" i="11"/>
  <c r="I17" i="11" s="1"/>
  <c r="H19" i="11"/>
  <c r="J19" i="11" s="1"/>
  <c r="K19" i="11" s="1"/>
  <c r="Q19" i="11"/>
  <c r="G19" i="11"/>
  <c r="I19" i="11" s="1"/>
  <c r="Q15" i="11"/>
  <c r="G14" i="11"/>
  <c r="I14" i="11" s="1"/>
  <c r="H14" i="11"/>
  <c r="J14" i="11" s="1"/>
  <c r="K14" i="11" s="1"/>
  <c r="Q14" i="11"/>
  <c r="M18" i="11"/>
  <c r="H18" i="11"/>
  <c r="J18" i="11" s="1"/>
  <c r="K18" i="11" s="1"/>
  <c r="Q18" i="11"/>
  <c r="G18" i="11"/>
  <c r="I18" i="11" s="1"/>
  <c r="H11" i="10"/>
  <c r="G11" i="10"/>
  <c r="I11" i="10"/>
  <c r="J11" i="10" s="1"/>
  <c r="N11" i="10" s="1"/>
  <c r="P11" i="10" s="1"/>
  <c r="R11" i="10" s="1"/>
  <c r="J10" i="10"/>
  <c r="N10" i="10" s="1"/>
  <c r="Q10" i="10" s="1"/>
  <c r="R10" i="10" s="1"/>
  <c r="F62" i="9"/>
  <c r="L22" i="9"/>
  <c r="J22" i="9"/>
  <c r="J15" i="9"/>
  <c r="J26" i="9"/>
  <c r="N87" i="9"/>
  <c r="E78" i="9"/>
  <c r="N77" i="9"/>
  <c r="M77" i="9"/>
  <c r="L77" i="9"/>
  <c r="N76" i="9"/>
  <c r="M76" i="9"/>
  <c r="N75" i="9"/>
  <c r="M74" i="9"/>
  <c r="N73" i="9"/>
  <c r="M72" i="9"/>
  <c r="N71" i="9"/>
  <c r="M70" i="9"/>
  <c r="N69" i="9"/>
  <c r="M68" i="9"/>
  <c r="N67" i="9"/>
  <c r="M66" i="9"/>
  <c r="N65" i="9"/>
  <c r="M64" i="9"/>
  <c r="N63" i="9"/>
  <c r="M62" i="9"/>
  <c r="N61" i="9"/>
  <c r="I60" i="9"/>
  <c r="J60" i="9" s="1"/>
  <c r="N60" i="9" s="1"/>
  <c r="E61" i="9"/>
  <c r="N59" i="9"/>
  <c r="I59" i="9"/>
  <c r="J59" i="9" s="1"/>
  <c r="H59" i="9"/>
  <c r="G59" i="9"/>
  <c r="T54" i="9"/>
  <c r="I54" i="9"/>
  <c r="M14" i="9"/>
  <c r="N13" i="9"/>
  <c r="N40" i="9"/>
  <c r="N14" i="9"/>
  <c r="N24" i="9"/>
  <c r="E13" i="9"/>
  <c r="G13" i="9" s="1"/>
  <c r="N30" i="9"/>
  <c r="N29" i="9"/>
  <c r="N28" i="9"/>
  <c r="N26" i="9"/>
  <c r="N22" i="9"/>
  <c r="N20" i="9"/>
  <c r="N18" i="9"/>
  <c r="N16" i="9"/>
  <c r="N12" i="9"/>
  <c r="M30" i="9"/>
  <c r="M29" i="9"/>
  <c r="M27" i="9"/>
  <c r="M25" i="9"/>
  <c r="M23" i="9"/>
  <c r="M21" i="9"/>
  <c r="M19" i="9"/>
  <c r="M17" i="9"/>
  <c r="M15" i="9"/>
  <c r="L30" i="9"/>
  <c r="E31" i="9"/>
  <c r="T7" i="9"/>
  <c r="I12" i="9"/>
  <c r="J12" i="9" s="1"/>
  <c r="H12" i="9"/>
  <c r="G12" i="9"/>
  <c r="I7" i="9"/>
  <c r="U16" i="11" l="1"/>
  <c r="R19" i="11"/>
  <c r="T19" i="11" s="1"/>
  <c r="M15" i="11"/>
  <c r="M16" i="11"/>
  <c r="R16" i="11" s="1"/>
  <c r="T16" i="11" s="1"/>
  <c r="R18" i="11"/>
  <c r="T18" i="11" s="1"/>
  <c r="R17" i="11"/>
  <c r="T17" i="11" s="1"/>
  <c r="I12" i="10"/>
  <c r="J12" i="10" s="1"/>
  <c r="N12" i="10" s="1"/>
  <c r="Q12" i="10" s="1"/>
  <c r="R12" i="10" s="1"/>
  <c r="H12" i="10"/>
  <c r="G12" i="10"/>
  <c r="I61" i="9"/>
  <c r="J61" i="9" s="1"/>
  <c r="M61" i="9" s="1"/>
  <c r="L61" i="9"/>
  <c r="G61" i="9"/>
  <c r="K54" i="9"/>
  <c r="O82" i="9" s="1"/>
  <c r="G60" i="9"/>
  <c r="H61" i="9"/>
  <c r="H60" i="9"/>
  <c r="E14" i="9"/>
  <c r="I13" i="9"/>
  <c r="J13" i="9" s="1"/>
  <c r="E15" i="9"/>
  <c r="E16" i="9" s="1"/>
  <c r="E17" i="9" s="1"/>
  <c r="E18" i="9" s="1"/>
  <c r="E19" i="9" s="1"/>
  <c r="L19" i="9" s="1"/>
  <c r="L14" i="9"/>
  <c r="F14" i="9" s="1"/>
  <c r="H13" i="9"/>
  <c r="K7" i="9"/>
  <c r="O35" i="9" s="1"/>
  <c r="H12" i="8"/>
  <c r="H16" i="8"/>
  <c r="G16" i="8"/>
  <c r="F16" i="8"/>
  <c r="E16" i="8"/>
  <c r="M16" i="8" s="1"/>
  <c r="M15" i="8"/>
  <c r="M14" i="8"/>
  <c r="M20" i="11" l="1"/>
  <c r="M22" i="11" s="1"/>
  <c r="U18" i="11"/>
  <c r="V18" i="11" s="1"/>
  <c r="U19" i="11"/>
  <c r="V19" i="11" s="1"/>
  <c r="U17" i="11"/>
  <c r="V17" i="11" s="1"/>
  <c r="V16" i="11"/>
  <c r="R15" i="11"/>
  <c r="R14" i="11"/>
  <c r="H13" i="10"/>
  <c r="G13" i="10"/>
  <c r="I13" i="10"/>
  <c r="J13" i="10" s="1"/>
  <c r="N13" i="10" s="1"/>
  <c r="P13" i="10" s="1"/>
  <c r="R13" i="10" s="1"/>
  <c r="L62" i="9"/>
  <c r="E20" i="9"/>
  <c r="L20" i="9" s="1"/>
  <c r="F20" i="9" s="1"/>
  <c r="G14" i="9"/>
  <c r="L17" i="9"/>
  <c r="L15" i="9"/>
  <c r="L18" i="9"/>
  <c r="F18" i="9" s="1"/>
  <c r="F19" i="9" s="1"/>
  <c r="F15" i="9"/>
  <c r="G15" i="9" s="1"/>
  <c r="L16" i="9"/>
  <c r="F16" i="9" s="1"/>
  <c r="L16" i="8"/>
  <c r="N15" i="8"/>
  <c r="M9" i="8"/>
  <c r="G13" i="8"/>
  <c r="F13" i="8"/>
  <c r="E13" i="8"/>
  <c r="M12" i="8"/>
  <c r="M10" i="8"/>
  <c r="I14" i="8"/>
  <c r="J15" i="8"/>
  <c r="L15" i="8"/>
  <c r="K15" i="8"/>
  <c r="I15" i="8"/>
  <c r="L14" i="8"/>
  <c r="K14" i="8"/>
  <c r="J14" i="8"/>
  <c r="L12" i="8"/>
  <c r="K12" i="8"/>
  <c r="J12" i="8"/>
  <c r="I12" i="8"/>
  <c r="L10" i="8"/>
  <c r="K10" i="8"/>
  <c r="J10" i="8"/>
  <c r="I10" i="8"/>
  <c r="L9" i="8"/>
  <c r="K9" i="8"/>
  <c r="J9" i="8"/>
  <c r="I9" i="8"/>
  <c r="I4" i="8"/>
  <c r="P13" i="8" s="1"/>
  <c r="U14" i="11" l="1"/>
  <c r="T14" i="11"/>
  <c r="U15" i="11"/>
  <c r="T15" i="11"/>
  <c r="H14" i="10"/>
  <c r="G14" i="10"/>
  <c r="H15" i="10"/>
  <c r="I14" i="10"/>
  <c r="J14" i="10" s="1"/>
  <c r="N14" i="10" s="1"/>
  <c r="Q14" i="10" s="1"/>
  <c r="R14" i="10" s="1"/>
  <c r="H62" i="9"/>
  <c r="I62" i="9"/>
  <c r="L63" i="9"/>
  <c r="G62" i="9"/>
  <c r="E21" i="9"/>
  <c r="H15" i="9"/>
  <c r="I15" i="9"/>
  <c r="I16" i="9"/>
  <c r="H16" i="9"/>
  <c r="F17" i="9"/>
  <c r="G16" i="9"/>
  <c r="F21" i="9"/>
  <c r="E22" i="9"/>
  <c r="L21" i="9"/>
  <c r="I18" i="9"/>
  <c r="G18" i="9"/>
  <c r="H18" i="9"/>
  <c r="N10" i="8"/>
  <c r="M13" i="8"/>
  <c r="N13" i="8" s="1"/>
  <c r="K4" i="8"/>
  <c r="N9" i="8"/>
  <c r="K13" i="8"/>
  <c r="I13" i="8"/>
  <c r="L13" i="8"/>
  <c r="J13" i="8"/>
  <c r="K11" i="8"/>
  <c r="M11" i="8"/>
  <c r="N11" i="8" s="1"/>
  <c r="L11" i="8"/>
  <c r="I11" i="8"/>
  <c r="J11" i="8"/>
  <c r="I16" i="8"/>
  <c r="J16" i="8"/>
  <c r="K16" i="8"/>
  <c r="P28" i="6"/>
  <c r="D18" i="5"/>
  <c r="M15" i="5"/>
  <c r="N11" i="5"/>
  <c r="L7" i="5"/>
  <c r="M14" i="5"/>
  <c r="N33" i="6"/>
  <c r="V15" i="11" l="1"/>
  <c r="V14" i="11"/>
  <c r="G15" i="10"/>
  <c r="I15" i="10"/>
  <c r="J15" i="10" s="1"/>
  <c r="N15" i="10" s="1"/>
  <c r="P15" i="10" s="1"/>
  <c r="R15" i="10" s="1"/>
  <c r="J62" i="9"/>
  <c r="N62" i="9"/>
  <c r="I63" i="9"/>
  <c r="J63" i="9" s="1"/>
  <c r="H63" i="9"/>
  <c r="L64" i="9"/>
  <c r="G64" i="9" s="1"/>
  <c r="G63" i="9"/>
  <c r="J16" i="9"/>
  <c r="M16" i="9" s="1"/>
  <c r="H17" i="9"/>
  <c r="I17" i="9"/>
  <c r="J17" i="9" s="1"/>
  <c r="N17" i="9" s="1"/>
  <c r="G17" i="9"/>
  <c r="E23" i="9"/>
  <c r="F22" i="9"/>
  <c r="F23" i="9" s="1"/>
  <c r="I19" i="9"/>
  <c r="J19" i="9" s="1"/>
  <c r="N19" i="9" s="1"/>
  <c r="H19" i="9"/>
  <c r="G19" i="9"/>
  <c r="N12" i="8"/>
  <c r="N14" i="8"/>
  <c r="Q13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I16" i="10" l="1"/>
  <c r="J16" i="10" s="1"/>
  <c r="N16" i="10" s="1"/>
  <c r="Q16" i="10" s="1"/>
  <c r="R16" i="10" s="1"/>
  <c r="G17" i="10"/>
  <c r="G16" i="10"/>
  <c r="H16" i="10"/>
  <c r="M63" i="9"/>
  <c r="L65" i="9"/>
  <c r="I64" i="9"/>
  <c r="J64" i="9" s="1"/>
  <c r="N64" i="9" s="1"/>
  <c r="H64" i="9"/>
  <c r="J18" i="9"/>
  <c r="M18" i="9" s="1"/>
  <c r="E24" i="9"/>
  <c r="L23" i="9"/>
  <c r="G20" i="9"/>
  <c r="I20" i="9"/>
  <c r="J20" i="9" s="1"/>
  <c r="M20" i="9" s="1"/>
  <c r="H20" i="9"/>
  <c r="N16" i="8"/>
  <c r="N17" i="8" s="1"/>
  <c r="Q14" i="8" s="1"/>
  <c r="C45" i="7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I17" i="10" l="1"/>
  <c r="J17" i="10" s="1"/>
  <c r="N17" i="10" s="1"/>
  <c r="P17" i="10" s="1"/>
  <c r="R17" i="10" s="1"/>
  <c r="H17" i="10"/>
  <c r="I65" i="9"/>
  <c r="J65" i="9" s="1"/>
  <c r="H65" i="9"/>
  <c r="M65" i="9"/>
  <c r="G65" i="9"/>
  <c r="G66" i="9"/>
  <c r="L66" i="9"/>
  <c r="E25" i="9"/>
  <c r="L24" i="9"/>
  <c r="F24" i="9" s="1"/>
  <c r="F25" i="9" s="1"/>
  <c r="I21" i="9"/>
  <c r="J21" i="9" s="1"/>
  <c r="N21" i="9" s="1"/>
  <c r="H21" i="9"/>
  <c r="G21" i="9"/>
  <c r="Q34" i="7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H18" i="10" l="1"/>
  <c r="I18" i="10"/>
  <c r="J18" i="10" s="1"/>
  <c r="N18" i="10" s="1"/>
  <c r="Q18" i="10" s="1"/>
  <c r="R18" i="10" s="1"/>
  <c r="G18" i="10"/>
  <c r="L67" i="9"/>
  <c r="I66" i="9"/>
  <c r="J66" i="9" s="1"/>
  <c r="N66" i="9" s="1"/>
  <c r="H66" i="9"/>
  <c r="E26" i="9"/>
  <c r="L25" i="9"/>
  <c r="I22" i="9"/>
  <c r="M22" i="9" s="1"/>
  <c r="G22" i="9"/>
  <c r="H22" i="9"/>
  <c r="Q39" i="7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H19" i="10" l="1"/>
  <c r="I19" i="10"/>
  <c r="G19" i="10"/>
  <c r="H67" i="9"/>
  <c r="I67" i="9"/>
  <c r="J67" i="9" s="1"/>
  <c r="M67" i="9"/>
  <c r="G67" i="9"/>
  <c r="L68" i="9"/>
  <c r="E27" i="9"/>
  <c r="L26" i="9"/>
  <c r="F26" i="9" s="1"/>
  <c r="F27" i="9" s="1"/>
  <c r="G23" i="9"/>
  <c r="H23" i="9"/>
  <c r="I23" i="9"/>
  <c r="J23" i="9" s="1"/>
  <c r="N23" i="9" s="1"/>
  <c r="Q47" i="7"/>
  <c r="Q48" i="7"/>
  <c r="I48" i="7"/>
  <c r="C49" i="7"/>
  <c r="M48" i="7"/>
  <c r="N48" i="7" s="1"/>
  <c r="H48" i="7"/>
  <c r="K48" i="7"/>
  <c r="J48" i="7"/>
  <c r="R49" i="7"/>
  <c r="J19" i="10" l="1"/>
  <c r="N19" i="10" s="1"/>
  <c r="P19" i="10" s="1"/>
  <c r="R19" i="10" s="1"/>
  <c r="J20" i="10"/>
  <c r="N20" i="10" s="1"/>
  <c r="Q20" i="10" s="1"/>
  <c r="R20" i="10" s="1"/>
  <c r="I68" i="9"/>
  <c r="J68" i="9" s="1"/>
  <c r="N68" i="9" s="1"/>
  <c r="H68" i="9"/>
  <c r="L69" i="9"/>
  <c r="G68" i="9"/>
  <c r="E28" i="9"/>
  <c r="L27" i="9"/>
  <c r="I24" i="9"/>
  <c r="J24" i="9" s="1"/>
  <c r="M24" i="9" s="1"/>
  <c r="G24" i="9"/>
  <c r="H24" i="9"/>
  <c r="C50" i="7"/>
  <c r="M49" i="7"/>
  <c r="N49" i="7" s="1"/>
  <c r="H49" i="7"/>
  <c r="K49" i="7"/>
  <c r="J49" i="7"/>
  <c r="I49" i="7"/>
  <c r="J24" i="10" l="1"/>
  <c r="J25" i="10" s="1"/>
  <c r="L70" i="9"/>
  <c r="G70" i="9"/>
  <c r="I69" i="9"/>
  <c r="J69" i="9" s="1"/>
  <c r="M69" i="9" s="1"/>
  <c r="H69" i="9"/>
  <c r="G69" i="9"/>
  <c r="E29" i="9"/>
  <c r="L29" i="9" s="1"/>
  <c r="L28" i="9"/>
  <c r="F28" i="9" s="1"/>
  <c r="F29" i="9" s="1"/>
  <c r="F30" i="9" s="1"/>
  <c r="F31" i="9" s="1"/>
  <c r="I25" i="9"/>
  <c r="J25" i="9" s="1"/>
  <c r="N25" i="9" s="1"/>
  <c r="H25" i="9"/>
  <c r="G25" i="9"/>
  <c r="K50" i="7"/>
  <c r="J50" i="7"/>
  <c r="I50" i="7"/>
  <c r="C51" i="7"/>
  <c r="M50" i="7"/>
  <c r="N50" i="7" s="1"/>
  <c r="H50" i="7"/>
  <c r="Q50" i="7"/>
  <c r="R50" i="7"/>
  <c r="R51" i="7" s="1"/>
  <c r="Q49" i="7"/>
  <c r="L71" i="9" l="1"/>
  <c r="I70" i="9"/>
  <c r="J70" i="9" s="1"/>
  <c r="N70" i="9" s="1"/>
  <c r="H70" i="9"/>
  <c r="G26" i="9"/>
  <c r="I26" i="9"/>
  <c r="M26" i="9" s="1"/>
  <c r="H26" i="9"/>
  <c r="R52" i="7"/>
  <c r="J51" i="7"/>
  <c r="I51" i="7"/>
  <c r="C52" i="7"/>
  <c r="M51" i="7"/>
  <c r="N51" i="7" s="1"/>
  <c r="H51" i="7"/>
  <c r="K51" i="7"/>
  <c r="I71" i="9" l="1"/>
  <c r="J71" i="9" s="1"/>
  <c r="M71" i="9" s="1"/>
  <c r="H71" i="9"/>
  <c r="L72" i="9"/>
  <c r="G71" i="9"/>
  <c r="G27" i="9"/>
  <c r="H27" i="9"/>
  <c r="I27" i="9"/>
  <c r="J27" i="9" s="1"/>
  <c r="N27" i="9" s="1"/>
  <c r="N35" i="9" s="1"/>
  <c r="I52" i="7"/>
  <c r="C53" i="7"/>
  <c r="R53" i="7" s="1"/>
  <c r="M52" i="7"/>
  <c r="N52" i="7" s="1"/>
  <c r="Q52" i="7" s="1"/>
  <c r="H52" i="7"/>
  <c r="K52" i="7"/>
  <c r="J52" i="7"/>
  <c r="Q51" i="7"/>
  <c r="I72" i="9" l="1"/>
  <c r="J72" i="9" s="1"/>
  <c r="N72" i="9" s="1"/>
  <c r="H72" i="9"/>
  <c r="G73" i="9"/>
  <c r="L73" i="9"/>
  <c r="G72" i="9"/>
  <c r="G28" i="9"/>
  <c r="I28" i="9"/>
  <c r="J28" i="9" s="1"/>
  <c r="M28" i="9" s="1"/>
  <c r="H28" i="9"/>
  <c r="C54" i="7"/>
  <c r="M53" i="7"/>
  <c r="N53" i="7" s="1"/>
  <c r="Q53" i="7" s="1"/>
  <c r="H53" i="7"/>
  <c r="K53" i="7"/>
  <c r="J53" i="7"/>
  <c r="I53" i="7"/>
  <c r="G74" i="9" l="1"/>
  <c r="L74" i="9"/>
  <c r="I73" i="9"/>
  <c r="J73" i="9" s="1"/>
  <c r="H73" i="9"/>
  <c r="M73" i="9"/>
  <c r="G29" i="9"/>
  <c r="I29" i="9"/>
  <c r="J29" i="9" s="1"/>
  <c r="H29" i="9"/>
  <c r="K54" i="7"/>
  <c r="J54" i="7"/>
  <c r="I54" i="7"/>
  <c r="C55" i="7"/>
  <c r="M54" i="7"/>
  <c r="N54" i="7" s="1"/>
  <c r="Q54" i="7" s="1"/>
  <c r="H54" i="7"/>
  <c r="R54" i="7"/>
  <c r="R55" i="7" s="1"/>
  <c r="I74" i="9" l="1"/>
  <c r="J74" i="9" s="1"/>
  <c r="N74" i="9" s="1"/>
  <c r="N82" i="9" s="1"/>
  <c r="H74" i="9"/>
  <c r="G75" i="9"/>
  <c r="L75" i="9"/>
  <c r="G30" i="9"/>
  <c r="I30" i="9"/>
  <c r="J30" i="9" s="1"/>
  <c r="H30" i="9"/>
  <c r="R56" i="7"/>
  <c r="J55" i="7"/>
  <c r="I55" i="7"/>
  <c r="C56" i="7"/>
  <c r="M55" i="7"/>
  <c r="N55" i="7" s="1"/>
  <c r="Q55" i="7" s="1"/>
  <c r="H55" i="7"/>
  <c r="K55" i="7"/>
  <c r="G76" i="9" l="1"/>
  <c r="L76" i="9"/>
  <c r="H75" i="9"/>
  <c r="I75" i="9"/>
  <c r="J75" i="9" s="1"/>
  <c r="M75" i="9" s="1"/>
  <c r="M82" i="9" s="1"/>
  <c r="G31" i="9"/>
  <c r="I31" i="9"/>
  <c r="H31" i="9"/>
  <c r="I56" i="7"/>
  <c r="C57" i="7"/>
  <c r="R57" i="7" s="1"/>
  <c r="M56" i="7"/>
  <c r="N56" i="7" s="1"/>
  <c r="Q56" i="7" s="1"/>
  <c r="H56" i="7"/>
  <c r="K56" i="7"/>
  <c r="J56" i="7"/>
  <c r="I76" i="9" l="1"/>
  <c r="J76" i="9" s="1"/>
  <c r="H76" i="9"/>
  <c r="C58" i="7"/>
  <c r="M57" i="7"/>
  <c r="N57" i="7" s="1"/>
  <c r="Q57" i="7" s="1"/>
  <c r="H57" i="7"/>
  <c r="K57" i="7"/>
  <c r="J57" i="7"/>
  <c r="I57" i="7"/>
  <c r="F78" i="9" l="1"/>
  <c r="G77" i="9"/>
  <c r="I77" i="9"/>
  <c r="J77" i="9" s="1"/>
  <c r="J78" i="9" s="1"/>
  <c r="H77" i="9"/>
  <c r="K58" i="7"/>
  <c r="J58" i="7"/>
  <c r="I58" i="7"/>
  <c r="C59" i="7"/>
  <c r="M58" i="7"/>
  <c r="N58" i="7" s="1"/>
  <c r="Q58" i="7" s="1"/>
  <c r="H58" i="7"/>
  <c r="R58" i="7"/>
  <c r="R59" i="7" s="1"/>
  <c r="I78" i="9" l="1"/>
  <c r="H78" i="9"/>
  <c r="G78" i="9"/>
  <c r="J79" i="9" s="1"/>
  <c r="J59" i="7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  <c r="H14" i="9" l="1"/>
  <c r="I14" i="9"/>
  <c r="J14" i="9" s="1"/>
  <c r="M35" i="9" s="1"/>
  <c r="N15" i="9" l="1"/>
  <c r="J31" i="9" l="1"/>
  <c r="J32" i="9" s="1"/>
</calcChain>
</file>

<file path=xl/sharedStrings.xml><?xml version="1.0" encoding="utf-8"?>
<sst xmlns="http://schemas.openxmlformats.org/spreadsheetml/2006/main" count="365" uniqueCount="142">
  <si>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</si>
  <si>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</si>
  <si>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</si>
  <si>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</si>
  <si>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</si>
  <si>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</si>
  <si>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</si>
  <si>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</si>
  <si>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</si>
  <si>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</si>
  <si>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</si>
  <si>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</si>
  <si>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</si>
  <si>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</si>
  <si>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</si>
  <si>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</si>
  <si>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</si>
  <si>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</si>
  <si>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</si>
  <si>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</si>
  <si>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</si>
  <si>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</si>
  <si>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</si>
  <si>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</si>
  <si>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</si>
  <si>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</si>
  <si>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</si>
  <si>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</si>
  <si>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</si>
  <si>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</si>
  <si>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</si>
  <si>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</si>
  <si>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</si>
  <si>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</si>
  <si>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</si>
  <si>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</si>
  <si>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</si>
  <si>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</si>
  <si>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</si>
  <si>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</si>
  <si>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</si>
  <si>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</si>
  <si>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</si>
  <si>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</si>
  <si>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</si>
  <si>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</si>
  <si>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</si>
  <si>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</si>
  <si>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</si>
  <si>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</si>
  <si>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</si>
  <si>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</si>
  <si>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</si>
  <si>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</si>
  <si>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</si>
  <si>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</si>
  <si>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</si>
  <si>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</si>
  <si>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</si>
  <si>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</si>
  <si>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</si>
  <si>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</si>
  <si>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</si>
  <si>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</si>
  <si>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</si>
  <si>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</si>
  <si>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</si>
  <si>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</si>
  <si>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</si>
  <si>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</si>
  <si>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</si>
  <si>
    <t>Do we still have enough money?</t>
  </si>
  <si>
    <t>Yes.</t>
  </si>
  <si>
    <t>Multivariate - Increasing b while trading</t>
  </si>
  <si>
    <t>Insurance Fraud</t>
  </si>
  <si>
    <t>Assume unit price is 1$, insured facility worth $500.</t>
  </si>
  <si>
    <t>Burn Down?</t>
  </si>
  <si>
    <t>No-Fraud Actuarial Risk</t>
  </si>
  <si>
    <t>Increments</t>
  </si>
  <si>
    <t>Value</t>
  </si>
  <si>
    <t>Target</t>
  </si>
  <si>
    <t>Ins Profit</t>
  </si>
  <si>
    <t>Buyer</t>
  </si>
  <si>
    <t>Seller</t>
  </si>
  <si>
    <t>NA</t>
  </si>
  <si>
    <t>Owner Cost</t>
  </si>
  <si>
    <t>Note HIGH sensitivity to increments, particularly increments/value ratio</t>
  </si>
  <si>
    <t>Ins</t>
  </si>
  <si>
    <t>Owner</t>
  </si>
  <si>
    <t>Market</t>
  </si>
  <si>
    <t>Insurance</t>
  </si>
  <si>
    <t>Very interesting…converges to $20 (which is 4% * 500) only at high increments</t>
  </si>
  <si>
    <t>capital tie up</t>
  </si>
  <si>
    <t>problem</t>
  </si>
  <si>
    <t>insurance strategy</t>
  </si>
  <si>
    <t>ROCE</t>
  </si>
  <si>
    <t>(return on capital employed)</t>
  </si>
  <si>
    <t>Very capital intensive (but no counter-party risk)</t>
  </si>
  <si>
    <t>Will likely only work in situations</t>
  </si>
  <si>
    <t>only insure events like natural disasters (hurricane/tornado)</t>
  </si>
  <si>
    <t>works good for events where $ is potentially high (hurricane), because individuals can purchase as much insurance as they need (potentially a great deal), and insurance providers face a deep market</t>
  </si>
  <si>
    <t>include price of arson (unravel?)</t>
  </si>
  <si>
    <t>demand arson protections</t>
  </si>
  <si>
    <t>augmentation - see note on manipulation (this would certainly work IF the augmentation were ungameable [which will probably not be met])</t>
  </si>
  <si>
    <t>i=0</t>
  </si>
  <si>
    <t>i=1</t>
  </si>
  <si>
    <t>Liquidity Parameter</t>
  </si>
  <si>
    <t>Seed Capital Required</t>
  </si>
  <si>
    <t>End</t>
  </si>
  <si>
    <t>Trade</t>
  </si>
  <si>
    <t>Trade Cost</t>
  </si>
  <si>
    <t>Interpretation</t>
  </si>
  <si>
    <t>Order Books of Permanent Liquidity</t>
  </si>
  <si>
    <t>Max</t>
  </si>
  <si>
    <t>Outcome</t>
  </si>
  <si>
    <t>Min</t>
  </si>
  <si>
    <t>Scale Parameter</t>
  </si>
  <si>
    <t>i</t>
  </si>
  <si>
    <t>Refund</t>
  </si>
  <si>
    <t>Post-Hoc Net Cost</t>
  </si>
  <si>
    <t>DJIA 4/17/2014</t>
  </si>
  <si>
    <t>Scaled Contracts</t>
  </si>
  <si>
    <t>Market Author can "get back" the "left over" money, this encourages him to set appropriate min/max as this refund value is low when final value crashes into these limits.</t>
  </si>
  <si>
    <t>Max and Min must be set in advance - The Taleb Criticism</t>
  </si>
  <si>
    <t>What will the Dow Jones Industrial Average closing price be on Feb 13th, 2014?</t>
  </si>
  <si>
    <t>http://measuringworth.com/DJA/</t>
  </si>
  <si>
    <t>http://finance.yahoo.com/echarts?s=%5Edji+interactive</t>
  </si>
  <si>
    <t>https://research.stlouisfed.org/fred2/series/DJIA/downloaddata</t>
  </si>
  <si>
    <t>Escrow Account Balance: enough to pay off the shareholders</t>
  </si>
  <si>
    <t>Redemptions</t>
  </si>
  <si>
    <t>2 decimal places, rounded</t>
  </si>
  <si>
    <t>Scale</t>
  </si>
  <si>
    <t>Re: consensus, must switch to median and remove .5-disincentive</t>
  </si>
  <si>
    <t>Outcome revealed</t>
  </si>
  <si>
    <t>Becomes clear that i2=1</t>
  </si>
  <si>
    <t>Stock Market Improves</t>
  </si>
  <si>
    <t>i2=1 is better for the DJIA</t>
  </si>
  <si>
    <t>i|1</t>
  </si>
  <si>
    <t>i|0</t>
  </si>
  <si>
    <t>Index (Same Units)</t>
  </si>
  <si>
    <t>MV Scaled Contracts</t>
  </si>
  <si>
    <t>Index 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</si>
</sst>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%"/>
    <numFmt numFmtId="167" formatCode="0.0"/>
    <numFmt numFmtId="168" formatCode="0.00000"/>
    <numFmt numFmtId="169" formatCode="0.0000000"/>
    <numFmt numFmtId="170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9" fontId="0" fillId="0" borderId="0" xfId="0" applyNumberFormat="1" applyBorder="1"/>
    <xf numFmtId="168" fontId="0" fillId="0" borderId="9" xfId="0" applyNumberFormat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9" fontId="0" fillId="7" borderId="4" xfId="0" applyNumberFormat="1" applyFill="1" applyBorder="1" applyAlignment="1"/>
    <xf numFmtId="169" fontId="0" fillId="7" borderId="6" xfId="0" applyNumberFormat="1" applyFill="1" applyBorder="1" applyAlignment="1"/>
    <xf numFmtId="169" fontId="0" fillId="7" borderId="35" xfId="0" applyNumberFormat="1" applyFill="1" applyBorder="1" applyAlignment="1"/>
    <xf numFmtId="169" fontId="0" fillId="7" borderId="14" xfId="0" applyNumberFormat="1" applyFill="1" applyBorder="1" applyAlignment="1"/>
    <xf numFmtId="169" fontId="0" fillId="7" borderId="17" xfId="0" applyNumberFormat="1" applyFill="1" applyBorder="1" applyAlignment="1"/>
    <xf numFmtId="168" fontId="0" fillId="3" borderId="0" xfId="0" applyNumberFormat="1" applyFill="1" applyBorder="1" applyAlignment="1"/>
    <xf numFmtId="2" fontId="0" fillId="0" borderId="0" xfId="0" applyNumberFormat="1" applyBorder="1"/>
    <xf numFmtId="164" fontId="0" fillId="3" borderId="0" xfId="0" applyNumberFormat="1" applyFill="1" applyBorder="1" applyAlignment="1"/>
    <xf numFmtId="169" fontId="0" fillId="0" borderId="0" xfId="0" applyNumberFormat="1"/>
    <xf numFmtId="164" fontId="0" fillId="3" borderId="23" xfId="0" applyNumberFormat="1" applyFill="1" applyBorder="1" applyAlignme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3" xfId="0" applyBorder="1"/>
    <xf numFmtId="9" fontId="0" fillId="0" borderId="18" xfId="0" applyNumberFormat="1" applyBorder="1"/>
    <xf numFmtId="9" fontId="0" fillId="0" borderId="19" xfId="0" applyNumberFormat="1" applyBorder="1"/>
    <xf numFmtId="168" fontId="0" fillId="0" borderId="0" xfId="0" applyNumberFormat="1"/>
    <xf numFmtId="0" fontId="0" fillId="0" borderId="0" xfId="0" quotePrefix="1" applyFill="1" applyBorder="1"/>
    <xf numFmtId="170" fontId="0" fillId="0" borderId="0" xfId="1" applyNumberFormat="1" applyFont="1"/>
    <xf numFmtId="166" fontId="0" fillId="3" borderId="22" xfId="1" applyNumberFormat="1" applyFont="1" applyFill="1" applyBorder="1" applyAlignment="1"/>
    <xf numFmtId="166" fontId="0" fillId="3" borderId="41" xfId="1" applyNumberFormat="1" applyFont="1" applyFill="1" applyBorder="1" applyAlignment="1"/>
    <xf numFmtId="166" fontId="0" fillId="3" borderId="19" xfId="1" applyNumberFormat="1" applyFont="1" applyFill="1" applyBorder="1" applyAlignment="1"/>
    <xf numFmtId="166" fontId="0" fillId="3" borderId="39" xfId="1" applyNumberFormat="1" applyFont="1" applyFill="1" applyBorder="1" applyAlignment="1"/>
    <xf numFmtId="0" fontId="0" fillId="5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166" fontId="0" fillId="0" borderId="0" xfId="0" applyNumberFormat="1" applyBorder="1"/>
    <xf numFmtId="2" fontId="0" fillId="0" borderId="0" xfId="0" applyNumberFormat="1" applyAlignment="1"/>
    <xf numFmtId="0" fontId="0" fillId="0" borderId="0" xfId="0" applyBorder="1" applyAlignment="1">
      <alignment horizontal="left"/>
    </xf>
    <xf numFmtId="164" fontId="0" fillId="7" borderId="28" xfId="0" applyNumberFormat="1" applyFill="1" applyBorder="1" applyAlignment="1"/>
    <xf numFmtId="2" fontId="0" fillId="0" borderId="17" xfId="1" applyNumberFormat="1" applyFont="1" applyBorder="1" applyAlignment="1"/>
    <xf numFmtId="0" fontId="1" fillId="8" borderId="42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2" applyBorder="1"/>
    <xf numFmtId="0" fontId="0" fillId="14" borderId="14" xfId="0" applyFill="1" applyBorder="1" applyAlignment="1">
      <alignment horizontal="center"/>
    </xf>
    <xf numFmtId="2" fontId="0" fillId="14" borderId="39" xfId="1" applyNumberFormat="1" applyFont="1" applyFill="1" applyBorder="1" applyAlignment="1"/>
    <xf numFmtId="2" fontId="0" fillId="14" borderId="22" xfId="1" applyNumberFormat="1" applyFont="1" applyFill="1" applyBorder="1" applyAlignment="1"/>
    <xf numFmtId="2" fontId="0" fillId="14" borderId="41" xfId="1" applyNumberFormat="1" applyFont="1" applyFill="1" applyBorder="1" applyAlignment="1"/>
    <xf numFmtId="2" fontId="0" fillId="14" borderId="19" xfId="1" applyNumberFormat="1" applyFont="1" applyFill="1" applyBorder="1" applyAlignment="1"/>
    <xf numFmtId="0" fontId="0" fillId="15" borderId="14" xfId="0" applyFill="1" applyBorder="1" applyAlignment="1">
      <alignment horizontal="center"/>
    </xf>
    <xf numFmtId="2" fontId="0" fillId="15" borderId="39" xfId="1" applyNumberFormat="1" applyFont="1" applyFill="1" applyBorder="1" applyAlignment="1"/>
    <xf numFmtId="2" fontId="0" fillId="15" borderId="22" xfId="1" applyNumberFormat="1" applyFont="1" applyFill="1" applyBorder="1" applyAlignment="1"/>
    <xf numFmtId="2" fontId="0" fillId="15" borderId="41" xfId="1" applyNumberFormat="1" applyFont="1" applyFill="1" applyBorder="1" applyAlignment="1"/>
    <xf numFmtId="2" fontId="0" fillId="15" borderId="19" xfId="1" applyNumberFormat="1" applyFont="1" applyFill="1" applyBorder="1" applyAlignment="1"/>
    <xf numFmtId="0" fontId="3" fillId="0" borderId="0" xfId="0" applyFont="1" applyFill="1" applyBorder="1" applyAlignment="1">
      <alignment horizontal="left" vertical="center"/>
    </xf>
    <xf numFmtId="164" fontId="0" fillId="0" borderId="0" xfId="0" applyNumberFormat="1" applyFill="1" applyBorder="1" applyAlignment="1"/>
    <xf numFmtId="0" fontId="0" fillId="13" borderId="15" xfId="0" applyFill="1" applyBorder="1" applyAlignment="1"/>
    <xf numFmtId="0" fontId="0" fillId="13" borderId="17" xfId="0" applyFill="1" applyBorder="1" applyAlignment="1"/>
    <xf numFmtId="0" fontId="0" fillId="13" borderId="28" xfId="0" applyFill="1" applyBorder="1" applyAlignment="1"/>
    <xf numFmtId="0" fontId="0" fillId="0" borderId="10" xfId="0" applyBorder="1" applyAlignment="1"/>
    <xf numFmtId="0" fontId="0" fillId="0" borderId="18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31" xfId="0" applyBorder="1" applyAlignment="1"/>
    <xf numFmtId="0" fontId="0" fillId="5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2" fontId="0" fillId="3" borderId="4" xfId="1" applyNumberFormat="1" applyFont="1" applyFill="1" applyBorder="1" applyAlignment="1"/>
    <xf numFmtId="2" fontId="0" fillId="3" borderId="6" xfId="1" applyNumberFormat="1" applyFont="1" applyFill="1" applyBorder="1" applyAlignment="1"/>
    <xf numFmtId="2" fontId="0" fillId="3" borderId="14" xfId="1" applyNumberFormat="1" applyFont="1" applyFill="1" applyBorder="1" applyAlignment="1"/>
    <xf numFmtId="0" fontId="0" fillId="3" borderId="46" xfId="0" applyFill="1" applyBorder="1" applyAlignment="1">
      <alignment horizontal="center"/>
    </xf>
    <xf numFmtId="166" fontId="0" fillId="5" borderId="3" xfId="1" applyNumberFormat="1" applyFont="1" applyFill="1" applyBorder="1" applyAlignment="1"/>
    <xf numFmtId="166" fontId="0" fillId="3" borderId="4" xfId="1" applyNumberFormat="1" applyFont="1" applyFill="1" applyBorder="1" applyAlignment="1"/>
    <xf numFmtId="166" fontId="0" fillId="5" borderId="5" xfId="1" applyNumberFormat="1" applyFont="1" applyFill="1" applyBorder="1" applyAlignment="1"/>
    <xf numFmtId="166" fontId="0" fillId="3" borderId="6" xfId="1" applyNumberFormat="1" applyFont="1" applyFill="1" applyBorder="1" applyAlignment="1"/>
    <xf numFmtId="166" fontId="0" fillId="5" borderId="13" xfId="1" applyNumberFormat="1" applyFont="1" applyFill="1" applyBorder="1" applyAlignment="1"/>
    <xf numFmtId="166" fontId="0" fillId="3" borderId="14" xfId="1" applyNumberFormat="1" applyFont="1" applyFill="1" applyBorder="1" applyAlignment="1"/>
    <xf numFmtId="0" fontId="3" fillId="8" borderId="10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29" xfId="0" applyFont="1" applyFill="1" applyBorder="1" applyAlignment="1">
      <alignment horizontal="left" vertical="center"/>
    </xf>
    <xf numFmtId="0" fontId="3" fillId="8" borderId="12" xfId="0" applyFont="1" applyFill="1" applyBorder="1" applyAlignment="1">
      <alignment horizontal="left" vertical="center"/>
    </xf>
    <xf numFmtId="0" fontId="0" fillId="5" borderId="48" xfId="0" applyFill="1" applyBorder="1" applyAlignment="1">
      <alignment horizontal="center"/>
    </xf>
    <xf numFmtId="0" fontId="0" fillId="7" borderId="41" xfId="0" applyFill="1" applyBorder="1" applyAlignment="1"/>
    <xf numFmtId="0" fontId="0" fillId="5" borderId="27" xfId="0" applyFill="1" applyBorder="1" applyAlignment="1"/>
    <xf numFmtId="164" fontId="0" fillId="7" borderId="39" xfId="0" applyNumberFormat="1" applyFill="1" applyBorder="1" applyAlignment="1"/>
    <xf numFmtId="0" fontId="0" fillId="5" borderId="21" xfId="0" applyFill="1" applyBorder="1" applyAlignment="1"/>
    <xf numFmtId="164" fontId="0" fillId="7" borderId="22" xfId="0" applyNumberFormat="1" applyFill="1" applyBorder="1" applyAlignment="1"/>
    <xf numFmtId="0" fontId="0" fillId="5" borderId="36" xfId="0" applyFill="1" applyBorder="1" applyAlignment="1"/>
    <xf numFmtId="164" fontId="0" fillId="7" borderId="37" xfId="0" applyNumberFormat="1" applyFill="1" applyBorder="1" applyAlignment="1"/>
    <xf numFmtId="166" fontId="0" fillId="5" borderId="38" xfId="1" applyNumberFormat="1" applyFont="1" applyFill="1" applyBorder="1" applyAlignment="1"/>
    <xf numFmtId="166" fontId="0" fillId="3" borderId="49" xfId="1" applyNumberFormat="1" applyFont="1" applyFill="1" applyBorder="1" applyAlignment="1"/>
    <xf numFmtId="2" fontId="0" fillId="3" borderId="49" xfId="1" applyNumberFormat="1" applyFont="1" applyFill="1" applyBorder="1" applyAlignment="1"/>
    <xf numFmtId="164" fontId="0" fillId="7" borderId="19" xfId="0" applyNumberFormat="1" applyFill="1" applyBorder="1" applyAlignment="1"/>
    <xf numFmtId="2" fontId="0" fillId="0" borderId="0" xfId="0" applyNumberFormat="1" applyBorder="1" applyAlignment="1"/>
    <xf numFmtId="2" fontId="0" fillId="6" borderId="31" xfId="1" applyNumberFormat="1" applyFont="1" applyFill="1" applyBorder="1" applyAlignment="1">
      <alignment horizontal="center"/>
    </xf>
    <xf numFmtId="2" fontId="0" fillId="3" borderId="33" xfId="1" applyNumberFormat="1" applyFont="1" applyFill="1" applyBorder="1" applyAlignment="1">
      <alignment horizontal="center"/>
    </xf>
    <xf numFmtId="2" fontId="0" fillId="4" borderId="33" xfId="1" applyNumberFormat="1" applyFont="1" applyFill="1" applyBorder="1" applyAlignment="1">
      <alignment horizontal="center"/>
    </xf>
    <xf numFmtId="2" fontId="0" fillId="5" borderId="30" xfId="1" applyNumberFormat="1" applyFont="1" applyFill="1" applyBorder="1" applyAlignment="1">
      <alignment horizontal="center"/>
    </xf>
    <xf numFmtId="166" fontId="0" fillId="6" borderId="7" xfId="1" applyNumberFormat="1" applyFont="1" applyFill="1" applyBorder="1" applyAlignment="1">
      <alignment horizontal="center"/>
    </xf>
    <xf numFmtId="166" fontId="0" fillId="3" borderId="7" xfId="1" applyNumberFormat="1" applyFont="1" applyFill="1" applyBorder="1" applyAlignment="1">
      <alignment horizontal="center"/>
    </xf>
    <xf numFmtId="166" fontId="0" fillId="4" borderId="7" xfId="1" applyNumberFormat="1" applyFont="1" applyFill="1" applyBorder="1" applyAlignment="1">
      <alignment horizontal="center"/>
    </xf>
    <xf numFmtId="166" fontId="0" fillId="5" borderId="7" xfId="1" applyNumberFormat="1" applyFon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6" xfId="1" applyNumberFormat="1" applyFon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2" fontId="0" fillId="4" borderId="0" xfId="1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/>
    </xf>
    <xf numFmtId="166" fontId="0" fillId="3" borderId="8" xfId="1" applyNumberFormat="1" applyFont="1" applyFill="1" applyBorder="1" applyAlignment="1">
      <alignment horizontal="center"/>
    </xf>
    <xf numFmtId="166" fontId="0" fillId="4" borderId="8" xfId="1" applyNumberFormat="1" applyFont="1" applyFill="1" applyBorder="1" applyAlignment="1">
      <alignment horizontal="center"/>
    </xf>
    <xf numFmtId="166" fontId="0" fillId="5" borderId="8" xfId="1" applyNumberFormat="1" applyFon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166" fontId="0" fillId="6" borderId="0" xfId="1" applyNumberFormat="1" applyFont="1" applyFill="1" applyBorder="1" applyAlignment="1">
      <alignment horizontal="center"/>
    </xf>
    <xf numFmtId="166" fontId="0" fillId="3" borderId="0" xfId="1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6" borderId="4" xfId="1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2" xfId="0" applyBorder="1"/>
    <xf numFmtId="0" fontId="3" fillId="8" borderId="50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33344"/>
        <c:axId val="79384512"/>
      </c:lineChart>
      <c:catAx>
        <c:axId val="1126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9384512"/>
        <c:crosses val="autoZero"/>
        <c:auto val="1"/>
        <c:lblAlgn val="ctr"/>
        <c:lblOffset val="100"/>
        <c:noMultiLvlLbl val="0"/>
      </c:catAx>
      <c:valAx>
        <c:axId val="793845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26333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'Simple Example'!$G$8:$G$23</c:f>
              <c:numCache>
                <c:formatCode>0.0%</c:formatCode>
                <c:ptCount val="16"/>
                <c:pt idx="0">
                  <c:v>0.5</c:v>
                </c:pt>
                <c:pt idx="1">
                  <c:v>0.53565367083397153</c:v>
                </c:pt>
                <c:pt idx="2">
                  <c:v>0.32865254651727005</c:v>
                </c:pt>
                <c:pt idx="3">
                  <c:v>0.84739133515736897</c:v>
                </c:pt>
                <c:pt idx="4">
                  <c:v>0.5</c:v>
                </c:pt>
                <c:pt idx="5">
                  <c:v>0.88079707797788231</c:v>
                </c:pt>
                <c:pt idx="6">
                  <c:v>0.57094659688346627</c:v>
                </c:pt>
                <c:pt idx="7">
                  <c:v>0.78342090423182409</c:v>
                </c:pt>
                <c:pt idx="8">
                  <c:v>0.36090725483714864</c:v>
                </c:pt>
                <c:pt idx="9">
                  <c:v>0.88079707797788231</c:v>
                </c:pt>
                <c:pt idx="10">
                  <c:v>0.36090725483714881</c:v>
                </c:pt>
                <c:pt idx="11">
                  <c:v>0.5</c:v>
                </c:pt>
                <c:pt idx="12">
                  <c:v>0.95257412682243314</c:v>
                </c:pt>
                <c:pt idx="13">
                  <c:v>0.57094659688346627</c:v>
                </c:pt>
                <c:pt idx="14">
                  <c:v>0.99111341128091202</c:v>
                </c:pt>
                <c:pt idx="15">
                  <c:v>0.99111341128091202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52960"/>
        <c:axId val="79386816"/>
      </c:lineChart>
      <c:catAx>
        <c:axId val="1141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79386816"/>
        <c:crosses val="autoZero"/>
        <c:auto val="1"/>
        <c:lblAlgn val="ctr"/>
        <c:lblOffset val="100"/>
        <c:noMultiLvlLbl val="0"/>
      </c:catAx>
      <c:valAx>
        <c:axId val="793868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415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DJIA</a:t>
            </a:r>
            <a:r>
              <a:rPr lang="en-US" baseline="0"/>
              <a:t> on 2/13/2014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'Scaled Claims'!$K$10:$K$20</c:f>
              <c:numCache>
                <c:formatCode>0.00</c:formatCode>
                <c:ptCount val="11"/>
                <c:pt idx="0">
                  <c:v>14000</c:v>
                </c:pt>
                <c:pt idx="1">
                  <c:v>8004.0242015655977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8000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16027.58999999998</c:v>
                </c:pt>
                <c:pt idx="10">
                  <c:v>14210.96641462841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55008"/>
        <c:axId val="114196480"/>
      </c:lineChart>
      <c:catAx>
        <c:axId val="1141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96480"/>
        <c:crosses val="autoZero"/>
        <c:auto val="1"/>
        <c:lblAlgn val="ctr"/>
        <c:lblOffset val="100"/>
        <c:noMultiLvlLbl val="0"/>
      </c:catAx>
      <c:valAx>
        <c:axId val="114196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15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DJIA</a:t>
            </a:r>
            <a:r>
              <a:rPr lang="en-US" baseline="0"/>
              <a:t> on 2/13/2014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'MV Scaled'!$R$10:$R$20</c:f>
              <c:numCache>
                <c:formatCode>0.00</c:formatCode>
                <c:ptCount val="11"/>
                <c:pt idx="0">
                  <c:v>11000</c:v>
                </c:pt>
                <c:pt idx="1">
                  <c:v>11000</c:v>
                </c:pt>
                <c:pt idx="2">
                  <c:v>11734.755987211127</c:v>
                </c:pt>
                <c:pt idx="3">
                  <c:v>11734.755987211127</c:v>
                </c:pt>
                <c:pt idx="4">
                  <c:v>11734.755987211127</c:v>
                </c:pt>
                <c:pt idx="5">
                  <c:v>11647.229217593798</c:v>
                </c:pt>
                <c:pt idx="6">
                  <c:v>11503.382239729086</c:v>
                </c:pt>
                <c:pt idx="7">
                  <c:v>12800.033671585548</c:v>
                </c:pt>
                <c:pt idx="8">
                  <c:v>13026.184489190488</c:v>
                </c:pt>
                <c:pt idx="9">
                  <c:v>15935.414178785333</c:v>
                </c:pt>
                <c:pt idx="10">
                  <c:v>16027.59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9984"/>
        <c:axId val="55405952"/>
      </c:lineChart>
      <c:catAx>
        <c:axId val="395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5405952"/>
        <c:crosses val="autoZero"/>
        <c:auto val="1"/>
        <c:lblAlgn val="ctr"/>
        <c:lblOffset val="100"/>
        <c:noMultiLvlLbl val="0"/>
      </c:catAx>
      <c:valAx>
        <c:axId val="55405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52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contract'!$AM$8</c:f>
              <c:strCache>
                <c:ptCount val="1"/>
              </c:strCache>
            </c:strRef>
          </c:tx>
          <c:val>
            <c:numRef>
              <c:f>'Changing b mid contract'!$AM$9:$AM$15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contract'!$AN$8</c:f>
              <c:strCache>
                <c:ptCount val="1"/>
              </c:strCache>
            </c:strRef>
          </c:tx>
          <c:val>
            <c:numRef>
              <c:f>'Changing b mid contract'!$AN$9:$AN$15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contract'!$AO$8</c:f>
              <c:strCache>
                <c:ptCount val="1"/>
              </c:strCache>
            </c:strRef>
          </c:tx>
          <c:val>
            <c:numRef>
              <c:f>'Changing b mid contract'!$AO$9:$AO$15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contract'!$AP$8</c:f>
              <c:strCache>
                <c:ptCount val="1"/>
              </c:strCache>
            </c:strRef>
          </c:tx>
          <c:val>
            <c:numRef>
              <c:f>'Changing b mid contract'!$AP$9:$AP$15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36704"/>
        <c:axId val="114198784"/>
      </c:lineChart>
      <c:catAx>
        <c:axId val="1153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98784"/>
        <c:crosses val="autoZero"/>
        <c:auto val="1"/>
        <c:lblAlgn val="ctr"/>
        <c:lblOffset val="100"/>
        <c:noMultiLvlLbl val="0"/>
      </c:catAx>
      <c:valAx>
        <c:axId val="1141987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53367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557893</xdr:colOff>
      <xdr:row>7</xdr:row>
      <xdr:rowOff>220434</xdr:rowOff>
    </xdr:from>
    <xdr:to>
      <xdr:col>32</xdr:col>
      <xdr:colOff>285751</xdr:colOff>
      <xdr:row>22</xdr:row>
      <xdr:rowOff>99331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679209</xdr:colOff>
      <xdr:row>23</xdr:row>
      <xdr:rowOff>8983</xdr:rowOff>
    </xdr:from>
    <xdr:to>
      <xdr:col>12</xdr:col>
      <xdr:colOff>515470</xdr:colOff>
      <xdr:row>40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40475</xdr:colOff>
      <xdr:row>19</xdr:row>
      <xdr:rowOff>210687</xdr:rowOff>
    </xdr:from>
    <xdr:to>
      <xdr:col>33</xdr:col>
      <xdr:colOff>481367</xdr:colOff>
      <xdr:row>35</xdr:row>
      <xdr:rowOff>21922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5</xdr:row>
      <xdr:rowOff>190500</xdr:rowOff>
    </xdr:from>
    <xdr:to>
      <xdr:col>49</xdr:col>
      <xdr:colOff>590550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search.stlouisfed.org/fred2/series/DJIA/downloaddat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topLeftCell="A22" zoomScale="70" zoomScaleNormal="70" workbookViewId="0">
      <selection activeCell="L11" sqref="L11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203" t="s">
        <v>8</v>
      </c>
      <c r="F25" s="207" t="s">
        <v>9</v>
      </c>
      <c r="G25" s="204" t="s">
        <v>10</v>
      </c>
      <c r="H25" s="208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topLeftCell="B10" zoomScale="115" zoomScaleNormal="115" workbookViewId="0">
      <selection activeCell="L2" sqref="L2"/>
    </sheetView>
  </sheetViews>
  <sheetFormatPr defaultRowHeight="15" x14ac:dyDescent="0.25"/>
  <cols>
    <col min="5" max="9" width="11.42578125" style="34" customWidth="1"/>
    <col min="10" max="10" width="12" style="34" customWidth="1"/>
    <col min="11" max="11" width="25.7109375" customWidth="1"/>
    <col min="13" max="13" width="9.42578125" customWidth="1"/>
    <col min="14" max="14" width="12.7109375" customWidth="1"/>
    <col min="15" max="15" width="10.28515625" customWidth="1"/>
    <col min="16" max="16" width="10.7109375" hidden="1" customWidth="1"/>
    <col min="17" max="17" width="0" hidden="1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1" spans="2:24" ht="15.75" thickBot="1" x14ac:dyDescent="0.3"/>
    <row r="2" spans="2:24" ht="31.5" x14ac:dyDescent="0.5">
      <c r="B2" s="219" t="s">
        <v>112</v>
      </c>
      <c r="D2" s="163"/>
      <c r="K2" s="209" t="s">
        <v>106</v>
      </c>
      <c r="L2" s="210">
        <v>7</v>
      </c>
    </row>
    <row r="3" spans="2:24" ht="15.75" thickBot="1" x14ac:dyDescent="0.3">
      <c r="K3" s="211" t="s">
        <v>107</v>
      </c>
      <c r="L3" s="212">
        <f>I8</f>
        <v>4.8520302639196169</v>
      </c>
    </row>
    <row r="4" spans="2:24" s="7" customFormat="1" x14ac:dyDescent="0.25">
      <c r="C4"/>
      <c r="E4" s="17"/>
      <c r="F4" s="17"/>
      <c r="G4" s="34"/>
      <c r="H4" s="34"/>
      <c r="I4" s="34"/>
      <c r="J4" s="34"/>
      <c r="L4" s="27"/>
      <c r="Q4"/>
      <c r="R4"/>
      <c r="S4"/>
      <c r="T4" s="8"/>
    </row>
    <row r="5" spans="2:24" s="7" customFormat="1" ht="15.75" thickBot="1" x14ac:dyDescent="0.3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2:24" s="7" customFormat="1" ht="24.75" customHeight="1" thickBot="1" x14ac:dyDescent="0.3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L6" s="225" t="s">
        <v>109</v>
      </c>
      <c r="M6" s="226"/>
      <c r="N6" s="216" t="s">
        <v>110</v>
      </c>
      <c r="P6" s="7" t="s">
        <v>111</v>
      </c>
      <c r="Q6" s="20"/>
      <c r="R6" s="217" t="s">
        <v>111</v>
      </c>
      <c r="S6" s="20"/>
    </row>
    <row r="7" spans="2:24" s="7" customFormat="1" ht="16.5" thickTop="1" thickBot="1" x14ac:dyDescent="0.3">
      <c r="C7" s="33"/>
      <c r="D7" s="35" t="s">
        <v>51</v>
      </c>
      <c r="E7" s="203" t="s">
        <v>104</v>
      </c>
      <c r="F7" s="204" t="s">
        <v>105</v>
      </c>
      <c r="G7" s="205" t="s">
        <v>104</v>
      </c>
      <c r="H7" s="206" t="s">
        <v>105</v>
      </c>
      <c r="I7" s="43">
        <v>0</v>
      </c>
      <c r="J7" s="44"/>
      <c r="L7" s="213" t="str">
        <f>E7</f>
        <v>i=0</v>
      </c>
      <c r="M7" s="214" t="str">
        <f>F7</f>
        <v>i=1</v>
      </c>
      <c r="R7"/>
    </row>
    <row r="8" spans="2:24" s="7" customFormat="1" ht="18" customHeight="1" thickTop="1" x14ac:dyDescent="0.25">
      <c r="D8" s="26">
        <v>1</v>
      </c>
      <c r="E8" s="45">
        <v>0</v>
      </c>
      <c r="F8" s="46">
        <v>0</v>
      </c>
      <c r="G8" s="51">
        <f>EXP(E8/$L$2)/(EXP($F8/$L$2)+EXP($E8/$L$2))</f>
        <v>0.5</v>
      </c>
      <c r="H8" s="202">
        <f t="shared" ref="H8:H23" si="0">EXP(F8/$L$2)/(EXP($F8/$L$2)+EXP($E8/$L$2))</f>
        <v>0.5</v>
      </c>
      <c r="I8" s="95">
        <f t="shared" ref="I8:I24" si="1">$L$2*LN(EXP($F8/$L$2)+EXP($E8/$L$2))</f>
        <v>4.8520302639196169</v>
      </c>
      <c r="J8" s="47">
        <f>(I8-I7)</f>
        <v>4.8520302639196169</v>
      </c>
      <c r="L8" s="135"/>
      <c r="M8" s="118"/>
      <c r="R8"/>
      <c r="X8" s="220"/>
    </row>
    <row r="9" spans="2:24" s="7" customFormat="1" ht="18.75" x14ac:dyDescent="0.3">
      <c r="D9" s="26">
        <v>2</v>
      </c>
      <c r="E9" s="48">
        <v>1</v>
      </c>
      <c r="F9" s="42">
        <v>0</v>
      </c>
      <c r="G9" s="49">
        <f t="shared" ref="G8:G23" si="2">EXP(E9/$L$2)/(EXP($F9/$L$2)+EXP($E9/$L$2))</f>
        <v>0.53565367083397153</v>
      </c>
      <c r="H9" s="199">
        <f t="shared" si="0"/>
        <v>0.46434632916602836</v>
      </c>
      <c r="I9" s="96">
        <f t="shared" si="1"/>
        <v>5.3698722427589098</v>
      </c>
      <c r="J9" s="50">
        <f>(I9-I8)</f>
        <v>0.51784197883929295</v>
      </c>
      <c r="L9" s="135">
        <f>E9-E8</f>
        <v>1</v>
      </c>
      <c r="M9" s="118">
        <f>F9-F8</f>
        <v>0</v>
      </c>
      <c r="N9" s="215">
        <f t="shared" ref="N9:N23" si="3">J9</f>
        <v>0.51784197883929295</v>
      </c>
      <c r="P9" s="7" t="str">
        <f>IF(L9&gt;0,"Bought ",IF(L9&lt;0,"Sold ",""))&amp;IF(L9&lt;0,L9*-1,IF(L9&gt;0,L9,""))&amp;IF(L9&lt;&gt;0," Shares of State 1 at a cost of "&amp;ROUND($N9,5),"")</f>
        <v>Bought 1 Shares of State 1 at a cost of 0.51784</v>
      </c>
      <c r="Q9" s="7" t="str">
        <f t="shared" ref="Q9" si="4">IF(M9&gt;0,"Bought ",IF(M9&lt;0,"Sold ",""))&amp;IF(M9&lt;0,M9*-1,IF(M9&gt;0,M9,""))&amp;IF(M9&lt;&gt;0," Shares of State 2 at a cost of "&amp;ROUND($N9,5),"")</f>
        <v/>
      </c>
      <c r="R9" s="218" t="str">
        <f>P9&amp;Q9</f>
        <v>Bought 1 Shares of State 1 at a cost of 0.51784</v>
      </c>
    </row>
    <row r="10" spans="2:24" s="7" customFormat="1" ht="18.75" x14ac:dyDescent="0.3">
      <c r="D10" s="26">
        <v>3</v>
      </c>
      <c r="E10" s="48">
        <v>1</v>
      </c>
      <c r="F10" s="42">
        <v>6</v>
      </c>
      <c r="G10" s="49">
        <f t="shared" si="2"/>
        <v>0.32865254651727005</v>
      </c>
      <c r="H10" s="199">
        <f t="shared" si="0"/>
        <v>0.67134745348273006</v>
      </c>
      <c r="I10" s="96">
        <f t="shared" si="1"/>
        <v>8.7892792311985044</v>
      </c>
      <c r="J10" s="50">
        <f t="shared" ref="J10:J22" si="5">(I10-I9)</f>
        <v>3.4194069884395946</v>
      </c>
      <c r="L10" s="135">
        <f t="shared" ref="L10:L23" si="6">E10-E9</f>
        <v>0</v>
      </c>
      <c r="M10" s="118">
        <f t="shared" ref="M10:M23" si="7">F10-F9</f>
        <v>6</v>
      </c>
      <c r="N10" s="215">
        <f t="shared" si="3"/>
        <v>3.4194069884395946</v>
      </c>
      <c r="P10" s="7" t="str">
        <f t="shared" ref="P10:P23" si="8">IF(L10&gt;0,"Bought ",IF(L10&lt;0,"Sold ",""))&amp;IF(L10&lt;0,L10*-1,IF(L10&gt;0,L10,""))&amp;IF(L10&lt;&gt;0," Shares of State 1 at a cost of "&amp;ROUND($N10,5),"")</f>
        <v/>
      </c>
      <c r="Q10" s="7" t="str">
        <f>IF(M10&gt;0,"Bought ",IF(M10&lt;0,"Sold ",""))&amp;IF(M10&lt;0,M10*-1,IF(M10&gt;0,M10,""))&amp;IF(M10&lt;&gt;0," Shares of State 2 at a cost of "&amp;ROUND($N10,5),"")</f>
        <v>Bought 6 Shares of State 2 at a cost of 3.41941</v>
      </c>
      <c r="R10" s="218" t="str">
        <f t="shared" ref="R10:R23" si="9">P10&amp;Q10</f>
        <v>Bought 6 Shares of State 2 at a cost of 3.41941</v>
      </c>
    </row>
    <row r="11" spans="2:24" s="7" customFormat="1" ht="18.75" x14ac:dyDescent="0.3">
      <c r="D11" s="26">
        <v>4</v>
      </c>
      <c r="E11" s="48">
        <v>18</v>
      </c>
      <c r="F11" s="42">
        <v>6</v>
      </c>
      <c r="G11" s="49">
        <f t="shared" si="2"/>
        <v>0.84739133515736897</v>
      </c>
      <c r="H11" s="199">
        <f t="shared" si="0"/>
        <v>0.152608664842631</v>
      </c>
      <c r="I11" s="96">
        <f t="shared" si="1"/>
        <v>19.159148662361027</v>
      </c>
      <c r="J11" s="50">
        <f t="shared" ref="J11:J20" si="10">(I11-I10)</f>
        <v>10.369869431162522</v>
      </c>
      <c r="L11" s="135">
        <f t="shared" si="6"/>
        <v>17</v>
      </c>
      <c r="M11" s="118">
        <f t="shared" si="7"/>
        <v>0</v>
      </c>
      <c r="N11" s="215">
        <f t="shared" si="3"/>
        <v>10.369869431162522</v>
      </c>
      <c r="P11" s="7" t="str">
        <f t="shared" si="8"/>
        <v>Bought 17 Shares of State 1 at a cost of 10.36987</v>
      </c>
      <c r="Q11" s="7" t="str">
        <f t="shared" ref="Q11:Q23" si="11">IF(M11&gt;0,"Bought ",IF(M11&lt;0,"Sold ",""))&amp;IF(M11&lt;0,M11*-1,IF(M11&gt;0,M11,""))&amp;IF(M11&lt;&gt;0," Shares of State 2 at a cost of "&amp;ROUND($N11,5),"")</f>
        <v/>
      </c>
      <c r="R11" s="218" t="str">
        <f t="shared" si="9"/>
        <v>Bought 17 Shares of State 1 at a cost of 10.36987</v>
      </c>
    </row>
    <row r="12" spans="2:24" s="7" customFormat="1" ht="18.75" x14ac:dyDescent="0.3">
      <c r="D12" s="26">
        <v>5</v>
      </c>
      <c r="E12" s="48">
        <v>18</v>
      </c>
      <c r="F12" s="42">
        <v>18</v>
      </c>
      <c r="G12" s="49">
        <f t="shared" si="2"/>
        <v>0.5</v>
      </c>
      <c r="H12" s="199">
        <f t="shared" si="0"/>
        <v>0.5</v>
      </c>
      <c r="I12" s="96">
        <f t="shared" si="1"/>
        <v>22.85203026391962</v>
      </c>
      <c r="J12" s="50">
        <f t="shared" si="10"/>
        <v>3.692881601558593</v>
      </c>
      <c r="L12" s="135">
        <f t="shared" si="6"/>
        <v>0</v>
      </c>
      <c r="M12" s="118">
        <f t="shared" si="7"/>
        <v>12</v>
      </c>
      <c r="N12" s="215">
        <f t="shared" si="3"/>
        <v>3.692881601558593</v>
      </c>
      <c r="P12" s="7" t="str">
        <f t="shared" si="8"/>
        <v/>
      </c>
      <c r="Q12" s="7" t="str">
        <f t="shared" si="11"/>
        <v>Bought 12 Shares of State 2 at a cost of 3.69288</v>
      </c>
      <c r="R12" s="218" t="str">
        <f t="shared" si="9"/>
        <v>Bought 12 Shares of State 2 at a cost of 3.69288</v>
      </c>
    </row>
    <row r="13" spans="2:24" s="7" customFormat="1" ht="18.75" x14ac:dyDescent="0.3">
      <c r="D13" s="26">
        <v>6</v>
      </c>
      <c r="E13" s="48">
        <v>32</v>
      </c>
      <c r="F13" s="42">
        <v>18</v>
      </c>
      <c r="G13" s="49">
        <f t="shared" si="2"/>
        <v>0.88079707797788231</v>
      </c>
      <c r="H13" s="199">
        <f t="shared" si="0"/>
        <v>0.11920292202211759</v>
      </c>
      <c r="I13" s="96">
        <f t="shared" si="1"/>
        <v>32.8884960773008</v>
      </c>
      <c r="J13" s="50">
        <f t="shared" si="10"/>
        <v>10.036465813381181</v>
      </c>
      <c r="L13" s="135">
        <f t="shared" si="6"/>
        <v>14</v>
      </c>
      <c r="M13" s="118">
        <f t="shared" si="7"/>
        <v>0</v>
      </c>
      <c r="N13" s="215">
        <f t="shared" si="3"/>
        <v>10.036465813381181</v>
      </c>
      <c r="P13" s="7" t="str">
        <f t="shared" si="8"/>
        <v>Bought 14 Shares of State 1 at a cost of 10.03647</v>
      </c>
      <c r="Q13" s="7" t="str">
        <f t="shared" si="11"/>
        <v/>
      </c>
      <c r="R13" s="218" t="str">
        <f t="shared" si="9"/>
        <v>Bought 14 Shares of State 1 at a cost of 10.03647</v>
      </c>
    </row>
    <row r="14" spans="2:24" s="7" customFormat="1" ht="18.75" x14ac:dyDescent="0.3">
      <c r="D14" s="26">
        <v>7</v>
      </c>
      <c r="E14" s="48">
        <v>32</v>
      </c>
      <c r="F14" s="42">
        <v>30</v>
      </c>
      <c r="G14" s="49">
        <f t="shared" si="2"/>
        <v>0.57094659688346627</v>
      </c>
      <c r="H14" s="199">
        <f t="shared" si="0"/>
        <v>0.42905340311653373</v>
      </c>
      <c r="I14" s="96">
        <f t="shared" si="1"/>
        <v>35.923217195086352</v>
      </c>
      <c r="J14" s="50">
        <f t="shared" si="10"/>
        <v>3.0347211177855513</v>
      </c>
      <c r="L14" s="135">
        <f t="shared" si="6"/>
        <v>0</v>
      </c>
      <c r="M14" s="118">
        <f t="shared" si="7"/>
        <v>12</v>
      </c>
      <c r="N14" s="215">
        <f t="shared" si="3"/>
        <v>3.0347211177855513</v>
      </c>
      <c r="P14" s="7" t="str">
        <f t="shared" si="8"/>
        <v/>
      </c>
      <c r="Q14" s="7" t="str">
        <f t="shared" si="11"/>
        <v>Bought 12 Shares of State 2 at a cost of 3.03472</v>
      </c>
      <c r="R14" s="218" t="str">
        <f t="shared" si="9"/>
        <v>Bought 12 Shares of State 2 at a cost of 3.03472</v>
      </c>
    </row>
    <row r="15" spans="2:24" s="7" customFormat="1" ht="18.75" x14ac:dyDescent="0.3">
      <c r="D15" s="26">
        <v>8</v>
      </c>
      <c r="E15" s="48">
        <v>39</v>
      </c>
      <c r="F15" s="42">
        <v>30</v>
      </c>
      <c r="G15" s="49">
        <f t="shared" si="2"/>
        <v>0.78342090423182409</v>
      </c>
      <c r="H15" s="199">
        <f t="shared" si="0"/>
        <v>0.21657909576817599</v>
      </c>
      <c r="I15" s="96">
        <f t="shared" si="1"/>
        <v>40.70859621886801</v>
      </c>
      <c r="J15" s="50">
        <f t="shared" si="10"/>
        <v>4.7853790237816582</v>
      </c>
      <c r="L15" s="135">
        <f t="shared" si="6"/>
        <v>7</v>
      </c>
      <c r="M15" s="118">
        <f t="shared" si="7"/>
        <v>0</v>
      </c>
      <c r="N15" s="215">
        <f t="shared" si="3"/>
        <v>4.7853790237816582</v>
      </c>
      <c r="P15" s="7" t="str">
        <f t="shared" si="8"/>
        <v>Bought 7 Shares of State 1 at a cost of 4.78538</v>
      </c>
      <c r="Q15" s="7" t="str">
        <f t="shared" si="11"/>
        <v/>
      </c>
      <c r="R15" s="218" t="str">
        <f t="shared" si="9"/>
        <v>Bought 7 Shares of State 1 at a cost of 4.78538</v>
      </c>
    </row>
    <row r="16" spans="2:24" s="7" customFormat="1" ht="18.75" x14ac:dyDescent="0.3">
      <c r="D16" s="26">
        <v>9</v>
      </c>
      <c r="E16" s="48">
        <v>39</v>
      </c>
      <c r="F16" s="42">
        <v>43</v>
      </c>
      <c r="G16" s="49">
        <f t="shared" si="2"/>
        <v>0.36090725483714864</v>
      </c>
      <c r="H16" s="199">
        <f t="shared" si="0"/>
        <v>0.63909274516285142</v>
      </c>
      <c r="I16" s="96">
        <f t="shared" si="1"/>
        <v>46.133939858256404</v>
      </c>
      <c r="J16" s="50">
        <f t="shared" si="10"/>
        <v>5.4253436393883945</v>
      </c>
      <c r="L16" s="135">
        <f t="shared" si="6"/>
        <v>0</v>
      </c>
      <c r="M16" s="118">
        <f t="shared" si="7"/>
        <v>13</v>
      </c>
      <c r="N16" s="215">
        <f t="shared" si="3"/>
        <v>5.4253436393883945</v>
      </c>
      <c r="P16" s="7" t="str">
        <f t="shared" si="8"/>
        <v/>
      </c>
      <c r="Q16" s="7" t="str">
        <f t="shared" si="11"/>
        <v>Bought 13 Shares of State 2 at a cost of 5.42534</v>
      </c>
      <c r="R16" s="218" t="str">
        <f t="shared" si="9"/>
        <v>Bought 13 Shares of State 2 at a cost of 5.42534</v>
      </c>
    </row>
    <row r="17" spans="3:19" s="7" customFormat="1" ht="18.75" x14ac:dyDescent="0.3">
      <c r="D17" s="26">
        <v>10</v>
      </c>
      <c r="E17" s="48">
        <v>57</v>
      </c>
      <c r="F17" s="42">
        <v>43</v>
      </c>
      <c r="G17" s="49">
        <f t="shared" si="2"/>
        <v>0.88079707797788231</v>
      </c>
      <c r="H17" s="199">
        <f t="shared" si="0"/>
        <v>0.11920292202211764</v>
      </c>
      <c r="I17" s="96">
        <f t="shared" si="1"/>
        <v>57.8884960773008</v>
      </c>
      <c r="J17" s="50">
        <f>(I17-I16)</f>
        <v>11.754556219044396</v>
      </c>
      <c r="L17" s="135">
        <f t="shared" si="6"/>
        <v>18</v>
      </c>
      <c r="M17" s="118">
        <f t="shared" si="7"/>
        <v>0</v>
      </c>
      <c r="N17" s="215">
        <f t="shared" si="3"/>
        <v>11.754556219044396</v>
      </c>
      <c r="P17" s="7" t="str">
        <f t="shared" si="8"/>
        <v>Bought 18 Shares of State 1 at a cost of 11.75456</v>
      </c>
      <c r="Q17" s="7" t="str">
        <f t="shared" si="11"/>
        <v/>
      </c>
      <c r="R17" s="218" t="str">
        <f t="shared" si="9"/>
        <v>Bought 18 Shares of State 1 at a cost of 11.75456</v>
      </c>
    </row>
    <row r="18" spans="3:19" s="7" customFormat="1" ht="18.75" x14ac:dyDescent="0.3">
      <c r="D18" s="26">
        <v>11</v>
      </c>
      <c r="E18" s="48">
        <v>57</v>
      </c>
      <c r="F18" s="42">
        <v>61</v>
      </c>
      <c r="G18" s="49">
        <f t="shared" si="2"/>
        <v>0.36090725483714881</v>
      </c>
      <c r="H18" s="199">
        <f t="shared" si="0"/>
        <v>0.63909274516285108</v>
      </c>
      <c r="I18" s="96">
        <f t="shared" si="1"/>
        <v>64.133939858256412</v>
      </c>
      <c r="J18" s="50">
        <f t="shared" si="10"/>
        <v>6.2454437809556111</v>
      </c>
      <c r="L18" s="135">
        <f t="shared" si="6"/>
        <v>0</v>
      </c>
      <c r="M18" s="118">
        <f t="shared" si="7"/>
        <v>18</v>
      </c>
      <c r="N18" s="215">
        <f t="shared" si="3"/>
        <v>6.2454437809556111</v>
      </c>
      <c r="P18" s="7" t="str">
        <f t="shared" si="8"/>
        <v/>
      </c>
      <c r="Q18" s="7" t="str">
        <f t="shared" si="11"/>
        <v>Bought 18 Shares of State 2 at a cost of 6.24544</v>
      </c>
      <c r="R18" s="218" t="str">
        <f t="shared" si="9"/>
        <v>Bought 18 Shares of State 2 at a cost of 6.24544</v>
      </c>
    </row>
    <row r="19" spans="3:19" s="7" customFormat="1" ht="18.75" x14ac:dyDescent="0.3">
      <c r="D19" s="26">
        <v>12</v>
      </c>
      <c r="E19" s="48">
        <v>61</v>
      </c>
      <c r="F19" s="42">
        <v>61</v>
      </c>
      <c r="G19" s="49">
        <f t="shared" si="2"/>
        <v>0.5</v>
      </c>
      <c r="H19" s="199">
        <f t="shared" si="0"/>
        <v>0.5</v>
      </c>
      <c r="I19" s="96">
        <f t="shared" si="1"/>
        <v>65.852030263919616</v>
      </c>
      <c r="J19" s="50">
        <f t="shared" si="10"/>
        <v>1.7180904056632045</v>
      </c>
      <c r="L19" s="135">
        <f t="shared" si="6"/>
        <v>4</v>
      </c>
      <c r="M19" s="118">
        <f t="shared" si="7"/>
        <v>0</v>
      </c>
      <c r="N19" s="215">
        <f t="shared" si="3"/>
        <v>1.7180904056632045</v>
      </c>
      <c r="P19" s="7" t="str">
        <f t="shared" si="8"/>
        <v>Bought 4 Shares of State 1 at a cost of 1.71809</v>
      </c>
      <c r="Q19" s="7" t="str">
        <f t="shared" si="11"/>
        <v/>
      </c>
      <c r="R19" s="218" t="str">
        <f t="shared" si="9"/>
        <v>Bought 4 Shares of State 1 at a cost of 1.71809</v>
      </c>
    </row>
    <row r="20" spans="3:19" s="7" customFormat="1" ht="18.75" x14ac:dyDescent="0.3">
      <c r="D20" s="26">
        <v>13</v>
      </c>
      <c r="E20" s="48">
        <v>61</v>
      </c>
      <c r="F20" s="42">
        <v>40</v>
      </c>
      <c r="G20" s="49">
        <f t="shared" si="2"/>
        <v>0.95257412682243314</v>
      </c>
      <c r="H20" s="199">
        <f t="shared" si="0"/>
        <v>4.7425873177566823E-2</v>
      </c>
      <c r="I20" s="96">
        <f t="shared" si="1"/>
        <v>61.340111461016193</v>
      </c>
      <c r="J20" s="50">
        <f t="shared" si="10"/>
        <v>-4.5119188029034234</v>
      </c>
      <c r="L20" s="135">
        <f t="shared" si="6"/>
        <v>0</v>
      </c>
      <c r="M20" s="118">
        <f t="shared" si="7"/>
        <v>-21</v>
      </c>
      <c r="N20" s="215">
        <f t="shared" si="3"/>
        <v>-4.5119188029034234</v>
      </c>
      <c r="P20" s="7" t="str">
        <f t="shared" si="8"/>
        <v/>
      </c>
      <c r="Q20" s="7" t="str">
        <f t="shared" si="11"/>
        <v>Sold 21 Shares of State 2 at a cost of -4.51192</v>
      </c>
      <c r="R20" s="218" t="str">
        <f t="shared" si="9"/>
        <v>Sold 21 Shares of State 2 at a cost of -4.51192</v>
      </c>
    </row>
    <row r="21" spans="3:19" s="7" customFormat="1" ht="18.75" x14ac:dyDescent="0.3">
      <c r="D21" s="26">
        <v>14</v>
      </c>
      <c r="E21" s="48">
        <v>42</v>
      </c>
      <c r="F21" s="42">
        <v>40</v>
      </c>
      <c r="G21" s="49">
        <f t="shared" si="2"/>
        <v>0.57094659688346627</v>
      </c>
      <c r="H21" s="199">
        <f t="shared" si="0"/>
        <v>0.42905340311653378</v>
      </c>
      <c r="I21" s="96">
        <f t="shared" si="1"/>
        <v>45.923217195086359</v>
      </c>
      <c r="J21" s="50">
        <f t="shared" si="5"/>
        <v>-15.416894265929834</v>
      </c>
      <c r="L21" s="135">
        <f t="shared" si="6"/>
        <v>-19</v>
      </c>
      <c r="M21" s="118">
        <f t="shared" si="7"/>
        <v>0</v>
      </c>
      <c r="N21" s="215">
        <f t="shared" si="3"/>
        <v>-15.416894265929834</v>
      </c>
      <c r="P21" s="7" t="str">
        <f t="shared" si="8"/>
        <v>Sold 19 Shares of State 1 at a cost of -15.41689</v>
      </c>
      <c r="Q21" s="7" t="str">
        <f t="shared" si="11"/>
        <v/>
      </c>
      <c r="R21" s="218" t="str">
        <f t="shared" si="9"/>
        <v>Sold 19 Shares of State 1 at a cost of -15.41689</v>
      </c>
    </row>
    <row r="22" spans="3:19" s="7" customFormat="1" ht="18.75" x14ac:dyDescent="0.3">
      <c r="C22"/>
      <c r="D22" s="26">
        <v>15</v>
      </c>
      <c r="E22" s="48">
        <v>42</v>
      </c>
      <c r="F22" s="42">
        <v>9</v>
      </c>
      <c r="G22" s="49">
        <f t="shared" si="2"/>
        <v>0.99111341128091202</v>
      </c>
      <c r="H22" s="199">
        <f t="shared" si="0"/>
        <v>8.8865887190879463E-3</v>
      </c>
      <c r="I22" s="96">
        <f t="shared" si="1"/>
        <v>42.062484169635077</v>
      </c>
      <c r="J22" s="50">
        <f t="shared" si="5"/>
        <v>-3.8607330254512817</v>
      </c>
      <c r="L22" s="135">
        <f t="shared" si="6"/>
        <v>0</v>
      </c>
      <c r="M22" s="118">
        <f t="shared" si="7"/>
        <v>-31</v>
      </c>
      <c r="N22" s="215">
        <f t="shared" si="3"/>
        <v>-3.8607330254512817</v>
      </c>
      <c r="P22" s="7" t="str">
        <f t="shared" si="8"/>
        <v/>
      </c>
      <c r="Q22" s="7" t="str">
        <f t="shared" si="11"/>
        <v>Sold 31 Shares of State 2 at a cost of -3.86073</v>
      </c>
      <c r="R22" s="218" t="str">
        <f t="shared" si="9"/>
        <v>Sold 31 Shares of State 2 at a cost of -3.86073</v>
      </c>
    </row>
    <row r="23" spans="3:19" s="7" customFormat="1" ht="19.5" thickBot="1" x14ac:dyDescent="0.35">
      <c r="D23" s="26">
        <v>16</v>
      </c>
      <c r="E23" s="40">
        <v>42</v>
      </c>
      <c r="F23" s="41">
        <v>9</v>
      </c>
      <c r="G23" s="131">
        <f t="shared" si="2"/>
        <v>0.99111341128091202</v>
      </c>
      <c r="H23" s="200">
        <f t="shared" si="0"/>
        <v>8.8865887190879463E-3</v>
      </c>
      <c r="I23" s="133">
        <f t="shared" si="1"/>
        <v>42.062484169635077</v>
      </c>
      <c r="J23" s="134">
        <f>(I23-I22)</f>
        <v>0</v>
      </c>
      <c r="L23" s="143">
        <f t="shared" si="6"/>
        <v>0</v>
      </c>
      <c r="M23" s="120">
        <f t="shared" si="7"/>
        <v>0</v>
      </c>
      <c r="N23" s="215">
        <f t="shared" si="3"/>
        <v>0</v>
      </c>
      <c r="P23" s="7" t="str">
        <f t="shared" si="8"/>
        <v/>
      </c>
      <c r="Q23" s="7" t="str">
        <f t="shared" si="11"/>
        <v/>
      </c>
      <c r="R23" s="218" t="str">
        <f t="shared" si="9"/>
        <v/>
      </c>
    </row>
    <row r="24" spans="3:19" s="7" customFormat="1" ht="16.5" thickTop="1" thickBot="1" x14ac:dyDescent="0.3">
      <c r="D24" s="26" t="s">
        <v>108</v>
      </c>
      <c r="E24" s="52">
        <f>E23</f>
        <v>42</v>
      </c>
      <c r="F24" s="53">
        <v>0</v>
      </c>
      <c r="G24" s="54">
        <f>EXP(E24)/(EXP($F24)+EXP($E24))</f>
        <v>1</v>
      </c>
      <c r="H24" s="201">
        <f>EXP(F24)/(EXP($F24)+EXP($E24))</f>
        <v>5.7495222642935599E-19</v>
      </c>
      <c r="I24" s="97">
        <f t="shared" si="1"/>
        <v>42.017329795964109</v>
      </c>
      <c r="J24" s="55">
        <f>SUM(J8:J23)</f>
        <v>42.062484169635077</v>
      </c>
      <c r="K24" s="8" t="s">
        <v>47</v>
      </c>
      <c r="Q24" s="8"/>
      <c r="R24" s="8"/>
      <c r="S24" s="8"/>
    </row>
    <row r="25" spans="3:19" s="7" customFormat="1" ht="15.75" thickBot="1" x14ac:dyDescent="0.3">
      <c r="C25"/>
      <c r="D25"/>
      <c r="E25" s="34"/>
      <c r="F25" s="34"/>
      <c r="G25" s="34"/>
      <c r="H25" s="34"/>
      <c r="I25" s="130">
        <v>0</v>
      </c>
      <c r="J25" s="56">
        <f>J24-(SUMPRODUCT(G24:H24,E24:F24))</f>
        <v>6.248416963507708E-2</v>
      </c>
      <c r="K25" t="s">
        <v>64</v>
      </c>
      <c r="Q25"/>
      <c r="R25"/>
      <c r="S25"/>
    </row>
    <row r="26" spans="3:19" s="7" customFormat="1" x14ac:dyDescent="0.25">
      <c r="E26" s="17"/>
      <c r="F26" s="17"/>
      <c r="G26" s="17"/>
      <c r="H26" s="17"/>
      <c r="I26" s="57"/>
      <c r="J26" s="58"/>
    </row>
    <row r="27" spans="3:19" s="7" customFormat="1" x14ac:dyDescent="0.25">
      <c r="E27" s="17"/>
      <c r="F27" s="17"/>
      <c r="G27" s="17"/>
      <c r="H27" s="17"/>
      <c r="I27" s="57"/>
      <c r="J27" s="58"/>
      <c r="O27" s="8"/>
      <c r="P27" s="8"/>
      <c r="Q27" s="8"/>
      <c r="R27" s="29"/>
      <c r="S27" s="29"/>
    </row>
  </sheetData>
  <mergeCells count="1">
    <mergeCell ref="L6:M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8"/>
  <sheetViews>
    <sheetView tabSelected="1" topLeftCell="A4" zoomScale="85" zoomScaleNormal="85" workbookViewId="0">
      <selection activeCell="M2" sqref="M2"/>
    </sheetView>
  </sheetViews>
  <sheetFormatPr defaultRowHeight="15" x14ac:dyDescent="0.25"/>
  <cols>
    <col min="5" max="12" width="11.42578125" style="34" customWidth="1"/>
    <col min="13" max="14" width="12" style="34" customWidth="1"/>
    <col min="15" max="15" width="25.7109375" customWidth="1"/>
    <col min="17" max="17" width="9.42578125" customWidth="1"/>
    <col min="18" max="18" width="12.7109375" customWidth="1"/>
    <col min="19" max="19" width="10.28515625" customWidth="1"/>
    <col min="20" max="20" width="10.7109375" hidden="1" customWidth="1"/>
    <col min="21" max="21" width="0" hidden="1" customWidth="1"/>
    <col min="22" max="22" width="9.42578125" customWidth="1"/>
    <col min="24" max="24" width="12.140625" customWidth="1"/>
    <col min="25" max="25" width="10.5703125" customWidth="1"/>
    <col min="28" max="28" width="11.140625" customWidth="1"/>
  </cols>
  <sheetData>
    <row r="2" spans="2:28" ht="32.25" thickBot="1" x14ac:dyDescent="0.55000000000000004">
      <c r="B2" s="219" t="s">
        <v>121</v>
      </c>
      <c r="D2" s="163"/>
    </row>
    <row r="3" spans="2:28" ht="21" x14ac:dyDescent="0.35">
      <c r="B3" s="7" t="s">
        <v>124</v>
      </c>
      <c r="D3" s="163"/>
      <c r="O3" s="209" t="s">
        <v>106</v>
      </c>
      <c r="P3" s="210">
        <v>0.1</v>
      </c>
    </row>
    <row r="4" spans="2:28" ht="15.75" thickBot="1" x14ac:dyDescent="0.3">
      <c r="B4" t="s">
        <v>130</v>
      </c>
      <c r="O4" s="211" t="s">
        <v>107</v>
      </c>
      <c r="P4" s="212">
        <f>L10</f>
        <v>831.77661667193433</v>
      </c>
    </row>
    <row r="5" spans="2:28" x14ac:dyDescent="0.25">
      <c r="B5" s="232" t="s">
        <v>127</v>
      </c>
      <c r="O5" s="222"/>
      <c r="P5" s="222"/>
    </row>
    <row r="6" spans="2:28" s="7" customFormat="1" x14ac:dyDescent="0.25">
      <c r="B6" s="7" t="s">
        <v>126</v>
      </c>
      <c r="C6"/>
      <c r="E6" s="17"/>
      <c r="F6" s="17"/>
      <c r="G6" s="34"/>
      <c r="H6" s="34"/>
      <c r="I6" s="34"/>
      <c r="J6" s="34"/>
      <c r="K6" s="34"/>
      <c r="L6" s="34"/>
      <c r="M6" s="34"/>
      <c r="N6" s="34"/>
      <c r="P6" s="27"/>
      <c r="U6"/>
      <c r="V6"/>
      <c r="W6"/>
      <c r="X6" s="8"/>
    </row>
    <row r="7" spans="2:28" s="7" customFormat="1" ht="15.75" thickBot="1" x14ac:dyDescent="0.3">
      <c r="B7" s="7" t="s">
        <v>125</v>
      </c>
      <c r="C7"/>
      <c r="D7"/>
      <c r="E7" s="34"/>
      <c r="F7" s="34"/>
      <c r="G7" s="34"/>
      <c r="H7" s="34"/>
      <c r="I7" s="34"/>
      <c r="J7" s="34"/>
      <c r="K7" s="34"/>
      <c r="L7" s="34"/>
      <c r="M7" s="34"/>
      <c r="N7" s="34"/>
      <c r="O7"/>
      <c r="P7"/>
      <c r="Q7"/>
      <c r="R7"/>
      <c r="S7"/>
      <c r="T7"/>
      <c r="U7"/>
      <c r="V7"/>
      <c r="W7"/>
      <c r="X7" s="8"/>
    </row>
    <row r="8" spans="2:28" s="7" customFormat="1" ht="24.75" customHeight="1" thickBot="1" x14ac:dyDescent="0.35">
      <c r="D8"/>
      <c r="E8" s="265" t="s">
        <v>14</v>
      </c>
      <c r="F8" s="266"/>
      <c r="G8" s="267" t="s">
        <v>15</v>
      </c>
      <c r="H8" s="268"/>
      <c r="I8" s="266" t="s">
        <v>79</v>
      </c>
      <c r="J8" s="266"/>
      <c r="K8" s="321" t="s">
        <v>141</v>
      </c>
      <c r="L8" s="267" t="s">
        <v>38</v>
      </c>
      <c r="M8" s="269" t="s">
        <v>37</v>
      </c>
      <c r="N8" s="243"/>
      <c r="O8" s="20"/>
      <c r="P8" s="225" t="s">
        <v>109</v>
      </c>
      <c r="Q8" s="226"/>
      <c r="R8" s="216" t="s">
        <v>110</v>
      </c>
      <c r="T8" s="7" t="s">
        <v>111</v>
      </c>
      <c r="U8" s="20"/>
      <c r="V8" s="217" t="s">
        <v>111</v>
      </c>
      <c r="W8" s="20"/>
    </row>
    <row r="9" spans="2:28" s="7" customFormat="1" ht="16.5" thickTop="1" thickBot="1" x14ac:dyDescent="0.3">
      <c r="B9" s="34" t="s">
        <v>120</v>
      </c>
      <c r="C9" s="17"/>
      <c r="D9" s="136" t="s">
        <v>51</v>
      </c>
      <c r="E9" s="270" t="str">
        <f>"i="&amp;C10</f>
        <v>i=8000</v>
      </c>
      <c r="F9" s="258" t="str">
        <f>"i="&amp;C11</f>
        <v>i=20000</v>
      </c>
      <c r="G9" s="253" t="str">
        <f>"i="&amp;C10</f>
        <v>i=8000</v>
      </c>
      <c r="H9" s="254" t="str">
        <f>"i="&amp;C11</f>
        <v>i=20000</v>
      </c>
      <c r="I9" s="253" t="s">
        <v>104</v>
      </c>
      <c r="J9" s="254" t="str">
        <f>"i="&amp;C12</f>
        <v>i=12000</v>
      </c>
      <c r="K9" s="233" t="s">
        <v>117</v>
      </c>
      <c r="L9" s="43">
        <v>0</v>
      </c>
      <c r="M9" s="271"/>
      <c r="N9" s="164"/>
      <c r="P9" s="213" t="str">
        <f>E9</f>
        <v>i=8000</v>
      </c>
      <c r="Q9" s="214" t="str">
        <f>F9</f>
        <v>i=20000</v>
      </c>
      <c r="V9"/>
    </row>
    <row r="10" spans="2:28" s="7" customFormat="1" ht="18" customHeight="1" thickTop="1" x14ac:dyDescent="0.25">
      <c r="B10" s="248" t="s">
        <v>115</v>
      </c>
      <c r="C10" s="245">
        <v>8000</v>
      </c>
      <c r="D10" s="26">
        <v>1</v>
      </c>
      <c r="E10" s="272">
        <v>0</v>
      </c>
      <c r="F10" s="46">
        <v>0</v>
      </c>
      <c r="G10" s="259">
        <f t="shared" ref="G10:G19" si="0">EXP(E10/$P$3)/(EXP($F10/$P$3)+EXP($E10/$P$3))</f>
        <v>0.5</v>
      </c>
      <c r="H10" s="260">
        <f t="shared" ref="H10:H19" si="1">EXP(F10/$P$3)/(EXP($F10/$P$3)+EXP($E10/$P$3))</f>
        <v>0.5</v>
      </c>
      <c r="I10" s="45">
        <f>(G10*$C$12)</f>
        <v>6000</v>
      </c>
      <c r="J10" s="255">
        <f>(H10*$C$12)</f>
        <v>6000</v>
      </c>
      <c r="K10" s="234">
        <f>J10+$C$10</f>
        <v>14000</v>
      </c>
      <c r="L10" s="95">
        <f>$P$3*LN(EXP($F10/$P$3)+EXP($E10/$P$3))*$C$12</f>
        <v>831.77661667193433</v>
      </c>
      <c r="M10" s="273">
        <f>(L10-L9)</f>
        <v>831.77661667193433</v>
      </c>
      <c r="N10" s="244"/>
      <c r="P10" s="135"/>
      <c r="Q10" s="118"/>
      <c r="V10"/>
      <c r="AB10" s="220"/>
    </row>
    <row r="11" spans="2:28" s="7" customFormat="1" ht="19.5" thickBot="1" x14ac:dyDescent="0.35">
      <c r="B11" s="250" t="s">
        <v>113</v>
      </c>
      <c r="C11" s="246">
        <v>20000</v>
      </c>
      <c r="D11" s="26">
        <v>2</v>
      </c>
      <c r="E11" s="274">
        <v>1</v>
      </c>
      <c r="F11" s="42">
        <v>0.2</v>
      </c>
      <c r="G11" s="261">
        <f t="shared" si="0"/>
        <v>0.99966464986953352</v>
      </c>
      <c r="H11" s="262">
        <f t="shared" si="1"/>
        <v>3.3535013046647811E-4</v>
      </c>
      <c r="I11" s="48">
        <f>(G11*$C$12)</f>
        <v>11995.975798434401</v>
      </c>
      <c r="J11" s="256">
        <f>(H11*$C$12)</f>
        <v>4.0242015655977372</v>
      </c>
      <c r="K11" s="235">
        <f>J11+$C$10</f>
        <v>8004.0242015655977</v>
      </c>
      <c r="L11" s="96">
        <f>$P$3*LN(EXP($F11/$P$3)+EXP($E11/$P$3))*$C$12</f>
        <v>12000.402487647474</v>
      </c>
      <c r="M11" s="275">
        <f t="shared" ref="M11:M18" si="2">(L11-L10)</f>
        <v>11168.62587097554</v>
      </c>
      <c r="N11" s="244"/>
      <c r="P11" s="135">
        <f t="shared" ref="P11:P19" si="3">E11-E10</f>
        <v>1</v>
      </c>
      <c r="Q11" s="118">
        <f t="shared" ref="Q11:Q19" si="4">F11-F10</f>
        <v>0.2</v>
      </c>
      <c r="R11" s="215">
        <f t="shared" ref="R11:R19" si="5">M11</f>
        <v>11168.62587097554</v>
      </c>
      <c r="T11" s="7" t="str">
        <f>IF(P11&gt;0,"Bought ",IF(P11&lt;0,"Sold ",""))&amp;IF(P11&lt;0,P11*-1,IF(P11&gt;0,P11,""))&amp;IF(P11&lt;&gt;0," Shares of State 1 at a cost of "&amp;ROUND($R11,5),"")</f>
        <v>Bought 1 Shares of State 1 at a cost of 11168.62587</v>
      </c>
      <c r="U11" s="7" t="str">
        <f t="shared" ref="U11" si="6">IF(Q11&gt;0,"Bought ",IF(Q11&lt;0,"Sold ",""))&amp;IF(Q11&lt;0,Q11*-1,IF(Q11&gt;0,Q11,""))&amp;IF(Q11&lt;&gt;0," Shares of State 2 at a cost of "&amp;ROUND($R11,5),"")</f>
        <v>Bought 0.2 Shares of State 2 at a cost of 11168.62587</v>
      </c>
      <c r="V11" s="218" t="str">
        <f>T11&amp;U11</f>
        <v>Bought 1 Shares of State 1 at a cost of 11168.62587Bought 0.2 Shares of State 2 at a cost of 11168.62587</v>
      </c>
    </row>
    <row r="12" spans="2:28" s="7" customFormat="1" ht="19.5" thickBot="1" x14ac:dyDescent="0.35">
      <c r="B12" s="250" t="s">
        <v>131</v>
      </c>
      <c r="C12" s="251">
        <f>C11-C10</f>
        <v>12000</v>
      </c>
      <c r="D12" s="26">
        <v>3</v>
      </c>
      <c r="E12" s="274">
        <v>1</v>
      </c>
      <c r="F12" s="42">
        <v>1</v>
      </c>
      <c r="G12" s="261">
        <f t="shared" si="0"/>
        <v>0.5</v>
      </c>
      <c r="H12" s="262">
        <f t="shared" si="1"/>
        <v>0.5</v>
      </c>
      <c r="I12" s="48">
        <f>(G12*$C$12)</f>
        <v>6000</v>
      </c>
      <c r="J12" s="256">
        <f>(H12*$C$12)</f>
        <v>6000</v>
      </c>
      <c r="K12" s="235">
        <f>J12+$C$10</f>
        <v>14000</v>
      </c>
      <c r="L12" s="96">
        <f>$P$3*LN(EXP($F12/$P$3)+EXP($E12/$P$3))*$C$12</f>
        <v>12831.776616671934</v>
      </c>
      <c r="M12" s="275">
        <f t="shared" si="2"/>
        <v>831.37412902445976</v>
      </c>
      <c r="N12" s="244"/>
      <c r="P12" s="135">
        <f t="shared" si="3"/>
        <v>0</v>
      </c>
      <c r="Q12" s="118">
        <f t="shared" si="4"/>
        <v>0.8</v>
      </c>
      <c r="R12" s="215">
        <f t="shared" si="5"/>
        <v>831.37412902445976</v>
      </c>
      <c r="T12" s="7" t="str">
        <f>IF(P12&gt;0,"Bought ",IF(P12&lt;0,"Sold ",""))&amp;IF(P12&lt;0,P12*-1,IF(P12&gt;0,P12,""))&amp;IF(P12&lt;&gt;0," Shares of State 1 at a cost of "&amp;ROUND($R12,5),"")</f>
        <v/>
      </c>
      <c r="U12" s="7" t="str">
        <f>IF(Q12&gt;0,"Bought ",IF(Q12&lt;0,"Sold ",""))&amp;IF(Q12&lt;0,Q12*-1,IF(Q12&gt;0,Q12,""))&amp;IF(Q12&lt;&gt;0," Shares of State 2 at a cost of "&amp;ROUND($R12,5),"")</f>
        <v>Bought 0.8 Shares of State 2 at a cost of 831.37413</v>
      </c>
      <c r="V12" s="218" t="str">
        <f t="shared" ref="V12:V19" si="7">T12&amp;U12</f>
        <v>Bought 0.8 Shares of State 2 at a cost of 831.37413</v>
      </c>
    </row>
    <row r="13" spans="2:28" s="7" customFormat="1" ht="19.5" thickBot="1" x14ac:dyDescent="0.35">
      <c r="B13" s="248" t="s">
        <v>114</v>
      </c>
      <c r="C13" s="247">
        <v>16027.59</v>
      </c>
      <c r="D13" s="26">
        <v>4</v>
      </c>
      <c r="E13" s="274">
        <v>2</v>
      </c>
      <c r="F13" s="42">
        <v>2</v>
      </c>
      <c r="G13" s="261">
        <f t="shared" si="0"/>
        <v>0.5</v>
      </c>
      <c r="H13" s="262">
        <f t="shared" si="1"/>
        <v>0.5</v>
      </c>
      <c r="I13" s="48">
        <f>(G13*$C$12)</f>
        <v>6000</v>
      </c>
      <c r="J13" s="256">
        <f>(H13*$C$12)</f>
        <v>6000</v>
      </c>
      <c r="K13" s="235">
        <f>J13+$C$10</f>
        <v>14000</v>
      </c>
      <c r="L13" s="96">
        <f>$P$3*LN(EXP($F13/$P$3)+EXP($E13/$P$3))*$C$12</f>
        <v>24831.776616671934</v>
      </c>
      <c r="M13" s="275">
        <f t="shared" si="2"/>
        <v>12000</v>
      </c>
      <c r="N13" s="244"/>
      <c r="P13" s="135">
        <f t="shared" si="3"/>
        <v>1</v>
      </c>
      <c r="Q13" s="118">
        <f t="shared" si="4"/>
        <v>1</v>
      </c>
      <c r="R13" s="215">
        <f t="shared" si="5"/>
        <v>12000</v>
      </c>
      <c r="T13" s="7" t="str">
        <f>IF(P13&gt;0,"Bought ",IF(P13&lt;0,"Sold ",""))&amp;IF(P13&lt;0,P13*-1,IF(P13&gt;0,P13,""))&amp;IF(P13&lt;&gt;0," Shares of State 1 at a cost of "&amp;ROUND($R13,5),"")</f>
        <v>Bought 1 Shares of State 1 at a cost of 12000</v>
      </c>
      <c r="U13" s="7" t="str">
        <f>IF(Q13&gt;0,"Bought ",IF(Q13&lt;0,"Sold ",""))&amp;IF(Q13&lt;0,Q13*-1,IF(Q13&gt;0,Q13,""))&amp;IF(Q13&lt;&gt;0," Shares of State 2 at a cost of "&amp;ROUND($R13,5),"")</f>
        <v>Bought 1 Shares of State 2 at a cost of 12000</v>
      </c>
      <c r="V13" s="218" t="str">
        <f t="shared" si="7"/>
        <v>Bought 1 Shares of State 1 at a cost of 12000Bought 1 Shares of State 2 at a cost of 12000</v>
      </c>
    </row>
    <row r="14" spans="2:28" s="7" customFormat="1" ht="19.5" thickBot="1" x14ac:dyDescent="0.35">
      <c r="B14" s="249"/>
      <c r="C14" s="252">
        <f>(C13-C10)/(C11-C10)</f>
        <v>0.66896583333333337</v>
      </c>
      <c r="D14" s="26">
        <v>5</v>
      </c>
      <c r="E14" s="274">
        <v>12</v>
      </c>
      <c r="F14" s="42">
        <v>12</v>
      </c>
      <c r="G14" s="261">
        <f t="shared" si="0"/>
        <v>0.5</v>
      </c>
      <c r="H14" s="262">
        <f t="shared" si="1"/>
        <v>0.5</v>
      </c>
      <c r="I14" s="48">
        <f>(G14*$C$12)</f>
        <v>6000</v>
      </c>
      <c r="J14" s="256">
        <f>(H14*$C$12)</f>
        <v>6000</v>
      </c>
      <c r="K14" s="235">
        <f>J14+$C$10</f>
        <v>14000</v>
      </c>
      <c r="L14" s="96">
        <f>$P$3*LN(EXP($F14/$P$3)+EXP($E14/$P$3))*$C$12</f>
        <v>144831.77661667194</v>
      </c>
      <c r="M14" s="275">
        <f>(L14-L13)</f>
        <v>120000</v>
      </c>
      <c r="N14" s="244"/>
      <c r="P14" s="135">
        <f t="shared" si="3"/>
        <v>10</v>
      </c>
      <c r="Q14" s="118">
        <f t="shared" si="4"/>
        <v>10</v>
      </c>
      <c r="R14" s="215">
        <f t="shared" ref="R14:R18" si="8">M14</f>
        <v>120000</v>
      </c>
      <c r="T14" s="7" t="str">
        <f t="shared" ref="T14:T18" si="9">IF(P14&gt;0,"Bought ",IF(P14&lt;0,"Sold ",""))&amp;IF(P14&lt;0,P14*-1,IF(P14&gt;0,P14,""))&amp;IF(P14&lt;&gt;0," Shares of State 1 at a cost of "&amp;ROUND($R14,5),"")</f>
        <v>Bought 10 Shares of State 1 at a cost of 120000</v>
      </c>
      <c r="U14" s="7" t="str">
        <f t="shared" ref="U14:U18" si="10">IF(Q14&gt;0,"Bought ",IF(Q14&lt;0,"Sold ",""))&amp;IF(Q14&lt;0,Q14*-1,IF(Q14&gt;0,Q14,""))&amp;IF(Q14&lt;&gt;0," Shares of State 2 at a cost of "&amp;ROUND($R14,5),"")</f>
        <v>Bought 10 Shares of State 2 at a cost of 120000</v>
      </c>
      <c r="V14" s="218" t="str">
        <f t="shared" ref="V14:V18" si="11">T14&amp;U14</f>
        <v>Bought 10 Shares of State 1 at a cost of 120000Bought 10 Shares of State 2 at a cost of 120000</v>
      </c>
    </row>
    <row r="15" spans="2:28" s="7" customFormat="1" ht="18.75" x14ac:dyDescent="0.3">
      <c r="D15" s="26">
        <v>12</v>
      </c>
      <c r="E15" s="274">
        <v>30</v>
      </c>
      <c r="F15" s="42">
        <v>15</v>
      </c>
      <c r="G15" s="261">
        <f t="shared" si="0"/>
        <v>1</v>
      </c>
      <c r="H15" s="262">
        <f t="shared" si="1"/>
        <v>7.1750959731644108E-66</v>
      </c>
      <c r="I15" s="48">
        <f>(G15*$C$12)</f>
        <v>12000</v>
      </c>
      <c r="J15" s="256">
        <f>(H15*$C$12)</f>
        <v>8.6101151677972925E-62</v>
      </c>
      <c r="K15" s="235">
        <f>J15+$C$10</f>
        <v>8000</v>
      </c>
      <c r="L15" s="96">
        <f>$P$3*LN(EXP($F15/$P$3)+EXP($E15/$P$3))*$C$12</f>
        <v>360000</v>
      </c>
      <c r="M15" s="275">
        <f t="shared" si="2"/>
        <v>215168.22338332806</v>
      </c>
      <c r="N15" s="244"/>
      <c r="P15" s="135">
        <f t="shared" si="3"/>
        <v>18</v>
      </c>
      <c r="Q15" s="118">
        <f t="shared" si="4"/>
        <v>3</v>
      </c>
      <c r="R15" s="215">
        <f t="shared" si="8"/>
        <v>215168.22338332806</v>
      </c>
      <c r="T15" s="7" t="str">
        <f t="shared" si="9"/>
        <v>Bought 18 Shares of State 1 at a cost of 215168.22338</v>
      </c>
      <c r="U15" s="7" t="str">
        <f t="shared" si="10"/>
        <v>Bought 3 Shares of State 2 at a cost of 215168.22338</v>
      </c>
      <c r="V15" s="218" t="str">
        <f t="shared" si="11"/>
        <v>Bought 18 Shares of State 1 at a cost of 215168.22338Bought 3 Shares of State 2 at a cost of 215168.22338</v>
      </c>
    </row>
    <row r="16" spans="2:28" s="7" customFormat="1" ht="18.75" x14ac:dyDescent="0.3">
      <c r="D16" s="26">
        <v>13</v>
      </c>
      <c r="E16" s="274">
        <v>11</v>
      </c>
      <c r="F16" s="42">
        <v>15</v>
      </c>
      <c r="G16" s="261">
        <f t="shared" si="0"/>
        <v>4.2483542552915889E-18</v>
      </c>
      <c r="H16" s="262">
        <f t="shared" si="1"/>
        <v>1</v>
      </c>
      <c r="I16" s="48">
        <f>(G16*$C$12)</f>
        <v>5.0980251063499068E-14</v>
      </c>
      <c r="J16" s="256">
        <f>(H16*$C$12)</f>
        <v>12000</v>
      </c>
      <c r="K16" s="235">
        <f>J16+$C$10</f>
        <v>20000</v>
      </c>
      <c r="L16" s="96">
        <f>$P$3*LN(EXP($F16/$P$3)+EXP($E16/$P$3))*$C$12</f>
        <v>180000</v>
      </c>
      <c r="M16" s="275">
        <f t="shared" si="2"/>
        <v>-180000</v>
      </c>
      <c r="N16" s="244"/>
      <c r="P16" s="135">
        <f t="shared" si="3"/>
        <v>-19</v>
      </c>
      <c r="Q16" s="118">
        <f t="shared" si="4"/>
        <v>0</v>
      </c>
      <c r="R16" s="215">
        <f t="shared" si="8"/>
        <v>-180000</v>
      </c>
      <c r="T16" s="7" t="str">
        <f t="shared" si="9"/>
        <v>Sold 19 Shares of State 1 at a cost of -180000</v>
      </c>
      <c r="U16" s="7" t="str">
        <f t="shared" si="10"/>
        <v/>
      </c>
      <c r="V16" s="218" t="str">
        <f t="shared" si="11"/>
        <v>Sold 19 Shares of State 1 at a cost of -180000</v>
      </c>
    </row>
    <row r="17" spans="2:23" s="7" customFormat="1" ht="18.75" x14ac:dyDescent="0.3">
      <c r="D17" s="26">
        <v>14</v>
      </c>
      <c r="E17" s="274">
        <v>16</v>
      </c>
      <c r="F17" s="42">
        <v>22</v>
      </c>
      <c r="G17" s="261">
        <f t="shared" si="0"/>
        <v>8.75651076269652E-27</v>
      </c>
      <c r="H17" s="262">
        <f t="shared" si="1"/>
        <v>1</v>
      </c>
      <c r="I17" s="48">
        <f>(G17*$C$12)</f>
        <v>1.0507812915235824E-22</v>
      </c>
      <c r="J17" s="256">
        <f>(H17*$C$12)</f>
        <v>12000</v>
      </c>
      <c r="K17" s="235">
        <f>J17+$C$10</f>
        <v>20000</v>
      </c>
      <c r="L17" s="96">
        <f>$P$3*LN(EXP($F17/$P$3)+EXP($E17/$P$3))*$C$12</f>
        <v>264000</v>
      </c>
      <c r="M17" s="275">
        <f t="shared" si="2"/>
        <v>84000</v>
      </c>
      <c r="N17" s="244"/>
      <c r="P17" s="135">
        <f t="shared" si="3"/>
        <v>5</v>
      </c>
      <c r="Q17" s="118">
        <f t="shared" si="4"/>
        <v>7</v>
      </c>
      <c r="R17" s="215">
        <f t="shared" si="8"/>
        <v>84000</v>
      </c>
      <c r="T17" s="7" t="str">
        <f t="shared" si="9"/>
        <v>Bought 5 Shares of State 1 at a cost of 84000</v>
      </c>
      <c r="U17" s="7" t="str">
        <f t="shared" si="10"/>
        <v>Bought 7 Shares of State 2 at a cost of 84000</v>
      </c>
      <c r="V17" s="218" t="str">
        <f t="shared" si="11"/>
        <v>Bought 5 Shares of State 1 at a cost of 84000Bought 7 Shares of State 2 at a cost of 84000</v>
      </c>
    </row>
    <row r="18" spans="2:23" s="7" customFormat="1" ht="18.75" x14ac:dyDescent="0.3">
      <c r="C18"/>
      <c r="D18" s="26">
        <v>15</v>
      </c>
      <c r="E18" s="274">
        <v>16</v>
      </c>
      <c r="F18" s="42">
        <v>21</v>
      </c>
      <c r="G18" s="261">
        <f t="shared" si="0"/>
        <v>1.9287498479639178E-22</v>
      </c>
      <c r="H18" s="262">
        <f t="shared" si="1"/>
        <v>1</v>
      </c>
      <c r="I18" s="48">
        <f>(G18*$C$12)</f>
        <v>2.3144998175567013E-18</v>
      </c>
      <c r="J18" s="256">
        <f>(H18*$C$12)</f>
        <v>12000</v>
      </c>
      <c r="K18" s="235">
        <f>J18+$C$10</f>
        <v>20000</v>
      </c>
      <c r="L18" s="96">
        <f>$P$3*LN(EXP($F18/$P$3)+EXP($E18/$P$3))*$C$12</f>
        <v>252000</v>
      </c>
      <c r="M18" s="275">
        <f t="shared" si="2"/>
        <v>-12000</v>
      </c>
      <c r="N18" s="244"/>
      <c r="P18" s="135">
        <f t="shared" si="3"/>
        <v>0</v>
      </c>
      <c r="Q18" s="118">
        <f t="shared" si="4"/>
        <v>-1</v>
      </c>
      <c r="R18" s="215">
        <f t="shared" si="8"/>
        <v>-12000</v>
      </c>
      <c r="T18" s="7" t="str">
        <f t="shared" si="9"/>
        <v/>
      </c>
      <c r="U18" s="7" t="str">
        <f t="shared" si="10"/>
        <v>Sold 1 Shares of State 2 at a cost of -12000</v>
      </c>
      <c r="V18" s="218" t="str">
        <f t="shared" si="11"/>
        <v>Sold 1 Shares of State 2 at a cost of -12000</v>
      </c>
    </row>
    <row r="19" spans="2:23" s="7" customFormat="1" ht="19.5" thickBot="1" x14ac:dyDescent="0.35">
      <c r="D19" s="26">
        <v>16</v>
      </c>
      <c r="E19" s="276">
        <v>12</v>
      </c>
      <c r="F19" s="41">
        <f>$F$20</f>
        <v>12.070351139496553</v>
      </c>
      <c r="G19" s="263">
        <f t="shared" si="0"/>
        <v>0.33103416666666818</v>
      </c>
      <c r="H19" s="264">
        <f t="shared" si="1"/>
        <v>0.66896583333333171</v>
      </c>
      <c r="I19" s="40">
        <f>(G19*$C$12)</f>
        <v>3972.410000000018</v>
      </c>
      <c r="J19" s="257">
        <f>(H19*$C$12)</f>
        <v>8027.5899999999801</v>
      </c>
      <c r="K19" s="236">
        <f>J19+$C$10</f>
        <v>16027.58999999998</v>
      </c>
      <c r="L19" s="133">
        <f>$P$3*LN(EXP($F19/$P$3)+EXP($E19/$P$3))*$C$12</f>
        <v>145326.64042364911</v>
      </c>
      <c r="M19" s="277">
        <f>(L19-L18)</f>
        <v>-106673.35957635089</v>
      </c>
      <c r="N19" s="244"/>
      <c r="P19" s="143">
        <f t="shared" si="3"/>
        <v>-4</v>
      </c>
      <c r="Q19" s="120">
        <f t="shared" si="4"/>
        <v>-8.9296488605034465</v>
      </c>
      <c r="R19" s="215">
        <f t="shared" si="5"/>
        <v>-106673.35957635089</v>
      </c>
      <c r="T19" s="7" t="str">
        <f>IF(P19&gt;0,"Bought ",IF(P19&lt;0,"Sold ",""))&amp;IF(P19&lt;0,P19*-1,IF(P19&gt;0,P19,""))&amp;IF(P19&lt;&gt;0," Shares of State 1 at a cost of "&amp;ROUND($R19,5),"")</f>
        <v>Sold 4 Shares of State 1 at a cost of -106673.35958</v>
      </c>
      <c r="U19" s="7" t="str">
        <f>IF(Q19&gt;0,"Bought ",IF(Q19&lt;0,"Sold ",""))&amp;IF(Q19&lt;0,Q19*-1,IF(Q19&gt;0,Q19,""))&amp;IF(Q19&lt;&gt;0," Shares of State 2 at a cost of "&amp;ROUND($R19,5),"")</f>
        <v>Sold 8.92964886050345 Shares of State 2 at a cost of -106673.35958</v>
      </c>
      <c r="V19" s="218" t="str">
        <f t="shared" si="7"/>
        <v>Sold 4 Shares of State 1 at a cost of -106673.35958Sold 8.92964886050345 Shares of State 2 at a cost of -106673.35958</v>
      </c>
    </row>
    <row r="20" spans="2:23" s="7" customFormat="1" ht="16.5" thickTop="1" thickBot="1" x14ac:dyDescent="0.3">
      <c r="D20" s="26" t="s">
        <v>108</v>
      </c>
      <c r="E20" s="52">
        <f>E19</f>
        <v>12</v>
      </c>
      <c r="F20" s="53">
        <f>P3*LN(C14/(1-C14))+E20</f>
        <v>12.070351139496553</v>
      </c>
      <c r="G20" s="278">
        <f>EXP(E20)/(EXP($F20)+EXP($E20))</f>
        <v>0.48241946544763248</v>
      </c>
      <c r="H20" s="279">
        <f>EXP(F20)/(EXP($F20)+EXP($E20))</f>
        <v>0.51758053455236752</v>
      </c>
      <c r="I20" s="137">
        <f>(G20*$C$12)</f>
        <v>5789.0335853715897</v>
      </c>
      <c r="J20" s="280">
        <f>(H20*$C$12)</f>
        <v>6210.9664146284103</v>
      </c>
      <c r="K20" s="237">
        <f>J20+$C$10</f>
        <v>14210.96641462841</v>
      </c>
      <c r="L20" s="97">
        <f>$P$3*LN(EXP($F20/$P$3)+EXP($E20/$P$3))*$C$12</f>
        <v>145326.64042364911</v>
      </c>
      <c r="M20" s="281">
        <f>SUM(M10:M19)</f>
        <v>145326.64042364911</v>
      </c>
      <c r="N20" s="8" t="s">
        <v>128</v>
      </c>
      <c r="U20" s="8"/>
      <c r="V20" s="8"/>
      <c r="W20" s="8"/>
    </row>
    <row r="21" spans="2:23" s="7" customFormat="1" ht="15.75" thickBot="1" x14ac:dyDescent="0.3">
      <c r="C21"/>
      <c r="D21"/>
      <c r="E21" s="34"/>
      <c r="F21" s="34"/>
      <c r="G21" s="34"/>
      <c r="H21" s="34"/>
      <c r="I21" s="34"/>
      <c r="J21" s="34"/>
      <c r="K21" s="34"/>
      <c r="L21" s="164"/>
      <c r="M21" s="223">
        <f>SUMPRODUCT(E20:F20,I20:J20)</f>
        <v>144436.94856464394</v>
      </c>
      <c r="N21" t="s">
        <v>129</v>
      </c>
      <c r="U21"/>
      <c r="V21"/>
      <c r="W21"/>
    </row>
    <row r="22" spans="2:23" s="7" customFormat="1" ht="15.75" thickBot="1" x14ac:dyDescent="0.3">
      <c r="E22" s="164"/>
      <c r="H22" s="17"/>
      <c r="I22" s="17"/>
      <c r="J22" s="17"/>
      <c r="K22" s="17"/>
      <c r="L22" s="57"/>
      <c r="M22" s="223">
        <f>M20-M21</f>
        <v>889.69185900516459</v>
      </c>
      <c r="N22" s="7" t="s">
        <v>118</v>
      </c>
    </row>
    <row r="23" spans="2:23" s="7" customFormat="1" ht="15.75" thickBot="1" x14ac:dyDescent="0.3">
      <c r="E23" s="34"/>
      <c r="H23" s="17"/>
      <c r="I23" s="17"/>
      <c r="J23" s="17"/>
      <c r="K23" s="17"/>
      <c r="L23" s="57"/>
      <c r="M23" s="224">
        <f>M10-M22</f>
        <v>-57.915242333230253</v>
      </c>
      <c r="N23" s="58" t="s">
        <v>119</v>
      </c>
      <c r="S23" s="8"/>
      <c r="T23" s="8"/>
      <c r="U23" s="8"/>
      <c r="V23" s="29"/>
      <c r="W23" s="29"/>
    </row>
    <row r="24" spans="2:23" x14ac:dyDescent="0.25">
      <c r="B24" s="34" t="s">
        <v>123</v>
      </c>
      <c r="M24" s="221"/>
    </row>
    <row r="25" spans="2:23" x14ac:dyDescent="0.25">
      <c r="B25" s="34" t="s">
        <v>122</v>
      </c>
    </row>
    <row r="28" spans="2:23" x14ac:dyDescent="0.25">
      <c r="B28" s="34" t="s">
        <v>132</v>
      </c>
    </row>
  </sheetData>
  <mergeCells count="1">
    <mergeCell ref="P8:Q8"/>
  </mergeCells>
  <hyperlinks>
    <hyperlink ref="B5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7"/>
  <sheetViews>
    <sheetView topLeftCell="A4" zoomScale="85" zoomScaleNormal="85" workbookViewId="0">
      <selection activeCell="F32" sqref="F32"/>
    </sheetView>
  </sheetViews>
  <sheetFormatPr defaultRowHeight="15" x14ac:dyDescent="0.25"/>
  <cols>
    <col min="5" max="19" width="11.42578125" style="34" customWidth="1"/>
    <col min="20" max="21" width="12" style="34" customWidth="1"/>
    <col min="22" max="22" width="25.7109375" customWidth="1"/>
    <col min="24" max="24" width="9.42578125" customWidth="1"/>
    <col min="25" max="25" width="12.7109375" customWidth="1"/>
    <col min="26" max="26" width="10.28515625" customWidth="1"/>
    <col min="27" max="27" width="10.7109375" hidden="1" customWidth="1"/>
    <col min="28" max="28" width="0" hidden="1" customWidth="1"/>
    <col min="29" max="29" width="9.42578125" customWidth="1"/>
    <col min="31" max="31" width="12.140625" customWidth="1"/>
    <col min="32" max="32" width="10.5703125" customWidth="1"/>
    <col min="35" max="35" width="11.140625" customWidth="1"/>
  </cols>
  <sheetData>
    <row r="2" spans="2:35" ht="32.25" thickBot="1" x14ac:dyDescent="0.55000000000000004">
      <c r="B2" s="219" t="s">
        <v>140</v>
      </c>
      <c r="D2" s="163"/>
    </row>
    <row r="3" spans="2:35" ht="21" x14ac:dyDescent="0.35">
      <c r="B3" s="7"/>
      <c r="D3" s="163"/>
      <c r="V3" s="209" t="s">
        <v>106</v>
      </c>
      <c r="W3" s="210">
        <v>2</v>
      </c>
    </row>
    <row r="4" spans="2:35" ht="15.75" thickBot="1" x14ac:dyDescent="0.3">
      <c r="B4" s="7"/>
      <c r="V4" s="211" t="s">
        <v>107</v>
      </c>
      <c r="W4" s="212">
        <f>S10</f>
        <v>33271.064666877377</v>
      </c>
    </row>
    <row r="5" spans="2:35" x14ac:dyDescent="0.25">
      <c r="B5" s="7"/>
      <c r="V5" s="222"/>
      <c r="W5" s="222"/>
    </row>
    <row r="6" spans="2:35" s="7" customFormat="1" x14ac:dyDescent="0.25">
      <c r="C6"/>
      <c r="E6" s="17"/>
      <c r="F6" s="17"/>
      <c r="G6" s="17"/>
      <c r="H6" s="17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W6" s="27"/>
      <c r="AB6"/>
      <c r="AC6"/>
      <c r="AD6"/>
      <c r="AE6" s="8"/>
    </row>
    <row r="7" spans="2:35" s="7" customFormat="1" ht="15.75" thickBot="1" x14ac:dyDescent="0.3">
      <c r="C7"/>
      <c r="D7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/>
      <c r="W7"/>
      <c r="X7"/>
      <c r="Y7"/>
      <c r="Z7"/>
      <c r="AA7"/>
      <c r="AB7"/>
      <c r="AC7"/>
      <c r="AD7"/>
      <c r="AE7" s="8"/>
    </row>
    <row r="8" spans="2:35" s="7" customFormat="1" ht="24.75" customHeight="1" thickBot="1" x14ac:dyDescent="0.35">
      <c r="D8"/>
      <c r="E8" s="67" t="s">
        <v>14</v>
      </c>
      <c r="F8" s="68"/>
      <c r="G8" s="68"/>
      <c r="H8" s="69"/>
      <c r="I8" s="68" t="s">
        <v>15</v>
      </c>
      <c r="J8" s="68"/>
      <c r="K8" s="68"/>
      <c r="L8" s="68"/>
      <c r="M8" s="67" t="s">
        <v>79</v>
      </c>
      <c r="N8" s="68"/>
      <c r="O8" s="68"/>
      <c r="P8" s="320"/>
      <c r="Q8" s="68" t="s">
        <v>139</v>
      </c>
      <c r="R8" s="68"/>
      <c r="S8" s="67" t="s">
        <v>38</v>
      </c>
      <c r="T8" s="69" t="s">
        <v>37</v>
      </c>
      <c r="U8" s="243"/>
      <c r="V8" s="20"/>
      <c r="W8" s="225" t="s">
        <v>109</v>
      </c>
      <c r="X8" s="226"/>
      <c r="Y8" s="216" t="s">
        <v>110</v>
      </c>
      <c r="AA8" s="7" t="s">
        <v>111</v>
      </c>
      <c r="AB8" s="20"/>
      <c r="AC8" s="217" t="s">
        <v>111</v>
      </c>
      <c r="AD8" s="20"/>
    </row>
    <row r="9" spans="2:35" s="7" customFormat="1" ht="16.5" thickTop="1" thickBot="1" x14ac:dyDescent="0.3">
      <c r="C9" s="33"/>
      <c r="D9" s="136" t="s">
        <v>51</v>
      </c>
      <c r="E9" s="203" t="str">
        <f>"i="&amp;$I$23&amp;", 0"</f>
        <v>i=8000, 0</v>
      </c>
      <c r="F9" s="207" t="str">
        <f>"i="&amp;$I$23&amp;", 1"</f>
        <v>i=8000, 1</v>
      </c>
      <c r="G9" s="204" t="str">
        <f>"i="&amp;$I$24&amp;", 0"</f>
        <v>i=20000, 0</v>
      </c>
      <c r="H9" s="208" t="str">
        <f>"i="&amp;$I$24&amp;", 1"</f>
        <v>i=20000, 1</v>
      </c>
      <c r="I9" s="205" t="str">
        <f>"i="&amp;$I$23&amp;", 0"</f>
        <v>i=8000, 0</v>
      </c>
      <c r="J9" s="207" t="str">
        <f>"i="&amp;$I$23&amp;", 1"</f>
        <v>i=8000, 1</v>
      </c>
      <c r="K9" s="204" t="str">
        <f>"i="&amp;$I$24&amp;", 0"</f>
        <v>i=20000, 0</v>
      </c>
      <c r="L9" s="319" t="str">
        <f>"i="&amp;$I$24&amp;", 1"</f>
        <v>i=20000, 1</v>
      </c>
      <c r="M9" s="203" t="str">
        <f>"i="&amp;$I$23&amp;", 0"</f>
        <v>i=8000, 0</v>
      </c>
      <c r="N9" s="207" t="str">
        <f>"i="&amp;$I$23&amp;", 1"</f>
        <v>i=8000, 1</v>
      </c>
      <c r="O9" s="204" t="str">
        <f>"i="&amp;$I$24&amp;", 0"</f>
        <v>i=20000, 0</v>
      </c>
      <c r="P9" s="208" t="str">
        <f>"i="&amp;$I$24&amp;", 1"</f>
        <v>i=20000, 1</v>
      </c>
      <c r="Q9" s="233" t="s">
        <v>138</v>
      </c>
      <c r="R9" s="238" t="s">
        <v>137</v>
      </c>
      <c r="S9" s="43">
        <v>0</v>
      </c>
      <c r="T9" s="44"/>
      <c r="U9" s="164"/>
      <c r="W9" s="213" t="str">
        <f>E9</f>
        <v>i=8000, 0</v>
      </c>
      <c r="X9" s="214" t="str">
        <f>H9</f>
        <v>i=20000, 1</v>
      </c>
      <c r="AC9"/>
    </row>
    <row r="10" spans="2:35" s="7" customFormat="1" ht="18" customHeight="1" thickTop="1" x14ac:dyDescent="0.25">
      <c r="D10" s="26">
        <v>1</v>
      </c>
      <c r="E10" s="294">
        <v>0</v>
      </c>
      <c r="F10" s="293"/>
      <c r="G10" s="292"/>
      <c r="H10" s="291">
        <v>0</v>
      </c>
      <c r="I10" s="290">
        <f>EXP(E10/$W$3)/(EXP($E10/$W$3)+EXP($F10/$W$3)+EXP($G10/$W$3)+EXP($H10/$W$3))</f>
        <v>0.25</v>
      </c>
      <c r="J10" s="289">
        <f>EXP(F10/$W$3)/(EXP($E10/$W$3)+EXP($F10/$W$3)+EXP($G10/$W$3)+EXP($H10/$W$3))</f>
        <v>0.25</v>
      </c>
      <c r="K10" s="288">
        <f>EXP(G10/$W$3)/(EXP($E10/$W$3)+EXP($F10/$W$3)+EXP($G10/$W$3)+EXP($H10/$W$3))</f>
        <v>0.25</v>
      </c>
      <c r="L10" s="287">
        <f>EXP(H10/$W$3)/(EXP($E10/$W$3)+EXP($F10/$W$3)+EXP($G10/$W$3)+EXP($H10/$W$3))</f>
        <v>0.25</v>
      </c>
      <c r="M10" s="318">
        <f>(I10*$I$25)</f>
        <v>3000</v>
      </c>
      <c r="N10" s="317">
        <f>(J10*$I$25)</f>
        <v>3000</v>
      </c>
      <c r="O10" s="316">
        <f>(K10*$I$25)</f>
        <v>3000</v>
      </c>
      <c r="P10" s="315">
        <f>(L10*$I$25)</f>
        <v>3000</v>
      </c>
      <c r="Q10" s="234">
        <f>O10+$I$23</f>
        <v>11000</v>
      </c>
      <c r="R10" s="239">
        <f>P10+$I$23</f>
        <v>11000</v>
      </c>
      <c r="S10" s="95">
        <f>$W$3*$I$25*LN(EXP($E10/$W$3) + EXP($F10/$W$3) + EXP($G10/$W$3) +EXP($H10/$W$3) )</f>
        <v>33271.064666877377</v>
      </c>
      <c r="T10" s="47">
        <f>(S10-S9)</f>
        <v>33271.064666877377</v>
      </c>
      <c r="U10" s="244"/>
      <c r="W10" s="135"/>
      <c r="X10" s="118"/>
      <c r="AC10"/>
      <c r="AI10" s="220"/>
    </row>
    <row r="11" spans="2:35" s="7" customFormat="1" ht="18.75" x14ac:dyDescent="0.3">
      <c r="D11" s="26">
        <v>2</v>
      </c>
      <c r="E11" s="314">
        <v>1</v>
      </c>
      <c r="F11" s="313">
        <v>1</v>
      </c>
      <c r="G11" s="312">
        <v>1</v>
      </c>
      <c r="H11" s="311">
        <v>1</v>
      </c>
      <c r="I11" s="310">
        <f>EXP(E11/$W$3)/(EXP($E11/$W$3)+EXP($F11/$W$3)+EXP($G11/$W$3)+EXP($H11/$W$3))</f>
        <v>0.25</v>
      </c>
      <c r="J11" s="309">
        <f>EXP(F11/$W$3)/(EXP($E11/$W$3)+EXP($F11/$W$3)+EXP($G11/$W$3)+EXP($H11/$W$3))</f>
        <v>0.25</v>
      </c>
      <c r="K11" s="308">
        <f>EXP(G11/$W$3)/(EXP($E11/$W$3)+EXP($F11/$W$3)+EXP($G11/$W$3)+EXP($H11/$W$3))</f>
        <v>0.25</v>
      </c>
      <c r="L11" s="307">
        <f>EXP(H11/$W$3)/(EXP($E11/$W$3)+EXP($F11/$W$3)+EXP($G11/$W$3)+EXP($H11/$W$3))</f>
        <v>0.25</v>
      </c>
      <c r="M11" s="298">
        <f>(I11*$I$25)</f>
        <v>3000</v>
      </c>
      <c r="N11" s="297">
        <f>(J11*$I$25)</f>
        <v>3000</v>
      </c>
      <c r="O11" s="296">
        <f>(K11*$I$25)</f>
        <v>3000</v>
      </c>
      <c r="P11" s="295">
        <f>(L11*$I$25)</f>
        <v>3000</v>
      </c>
      <c r="Q11" s="235">
        <f>O11+$I$23</f>
        <v>11000</v>
      </c>
      <c r="R11" s="240">
        <f>P11+$I$23</f>
        <v>11000</v>
      </c>
      <c r="S11" s="96">
        <f>$W$3*$I$25*LN(EXP($E11/$W$3) + EXP($F11/$W$3) + EXP($G11/$W$3) +EXP($H11/$W$3) )</f>
        <v>45271.064666877377</v>
      </c>
      <c r="T11" s="50">
        <f>(S11-S10)</f>
        <v>12000</v>
      </c>
      <c r="U11" s="244"/>
      <c r="W11" s="135">
        <f>E11-E10</f>
        <v>1</v>
      </c>
      <c r="X11" s="118">
        <f>H11-H10</f>
        <v>1</v>
      </c>
      <c r="Y11" s="215">
        <f>T11</f>
        <v>12000</v>
      </c>
      <c r="AA11" s="7" t="str">
        <f>IF(W11&gt;0,"Bought ",IF(W11&lt;0,"Sold ",""))&amp;IF(W11&lt;0,W11*-1,IF(W11&gt;0,W11,""))&amp;IF(W11&lt;&gt;0," Shares of State 1 at a cost of "&amp;ROUND($Y11,5),"")</f>
        <v>Bought 1 Shares of State 1 at a cost of 12000</v>
      </c>
      <c r="AB11" s="7" t="str">
        <f>IF(X11&gt;0,"Bought ",IF(X11&lt;0,"Sold ",""))&amp;IF(X11&lt;0,X11*-1,IF(X11&gt;0,X11,""))&amp;IF(X11&lt;&gt;0," Shares of State 2 at a cost of "&amp;ROUND($Y11,5),"")</f>
        <v>Bought 1 Shares of State 2 at a cost of 12000</v>
      </c>
      <c r="AC11" s="218" t="str">
        <f>AA11&amp;AB11</f>
        <v>Bought 1 Shares of State 1 at a cost of 12000Bought 1 Shares of State 2 at a cost of 12000</v>
      </c>
    </row>
    <row r="12" spans="2:35" s="7" customFormat="1" ht="18.75" x14ac:dyDescent="0.3">
      <c r="C12" s="21" t="s">
        <v>136</v>
      </c>
      <c r="D12" s="26">
        <v>3</v>
      </c>
      <c r="E12" s="314">
        <v>1</v>
      </c>
      <c r="F12" s="313">
        <v>2</v>
      </c>
      <c r="G12" s="312">
        <v>1</v>
      </c>
      <c r="H12" s="311">
        <v>2</v>
      </c>
      <c r="I12" s="310">
        <f>EXP(E12/$W$3)/(EXP($E12/$W$3)+EXP($F12/$W$3)+EXP($G12/$W$3)+EXP($H12/$W$3))</f>
        <v>0.1887703343990727</v>
      </c>
      <c r="J12" s="309">
        <f>EXP(F12/$W$3)/(EXP($E12/$W$3)+EXP($F12/$W$3)+EXP($G12/$W$3)+EXP($H12/$W$3))</f>
        <v>0.31122966560092724</v>
      </c>
      <c r="K12" s="308">
        <f>EXP(G12/$W$3)/(EXP($E12/$W$3)+EXP($F12/$W$3)+EXP($G12/$W$3)+EXP($H12/$W$3))</f>
        <v>0.1887703343990727</v>
      </c>
      <c r="L12" s="307">
        <f>EXP(H12/$W$3)/(EXP($E12/$W$3)+EXP($F12/$W$3)+EXP($G12/$W$3)+EXP($H12/$W$3))</f>
        <v>0.31122966560092724</v>
      </c>
      <c r="M12" s="298">
        <f>(I12*$I$25)</f>
        <v>2265.2440127888726</v>
      </c>
      <c r="N12" s="297">
        <f>(J12*$I$25)</f>
        <v>3734.7559872111269</v>
      </c>
      <c r="O12" s="296">
        <f>(K12*$I$25)</f>
        <v>2265.2440127888726</v>
      </c>
      <c r="P12" s="295">
        <f>(L12*$I$25)</f>
        <v>3734.7559872111269</v>
      </c>
      <c r="Q12" s="235">
        <f>O12+$I$23</f>
        <v>10265.244012788873</v>
      </c>
      <c r="R12" s="240">
        <f>P12+$I$23</f>
        <v>11734.755987211127</v>
      </c>
      <c r="S12" s="96">
        <f>$W$3*$I$25*LN(EXP($E12/$W$3) + EXP($F12/$W$3) + EXP($G12/$W$3) +EXP($H12/$W$3) )</f>
        <v>52013.379953761243</v>
      </c>
      <c r="T12" s="50">
        <f>(S12-S11)</f>
        <v>6742.3152868838661</v>
      </c>
      <c r="U12" s="244"/>
      <c r="W12" s="135">
        <f>E12-E11</f>
        <v>0</v>
      </c>
      <c r="X12" s="118">
        <f>H12-H11</f>
        <v>1</v>
      </c>
      <c r="Y12" s="215">
        <f>T12</f>
        <v>6742.3152868838661</v>
      </c>
      <c r="AA12" s="7" t="str">
        <f>IF(W12&gt;0,"Bought ",IF(W12&lt;0,"Sold ",""))&amp;IF(W12&lt;0,W12*-1,IF(W12&gt;0,W12,""))&amp;IF(W12&lt;&gt;0," Shares of State 1 at a cost of "&amp;ROUND($Y12,5),"")</f>
        <v/>
      </c>
      <c r="AB12" s="7" t="str">
        <f>IF(X12&gt;0,"Bought ",IF(X12&lt;0,"Sold ",""))&amp;IF(X12&lt;0,X12*-1,IF(X12&gt;0,X12,""))&amp;IF(X12&lt;&gt;0," Shares of State 2 at a cost of "&amp;ROUND($Y12,5),"")</f>
        <v>Bought 1 Shares of State 2 at a cost of 6742.31529</v>
      </c>
      <c r="AC12" s="218" t="str">
        <f>AA12&amp;AB12</f>
        <v>Bought 1 Shares of State 2 at a cost of 6742.31529</v>
      </c>
    </row>
    <row r="13" spans="2:35" s="7" customFormat="1" ht="18.75" x14ac:dyDescent="0.3">
      <c r="C13" s="21"/>
      <c r="D13" s="26">
        <v>4</v>
      </c>
      <c r="E13" s="314">
        <v>1</v>
      </c>
      <c r="F13" s="313">
        <v>2</v>
      </c>
      <c r="G13" s="312">
        <v>1</v>
      </c>
      <c r="H13" s="311">
        <v>2</v>
      </c>
      <c r="I13" s="310">
        <f>EXP(E13/$W$3)/(EXP($E13/$W$3)+EXP($F13/$W$3)+EXP($G13/$W$3)+EXP($H13/$W$3))</f>
        <v>0.1887703343990727</v>
      </c>
      <c r="J13" s="309">
        <f>EXP(F13/$W$3)/(EXP($E13/$W$3)+EXP($F13/$W$3)+EXP($G13/$W$3)+EXP($H13/$W$3))</f>
        <v>0.31122966560092724</v>
      </c>
      <c r="K13" s="308">
        <f>EXP(G13/$W$3)/(EXP($E13/$W$3)+EXP($F13/$W$3)+EXP($G13/$W$3)+EXP($H13/$W$3))</f>
        <v>0.1887703343990727</v>
      </c>
      <c r="L13" s="307">
        <f>EXP(H13/$W$3)/(EXP($E13/$W$3)+EXP($F13/$W$3)+EXP($G13/$W$3)+EXP($H13/$W$3))</f>
        <v>0.31122966560092724</v>
      </c>
      <c r="M13" s="298">
        <f>(I13*$I$25)</f>
        <v>2265.2440127888726</v>
      </c>
      <c r="N13" s="297">
        <f>(J13*$I$25)</f>
        <v>3734.7559872111269</v>
      </c>
      <c r="O13" s="296">
        <f>(K13*$I$25)</f>
        <v>2265.2440127888726</v>
      </c>
      <c r="P13" s="295">
        <f>(L13*$I$25)</f>
        <v>3734.7559872111269</v>
      </c>
      <c r="Q13" s="235">
        <f>O13+$I$23</f>
        <v>10265.244012788873</v>
      </c>
      <c r="R13" s="240">
        <f>P13+$I$23</f>
        <v>11734.755987211127</v>
      </c>
      <c r="S13" s="96">
        <f>$W$3*$I$25*LN(EXP($E13/$W$3) + EXP($F13/$W$3) + EXP($G13/$W$3) +EXP($H13/$W$3) )</f>
        <v>52013.379953761243</v>
      </c>
      <c r="T13" s="50">
        <f>(S13-S12)</f>
        <v>0</v>
      </c>
      <c r="U13" s="244"/>
      <c r="W13" s="135">
        <f>E13-E12</f>
        <v>0</v>
      </c>
      <c r="X13" s="118">
        <f>H13-H12</f>
        <v>0</v>
      </c>
      <c r="Y13" s="215">
        <f>T13</f>
        <v>0</v>
      </c>
      <c r="AA13" s="7" t="str">
        <f>IF(W13&gt;0,"Bought ",IF(W13&lt;0,"Sold ",""))&amp;IF(W13&lt;0,W13*-1,IF(W13&gt;0,W13,""))&amp;IF(W13&lt;&gt;0," Shares of State 1 at a cost of "&amp;ROUND($Y13,5),"")</f>
        <v/>
      </c>
      <c r="AB13" s="7" t="str">
        <f>IF(X13&gt;0,"Bought ",IF(X13&lt;0,"Sold ",""))&amp;IF(X13&lt;0,X13*-1,IF(X13&gt;0,X13,""))&amp;IF(X13&lt;&gt;0," Shares of State 2 at a cost of "&amp;ROUND($Y13,5),"")</f>
        <v/>
      </c>
      <c r="AC13" s="218" t="str">
        <f>AA13&amp;AB13</f>
        <v/>
      </c>
    </row>
    <row r="14" spans="2:35" s="7" customFormat="1" ht="18.75" x14ac:dyDescent="0.3">
      <c r="C14" s="21"/>
      <c r="D14" s="26">
        <v>5</v>
      </c>
      <c r="E14" s="314">
        <v>1</v>
      </c>
      <c r="F14" s="313">
        <v>2</v>
      </c>
      <c r="G14" s="312">
        <v>1</v>
      </c>
      <c r="H14" s="311">
        <v>2</v>
      </c>
      <c r="I14" s="310">
        <f>EXP(E14/$W$3)/(EXP($E14/$W$3)+EXP($F14/$W$3)+EXP($G14/$W$3)+EXP($H14/$W$3))</f>
        <v>0.1887703343990727</v>
      </c>
      <c r="J14" s="309">
        <f>EXP(F14/$W$3)/(EXP($E14/$W$3)+EXP($F14/$W$3)+EXP($G14/$W$3)+EXP($H14/$W$3))</f>
        <v>0.31122966560092724</v>
      </c>
      <c r="K14" s="308">
        <f>EXP(G14/$W$3)/(EXP($E14/$W$3)+EXP($F14/$W$3)+EXP($G14/$W$3)+EXP($H14/$W$3))</f>
        <v>0.1887703343990727</v>
      </c>
      <c r="L14" s="307">
        <f>EXP(H14/$W$3)/(EXP($E14/$W$3)+EXP($F14/$W$3)+EXP($G14/$W$3)+EXP($H14/$W$3))</f>
        <v>0.31122966560092724</v>
      </c>
      <c r="M14" s="298">
        <f>(I14*$I$25)</f>
        <v>2265.2440127888726</v>
      </c>
      <c r="N14" s="297">
        <f>(J14*$I$25)</f>
        <v>3734.7559872111269</v>
      </c>
      <c r="O14" s="296">
        <f>(K14*$I$25)</f>
        <v>2265.2440127888726</v>
      </c>
      <c r="P14" s="295">
        <f>(L14*$I$25)</f>
        <v>3734.7559872111269</v>
      </c>
      <c r="Q14" s="235">
        <f>O14+$I$23</f>
        <v>10265.244012788873</v>
      </c>
      <c r="R14" s="240">
        <f>P14+$I$23</f>
        <v>11734.755987211127</v>
      </c>
      <c r="S14" s="96">
        <f>$W$3*$I$25*LN(EXP($E14/$W$3) + EXP($F14/$W$3) + EXP($G14/$W$3) +EXP($H14/$W$3) )</f>
        <v>52013.379953761243</v>
      </c>
      <c r="T14" s="50">
        <f>(S14-S13)</f>
        <v>0</v>
      </c>
      <c r="U14" s="244"/>
      <c r="W14" s="135">
        <f>E14-E13</f>
        <v>0</v>
      </c>
      <c r="X14" s="118">
        <f>H14-H13</f>
        <v>0</v>
      </c>
      <c r="Y14" s="215">
        <f>T14</f>
        <v>0</v>
      </c>
      <c r="AA14" s="7" t="str">
        <f>IF(W14&gt;0,"Bought ",IF(W14&lt;0,"Sold ",""))&amp;IF(W14&lt;0,W14*-1,IF(W14&gt;0,W14,""))&amp;IF(W14&lt;&gt;0," Shares of State 1 at a cost of "&amp;ROUND($Y14,5),"")</f>
        <v/>
      </c>
      <c r="AB14" s="7" t="str">
        <f>IF(X14&gt;0,"Bought ",IF(X14&lt;0,"Sold ",""))&amp;IF(X14&lt;0,X14*-1,IF(X14&gt;0,X14,""))&amp;IF(X14&lt;&gt;0," Shares of State 2 at a cost of "&amp;ROUND($Y14,5),"")</f>
        <v/>
      </c>
      <c r="AC14" s="218" t="str">
        <f>AA14&amp;AB14</f>
        <v/>
      </c>
    </row>
    <row r="15" spans="2:35" s="7" customFormat="1" ht="18.75" x14ac:dyDescent="0.3">
      <c r="C15" s="21" t="s">
        <v>135</v>
      </c>
      <c r="D15" s="26">
        <v>12</v>
      </c>
      <c r="E15" s="314">
        <v>1</v>
      </c>
      <c r="F15" s="313">
        <v>1.8</v>
      </c>
      <c r="G15" s="312">
        <v>1.5</v>
      </c>
      <c r="H15" s="311">
        <v>2</v>
      </c>
      <c r="I15" s="310">
        <f>EXP(E15/$W$3)/(EXP($E15/$W$3)+EXP($F15/$W$3)+EXP($G15/$W$3)+EXP($H15/$W$3))</f>
        <v>0.18434636195586318</v>
      </c>
      <c r="J15" s="309">
        <f>EXP(F15/$W$3)/(EXP($E15/$W$3)+EXP($F15/$W$3)+EXP($G15/$W$3)+EXP($H15/$W$3))</f>
        <v>0.2750124556860738</v>
      </c>
      <c r="K15" s="308">
        <f>EXP(G15/$W$3)/(EXP($E15/$W$3)+EXP($F15/$W$3)+EXP($G15/$W$3)+EXP($H15/$W$3))</f>
        <v>0.23670541422524646</v>
      </c>
      <c r="L15" s="307">
        <f>EXP(H15/$W$3)/(EXP($E15/$W$3)+EXP($F15/$W$3)+EXP($G15/$W$3)+EXP($H15/$W$3))</f>
        <v>0.30393576813281648</v>
      </c>
      <c r="M15" s="298">
        <f>(I15*$I$25)</f>
        <v>2212.156343470358</v>
      </c>
      <c r="N15" s="297">
        <f>(J15*$I$25)</f>
        <v>3300.1494682328857</v>
      </c>
      <c r="O15" s="296">
        <f>(K15*$I$25)</f>
        <v>2840.4649707029575</v>
      </c>
      <c r="P15" s="295">
        <f>(L15*$I$25)</f>
        <v>3647.2292175937978</v>
      </c>
      <c r="Q15" s="235">
        <f>O15+$I$23</f>
        <v>10840.464970702957</v>
      </c>
      <c r="R15" s="240">
        <f>P15+$I$23</f>
        <v>11647.229217593798</v>
      </c>
      <c r="S15" s="96">
        <f>$W$3*$I$25*LN(EXP($E15/$W$3) + EXP($F15/$W$3) + EXP($G15/$W$3) +EXP($H15/$W$3) )</f>
        <v>52582.533334497028</v>
      </c>
      <c r="T15" s="50">
        <f>(S15-S14)</f>
        <v>569.15338073578459</v>
      </c>
      <c r="U15" s="244"/>
      <c r="W15" s="135">
        <f>E15-E14</f>
        <v>0</v>
      </c>
      <c r="X15" s="118">
        <f>H15-H14</f>
        <v>0</v>
      </c>
      <c r="Y15" s="215">
        <f>T15</f>
        <v>569.15338073578459</v>
      </c>
      <c r="AA15" s="7" t="str">
        <f>IF(W15&gt;0,"Bought ",IF(W15&lt;0,"Sold ",""))&amp;IF(W15&lt;0,W15*-1,IF(W15&gt;0,W15,""))&amp;IF(W15&lt;&gt;0," Shares of State 1 at a cost of "&amp;ROUND($Y15,5),"")</f>
        <v/>
      </c>
      <c r="AB15" s="7" t="str">
        <f>IF(X15&gt;0,"Bought ",IF(X15&lt;0,"Sold ",""))&amp;IF(X15&lt;0,X15*-1,IF(X15&gt;0,X15,""))&amp;IF(X15&lt;&gt;0," Shares of State 2 at a cost of "&amp;ROUND($Y15,5),"")</f>
        <v/>
      </c>
      <c r="AC15" s="218" t="str">
        <f>AA15&amp;AB15</f>
        <v/>
      </c>
    </row>
    <row r="16" spans="2:35" s="7" customFormat="1" ht="18.75" x14ac:dyDescent="0.3">
      <c r="C16" s="21" t="s">
        <v>135</v>
      </c>
      <c r="D16" s="26">
        <v>13</v>
      </c>
      <c r="E16" s="314">
        <v>1</v>
      </c>
      <c r="F16" s="313">
        <v>1.6</v>
      </c>
      <c r="G16" s="312">
        <v>2</v>
      </c>
      <c r="H16" s="311">
        <v>2</v>
      </c>
      <c r="I16" s="310">
        <f>EXP(E16/$W$3)/(EXP($E16/$W$3)+EXP($F16/$W$3)+EXP($G16/$W$3)+EXP($H16/$W$3))</f>
        <v>0.17707572842403385</v>
      </c>
      <c r="J16" s="309">
        <f>EXP(F16/$W$3)/(EXP($E16/$W$3)+EXP($F16/$W$3)+EXP($G16/$W$3)+EXP($H16/$W$3))</f>
        <v>0.2390272316211185</v>
      </c>
      <c r="K16" s="308">
        <f>EXP(G16/$W$3)/(EXP($E16/$W$3)+EXP($F16/$W$3)+EXP($G16/$W$3)+EXP($H16/$W$3))</f>
        <v>0.29194851997742383</v>
      </c>
      <c r="L16" s="307">
        <f>EXP(H16/$W$3)/(EXP($E16/$W$3)+EXP($F16/$W$3)+EXP($G16/$W$3)+EXP($H16/$W$3))</f>
        <v>0.29194851997742383</v>
      </c>
      <c r="M16" s="298">
        <f>(I16*$I$25)</f>
        <v>2124.9087410884063</v>
      </c>
      <c r="N16" s="297">
        <f>(J16*$I$25)</f>
        <v>2868.3267794534218</v>
      </c>
      <c r="O16" s="296">
        <f>(K16*$I$25)</f>
        <v>3503.382239729086</v>
      </c>
      <c r="P16" s="295">
        <f>(L16*$I$25)</f>
        <v>3503.382239729086</v>
      </c>
      <c r="Q16" s="235">
        <f>O16+$I$23</f>
        <v>11503.382239729086</v>
      </c>
      <c r="R16" s="240">
        <f>P16+$I$23</f>
        <v>11503.382239729086</v>
      </c>
      <c r="S16" s="96">
        <f>$W$3*$I$25*LN(EXP($E16/$W$3) + EXP($F16/$W$3) + EXP($G16/$W$3) +EXP($H16/$W$3) )</f>
        <v>53548.267048895061</v>
      </c>
      <c r="T16" s="50">
        <f>(S16-S15)</f>
        <v>965.73371439803304</v>
      </c>
      <c r="U16" s="244"/>
      <c r="W16" s="135">
        <f>E16-E15</f>
        <v>0</v>
      </c>
      <c r="X16" s="118">
        <f>H16-H15</f>
        <v>0</v>
      </c>
      <c r="Y16" s="215">
        <f>T16</f>
        <v>965.73371439803304</v>
      </c>
      <c r="AA16" s="7" t="str">
        <f>IF(W16&gt;0,"Bought ",IF(W16&lt;0,"Sold ",""))&amp;IF(W16&lt;0,W16*-1,IF(W16&gt;0,W16,""))&amp;IF(W16&lt;&gt;0," Shares of State 1 at a cost of "&amp;ROUND($Y16,5),"")</f>
        <v/>
      </c>
      <c r="AB16" s="7" t="str">
        <f>IF(X16&gt;0,"Bought ",IF(X16&lt;0,"Sold ",""))&amp;IF(X16&lt;0,X16*-1,IF(X16&gt;0,X16,""))&amp;IF(X16&lt;&gt;0," Shares of State 2 at a cost of "&amp;ROUND($Y16,5),"")</f>
        <v/>
      </c>
      <c r="AC16" s="218" t="str">
        <f>AA16&amp;AB16</f>
        <v/>
      </c>
    </row>
    <row r="17" spans="3:30" s="7" customFormat="1" ht="18.75" x14ac:dyDescent="0.3">
      <c r="C17" s="21" t="s">
        <v>134</v>
      </c>
      <c r="D17" s="26">
        <v>14</v>
      </c>
      <c r="E17" s="314">
        <v>0.3</v>
      </c>
      <c r="F17" s="313">
        <v>1.6</v>
      </c>
      <c r="G17" s="312">
        <v>0.6</v>
      </c>
      <c r="H17" s="311">
        <v>2.2999999999999998</v>
      </c>
      <c r="I17" s="310">
        <f>EXP(E17/$W$3)/(EXP($E17/$W$3)+EXP($F17/$W$3)+EXP($G17/$W$3)+EXP($H17/$W$3))</f>
        <v>0.14715280872558315</v>
      </c>
      <c r="J17" s="309">
        <f>EXP(F17/$W$3)/(EXP($E17/$W$3)+EXP($F17/$W$3)+EXP($G17/$W$3)+EXP($H17/$W$3))</f>
        <v>0.28187721321792686</v>
      </c>
      <c r="K17" s="308">
        <f>EXP(G17/$W$3)/(EXP($E17/$W$3)+EXP($F17/$W$3)+EXP($G17/$W$3)+EXP($H17/$W$3))</f>
        <v>0.17096717209102782</v>
      </c>
      <c r="L17" s="307">
        <f>EXP(H17/$W$3)/(EXP($E17/$W$3)+EXP($F17/$W$3)+EXP($G17/$W$3)+EXP($H17/$W$3))</f>
        <v>0.40000280596546228</v>
      </c>
      <c r="M17" s="298">
        <f>(I17*$I$25)</f>
        <v>1765.8337047069977</v>
      </c>
      <c r="N17" s="297">
        <f>(J17*$I$25)</f>
        <v>3382.5265586151222</v>
      </c>
      <c r="O17" s="296">
        <f>(K17*$I$25)</f>
        <v>2051.6060650923341</v>
      </c>
      <c r="P17" s="295">
        <f>(L17*$I$25)</f>
        <v>4800.0336715855474</v>
      </c>
      <c r="Q17" s="235">
        <f>O17+$I$23</f>
        <v>10051.606065092334</v>
      </c>
      <c r="R17" s="240">
        <f>P17+$I$23</f>
        <v>12800.033671585548</v>
      </c>
      <c r="S17" s="96">
        <f>$W$3*$I$25*LN(EXP($E17/$W$3) + EXP($F17/$W$3) + EXP($G17/$W$3) +EXP($H17/$W$3) )</f>
        <v>49590.809207642487</v>
      </c>
      <c r="T17" s="50">
        <f>(S17-S16)</f>
        <v>-3957.4578412525734</v>
      </c>
      <c r="U17" s="244"/>
      <c r="W17" s="135">
        <f>E17-E16</f>
        <v>-0.7</v>
      </c>
      <c r="X17" s="118">
        <f>H17-H16</f>
        <v>0.29999999999999982</v>
      </c>
      <c r="Y17" s="215">
        <f>T17</f>
        <v>-3957.4578412525734</v>
      </c>
      <c r="AA17" s="7" t="str">
        <f>IF(W17&gt;0,"Bought ",IF(W17&lt;0,"Sold ",""))&amp;IF(W17&lt;0,W17*-1,IF(W17&gt;0,W17,""))&amp;IF(W17&lt;&gt;0," Shares of State 1 at a cost of "&amp;ROUND($Y17,5),"")</f>
        <v>Sold 0.7 Shares of State 1 at a cost of -3957.45784</v>
      </c>
      <c r="AB17" s="7" t="str">
        <f>IF(X17&gt;0,"Bought ",IF(X17&lt;0,"Sold ",""))&amp;IF(X17&lt;0,X17*-1,IF(X17&gt;0,X17,""))&amp;IF(X17&lt;&gt;0," Shares of State 2 at a cost of "&amp;ROUND($Y17,5),"")</f>
        <v>Bought 0.3 Shares of State 2 at a cost of -3957.45784</v>
      </c>
      <c r="AC17" s="218" t="str">
        <f>AA17&amp;AB17</f>
        <v>Sold 0.7 Shares of State 1 at a cost of -3957.45784Bought 0.3 Shares of State 2 at a cost of -3957.45784</v>
      </c>
    </row>
    <row r="18" spans="3:30" s="7" customFormat="1" ht="18.75" x14ac:dyDescent="0.3">
      <c r="C18" s="21" t="s">
        <v>134</v>
      </c>
      <c r="D18" s="26">
        <v>15</v>
      </c>
      <c r="E18" s="314">
        <v>0.1</v>
      </c>
      <c r="F18" s="313">
        <v>1.6</v>
      </c>
      <c r="G18" s="312">
        <v>0.2</v>
      </c>
      <c r="H18" s="311">
        <v>2.2999999999999998</v>
      </c>
      <c r="I18" s="310">
        <f>EXP(E18/$W$3)/(EXP($E18/$W$3)+EXP($F18/$W$3)+EXP($G18/$W$3)+EXP($H18/$W$3))</f>
        <v>0.13942262314860973</v>
      </c>
      <c r="J18" s="309">
        <f>EXP(F18/$W$3)/(EXP($E18/$W$3)+EXP($F18/$W$3)+EXP($G18/$W$3)+EXP($H18/$W$3))</f>
        <v>0.2951576955217895</v>
      </c>
      <c r="K18" s="308">
        <f>EXP(G18/$W$3)/(EXP($E18/$W$3)+EXP($F18/$W$3)+EXP($G18/$W$3)+EXP($H18/$W$3))</f>
        <v>0.14657097389706017</v>
      </c>
      <c r="L18" s="307">
        <f>EXP(H18/$W$3)/(EXP($E18/$W$3)+EXP($F18/$W$3)+EXP($G18/$W$3)+EXP($H18/$W$3))</f>
        <v>0.41884870743254071</v>
      </c>
      <c r="M18" s="298">
        <f>(I18*$I$25)</f>
        <v>1673.0714777833168</v>
      </c>
      <c r="N18" s="297">
        <f>(J18*$I$25)</f>
        <v>3541.8923462614739</v>
      </c>
      <c r="O18" s="296">
        <f>(K18*$I$25)</f>
        <v>1758.851686764722</v>
      </c>
      <c r="P18" s="295">
        <f>(L18*$I$25)</f>
        <v>5026.1844891904884</v>
      </c>
      <c r="Q18" s="235">
        <f>O18+$I$23</f>
        <v>9758.8516867647213</v>
      </c>
      <c r="R18" s="240">
        <f>P18+$I$23</f>
        <v>13026.184489190488</v>
      </c>
      <c r="S18" s="96">
        <f>$W$3*$I$25*LN(EXP($E18/$W$3) + EXP($F18/$W$3) + EXP($G18/$W$3) +EXP($H18/$W$3) )</f>
        <v>48485.892105081315</v>
      </c>
      <c r="T18" s="50">
        <f>(S18-S17)</f>
        <v>-1104.9171025611722</v>
      </c>
      <c r="U18" s="244"/>
      <c r="W18" s="135">
        <f>E18-E17</f>
        <v>-0.19999999999999998</v>
      </c>
      <c r="X18" s="118">
        <f>H18-H17</f>
        <v>0</v>
      </c>
      <c r="Y18" s="215">
        <f>T18</f>
        <v>-1104.9171025611722</v>
      </c>
      <c r="AA18" s="7" t="str">
        <f>IF(W18&gt;0,"Bought ",IF(W18&lt;0,"Sold ",""))&amp;IF(W18&lt;0,W18*-1,IF(W18&gt;0,W18,""))&amp;IF(W18&lt;&gt;0," Shares of State 1 at a cost of "&amp;ROUND($Y18,5),"")</f>
        <v>Sold 0.2 Shares of State 1 at a cost of -1104.9171</v>
      </c>
      <c r="AB18" s="7" t="str">
        <f>IF(X18&gt;0,"Bought ",IF(X18&lt;0,"Sold ",""))&amp;IF(X18&lt;0,X18*-1,IF(X18&gt;0,X18,""))&amp;IF(X18&lt;&gt;0," Shares of State 2 at a cost of "&amp;ROUND($Y18,5),"")</f>
        <v/>
      </c>
      <c r="AC18" s="218" t="str">
        <f>AA18&amp;AB18</f>
        <v>Sold 0.2 Shares of State 1 at a cost of -1104.9171</v>
      </c>
    </row>
    <row r="19" spans="3:30" s="7" customFormat="1" ht="19.5" thickBot="1" x14ac:dyDescent="0.35">
      <c r="C19" s="166" t="s">
        <v>133</v>
      </c>
      <c r="D19" s="26">
        <v>16</v>
      </c>
      <c r="E19" s="306">
        <v>0</v>
      </c>
      <c r="F19" s="305">
        <v>8</v>
      </c>
      <c r="G19" s="304">
        <v>0</v>
      </c>
      <c r="H19" s="303">
        <v>9.41</v>
      </c>
      <c r="I19" s="302">
        <f>EXP(E19/$W$3)/(EXP($E19/$W$3)+EXP($F19/$W$3)+EXP($G19/$W$3)+EXP($H19/$W$3))</f>
        <v>5.9845681334613982E-3</v>
      </c>
      <c r="J19" s="301">
        <f>EXP(F19/$W$3)/(EXP($E19/$W$3)+EXP($F19/$W$3)+EXP($G19/$W$3)+EXP($H19/$W$3))</f>
        <v>0.32674634883429937</v>
      </c>
      <c r="K19" s="300">
        <f>EXP(G19/$W$3)/(EXP($E19/$W$3)+EXP($F19/$W$3)+EXP($G19/$W$3)+EXP($H19/$W$3))</f>
        <v>5.9845681334613982E-3</v>
      </c>
      <c r="L19" s="299">
        <f>EXP(H19/$W$3)/(EXP($E19/$W$3)+EXP($F19/$W$3)+EXP($G19/$W$3)+EXP($H19/$W$3))</f>
        <v>0.66128451489877782</v>
      </c>
      <c r="M19" s="298">
        <f>(I19*$I$25)</f>
        <v>71.814817601536774</v>
      </c>
      <c r="N19" s="297">
        <f>(J19*$I$25)</f>
        <v>3920.9561860115923</v>
      </c>
      <c r="O19" s="296">
        <f>(K19*$I$25)</f>
        <v>71.814817601536774</v>
      </c>
      <c r="P19" s="295">
        <f>(L19*$I$25)</f>
        <v>7935.4141787853341</v>
      </c>
      <c r="Q19" s="236">
        <f>O19+$I$23</f>
        <v>8071.8148176015366</v>
      </c>
      <c r="R19" s="241">
        <f>P19+$I$23</f>
        <v>15935.414178785333</v>
      </c>
      <c r="S19" s="133">
        <f>$W$3*$I$25*LN(EXP($E19/$W$3) + EXP($F19/$W$3) + EXP($G19/$W$3) +EXP($H19/$W$3) )</f>
        <v>122845.70641746093</v>
      </c>
      <c r="T19" s="134">
        <f>(S19-S18)</f>
        <v>74359.814312379604</v>
      </c>
      <c r="U19" s="244"/>
      <c r="W19" s="143">
        <f>E19-E18</f>
        <v>-0.1</v>
      </c>
      <c r="X19" s="120">
        <f>H19-H18</f>
        <v>7.11</v>
      </c>
      <c r="Y19" s="215">
        <f>T19</f>
        <v>74359.814312379604</v>
      </c>
      <c r="AA19" s="7" t="str">
        <f>IF(W19&gt;0,"Bought ",IF(W19&lt;0,"Sold ",""))&amp;IF(W19&lt;0,W19*-1,IF(W19&gt;0,W19,""))&amp;IF(W19&lt;&gt;0," Shares of State 1 at a cost of "&amp;ROUND($Y19,5),"")</f>
        <v>Sold 0.1 Shares of State 1 at a cost of 74359.81431</v>
      </c>
      <c r="AB19" s="7" t="str">
        <f>IF(X19&gt;0,"Bought ",IF(X19&lt;0,"Sold ",""))&amp;IF(X19&lt;0,X19*-1,IF(X19&gt;0,X19,""))&amp;IF(X19&lt;&gt;0," Shares of State 2 at a cost of "&amp;ROUND($Y19,5),"")</f>
        <v>Bought 7.11 Shares of State 2 at a cost of 74359.81431</v>
      </c>
      <c r="AC19" s="218" t="str">
        <f>AA19&amp;AB19</f>
        <v>Sold 0.1 Shares of State 1 at a cost of 74359.81431Bought 7.11 Shares of State 2 at a cost of 74359.81431</v>
      </c>
    </row>
    <row r="20" spans="3:30" s="7" customFormat="1" ht="16.5" thickTop="1" thickBot="1" x14ac:dyDescent="0.3">
      <c r="D20" s="26" t="s">
        <v>108</v>
      </c>
      <c r="E20" s="294">
        <v>0</v>
      </c>
      <c r="F20" s="293">
        <v>8</v>
      </c>
      <c r="G20" s="292">
        <v>0</v>
      </c>
      <c r="H20" s="291">
        <f>W3*LN(G27/(1-G27))+F20</f>
        <v>9.4070227899310765</v>
      </c>
      <c r="I20" s="290">
        <f>EXP(E20/$W$3)/(EXP($E20/$W$3)+EXP($F20/$W$3)+EXP($G20/$W$3)+EXP($H20/$W$3))</f>
        <v>5.9904607048654286E-3</v>
      </c>
      <c r="J20" s="289">
        <f>EXP(F20/$W$3)/(EXP($E20/$W$3)+EXP($F20/$W$3)+EXP($G20/$W$3)+EXP($H20/$W$3))</f>
        <v>0.32706807233189761</v>
      </c>
      <c r="K20" s="288">
        <f>EXP(G20/$W$3)/(EXP($E20/$W$3)+EXP($F20/$W$3)+EXP($G20/$W$3)+EXP($H20/$W$3))</f>
        <v>5.9904607048654286E-3</v>
      </c>
      <c r="L20" s="287">
        <f>EXP(H20/$W$3)/(EXP($E20/$W$3)+EXP($F20/$W$3)+EXP($G20/$W$3)+EXP($H20/$W$3))</f>
        <v>0.66095100625837155</v>
      </c>
      <c r="M20" s="286">
        <v>0</v>
      </c>
      <c r="N20" s="285">
        <f>I24-I27</f>
        <v>3972.41</v>
      </c>
      <c r="O20" s="284">
        <v>0</v>
      </c>
      <c r="P20" s="283">
        <f>I27-I23</f>
        <v>8027.59</v>
      </c>
      <c r="Q20" s="237">
        <f>O20+$I$23</f>
        <v>8000</v>
      </c>
      <c r="R20" s="242">
        <f>P20+I23</f>
        <v>16027.59</v>
      </c>
      <c r="S20" s="97">
        <f>$W$3*$I$25*LN(EXP($E20/$W$3) + EXP($F20/$W$3) + EXP($G20/$W$3) +EXP($H20/$W$3) )</f>
        <v>122822.08697954217</v>
      </c>
      <c r="T20" s="55">
        <f>SUM(T10:T19)</f>
        <v>122845.70641746093</v>
      </c>
      <c r="U20" s="8" t="s">
        <v>128</v>
      </c>
      <c r="AB20" s="8"/>
      <c r="AC20" s="8"/>
      <c r="AD20" s="8"/>
    </row>
    <row r="21" spans="3:30" s="7" customFormat="1" ht="15.75" thickBot="1" x14ac:dyDescent="0.3">
      <c r="C21"/>
      <c r="D21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130">
        <v>0</v>
      </c>
      <c r="T21" s="50">
        <f>SUMPRODUCT(E20:H20,M20:P20)</f>
        <v>107295.00207822281</v>
      </c>
      <c r="U21" t="s">
        <v>129</v>
      </c>
      <c r="AB21"/>
      <c r="AC21"/>
      <c r="AD21"/>
    </row>
    <row r="22" spans="3:30" s="7" customFormat="1" ht="15.75" thickBot="1" x14ac:dyDescent="0.3">
      <c r="E22" s="164"/>
      <c r="F22" s="164"/>
      <c r="G22" s="164"/>
      <c r="H22" s="17"/>
      <c r="I22" s="17"/>
      <c r="J22" s="17"/>
      <c r="K22" s="17"/>
      <c r="L22" s="17"/>
      <c r="M22" s="17"/>
      <c r="N22" s="17"/>
      <c r="O22" s="17"/>
      <c r="P22" s="282">
        <f>SUM(M18:P18)</f>
        <v>12000.000000000002</v>
      </c>
      <c r="Q22" s="17"/>
      <c r="R22" s="17"/>
      <c r="S22" s="57"/>
      <c r="T22" s="223">
        <f>T20-T21</f>
        <v>15550.704339238117</v>
      </c>
      <c r="U22" s="7" t="s">
        <v>118</v>
      </c>
    </row>
    <row r="23" spans="3:30" s="7" customFormat="1" ht="15.75" thickBot="1" x14ac:dyDescent="0.3">
      <c r="F23" s="34"/>
      <c r="G23" s="34">
        <v>0</v>
      </c>
      <c r="H23" s="34" t="s">
        <v>115</v>
      </c>
      <c r="I23" s="34">
        <v>8000</v>
      </c>
      <c r="J23" s="34"/>
      <c r="K23" s="34"/>
      <c r="L23" s="34"/>
      <c r="M23" s="17"/>
      <c r="N23" s="17"/>
      <c r="O23" s="17"/>
      <c r="P23" s="282">
        <f>SUM(M19:P19)</f>
        <v>12000</v>
      </c>
      <c r="Q23" s="17"/>
      <c r="R23" s="17"/>
      <c r="S23" s="57"/>
      <c r="T23" s="224">
        <f>T10-T22</f>
        <v>17720.360327639261</v>
      </c>
      <c r="U23" s="58" t="s">
        <v>119</v>
      </c>
      <c r="Z23" s="8"/>
      <c r="AA23" s="8"/>
      <c r="AB23" s="8"/>
      <c r="AC23" s="29"/>
      <c r="AD23" s="29"/>
    </row>
    <row r="24" spans="3:30" x14ac:dyDescent="0.25">
      <c r="G24" s="34">
        <v>1</v>
      </c>
      <c r="H24" s="34" t="s">
        <v>113</v>
      </c>
      <c r="I24" s="34">
        <v>20000</v>
      </c>
      <c r="P24" s="282">
        <f>SUM(M20:P20)</f>
        <v>12000</v>
      </c>
      <c r="T24" s="221"/>
    </row>
    <row r="25" spans="3:30" x14ac:dyDescent="0.25">
      <c r="H25" s="34" t="s">
        <v>116</v>
      </c>
      <c r="I25" s="34">
        <f>I24-I23</f>
        <v>12000</v>
      </c>
    </row>
    <row r="27" spans="3:30" x14ac:dyDescent="0.25">
      <c r="G27" s="34">
        <f>(I27-I23)/(I24-I23)</f>
        <v>0.66896583333333337</v>
      </c>
      <c r="H27" s="34" t="s">
        <v>114</v>
      </c>
      <c r="I27" s="34">
        <v>16027.59</v>
      </c>
      <c r="K27" s="34" t="s">
        <v>120</v>
      </c>
    </row>
  </sheetData>
  <mergeCells count="1">
    <mergeCell ref="W8:X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3"/>
  <sheetViews>
    <sheetView zoomScale="70" zoomScaleNormal="70" workbookViewId="0">
      <selection activeCell="H22" sqref="H2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2:42" s="7" customFormat="1" x14ac:dyDescent="0.25">
      <c r="E2" s="17"/>
      <c r="F2" s="17"/>
      <c r="G2" s="17"/>
      <c r="H2" s="17"/>
      <c r="I2" s="17"/>
      <c r="J2" s="17"/>
    </row>
    <row r="3" spans="2:42" ht="21" x14ac:dyDescent="0.35">
      <c r="D3" s="163" t="s">
        <v>73</v>
      </c>
      <c r="K3" t="s">
        <v>49</v>
      </c>
    </row>
    <row r="4" spans="2:42" x14ac:dyDescent="0.25">
      <c r="D4" t="s">
        <v>6</v>
      </c>
      <c r="E4" s="34" t="s">
        <v>12</v>
      </c>
      <c r="F4" s="34" t="s">
        <v>13</v>
      </c>
      <c r="H4" s="34" t="s">
        <v>46</v>
      </c>
      <c r="I4" s="34">
        <f>COUNTA(E8:H8)</f>
        <v>4</v>
      </c>
      <c r="K4">
        <f>M9</f>
        <v>2.7725887222397811</v>
      </c>
      <c r="N4" s="18"/>
      <c r="O4" s="7"/>
      <c r="P4" s="7"/>
      <c r="Q4" s="7"/>
      <c r="R4" s="18"/>
    </row>
    <row r="5" spans="2:42" x14ac:dyDescent="0.25">
      <c r="D5" t="s">
        <v>7</v>
      </c>
      <c r="E5" s="34" t="s">
        <v>4</v>
      </c>
      <c r="F5" s="34" t="s">
        <v>5</v>
      </c>
      <c r="N5" s="18"/>
      <c r="O5" s="7"/>
      <c r="P5" s="7"/>
      <c r="Q5" s="7"/>
      <c r="R5" s="18"/>
    </row>
    <row r="7" spans="2:42" ht="27.75" customHeight="1" x14ac:dyDescent="0.25">
      <c r="C7" s="7"/>
      <c r="E7" s="37" t="s">
        <v>14</v>
      </c>
      <c r="F7" s="38"/>
      <c r="G7" s="38"/>
      <c r="H7" s="39"/>
      <c r="I7" s="14" t="s">
        <v>15</v>
      </c>
      <c r="J7" s="15"/>
      <c r="K7" s="15"/>
      <c r="L7" s="16"/>
      <c r="M7" s="14" t="s">
        <v>38</v>
      </c>
      <c r="N7" s="16" t="s">
        <v>37</v>
      </c>
      <c r="O7" s="20"/>
      <c r="P7" s="20"/>
      <c r="R7" s="20"/>
      <c r="S7" s="20"/>
      <c r="T7" s="20"/>
      <c r="U7" s="31"/>
      <c r="V7" s="32"/>
      <c r="W7" s="7"/>
      <c r="X7" s="7"/>
      <c r="Y7" s="7"/>
      <c r="Z7" s="32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16.5" thickBot="1" x14ac:dyDescent="0.3">
      <c r="C8" s="178" t="s">
        <v>7</v>
      </c>
      <c r="D8" s="136" t="s">
        <v>36</v>
      </c>
      <c r="E8" s="40" t="s">
        <v>8</v>
      </c>
      <c r="F8" s="59" t="s">
        <v>9</v>
      </c>
      <c r="G8" s="41" t="s">
        <v>10</v>
      </c>
      <c r="H8" s="60" t="s">
        <v>11</v>
      </c>
      <c r="I8" s="70" t="s">
        <v>8</v>
      </c>
      <c r="J8" s="71" t="s">
        <v>9</v>
      </c>
      <c r="K8" s="72" t="s">
        <v>10</v>
      </c>
      <c r="L8" s="73" t="s">
        <v>11</v>
      </c>
      <c r="M8" s="43">
        <v>0</v>
      </c>
      <c r="N8" s="36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8"/>
      <c r="AN8" s="18"/>
      <c r="AO8" s="18"/>
      <c r="AP8" s="18"/>
    </row>
    <row r="9" spans="2:42" ht="16.5" thickTop="1" x14ac:dyDescent="0.25">
      <c r="B9" t="s">
        <v>70</v>
      </c>
      <c r="C9" s="179">
        <v>2</v>
      </c>
      <c r="D9">
        <v>1</v>
      </c>
      <c r="E9" s="45">
        <v>0</v>
      </c>
      <c r="F9" s="61">
        <v>0</v>
      </c>
      <c r="G9" s="46">
        <v>0</v>
      </c>
      <c r="H9" s="62">
        <v>0</v>
      </c>
      <c r="I9" s="74">
        <f>EXP(E9/$C9)/(EXP($E9/$C9)+EXP($F9/$C9)+EXP($G9/$C9)+EXP($H9/$C9))</f>
        <v>0.25</v>
      </c>
      <c r="J9" s="75">
        <f t="shared" ref="J9:J14" si="0">EXP(F9/$C9)/(EXP($E9/$C9)+EXP($F9/$C9)+EXP($G9/$C9)+EXP($H9/$C9))</f>
        <v>0.25</v>
      </c>
      <c r="K9" s="76">
        <f t="shared" ref="K9:K15" si="1">EXP(G9/$C9)/(EXP($E9/$C9)+EXP($F9/$C9)+EXP($G9/$C9)+EXP($H9/$C9))</f>
        <v>0.25</v>
      </c>
      <c r="L9" s="77">
        <f t="shared" ref="L9:L15" si="2">EXP(H9/$C9)/(EXP($E9/$C9)+EXP($F9/$C9)+EXP($G9/$C9)+EXP($H9/$C9))</f>
        <v>0.25</v>
      </c>
      <c r="M9" s="95">
        <f>$C9*LN(EXP($E9/$C9)+EXP($F9/$C9)+EXP($G9/$C9)+EXP($H9/$C9))</f>
        <v>2.7725887222397811</v>
      </c>
      <c r="N9" s="86">
        <f>(M9-0)</f>
        <v>2.7725887222397811</v>
      </c>
      <c r="O9" s="7"/>
      <c r="P9" s="7"/>
      <c r="R9" s="7"/>
      <c r="S9" s="7"/>
      <c r="T9" s="7"/>
      <c r="U9" s="7"/>
      <c r="V9" s="8"/>
      <c r="W9" s="8"/>
      <c r="X9" s="8"/>
      <c r="Y9" s="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9"/>
      <c r="AN9" s="19"/>
      <c r="AO9" s="19"/>
      <c r="AP9" s="19"/>
    </row>
    <row r="10" spans="2:42" ht="15.75" x14ac:dyDescent="0.25">
      <c r="B10" s="7" t="s">
        <v>70</v>
      </c>
      <c r="C10" s="179">
        <v>2</v>
      </c>
      <c r="D10" s="7">
        <v>2</v>
      </c>
      <c r="E10" s="48">
        <v>0</v>
      </c>
      <c r="F10" s="63">
        <v>1</v>
      </c>
      <c r="G10" s="42">
        <v>2</v>
      </c>
      <c r="H10" s="64">
        <v>0</v>
      </c>
      <c r="I10" s="78">
        <f t="shared" ref="I10:I15" si="3">EXP(E10/$C10)/(EXP($E10/$C10)+EXP($F10/$C10)+EXP($G10/$C10)+EXP($H10/$C10))</f>
        <v>0.1570597633495828</v>
      </c>
      <c r="J10" s="79">
        <f t="shared" si="0"/>
        <v>0.25894777260558555</v>
      </c>
      <c r="K10" s="80">
        <f t="shared" si="1"/>
        <v>0.4269327006952488</v>
      </c>
      <c r="L10" s="81">
        <f t="shared" si="2"/>
        <v>0.1570597633495828</v>
      </c>
      <c r="M10" s="96">
        <f t="shared" ref="M10" si="4">$C10*LN(EXP($E10/$C10)+EXP($F10/$C10)+EXP($G10/$C10)+EXP($H10/$C10))</f>
        <v>3.7022577755764261</v>
      </c>
      <c r="N10" s="87">
        <f t="shared" ref="N10:N15" si="5">(M10-M9)</f>
        <v>0.92966905333664496</v>
      </c>
      <c r="O10" s="7"/>
      <c r="R10" s="7"/>
      <c r="S10" s="7"/>
      <c r="T10" s="7"/>
      <c r="U10" s="7"/>
      <c r="V10" s="30"/>
      <c r="W10" s="30"/>
      <c r="X10" s="30"/>
      <c r="Y10" s="30"/>
      <c r="Z10" s="7"/>
      <c r="AA10" s="7"/>
      <c r="AB10" s="7"/>
      <c r="AC10" s="7"/>
      <c r="AD10" s="7"/>
      <c r="AE10" s="7"/>
      <c r="AF10" s="7"/>
      <c r="AG10" s="7"/>
      <c r="AH10" s="8"/>
      <c r="AI10" s="8"/>
      <c r="AJ10" s="8"/>
      <c r="AK10" s="8"/>
      <c r="AL10" s="7"/>
      <c r="AM10" s="19"/>
      <c r="AN10" s="19"/>
      <c r="AO10" s="19"/>
      <c r="AP10" s="19"/>
    </row>
    <row r="11" spans="2:42" ht="15.75" x14ac:dyDescent="0.25">
      <c r="B11" s="17" t="s">
        <v>70</v>
      </c>
      <c r="C11" s="179">
        <v>2</v>
      </c>
      <c r="D11" s="17">
        <v>3</v>
      </c>
      <c r="E11" s="48">
        <v>1</v>
      </c>
      <c r="F11" s="63">
        <v>1</v>
      </c>
      <c r="G11" s="42">
        <v>2</v>
      </c>
      <c r="H11" s="64">
        <v>0</v>
      </c>
      <c r="I11" s="78">
        <f t="shared" si="3"/>
        <v>0.23500371220159452</v>
      </c>
      <c r="J11" s="79">
        <f t="shared" si="0"/>
        <v>0.23500371220159452</v>
      </c>
      <c r="K11" s="80">
        <f t="shared" si="1"/>
        <v>0.3874556190002601</v>
      </c>
      <c r="L11" s="81">
        <f t="shared" si="2"/>
        <v>0.14253695659655097</v>
      </c>
      <c r="M11" s="96">
        <f t="shared" ref="M11:M16" si="6">$C11*LN(EXP($E11/$C11)+EXP($F11/$C11)+EXP($G11/$C11)+EXP($H11/$C11))</f>
        <v>3.8963079367204267</v>
      </c>
      <c r="N11" s="87">
        <f t="shared" si="5"/>
        <v>0.19405016114400064</v>
      </c>
      <c r="O11" s="7"/>
      <c r="Q11" s="1"/>
      <c r="R11" s="176" t="s">
        <v>71</v>
      </c>
      <c r="S11" s="177"/>
      <c r="T11" s="177"/>
      <c r="U11" s="7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8"/>
      <c r="AI11" s="8"/>
      <c r="AJ11" s="8"/>
      <c r="AK11" s="8"/>
      <c r="AL11" s="7"/>
      <c r="AM11" s="19"/>
      <c r="AN11" s="19"/>
      <c r="AO11" s="19"/>
      <c r="AP11" s="19"/>
    </row>
    <row r="12" spans="2:42" ht="15.75" x14ac:dyDescent="0.25">
      <c r="B12" s="164" t="s">
        <v>70</v>
      </c>
      <c r="C12" s="180">
        <v>2</v>
      </c>
      <c r="D12" s="7">
        <v>4</v>
      </c>
      <c r="E12" s="48">
        <v>2</v>
      </c>
      <c r="F12" s="63">
        <v>0</v>
      </c>
      <c r="G12" s="42">
        <v>7</v>
      </c>
      <c r="H12" s="64">
        <f>E12</f>
        <v>2</v>
      </c>
      <c r="I12" s="78">
        <f t="shared" si="3"/>
        <v>6.8726758577284552E-2</v>
      </c>
      <c r="J12" s="79">
        <f t="shared" si="0"/>
        <v>2.5283161538936071E-2</v>
      </c>
      <c r="K12" s="80">
        <f t="shared" si="1"/>
        <v>0.83726332130649472</v>
      </c>
      <c r="L12" s="81">
        <f t="shared" si="2"/>
        <v>6.8726758577284552E-2</v>
      </c>
      <c r="M12" s="96">
        <f t="shared" si="6"/>
        <v>7.3552333132946082</v>
      </c>
      <c r="N12" s="87">
        <f>(M12-M11)</f>
        <v>3.4589253765741814</v>
      </c>
      <c r="O12" s="7"/>
      <c r="Q12" s="5"/>
      <c r="R12" s="175" t="s">
        <v>72</v>
      </c>
      <c r="S12" s="7"/>
      <c r="T12" s="7"/>
      <c r="U12" s="7"/>
      <c r="V12" s="30"/>
      <c r="W12" s="30"/>
      <c r="X12" s="30"/>
      <c r="Y12" s="30"/>
      <c r="Z12" s="7"/>
      <c r="AA12" s="7"/>
      <c r="AB12" s="7"/>
      <c r="AC12" s="21"/>
      <c r="AD12" s="7"/>
      <c r="AE12" s="7"/>
      <c r="AF12" s="7"/>
      <c r="AG12" s="7"/>
      <c r="AH12" s="8"/>
      <c r="AI12" s="8"/>
      <c r="AJ12" s="8"/>
      <c r="AK12" s="8"/>
      <c r="AL12" s="7"/>
      <c r="AM12" s="19"/>
      <c r="AN12" s="19"/>
      <c r="AO12" s="19"/>
      <c r="AP12" s="19"/>
    </row>
    <row r="13" spans="2:42" ht="15.75" x14ac:dyDescent="0.25">
      <c r="B13" s="164" t="s">
        <v>69</v>
      </c>
      <c r="C13" s="180">
        <v>5</v>
      </c>
      <c r="D13" s="7">
        <v>5</v>
      </c>
      <c r="E13" s="48">
        <f>E12</f>
        <v>2</v>
      </c>
      <c r="F13" s="63">
        <f t="shared" ref="F13:G13" si="7">F12</f>
        <v>0</v>
      </c>
      <c r="G13" s="42">
        <f t="shared" si="7"/>
        <v>7</v>
      </c>
      <c r="H13" s="64">
        <v>2</v>
      </c>
      <c r="I13" s="78">
        <f t="shared" si="3"/>
        <v>0.18557689420946036</v>
      </c>
      <c r="J13" s="79">
        <f>EXP(F13/$C13)/(EXP($E13/$C13)+EXP($F13/$C13)+EXP($G13/$C13)+EXP($H13/$C13))</f>
        <v>0.12439591226963644</v>
      </c>
      <c r="K13" s="80">
        <f t="shared" si="1"/>
        <v>0.5044502993114427</v>
      </c>
      <c r="L13" s="81">
        <f t="shared" si="2"/>
        <v>0.18557689420946036</v>
      </c>
      <c r="M13" s="96">
        <f>$C13*LN(EXP($E13/$C13)+EXP($F13/$C13)+EXP($G13/$C13)+EXP($H13/$C13))</f>
        <v>10.421429793928922</v>
      </c>
      <c r="N13" s="87">
        <f>(M13-M12)</f>
        <v>3.0661964806343143</v>
      </c>
      <c r="O13" s="7"/>
      <c r="P13" s="7">
        <f>(C13-C12)*LN(I4)</f>
        <v>4.1588830833596715</v>
      </c>
      <c r="Q13" s="5" t="b">
        <f>P13&gt;N13</f>
        <v>1</v>
      </c>
      <c r="R13" s="7"/>
      <c r="S13" s="7"/>
      <c r="T13" s="7"/>
      <c r="U13" s="7"/>
      <c r="V13" s="30"/>
      <c r="W13" s="30"/>
      <c r="X13" s="30"/>
      <c r="Y13" s="30"/>
      <c r="Z13" s="7"/>
      <c r="AA13" s="7"/>
      <c r="AB13" s="7"/>
      <c r="AC13" s="7"/>
      <c r="AD13" s="7"/>
      <c r="AE13" s="7"/>
      <c r="AF13" s="7"/>
      <c r="AG13" s="7"/>
      <c r="AH13" s="8"/>
      <c r="AI13" s="8"/>
      <c r="AJ13" s="8"/>
      <c r="AK13" s="8"/>
      <c r="AL13" s="7"/>
      <c r="AM13" s="19"/>
      <c r="AN13" s="19"/>
      <c r="AO13" s="19"/>
      <c r="AP13" s="19"/>
    </row>
    <row r="14" spans="2:42" ht="15.75" x14ac:dyDescent="0.25">
      <c r="B14" s="164" t="s">
        <v>69</v>
      </c>
      <c r="C14" s="180">
        <v>5</v>
      </c>
      <c r="D14" s="7">
        <v>6</v>
      </c>
      <c r="E14" s="48">
        <v>7</v>
      </c>
      <c r="F14" s="63">
        <v>4</v>
      </c>
      <c r="G14" s="42">
        <v>2</v>
      </c>
      <c r="H14" s="64">
        <v>3.5</v>
      </c>
      <c r="I14" s="78">
        <f>EXP(E14/$C14)/(EXP($E14/$C14)+EXP($F14/$C14)+EXP($G14/$C14)+EXP($H14/$C14))</f>
        <v>0.41437441970987865</v>
      </c>
      <c r="J14" s="79">
        <f t="shared" si="0"/>
        <v>0.22741350323649132</v>
      </c>
      <c r="K14" s="80">
        <f t="shared" si="1"/>
        <v>0.15243982995861086</v>
      </c>
      <c r="L14" s="81">
        <f t="shared" si="2"/>
        <v>0.20577224709501912</v>
      </c>
      <c r="M14" s="96">
        <f t="shared" si="6"/>
        <v>11.404926592207367</v>
      </c>
      <c r="N14" s="87">
        <f t="shared" si="5"/>
        <v>0.98349679827844483</v>
      </c>
      <c r="O14" s="7"/>
      <c r="P14" s="7"/>
      <c r="Q14" s="5" t="b">
        <f>N17&gt;M17</f>
        <v>1</v>
      </c>
      <c r="R14" s="7"/>
      <c r="S14" s="7"/>
      <c r="T14" s="7"/>
      <c r="U14" s="7"/>
      <c r="V14" s="30"/>
      <c r="W14" s="30"/>
      <c r="X14" s="30"/>
      <c r="Y14" s="30"/>
      <c r="Z14" s="7"/>
      <c r="AA14" s="7"/>
      <c r="AB14" s="7"/>
      <c r="AC14" s="7"/>
      <c r="AD14" s="7"/>
      <c r="AE14" s="7"/>
      <c r="AF14" s="7"/>
      <c r="AG14" s="7"/>
      <c r="AH14" s="8"/>
      <c r="AI14" s="8"/>
      <c r="AJ14" s="8"/>
      <c r="AK14" s="8"/>
      <c r="AL14" s="7"/>
      <c r="AM14" s="19"/>
      <c r="AN14" s="19"/>
      <c r="AO14" s="19"/>
      <c r="AP14" s="19"/>
    </row>
    <row r="15" spans="2:42" ht="16.5" thickBot="1" x14ac:dyDescent="0.3">
      <c r="B15" s="164" t="s">
        <v>69</v>
      </c>
      <c r="C15" s="180">
        <v>5</v>
      </c>
      <c r="D15" s="7">
        <v>7</v>
      </c>
      <c r="E15" s="40">
        <v>0</v>
      </c>
      <c r="F15" s="59">
        <v>25</v>
      </c>
      <c r="G15" s="41">
        <v>0</v>
      </c>
      <c r="H15" s="60">
        <v>0</v>
      </c>
      <c r="I15" s="70">
        <f t="shared" si="3"/>
        <v>6.6044457821696888E-3</v>
      </c>
      <c r="J15" s="71">
        <f>EXP(F15/$C15)/(EXP($E15/$C15)+EXP($F15/$C15)+EXP($G15/$C15)+EXP($H15/$C15))</f>
        <v>0.98018666265349097</v>
      </c>
      <c r="K15" s="72">
        <f t="shared" si="1"/>
        <v>6.6044457821696888E-3</v>
      </c>
      <c r="L15" s="73">
        <f t="shared" si="2"/>
        <v>6.6044457821696888E-3</v>
      </c>
      <c r="M15" s="133">
        <f t="shared" si="6"/>
        <v>25.100061266798136</v>
      </c>
      <c r="N15" s="36">
        <f t="shared" si="5"/>
        <v>13.695134674590768</v>
      </c>
      <c r="O15" s="7"/>
      <c r="P15" s="7"/>
      <c r="R15" s="7"/>
      <c r="S15" s="7"/>
      <c r="T15" s="7"/>
      <c r="U15" s="7"/>
      <c r="V15" s="30"/>
      <c r="W15" s="30"/>
      <c r="X15" s="30"/>
      <c r="Y15" s="30"/>
      <c r="Z15" s="7"/>
      <c r="AA15" s="7"/>
      <c r="AB15" s="7"/>
      <c r="AC15" s="7"/>
      <c r="AD15" s="7"/>
      <c r="AE15" s="7"/>
      <c r="AF15" s="7"/>
      <c r="AG15" s="7"/>
      <c r="AH15" s="30"/>
      <c r="AI15" s="8"/>
      <c r="AJ15" s="8"/>
      <c r="AK15" s="8"/>
      <c r="AL15" s="7"/>
      <c r="AM15" s="19"/>
      <c r="AN15" s="19"/>
      <c r="AO15" s="19"/>
      <c r="AP15" s="19"/>
    </row>
    <row r="16" spans="2:42" ht="17.25" thickTop="1" thickBot="1" x14ac:dyDescent="0.3">
      <c r="B16" s="164" t="s">
        <v>69</v>
      </c>
      <c r="C16" s="180">
        <v>5</v>
      </c>
      <c r="D16" s="7">
        <v>8</v>
      </c>
      <c r="E16" s="137">
        <f>E15</f>
        <v>0</v>
      </c>
      <c r="F16" s="65">
        <f>F15</f>
        <v>25</v>
      </c>
      <c r="G16" s="53">
        <f>G15</f>
        <v>0</v>
      </c>
      <c r="H16" s="66">
        <f>H15</f>
        <v>0</v>
      </c>
      <c r="I16" s="82">
        <f>EXP(E16)/(EXP($E16)+EXP($F16)+EXP($G16)+EXP($H16))</f>
        <v>1.3887943864385394E-11</v>
      </c>
      <c r="J16" s="83">
        <f>EXP(F16)/(EXP($E16)+EXP($F16)+EXP($G16)+EXP($H16))</f>
        <v>0.99999999995833622</v>
      </c>
      <c r="K16" s="84">
        <f t="shared" ref="K16" si="8">EXP(G16)/(EXP($E16)+EXP($F16)+EXP($G16)+EXP($H16))</f>
        <v>1.3887943864385394E-11</v>
      </c>
      <c r="L16" s="85">
        <f>EXP(H16)/(EXP($E16)+EXP($F16)+EXP($G16)+EXP($H16))</f>
        <v>1.3887943864385394E-11</v>
      </c>
      <c r="M16" s="97">
        <f t="shared" si="6"/>
        <v>25.100061266798136</v>
      </c>
      <c r="N16" s="36">
        <f>SUM(N9:N15)</f>
        <v>25.100061266798136</v>
      </c>
      <c r="O16" s="8" t="s">
        <v>47</v>
      </c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18" ht="15.75" thickBot="1" x14ac:dyDescent="0.3">
      <c r="B17" s="7"/>
      <c r="C17" s="7"/>
      <c r="D17" s="7"/>
      <c r="M17" s="130">
        <v>0</v>
      </c>
      <c r="N17" s="174">
        <f>N16-(SUMPRODUCT(I16:L16,E16:H16))</f>
        <v>0.10006126783973102</v>
      </c>
      <c r="O17" t="s">
        <v>64</v>
      </c>
    </row>
    <row r="18" spans="1:18" x14ac:dyDescent="0.25">
      <c r="B18" s="7"/>
      <c r="C18" s="7"/>
      <c r="D18" s="7"/>
    </row>
    <row r="19" spans="1:18" x14ac:dyDescent="0.25">
      <c r="B19" s="7"/>
      <c r="C19" s="7"/>
      <c r="D19" s="7"/>
    </row>
    <row r="20" spans="1:18" x14ac:dyDescent="0.25">
      <c r="A20" s="7"/>
      <c r="B20" s="7"/>
      <c r="C20" s="7"/>
      <c r="D20" s="7"/>
      <c r="E20" s="17"/>
      <c r="F20" s="17"/>
      <c r="G20" s="164"/>
      <c r="H20" s="164"/>
      <c r="I20" s="167"/>
      <c r="J20" s="167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35"/>
      <c r="B21" s="17"/>
      <c r="C21" s="17"/>
      <c r="D21" s="17"/>
      <c r="E21" s="17"/>
      <c r="F21" s="17"/>
      <c r="G21" s="165"/>
      <c r="H21" s="164"/>
      <c r="I21" s="167"/>
      <c r="J21" s="167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7"/>
      <c r="B22" s="7"/>
      <c r="C22" s="7"/>
      <c r="D22" s="7"/>
      <c r="E22" s="17"/>
      <c r="F22" s="17"/>
      <c r="G22" s="166"/>
      <c r="H22" s="167"/>
      <c r="I22" s="168"/>
      <c r="J22" s="168"/>
      <c r="K22" s="169"/>
      <c r="L22" s="8"/>
      <c r="M22" s="170"/>
      <c r="N22" s="8"/>
      <c r="O22" s="8"/>
      <c r="P22" s="8"/>
      <c r="Q22" s="8"/>
      <c r="R22" s="8"/>
    </row>
    <row r="23" spans="1:18" x14ac:dyDescent="0.25">
      <c r="B23" s="7"/>
      <c r="C23" s="7"/>
      <c r="D23" s="7"/>
      <c r="E23" s="17"/>
      <c r="F23" s="17"/>
      <c r="G23" s="166"/>
      <c r="H23" s="167"/>
      <c r="I23" s="168"/>
      <c r="J23" s="168"/>
      <c r="K23" s="169"/>
      <c r="L23" s="8"/>
      <c r="M23" s="8"/>
      <c r="N23" s="8"/>
      <c r="O23" s="8"/>
      <c r="P23" s="8"/>
      <c r="Q23" s="8"/>
      <c r="R23" s="8"/>
    </row>
    <row r="24" spans="1:18" x14ac:dyDescent="0.25">
      <c r="B24" s="7"/>
      <c r="C24" s="7"/>
      <c r="D24" s="7"/>
      <c r="E24" s="17"/>
      <c r="F24" s="17"/>
      <c r="G24" s="164"/>
      <c r="H24" s="164"/>
      <c r="I24" s="171"/>
      <c r="J24" s="171"/>
      <c r="K24" s="169"/>
      <c r="L24" s="8"/>
      <c r="M24" s="8"/>
      <c r="N24" s="8"/>
      <c r="O24" s="8"/>
      <c r="P24" s="8"/>
      <c r="Q24" s="8"/>
      <c r="R24" s="8"/>
    </row>
    <row r="25" spans="1:18" x14ac:dyDescent="0.25">
      <c r="B25" s="7"/>
      <c r="C25" s="7"/>
      <c r="D25" s="7"/>
      <c r="E25" s="17"/>
      <c r="F25" s="17"/>
      <c r="G25" s="164"/>
      <c r="H25" s="164"/>
      <c r="I25" s="171"/>
      <c r="J25" s="171"/>
      <c r="K25" s="169"/>
      <c r="L25" s="8"/>
      <c r="M25" s="8"/>
      <c r="N25" s="8"/>
      <c r="O25" s="8"/>
      <c r="P25" s="8"/>
      <c r="Q25" s="8"/>
      <c r="R25" s="8"/>
    </row>
    <row r="26" spans="1:18" x14ac:dyDescent="0.25">
      <c r="B26" s="7"/>
      <c r="C26" s="7"/>
      <c r="D26" s="7"/>
      <c r="E26" s="17"/>
      <c r="F26" s="17"/>
      <c r="G26" s="164"/>
      <c r="H26" s="164"/>
      <c r="I26" s="171"/>
      <c r="J26" s="171"/>
      <c r="K26" s="169"/>
      <c r="L26" s="8"/>
      <c r="M26" s="8"/>
      <c r="N26" s="8"/>
      <c r="O26" s="8"/>
      <c r="P26" s="8"/>
      <c r="Q26" s="8"/>
      <c r="R26" s="8"/>
    </row>
    <row r="27" spans="1:18" x14ac:dyDescent="0.25">
      <c r="B27" s="7"/>
      <c r="C27" s="7"/>
      <c r="D27" s="17"/>
      <c r="E27" s="17"/>
      <c r="F27" s="17"/>
      <c r="G27" s="165"/>
      <c r="H27" s="164"/>
      <c r="I27" s="172"/>
      <c r="J27" s="172"/>
      <c r="K27" s="169"/>
      <c r="L27" s="8"/>
      <c r="M27" s="8"/>
      <c r="N27" s="8"/>
      <c r="O27" s="8"/>
      <c r="P27" s="8"/>
      <c r="Q27" s="8"/>
      <c r="R27" s="8"/>
    </row>
    <row r="28" spans="1:18" x14ac:dyDescent="0.25">
      <c r="B28" s="7"/>
      <c r="C28" s="7"/>
      <c r="D28" s="7"/>
      <c r="G28" s="164"/>
      <c r="H28" s="167"/>
      <c r="I28" s="168"/>
      <c r="J28" s="168"/>
      <c r="K28" s="169"/>
      <c r="L28" s="8"/>
      <c r="M28" s="170"/>
      <c r="N28" s="8"/>
      <c r="O28" s="8"/>
      <c r="P28" s="8"/>
      <c r="Q28" s="8"/>
      <c r="R28" s="8"/>
    </row>
    <row r="29" spans="1:18" x14ac:dyDescent="0.25">
      <c r="B29" s="7"/>
      <c r="C29" s="7"/>
      <c r="D29" s="7"/>
      <c r="G29" s="164"/>
      <c r="H29" s="167"/>
      <c r="I29" s="168"/>
      <c r="J29" s="168"/>
      <c r="K29" s="169"/>
      <c r="L29" s="8"/>
      <c r="M29" s="8"/>
      <c r="N29" s="8"/>
      <c r="O29" s="8"/>
      <c r="P29" s="8"/>
      <c r="Q29" s="8"/>
      <c r="R29" s="8"/>
    </row>
    <row r="30" spans="1:18" x14ac:dyDescent="0.25">
      <c r="B30" s="7"/>
      <c r="C30" s="7"/>
      <c r="D30" s="7"/>
      <c r="G30" s="164"/>
      <c r="H30" s="164"/>
      <c r="I30" s="171"/>
      <c r="J30" s="171"/>
      <c r="K30" s="169"/>
      <c r="L30" s="8"/>
      <c r="M30" s="8"/>
      <c r="N30" s="8"/>
      <c r="O30" s="8"/>
      <c r="P30" s="8"/>
      <c r="Q30" s="8"/>
      <c r="R30" s="8"/>
    </row>
    <row r="31" spans="1:18" x14ac:dyDescent="0.25">
      <c r="B31" s="7"/>
      <c r="C31" s="7"/>
      <c r="D31" s="7"/>
      <c r="G31" s="164"/>
      <c r="H31" s="164"/>
      <c r="I31" s="164"/>
      <c r="J31" s="164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G32" s="164"/>
      <c r="H32" s="164"/>
      <c r="I32" s="164"/>
      <c r="J32" s="164"/>
      <c r="K32" s="8"/>
      <c r="L32" s="8"/>
      <c r="M32" s="8"/>
      <c r="N32" s="8"/>
      <c r="O32" s="8"/>
      <c r="P32" s="8"/>
      <c r="Q32" s="8"/>
      <c r="R32" s="8"/>
    </row>
    <row r="33" spans="7:18" x14ac:dyDescent="0.25">
      <c r="G33" s="164"/>
      <c r="H33" s="164"/>
      <c r="I33" s="164"/>
      <c r="J33" s="164"/>
      <c r="K33" s="8"/>
      <c r="L33" s="8"/>
      <c r="M33" s="8"/>
      <c r="N33" s="8"/>
      <c r="O33" s="8"/>
      <c r="P33" s="8"/>
      <c r="Q33" s="8"/>
      <c r="R33" s="8"/>
    </row>
    <row r="34" spans="7:18" x14ac:dyDescent="0.25">
      <c r="G34" s="164"/>
      <c r="H34" s="164"/>
      <c r="I34" s="164"/>
      <c r="J34" s="164"/>
      <c r="K34" s="8"/>
      <c r="L34" s="8"/>
      <c r="M34" s="8"/>
      <c r="N34" s="8"/>
      <c r="O34" s="8"/>
      <c r="P34" s="8"/>
      <c r="Q34" s="8"/>
      <c r="R34" s="8"/>
    </row>
    <row r="35" spans="7:18" x14ac:dyDescent="0.25">
      <c r="G35" s="164"/>
      <c r="H35" s="164"/>
      <c r="I35" s="164"/>
      <c r="J35" s="164"/>
      <c r="K35" s="8"/>
      <c r="L35" s="8"/>
      <c r="M35" s="8"/>
      <c r="N35" s="8"/>
      <c r="O35" s="8"/>
      <c r="P35" s="8"/>
      <c r="Q35" s="8"/>
      <c r="R35" s="8"/>
    </row>
    <row r="36" spans="7:18" x14ac:dyDescent="0.25">
      <c r="G36" s="173"/>
      <c r="H36" s="164"/>
      <c r="I36" s="172"/>
      <c r="J36" s="172"/>
      <c r="K36" s="169"/>
      <c r="L36" s="8"/>
      <c r="M36" s="8"/>
      <c r="N36" s="8"/>
      <c r="O36" s="8"/>
      <c r="P36" s="8"/>
      <c r="Q36" s="8"/>
      <c r="R36" s="8"/>
    </row>
    <row r="37" spans="7:18" x14ac:dyDescent="0.25">
      <c r="G37" s="164"/>
      <c r="H37" s="167"/>
      <c r="I37" s="168"/>
      <c r="J37" s="168"/>
      <c r="K37" s="169"/>
      <c r="L37" s="8"/>
      <c r="M37" s="170"/>
      <c r="N37" s="8"/>
      <c r="O37" s="8"/>
      <c r="P37" s="8"/>
      <c r="Q37" s="8"/>
      <c r="R37" s="8"/>
    </row>
    <row r="38" spans="7:18" x14ac:dyDescent="0.25">
      <c r="G38" s="164"/>
      <c r="H38" s="167"/>
      <c r="I38" s="168"/>
      <c r="J38" s="168"/>
      <c r="K38" s="169"/>
      <c r="L38" s="8"/>
      <c r="M38" s="8"/>
      <c r="N38" s="8"/>
      <c r="O38" s="8"/>
      <c r="P38" s="8"/>
      <c r="Q38" s="8"/>
      <c r="R38" s="8"/>
    </row>
    <row r="39" spans="7:18" x14ac:dyDescent="0.25">
      <c r="G39" s="164"/>
      <c r="H39" s="164"/>
      <c r="I39" s="171"/>
      <c r="J39" s="171"/>
      <c r="K39" s="169"/>
      <c r="L39" s="8"/>
      <c r="M39" s="8"/>
      <c r="N39" s="8"/>
      <c r="O39" s="8"/>
      <c r="P39" s="8"/>
      <c r="Q39" s="8"/>
      <c r="R39" s="8"/>
    </row>
    <row r="40" spans="7:18" x14ac:dyDescent="0.25">
      <c r="G40" s="164"/>
      <c r="H40" s="164"/>
      <c r="I40" s="164"/>
      <c r="J40" s="164"/>
      <c r="K40" s="8"/>
      <c r="L40" s="8"/>
      <c r="M40" s="8"/>
      <c r="N40" s="8"/>
      <c r="O40" s="8"/>
      <c r="P40" s="8"/>
      <c r="Q40" s="8"/>
      <c r="R40" s="8"/>
    </row>
    <row r="41" spans="7:18" x14ac:dyDescent="0.25">
      <c r="G41" s="164"/>
      <c r="H41" s="164"/>
      <c r="I41" s="164"/>
      <c r="J41" s="164"/>
      <c r="K41" s="8"/>
      <c r="L41" s="8"/>
      <c r="M41" s="8"/>
      <c r="N41" s="8"/>
      <c r="O41" s="8"/>
      <c r="P41" s="8"/>
      <c r="Q41" s="8"/>
      <c r="R41" s="8"/>
    </row>
    <row r="42" spans="7:18" x14ac:dyDescent="0.25">
      <c r="G42" s="164"/>
      <c r="H42" s="164"/>
      <c r="I42" s="164"/>
      <c r="J42" s="164"/>
      <c r="K42" s="8"/>
      <c r="L42" s="8"/>
      <c r="M42" s="8"/>
      <c r="N42" s="8"/>
      <c r="O42" s="8"/>
      <c r="P42" s="8"/>
      <c r="Q42" s="8"/>
      <c r="R42" s="8"/>
    </row>
    <row r="43" spans="7:18" x14ac:dyDescent="0.25">
      <c r="G43" s="164"/>
      <c r="H43" s="164"/>
      <c r="I43" s="164"/>
      <c r="J43" s="164"/>
      <c r="K43" s="8"/>
      <c r="L43" s="8"/>
      <c r="M43" s="8"/>
      <c r="N43" s="8"/>
      <c r="O43" s="8"/>
      <c r="P43" s="8"/>
      <c r="Q43" s="8"/>
      <c r="R43" s="8"/>
    </row>
  </sheetData>
  <conditionalFormatting sqref="AM9:A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AM9:AP15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87"/>
  <sheetViews>
    <sheetView topLeftCell="A52" workbookViewId="0">
      <selection activeCell="T43" sqref="T43"/>
    </sheetView>
  </sheetViews>
  <sheetFormatPr defaultRowHeight="15" x14ac:dyDescent="0.25"/>
  <cols>
    <col min="3" max="3" width="7.85546875" customWidth="1"/>
    <col min="4" max="4" width="11.7109375" customWidth="1"/>
    <col min="5" max="6" width="9.5703125" bestFit="1" customWidth="1"/>
    <col min="10" max="10" width="13" customWidth="1"/>
    <col min="15" max="15" width="9.28515625" customWidth="1"/>
    <col min="18" max="18" width="9.5703125" bestFit="1" customWidth="1"/>
  </cols>
  <sheetData>
    <row r="3" spans="2:20" x14ac:dyDescent="0.25">
      <c r="D3" t="s">
        <v>90</v>
      </c>
    </row>
    <row r="4" spans="2:20" ht="15.75" thickBot="1" x14ac:dyDescent="0.3">
      <c r="D4" t="s">
        <v>75</v>
      </c>
    </row>
    <row r="5" spans="2:20" ht="15.75" thickBot="1" x14ac:dyDescent="0.3">
      <c r="Q5" s="191" t="s">
        <v>7</v>
      </c>
      <c r="R5" s="10"/>
      <c r="S5" s="10"/>
      <c r="T5" s="192">
        <v>1</v>
      </c>
    </row>
    <row r="6" spans="2:20" ht="21" x14ac:dyDescent="0.35">
      <c r="D6" s="163"/>
      <c r="E6" s="34"/>
      <c r="F6" s="34"/>
      <c r="G6" s="34"/>
      <c r="H6" s="34"/>
      <c r="I6" s="34"/>
      <c r="J6" s="34"/>
      <c r="K6" t="s">
        <v>49</v>
      </c>
      <c r="Q6" s="135" t="s">
        <v>77</v>
      </c>
      <c r="R6" s="7"/>
      <c r="S6" s="9" t="s">
        <v>4</v>
      </c>
      <c r="T6" s="11" t="s">
        <v>5</v>
      </c>
    </row>
    <row r="7" spans="2:20" ht="15.75" thickBot="1" x14ac:dyDescent="0.3">
      <c r="D7" t="s">
        <v>76</v>
      </c>
      <c r="E7" s="26" t="s">
        <v>4</v>
      </c>
      <c r="F7" s="26" t="s">
        <v>5</v>
      </c>
      <c r="G7" s="34"/>
      <c r="H7" s="34" t="s">
        <v>46</v>
      </c>
      <c r="I7" s="34">
        <f>COUNTA(E11:F11)</f>
        <v>2</v>
      </c>
      <c r="J7" s="34"/>
      <c r="K7">
        <f>I12</f>
        <v>0.69314718055994529</v>
      </c>
      <c r="Q7" s="135"/>
      <c r="R7" s="7"/>
      <c r="S7" s="194">
        <v>0.04</v>
      </c>
      <c r="T7" s="195">
        <f>1-S7</f>
        <v>0.96</v>
      </c>
    </row>
    <row r="8" spans="2:20" x14ac:dyDescent="0.25">
      <c r="B8" s="7"/>
      <c r="D8" s="7"/>
      <c r="E8" s="17"/>
      <c r="F8" s="17"/>
      <c r="G8" s="34"/>
      <c r="H8" s="34"/>
      <c r="I8" s="34"/>
      <c r="J8" s="34"/>
      <c r="P8" s="7"/>
      <c r="Q8" s="135" t="s">
        <v>79</v>
      </c>
      <c r="R8" s="7"/>
      <c r="S8" s="7">
        <v>500</v>
      </c>
      <c r="T8" s="118"/>
    </row>
    <row r="9" spans="2:20" ht="15.75" thickBot="1" x14ac:dyDescent="0.3">
      <c r="B9" s="7"/>
      <c r="E9" s="34"/>
      <c r="F9" s="34"/>
      <c r="G9" s="34"/>
      <c r="H9" s="34"/>
      <c r="I9" s="34"/>
      <c r="J9" s="34"/>
      <c r="Q9" s="143" t="s">
        <v>78</v>
      </c>
      <c r="R9" s="193"/>
      <c r="S9" s="193">
        <v>5000</v>
      </c>
      <c r="T9" s="120"/>
    </row>
    <row r="10" spans="2:20" x14ac:dyDescent="0.25">
      <c r="B10" s="7"/>
      <c r="C10" s="7"/>
      <c r="E10" s="67" t="s">
        <v>14</v>
      </c>
      <c r="F10" s="68"/>
      <c r="G10" s="68" t="s">
        <v>15</v>
      </c>
      <c r="H10" s="69"/>
      <c r="I10" s="67" t="s">
        <v>38</v>
      </c>
      <c r="J10" s="69" t="s">
        <v>37</v>
      </c>
      <c r="K10" s="20"/>
      <c r="L10" s="7"/>
      <c r="M10" s="7"/>
      <c r="N10" s="7"/>
      <c r="O10" s="7"/>
      <c r="P10" s="7"/>
      <c r="Q10" s="20"/>
    </row>
    <row r="11" spans="2:20" ht="15.75" thickBot="1" x14ac:dyDescent="0.3">
      <c r="B11" s="7"/>
      <c r="C11" s="33"/>
      <c r="D11" s="35" t="s">
        <v>36</v>
      </c>
      <c r="E11" s="40" t="s">
        <v>8</v>
      </c>
      <c r="F11" s="41" t="s">
        <v>9</v>
      </c>
      <c r="G11" s="90" t="s">
        <v>8</v>
      </c>
      <c r="H11" s="91" t="s">
        <v>9</v>
      </c>
      <c r="I11" s="43">
        <v>0</v>
      </c>
      <c r="J11" s="44"/>
      <c r="K11" s="7"/>
      <c r="L11" s="7"/>
      <c r="M11" s="7"/>
      <c r="N11" s="7" t="s">
        <v>85</v>
      </c>
      <c r="O11" s="7"/>
      <c r="P11" s="7"/>
      <c r="Q11" s="7"/>
    </row>
    <row r="12" spans="2:20" ht="15.75" thickTop="1" x14ac:dyDescent="0.25">
      <c r="B12" s="7"/>
      <c r="C12" s="7"/>
      <c r="D12" s="26" t="s">
        <v>41</v>
      </c>
      <c r="E12" s="45">
        <v>0</v>
      </c>
      <c r="F12" s="46">
        <v>0</v>
      </c>
      <c r="G12" s="51">
        <f t="shared" ref="G12:H15" si="0">EXP(E12/$T$5)/(EXP($F12/$T$5)+EXP($E12/$T$5))</f>
        <v>0.5</v>
      </c>
      <c r="H12" s="92">
        <f t="shared" si="0"/>
        <v>0.5</v>
      </c>
      <c r="I12" s="95">
        <f t="shared" ref="I12:I31" si="1">$T$5*LN(EXP($F12/$T$5)+EXP($E12/$T$5))</f>
        <v>0.69314718055994529</v>
      </c>
      <c r="J12" s="181">
        <f>(I12-I11)</f>
        <v>0.69314718055994529</v>
      </c>
      <c r="K12" s="7"/>
      <c r="L12" s="7"/>
      <c r="M12" s="7"/>
      <c r="N12" t="str">
        <f>IF(D12="Buyer",J12,"")</f>
        <v/>
      </c>
      <c r="P12" s="7"/>
      <c r="Q12" s="7"/>
    </row>
    <row r="13" spans="2:20" x14ac:dyDescent="0.25">
      <c r="B13" s="7"/>
      <c r="C13" s="7"/>
      <c r="D13" s="26" t="s">
        <v>82</v>
      </c>
      <c r="E13" s="48">
        <f>S8/S9</f>
        <v>0.1</v>
      </c>
      <c r="F13" s="42">
        <v>0</v>
      </c>
      <c r="G13" s="49">
        <f t="shared" si="0"/>
        <v>0.52497918747894001</v>
      </c>
      <c r="H13" s="93">
        <f t="shared" si="0"/>
        <v>0.47502081252105999</v>
      </c>
      <c r="I13" s="96">
        <f t="shared" si="1"/>
        <v>0.74439666007357097</v>
      </c>
      <c r="J13" s="182">
        <f>(I13-I12)</f>
        <v>5.1249479513625684E-2</v>
      </c>
      <c r="K13" s="7"/>
      <c r="L13" s="7" t="s">
        <v>80</v>
      </c>
      <c r="M13" s="7" t="s">
        <v>81</v>
      </c>
      <c r="N13" s="196">
        <f>IF(D13="Buyer",J13,"")</f>
        <v>5.1249479513625684E-2</v>
      </c>
      <c r="P13" s="7"/>
      <c r="Q13" s="7"/>
    </row>
    <row r="14" spans="2:20" x14ac:dyDescent="0.25">
      <c r="B14" s="7"/>
      <c r="C14" s="7">
        <v>1</v>
      </c>
      <c r="D14" s="26" t="s">
        <v>83</v>
      </c>
      <c r="E14" s="48">
        <f>IF(MOD(ROW(A14),2)=1,E13+E12,E13)</f>
        <v>0.1</v>
      </c>
      <c r="F14" s="186">
        <f>IF(MOD(ROW(A14),2)=0,L14,F13)</f>
        <v>3.2780538303479458</v>
      </c>
      <c r="G14" s="49">
        <f t="shared" si="0"/>
        <v>3.9999999999999994E-2</v>
      </c>
      <c r="H14" s="93">
        <f t="shared" si="0"/>
        <v>0.96000000000000008</v>
      </c>
      <c r="I14" s="96">
        <f t="shared" si="1"/>
        <v>3.3188758248682011</v>
      </c>
      <c r="J14" s="182">
        <f>(I14-I13)</f>
        <v>2.5744791647946301</v>
      </c>
      <c r="K14" s="7"/>
      <c r="L14" s="144">
        <f>$T$5*LN($T$7/$S$7)+E14</f>
        <v>3.2780538303479458</v>
      </c>
      <c r="M14" s="144">
        <f>IF( D14="Seller",((F14-F13)-J14)*$T$7,"")</f>
        <v>0.67543167893118305</v>
      </c>
      <c r="N14" t="str">
        <f>IF(D14="Buyer",J14,"")</f>
        <v/>
      </c>
      <c r="P14" s="187"/>
      <c r="Q14" s="7"/>
      <c r="R14" s="189"/>
    </row>
    <row r="15" spans="2:20" x14ac:dyDescent="0.25">
      <c r="B15" s="7"/>
      <c r="C15" s="7"/>
      <c r="D15" s="26" t="s">
        <v>82</v>
      </c>
      <c r="E15" s="48">
        <f>IF(MOD(ROW(A15),2)=1,E14+$E$13,E14)</f>
        <v>0.2</v>
      </c>
      <c r="F15" s="186">
        <f>IF(MOD(ROW(A15),2)=0,L15,F14)</f>
        <v>3.2780538303479458</v>
      </c>
      <c r="G15" s="49">
        <f t="shared" si="0"/>
        <v>4.4021644850859298E-2</v>
      </c>
      <c r="H15" s="93">
        <f t="shared" si="0"/>
        <v>0.95597835514914065</v>
      </c>
      <c r="I15" s="96">
        <f t="shared" si="1"/>
        <v>3.3230738375923785</v>
      </c>
      <c r="J15" s="182">
        <f>(I15-I14)</f>
        <v>4.1980127241774134E-3</v>
      </c>
      <c r="K15" s="7"/>
      <c r="L15" s="144">
        <f>$T$5*LN($T$7/$S$7)+E15</f>
        <v>3.3780538303479459</v>
      </c>
      <c r="M15" s="144" t="str">
        <f t="shared" ref="M15:M30" si="2">IF( D15="Seller",((F15-F14)-J15)*$T$7,"")</f>
        <v/>
      </c>
      <c r="N15">
        <f>IF(D15="Buyer",J15,"")</f>
        <v>4.1980127241774134E-3</v>
      </c>
      <c r="P15" s="7"/>
      <c r="Q15" s="7"/>
    </row>
    <row r="16" spans="2:20" x14ac:dyDescent="0.25">
      <c r="B16" s="7"/>
      <c r="C16" s="7">
        <v>2</v>
      </c>
      <c r="D16" s="26" t="s">
        <v>83</v>
      </c>
      <c r="E16" s="48">
        <f t="shared" ref="E16:E29" si="3">IF(MOD(ROW(A16),2)=1,E15+$E$13,E15)</f>
        <v>0.2</v>
      </c>
      <c r="F16" s="186">
        <f>IF(MOD(ROW(A16),2)=0,L16,F15)</f>
        <v>3.3780538303479459</v>
      </c>
      <c r="G16" s="49">
        <f t="shared" ref="G16:G30" si="4">EXP(E16/$T$5)/(EXP($F16/$T$5)+EXP($E16/$T$5))</f>
        <v>3.9999999999999987E-2</v>
      </c>
      <c r="H16" s="93">
        <f t="shared" ref="H16:H30" si="5">EXP(F16/$T$5)/(EXP($F16/$T$5)+EXP($E16/$T$5))</f>
        <v>0.96</v>
      </c>
      <c r="I16" s="96">
        <f t="shared" si="1"/>
        <v>3.4188758248682012</v>
      </c>
      <c r="J16" s="182">
        <f t="shared" ref="J16:J30" si="6">(I16-I15)</f>
        <v>9.5801987275822675E-2</v>
      </c>
      <c r="K16" s="7"/>
      <c r="L16" s="144">
        <f t="shared" ref="L16:L29" si="7">$T$5*LN($T$7/$S$7)+E16</f>
        <v>3.3780538303479459</v>
      </c>
      <c r="M16" s="144">
        <f>IF( D16="Seller",((F16-F15)-J16)*$T$7,"")</f>
        <v>4.0300922152103165E-3</v>
      </c>
      <c r="N16" t="str">
        <f t="shared" ref="N16:N30" si="8">IF(D16="Buyer",J16,"")</f>
        <v/>
      </c>
      <c r="O16" s="7"/>
      <c r="P16" s="7"/>
      <c r="Q16" s="7"/>
    </row>
    <row r="17" spans="2:17" x14ac:dyDescent="0.25">
      <c r="B17" s="7"/>
      <c r="D17" s="26" t="s">
        <v>82</v>
      </c>
      <c r="E17" s="48">
        <f t="shared" si="3"/>
        <v>0.30000000000000004</v>
      </c>
      <c r="F17" s="186">
        <f t="shared" ref="F17:F20" si="9">IF(MOD(ROW(A17),2)=0,L17,F16)</f>
        <v>3.3780538303479459</v>
      </c>
      <c r="G17" s="49">
        <f t="shared" si="4"/>
        <v>4.4021644850859298E-2</v>
      </c>
      <c r="H17" s="93">
        <f t="shared" si="5"/>
        <v>0.95597835514914076</v>
      </c>
      <c r="I17" s="96">
        <f t="shared" si="1"/>
        <v>3.4230738375923786</v>
      </c>
      <c r="J17" s="182">
        <f t="shared" si="6"/>
        <v>4.1980127241774134E-3</v>
      </c>
      <c r="K17" s="7"/>
      <c r="L17" s="144">
        <f t="shared" si="7"/>
        <v>3.478053830347946</v>
      </c>
      <c r="M17" s="144" t="str">
        <f t="shared" si="2"/>
        <v/>
      </c>
      <c r="N17">
        <f t="shared" si="8"/>
        <v>4.1980127241774134E-3</v>
      </c>
      <c r="O17" s="7"/>
      <c r="P17" s="7"/>
      <c r="Q17" s="7"/>
    </row>
    <row r="18" spans="2:17" x14ac:dyDescent="0.25">
      <c r="B18" s="7"/>
      <c r="C18">
        <v>3</v>
      </c>
      <c r="D18" s="26" t="s">
        <v>83</v>
      </c>
      <c r="E18" s="48">
        <f t="shared" si="3"/>
        <v>0.30000000000000004</v>
      </c>
      <c r="F18" s="186">
        <f t="shared" si="9"/>
        <v>3.478053830347946</v>
      </c>
      <c r="G18" s="49">
        <f t="shared" si="4"/>
        <v>3.9999999999999987E-2</v>
      </c>
      <c r="H18" s="93">
        <f t="shared" si="5"/>
        <v>0.96</v>
      </c>
      <c r="I18" s="96">
        <f t="shared" si="1"/>
        <v>3.5188758248682013</v>
      </c>
      <c r="J18" s="182">
        <f t="shared" si="6"/>
        <v>9.5801987275822675E-2</v>
      </c>
      <c r="K18" s="7"/>
      <c r="L18" s="144">
        <f t="shared" si="7"/>
        <v>3.478053830347946</v>
      </c>
      <c r="M18" s="144">
        <f>IF( D18="Seller",((F18-F17)-J18)*$T$7,"")</f>
        <v>4.0300922152103165E-3</v>
      </c>
      <c r="N18" t="str">
        <f t="shared" si="8"/>
        <v/>
      </c>
      <c r="O18" s="7"/>
      <c r="P18" s="7"/>
      <c r="Q18" s="7"/>
    </row>
    <row r="19" spans="2:17" x14ac:dyDescent="0.25">
      <c r="B19" s="7"/>
      <c r="C19" s="7"/>
      <c r="D19" s="26" t="s">
        <v>82</v>
      </c>
      <c r="E19" s="48">
        <f t="shared" si="3"/>
        <v>0.4</v>
      </c>
      <c r="F19" s="186">
        <f t="shared" si="9"/>
        <v>3.478053830347946</v>
      </c>
      <c r="G19" s="49">
        <f t="shared" si="4"/>
        <v>4.4021644850859291E-2</v>
      </c>
      <c r="H19" s="93">
        <f t="shared" si="5"/>
        <v>0.95597835514914076</v>
      </c>
      <c r="I19" s="96">
        <f t="shared" si="1"/>
        <v>3.5230738375923787</v>
      </c>
      <c r="J19" s="182">
        <f t="shared" si="6"/>
        <v>4.1980127241774134E-3</v>
      </c>
      <c r="K19" s="7"/>
      <c r="L19" s="144">
        <f t="shared" si="7"/>
        <v>3.5780538303479457</v>
      </c>
      <c r="M19" s="144" t="str">
        <f t="shared" si="2"/>
        <v/>
      </c>
      <c r="N19">
        <f t="shared" si="8"/>
        <v>4.1980127241774134E-3</v>
      </c>
      <c r="O19" s="7"/>
      <c r="P19" s="7"/>
      <c r="Q19" s="7"/>
    </row>
    <row r="20" spans="2:17" x14ac:dyDescent="0.25">
      <c r="B20" s="7"/>
      <c r="C20" s="7">
        <v>4</v>
      </c>
      <c r="D20" s="26" t="s">
        <v>83</v>
      </c>
      <c r="E20" s="48">
        <f t="shared" si="3"/>
        <v>0.4</v>
      </c>
      <c r="F20" s="186">
        <f t="shared" si="9"/>
        <v>3.5780538303479457</v>
      </c>
      <c r="G20" s="49">
        <f t="shared" si="4"/>
        <v>0.04</v>
      </c>
      <c r="H20" s="93">
        <f t="shared" si="5"/>
        <v>0.96</v>
      </c>
      <c r="I20" s="96">
        <f t="shared" si="1"/>
        <v>3.6188758248682009</v>
      </c>
      <c r="J20" s="182">
        <f t="shared" si="6"/>
        <v>9.5801987275822231E-2</v>
      </c>
      <c r="K20" s="7"/>
      <c r="L20" s="144">
        <f t="shared" si="7"/>
        <v>3.5780538303479457</v>
      </c>
      <c r="M20" s="144">
        <f>IF( D20="Seller",((F20-F19)-J20)*$T$7,"")</f>
        <v>4.0300922152103165E-3</v>
      </c>
      <c r="N20" t="str">
        <f t="shared" si="8"/>
        <v/>
      </c>
      <c r="O20" s="7"/>
      <c r="P20" s="7"/>
      <c r="Q20" s="7"/>
    </row>
    <row r="21" spans="2:17" x14ac:dyDescent="0.25">
      <c r="B21" s="7"/>
      <c r="C21" s="7"/>
      <c r="D21" s="26" t="s">
        <v>82</v>
      </c>
      <c r="E21" s="48">
        <f t="shared" si="3"/>
        <v>0.5</v>
      </c>
      <c r="F21" s="186">
        <f t="shared" ref="F21:F29" si="10">IF(MOD(ROW(A21),2)=0,L21,F20)</f>
        <v>3.5780538303479457</v>
      </c>
      <c r="G21" s="49">
        <f t="shared" si="4"/>
        <v>4.4021644850859305E-2</v>
      </c>
      <c r="H21" s="93">
        <f t="shared" si="5"/>
        <v>0.95597835514914065</v>
      </c>
      <c r="I21" s="96">
        <f t="shared" si="1"/>
        <v>3.6230738375923783</v>
      </c>
      <c r="J21" s="182">
        <f t="shared" si="6"/>
        <v>4.1980127241774134E-3</v>
      </c>
      <c r="K21" s="7"/>
      <c r="L21" s="144">
        <f t="shared" si="7"/>
        <v>3.6780538303479458</v>
      </c>
      <c r="M21" s="144" t="str">
        <f t="shared" si="2"/>
        <v/>
      </c>
      <c r="N21">
        <f t="shared" si="8"/>
        <v>4.1980127241774134E-3</v>
      </c>
      <c r="O21" s="7"/>
      <c r="P21" s="7"/>
      <c r="Q21" s="7"/>
    </row>
    <row r="22" spans="2:17" x14ac:dyDescent="0.25">
      <c r="B22" s="7"/>
      <c r="C22" s="7">
        <v>5</v>
      </c>
      <c r="D22" s="26" t="s">
        <v>83</v>
      </c>
      <c r="E22" s="48">
        <f t="shared" si="3"/>
        <v>0.5</v>
      </c>
      <c r="F22" s="186">
        <f t="shared" si="10"/>
        <v>3.6780538303479458</v>
      </c>
      <c r="G22" s="49">
        <f t="shared" si="4"/>
        <v>3.9999999999999994E-2</v>
      </c>
      <c r="H22" s="93">
        <f t="shared" si="5"/>
        <v>0.96</v>
      </c>
      <c r="I22" s="96">
        <f t="shared" si="1"/>
        <v>3.718875824868201</v>
      </c>
      <c r="J22" s="182">
        <f>(I22-I21)</f>
        <v>9.5801987275822675E-2</v>
      </c>
      <c r="K22" s="7"/>
      <c r="L22" s="144">
        <f>$T$5*LN($T$7/$S$7)+E22</f>
        <v>3.6780538303479458</v>
      </c>
      <c r="M22" s="144">
        <f t="shared" si="2"/>
        <v>4.0300922152103165E-3</v>
      </c>
      <c r="N22" t="str">
        <f t="shared" si="8"/>
        <v/>
      </c>
      <c r="O22" s="7"/>
      <c r="P22" s="7"/>
      <c r="Q22" s="7"/>
    </row>
    <row r="23" spans="2:17" x14ac:dyDescent="0.25">
      <c r="B23" s="7"/>
      <c r="C23" s="7"/>
      <c r="D23" s="26" t="s">
        <v>82</v>
      </c>
      <c r="E23" s="48">
        <f t="shared" si="3"/>
        <v>0.6</v>
      </c>
      <c r="F23" s="186">
        <f t="shared" si="10"/>
        <v>3.6780538303479458</v>
      </c>
      <c r="G23" s="49">
        <f t="shared" si="4"/>
        <v>4.4021644850859298E-2</v>
      </c>
      <c r="H23" s="93">
        <f t="shared" si="5"/>
        <v>0.95597835514914076</v>
      </c>
      <c r="I23" s="96">
        <f t="shared" si="1"/>
        <v>3.7230738375923784</v>
      </c>
      <c r="J23" s="182">
        <f t="shared" si="6"/>
        <v>4.1980127241774134E-3</v>
      </c>
      <c r="K23" s="7"/>
      <c r="L23" s="144">
        <f t="shared" si="7"/>
        <v>3.7780538303479458</v>
      </c>
      <c r="M23" s="144" t="str">
        <f t="shared" si="2"/>
        <v/>
      </c>
      <c r="N23">
        <f>IF(D23="Buyer",J23,"")</f>
        <v>4.1980127241774134E-3</v>
      </c>
      <c r="O23" s="7"/>
      <c r="P23" s="7"/>
      <c r="Q23" s="7"/>
    </row>
    <row r="24" spans="2:17" x14ac:dyDescent="0.25">
      <c r="B24" s="7"/>
      <c r="C24">
        <v>6</v>
      </c>
      <c r="D24" s="26" t="s">
        <v>83</v>
      </c>
      <c r="E24" s="48">
        <f t="shared" si="3"/>
        <v>0.6</v>
      </c>
      <c r="F24" s="186">
        <f t="shared" si="10"/>
        <v>3.7780538303479458</v>
      </c>
      <c r="G24" s="49">
        <f t="shared" si="4"/>
        <v>3.9999999999999994E-2</v>
      </c>
      <c r="H24" s="93">
        <f t="shared" si="5"/>
        <v>0.96000000000000008</v>
      </c>
      <c r="I24" s="96">
        <f t="shared" si="1"/>
        <v>3.8188758248682011</v>
      </c>
      <c r="J24" s="182">
        <f t="shared" si="6"/>
        <v>9.5801987275822675E-2</v>
      </c>
      <c r="K24" s="7"/>
      <c r="L24" s="144">
        <f t="shared" si="7"/>
        <v>3.7780538303479458</v>
      </c>
      <c r="M24" s="144">
        <f t="shared" si="2"/>
        <v>4.0300922152103165E-3</v>
      </c>
      <c r="N24" t="str">
        <f>IF(D24="Buyer",J24,"")</f>
        <v/>
      </c>
      <c r="O24" s="7"/>
      <c r="P24" s="7"/>
      <c r="Q24" s="7"/>
    </row>
    <row r="25" spans="2:17" x14ac:dyDescent="0.25">
      <c r="B25" s="7"/>
      <c r="C25" s="7"/>
      <c r="D25" s="26" t="s">
        <v>82</v>
      </c>
      <c r="E25" s="48">
        <f t="shared" si="3"/>
        <v>0.7</v>
      </c>
      <c r="F25" s="186">
        <f t="shared" si="10"/>
        <v>3.7780538303479458</v>
      </c>
      <c r="G25" s="49">
        <f t="shared" si="4"/>
        <v>4.4021644850859298E-2</v>
      </c>
      <c r="H25" s="93">
        <f t="shared" si="5"/>
        <v>0.95597835514914076</v>
      </c>
      <c r="I25" s="96">
        <f t="shared" si="1"/>
        <v>3.8230738375923785</v>
      </c>
      <c r="J25" s="182">
        <f t="shared" si="6"/>
        <v>4.1980127241774134E-3</v>
      </c>
      <c r="K25" s="7"/>
      <c r="L25" s="144">
        <f t="shared" si="7"/>
        <v>3.8780538303479455</v>
      </c>
      <c r="M25" s="144" t="str">
        <f t="shared" si="2"/>
        <v/>
      </c>
      <c r="N25">
        <f t="shared" si="8"/>
        <v>4.1980127241774134E-3</v>
      </c>
      <c r="O25" s="7"/>
      <c r="P25" s="7"/>
      <c r="Q25" s="7"/>
    </row>
    <row r="26" spans="2:17" x14ac:dyDescent="0.25">
      <c r="B26" s="7"/>
      <c r="C26" s="7">
        <v>7</v>
      </c>
      <c r="D26" s="26" t="s">
        <v>83</v>
      </c>
      <c r="E26" s="48">
        <f t="shared" si="3"/>
        <v>0.7</v>
      </c>
      <c r="F26" s="186">
        <f t="shared" si="10"/>
        <v>3.8780538303479455</v>
      </c>
      <c r="G26" s="49">
        <f t="shared" si="4"/>
        <v>4.0000000000000008E-2</v>
      </c>
      <c r="H26" s="93">
        <f t="shared" si="5"/>
        <v>0.96000000000000008</v>
      </c>
      <c r="I26" s="96">
        <f t="shared" si="1"/>
        <v>3.9188758248682007</v>
      </c>
      <c r="J26" s="182">
        <f>(I26-I25)</f>
        <v>9.5801987275822231E-2</v>
      </c>
      <c r="K26" s="7"/>
      <c r="L26" s="144">
        <f t="shared" si="7"/>
        <v>3.8780538303479455</v>
      </c>
      <c r="M26" s="144">
        <f t="shared" si="2"/>
        <v>4.0300922152103165E-3</v>
      </c>
      <c r="N26" t="str">
        <f t="shared" si="8"/>
        <v/>
      </c>
      <c r="O26" s="7"/>
      <c r="P26" s="7"/>
      <c r="Q26" s="7"/>
    </row>
    <row r="27" spans="2:17" x14ac:dyDescent="0.25">
      <c r="B27" s="7"/>
      <c r="C27" s="7"/>
      <c r="D27" s="26" t="s">
        <v>82</v>
      </c>
      <c r="E27" s="48">
        <f t="shared" si="3"/>
        <v>0.79999999999999993</v>
      </c>
      <c r="F27" s="186">
        <f t="shared" si="10"/>
        <v>3.8780538303479455</v>
      </c>
      <c r="G27" s="49">
        <f t="shared" si="4"/>
        <v>4.4021644850859305E-2</v>
      </c>
      <c r="H27" s="93">
        <f t="shared" si="5"/>
        <v>0.95597835514914065</v>
      </c>
      <c r="I27" s="96">
        <f t="shared" si="1"/>
        <v>3.9230738375923782</v>
      </c>
      <c r="J27" s="182">
        <f t="shared" si="6"/>
        <v>4.1980127241774134E-3</v>
      </c>
      <c r="K27" s="7"/>
      <c r="L27" s="144">
        <f t="shared" si="7"/>
        <v>3.9780538303479456</v>
      </c>
      <c r="M27" s="144" t="str">
        <f t="shared" si="2"/>
        <v/>
      </c>
      <c r="N27">
        <f t="shared" si="8"/>
        <v>4.1980127241774134E-3</v>
      </c>
      <c r="O27" s="7"/>
      <c r="P27" s="7"/>
      <c r="Q27" s="7"/>
    </row>
    <row r="28" spans="2:17" x14ac:dyDescent="0.25">
      <c r="B28" s="7"/>
      <c r="C28" s="7">
        <v>8</v>
      </c>
      <c r="D28" s="26" t="s">
        <v>83</v>
      </c>
      <c r="E28" s="48">
        <f t="shared" si="3"/>
        <v>0.79999999999999993</v>
      </c>
      <c r="F28" s="186">
        <f t="shared" si="10"/>
        <v>3.9780538303479456</v>
      </c>
      <c r="G28" s="49">
        <f t="shared" si="4"/>
        <v>0.04</v>
      </c>
      <c r="H28" s="93">
        <f t="shared" si="5"/>
        <v>0.96000000000000008</v>
      </c>
      <c r="I28" s="96">
        <f t="shared" si="1"/>
        <v>4.0188758248682008</v>
      </c>
      <c r="J28" s="182">
        <f t="shared" si="6"/>
        <v>9.5801987275822675E-2</v>
      </c>
      <c r="K28" s="7"/>
      <c r="L28" s="144">
        <f t="shared" si="7"/>
        <v>3.9780538303479456</v>
      </c>
      <c r="M28" s="144">
        <f>IF( D28="Seller",((F28-F27)-J28)*$T$7,"")</f>
        <v>4.0300922152103165E-3</v>
      </c>
      <c r="N28" t="str">
        <f t="shared" si="8"/>
        <v/>
      </c>
      <c r="O28" s="7"/>
      <c r="P28" s="7"/>
      <c r="Q28" s="7"/>
    </row>
    <row r="29" spans="2:17" x14ac:dyDescent="0.25">
      <c r="B29" s="7"/>
      <c r="D29" s="21" t="s">
        <v>84</v>
      </c>
      <c r="E29" s="48">
        <f t="shared" si="3"/>
        <v>0.89999999999999991</v>
      </c>
      <c r="F29" s="186">
        <f t="shared" si="10"/>
        <v>3.9780538303479456</v>
      </c>
      <c r="G29" s="49">
        <f t="shared" si="4"/>
        <v>4.4021644850859305E-2</v>
      </c>
      <c r="H29" s="93">
        <f t="shared" si="5"/>
        <v>0.95597835514914065</v>
      </c>
      <c r="I29" s="96">
        <f t="shared" si="1"/>
        <v>4.0230738375923778</v>
      </c>
      <c r="J29" s="182">
        <f t="shared" si="6"/>
        <v>4.1980127241769694E-3</v>
      </c>
      <c r="K29" s="7"/>
      <c r="L29" s="144">
        <f t="shared" si="7"/>
        <v>4.0780538303479457</v>
      </c>
      <c r="M29" s="144" t="str">
        <f t="shared" si="2"/>
        <v/>
      </c>
      <c r="N29" t="str">
        <f t="shared" si="8"/>
        <v/>
      </c>
      <c r="O29" s="7"/>
      <c r="P29" s="7"/>
      <c r="Q29" s="7"/>
    </row>
    <row r="30" spans="2:17" ht="15.75" thickBot="1" x14ac:dyDescent="0.3">
      <c r="B30" s="7"/>
      <c r="C30" s="7"/>
      <c r="D30" s="26" t="s">
        <v>40</v>
      </c>
      <c r="E30" s="48">
        <v>0</v>
      </c>
      <c r="F30" s="188">
        <f t="shared" ref="F30" si="11">F29</f>
        <v>3.9780538303479456</v>
      </c>
      <c r="G30" s="49">
        <f t="shared" si="4"/>
        <v>1.8377967132622502E-2</v>
      </c>
      <c r="H30" s="93">
        <f t="shared" si="5"/>
        <v>0.98162203286737748</v>
      </c>
      <c r="I30" s="133">
        <f t="shared" si="1"/>
        <v>3.9966027703138742</v>
      </c>
      <c r="J30" s="183">
        <f t="shared" si="6"/>
        <v>-2.6471067278503568E-2</v>
      </c>
      <c r="K30" s="7"/>
      <c r="L30" s="144">
        <f>$T$5*LN($T$7/$S$7)+E30</f>
        <v>3.1780538303479458</v>
      </c>
      <c r="M30" s="144" t="str">
        <f t="shared" si="2"/>
        <v/>
      </c>
      <c r="N30" t="str">
        <f t="shared" si="8"/>
        <v/>
      </c>
      <c r="O30" s="7"/>
      <c r="P30" s="7"/>
      <c r="Q30" s="7"/>
    </row>
    <row r="31" spans="2:17" ht="16.5" thickTop="1" thickBot="1" x14ac:dyDescent="0.3">
      <c r="B31" s="7"/>
      <c r="C31" s="7"/>
      <c r="D31" s="26" t="s">
        <v>0</v>
      </c>
      <c r="E31" s="52">
        <f>E30</f>
        <v>0</v>
      </c>
      <c r="F31" s="190">
        <f>F30</f>
        <v>3.9780538303479456</v>
      </c>
      <c r="G31" s="54">
        <f>EXP(E31)/(EXP($F31)+EXP($E31))</f>
        <v>1.8377967132622502E-2</v>
      </c>
      <c r="H31" s="94">
        <f>EXP(F31)/(EXP($F31)+EXP($E31))</f>
        <v>0.98162203286737748</v>
      </c>
      <c r="I31" s="97">
        <f t="shared" si="1"/>
        <v>3.9966027703138742</v>
      </c>
      <c r="J31" s="184">
        <f>SUM(J12:J30)</f>
        <v>3.9966027703138742</v>
      </c>
      <c r="K31" s="8" t="s">
        <v>47</v>
      </c>
      <c r="L31" s="7"/>
      <c r="M31" s="7"/>
      <c r="N31" s="7"/>
      <c r="O31" s="7"/>
      <c r="P31" s="7"/>
      <c r="Q31" s="8"/>
    </row>
    <row r="32" spans="2:17" ht="15.75" thickBot="1" x14ac:dyDescent="0.3">
      <c r="B32" s="7"/>
      <c r="E32" s="34"/>
      <c r="F32" s="34"/>
      <c r="G32" s="34"/>
      <c r="H32" s="34"/>
      <c r="I32" s="130">
        <v>0</v>
      </c>
      <c r="J32" s="185">
        <f>J31-(SUMPRODUCT(G31:H31,E31:F31))</f>
        <v>9.1657482511866117E-2</v>
      </c>
      <c r="K32" t="s">
        <v>64</v>
      </c>
      <c r="L32" s="7"/>
      <c r="M32" s="7"/>
      <c r="N32" s="7"/>
      <c r="O32" s="7"/>
      <c r="P32" s="7"/>
    </row>
    <row r="34" spans="8:15" x14ac:dyDescent="0.25">
      <c r="M34" t="s">
        <v>87</v>
      </c>
      <c r="N34" t="s">
        <v>88</v>
      </c>
      <c r="O34" t="s">
        <v>89</v>
      </c>
    </row>
    <row r="35" spans="8:15" x14ac:dyDescent="0.25">
      <c r="M35">
        <f>M14+(M28*($S$9-1))</f>
        <v>20.821862662767554</v>
      </c>
      <c r="N35">
        <f>N13+(N27*($S$9-1))</f>
        <v>21.037115087676515</v>
      </c>
      <c r="O35">
        <f>K7</f>
        <v>0.69314718055994529</v>
      </c>
    </row>
    <row r="37" spans="8:15" x14ac:dyDescent="0.25">
      <c r="H37" t="s">
        <v>92</v>
      </c>
      <c r="J37">
        <f>(J26*S9)+J14</f>
        <v>481.58441554390578</v>
      </c>
      <c r="M37" t="s">
        <v>86</v>
      </c>
    </row>
    <row r="38" spans="8:15" x14ac:dyDescent="0.25">
      <c r="H38" t="s">
        <v>95</v>
      </c>
      <c r="J38" s="198">
        <f>M35/J37</f>
        <v>4.3236163776710163E-2</v>
      </c>
    </row>
    <row r="39" spans="8:15" x14ac:dyDescent="0.25">
      <c r="H39" t="s">
        <v>96</v>
      </c>
      <c r="M39" t="s">
        <v>91</v>
      </c>
    </row>
    <row r="40" spans="8:15" x14ac:dyDescent="0.25">
      <c r="N40">
        <f>S7*S8</f>
        <v>20</v>
      </c>
    </row>
    <row r="41" spans="8:15" x14ac:dyDescent="0.25">
      <c r="H41" t="s">
        <v>97</v>
      </c>
    </row>
    <row r="42" spans="8:15" x14ac:dyDescent="0.25">
      <c r="H42" t="s">
        <v>98</v>
      </c>
    </row>
    <row r="50" spans="3:20" x14ac:dyDescent="0.25">
      <c r="D50" t="s">
        <v>74</v>
      </c>
    </row>
    <row r="51" spans="3:20" ht="15.75" thickBot="1" x14ac:dyDescent="0.3">
      <c r="D51" t="s">
        <v>75</v>
      </c>
    </row>
    <row r="52" spans="3:20" ht="15.75" thickBot="1" x14ac:dyDescent="0.3">
      <c r="Q52" s="191" t="s">
        <v>7</v>
      </c>
      <c r="R52" s="10"/>
      <c r="S52" s="10"/>
      <c r="T52" s="192">
        <v>1</v>
      </c>
    </row>
    <row r="53" spans="3:20" ht="21" x14ac:dyDescent="0.35">
      <c r="D53" s="163"/>
      <c r="E53" s="34"/>
      <c r="F53" s="34"/>
      <c r="G53" s="34"/>
      <c r="H53" s="34"/>
      <c r="I53" s="34"/>
      <c r="J53" s="34"/>
      <c r="K53" t="s">
        <v>49</v>
      </c>
      <c r="Q53" s="135" t="s">
        <v>77</v>
      </c>
      <c r="R53" s="7"/>
      <c r="S53" s="9" t="s">
        <v>4</v>
      </c>
      <c r="T53" s="11" t="s">
        <v>5</v>
      </c>
    </row>
    <row r="54" spans="3:20" ht="15.75" thickBot="1" x14ac:dyDescent="0.3">
      <c r="D54" t="s">
        <v>76</v>
      </c>
      <c r="E54" s="26" t="s">
        <v>4</v>
      </c>
      <c r="F54" s="26" t="s">
        <v>5</v>
      </c>
      <c r="G54" s="34"/>
      <c r="H54" s="34" t="s">
        <v>46</v>
      </c>
      <c r="I54" s="34">
        <f>COUNTA(E58:F58)</f>
        <v>2</v>
      </c>
      <c r="J54" s="34"/>
      <c r="K54">
        <f>I59</f>
        <v>0.69314718055994529</v>
      </c>
      <c r="Q54" s="135"/>
      <c r="R54" s="7"/>
      <c r="S54" s="194">
        <v>0.04</v>
      </c>
      <c r="T54" s="195">
        <f>1-S54</f>
        <v>0.96</v>
      </c>
    </row>
    <row r="55" spans="3:20" x14ac:dyDescent="0.25">
      <c r="D55" s="7"/>
      <c r="E55" s="17"/>
      <c r="F55" s="17"/>
      <c r="G55" s="34"/>
      <c r="H55" s="34"/>
      <c r="I55" s="34"/>
      <c r="J55" s="34"/>
      <c r="P55" s="7"/>
      <c r="Q55" s="135" t="s">
        <v>79</v>
      </c>
      <c r="R55" s="7"/>
      <c r="S55" s="7">
        <v>500</v>
      </c>
      <c r="T55" s="118"/>
    </row>
    <row r="56" spans="3:20" ht="15.75" thickBot="1" x14ac:dyDescent="0.3">
      <c r="E56" s="34"/>
      <c r="F56" s="34"/>
      <c r="G56" s="34"/>
      <c r="H56" s="34"/>
      <c r="I56" s="34"/>
      <c r="J56" s="34"/>
      <c r="Q56" s="143" t="s">
        <v>78</v>
      </c>
      <c r="R56" s="193"/>
      <c r="S56" s="193">
        <v>5000</v>
      </c>
      <c r="T56" s="120"/>
    </row>
    <row r="57" spans="3:20" x14ac:dyDescent="0.25">
      <c r="E57" s="67" t="s">
        <v>14</v>
      </c>
      <c r="F57" s="68"/>
      <c r="G57" s="68" t="s">
        <v>15</v>
      </c>
      <c r="H57" s="69"/>
      <c r="I57" s="67" t="s">
        <v>38</v>
      </c>
      <c r="J57" s="69" t="s">
        <v>37</v>
      </c>
      <c r="K57" s="20"/>
      <c r="L57" s="7"/>
      <c r="M57" s="7"/>
      <c r="N57" s="7"/>
      <c r="O57" s="7"/>
      <c r="P57" s="7"/>
      <c r="Q57" s="20"/>
    </row>
    <row r="58" spans="3:20" ht="15.75" thickBot="1" x14ac:dyDescent="0.3">
      <c r="D58" s="35" t="s">
        <v>36</v>
      </c>
      <c r="E58" s="40" t="s">
        <v>8</v>
      </c>
      <c r="F58" s="41" t="s">
        <v>9</v>
      </c>
      <c r="G58" s="90" t="s">
        <v>8</v>
      </c>
      <c r="H58" s="91" t="s">
        <v>9</v>
      </c>
      <c r="I58" s="43">
        <v>0</v>
      </c>
      <c r="J58" s="44"/>
      <c r="K58" s="7"/>
      <c r="L58" s="7"/>
      <c r="M58" s="7"/>
      <c r="N58" s="7" t="s">
        <v>85</v>
      </c>
      <c r="O58" s="7"/>
      <c r="P58" s="7"/>
      <c r="Q58" s="197"/>
    </row>
    <row r="59" spans="3:20" ht="15.75" thickTop="1" x14ac:dyDescent="0.25">
      <c r="D59" s="26" t="s">
        <v>41</v>
      </c>
      <c r="E59" s="45">
        <v>0</v>
      </c>
      <c r="F59" s="46">
        <v>0</v>
      </c>
      <c r="G59" s="51">
        <f t="shared" ref="G59:H62" si="12">EXP(E59/$T$5)/(EXP($F59/$T$5)+EXP($E59/$T$5))</f>
        <v>0.5</v>
      </c>
      <c r="H59" s="92">
        <f t="shared" si="12"/>
        <v>0.5</v>
      </c>
      <c r="I59" s="95">
        <f t="shared" ref="I59:I78" si="13">$T$5*LN(EXP($F59/$T$5)+EXP($E59/$T$5))</f>
        <v>0.69314718055994529</v>
      </c>
      <c r="J59" s="181">
        <f>(I59-I58)</f>
        <v>0.69314718055994529</v>
      </c>
      <c r="K59" s="7"/>
      <c r="L59" s="7"/>
      <c r="M59" s="7"/>
      <c r="N59" t="str">
        <f>IF(D59="Buyer",J59,"")</f>
        <v/>
      </c>
      <c r="P59" s="7"/>
      <c r="Q59" s="7"/>
    </row>
    <row r="60" spans="3:20" x14ac:dyDescent="0.25">
      <c r="D60" s="26" t="s">
        <v>82</v>
      </c>
      <c r="E60" s="48">
        <v>500</v>
      </c>
      <c r="F60" s="42">
        <v>503.18</v>
      </c>
      <c r="G60" s="49">
        <f t="shared" si="12"/>
        <v>3.992533395281353E-2</v>
      </c>
      <c r="H60" s="93">
        <f t="shared" si="12"/>
        <v>0.96007466604718639</v>
      </c>
      <c r="I60" s="96">
        <f t="shared" si="13"/>
        <v>503.22074422041226</v>
      </c>
      <c r="J60" s="182">
        <f>(I60-I59)</f>
        <v>502.52759703985231</v>
      </c>
      <c r="K60" s="7"/>
      <c r="L60" s="7" t="s">
        <v>80</v>
      </c>
      <c r="M60" s="7" t="s">
        <v>81</v>
      </c>
      <c r="N60" s="196">
        <f>IF(D60="Buyer",J60,"")</f>
        <v>502.52759703985231</v>
      </c>
      <c r="P60" s="7"/>
      <c r="Q60" s="7"/>
    </row>
    <row r="61" spans="3:20" x14ac:dyDescent="0.25">
      <c r="D61" s="26" t="s">
        <v>83</v>
      </c>
      <c r="E61" s="48">
        <f>IF(MOD(ROW(A61),2)=1,E60+E59,E60)</f>
        <v>500</v>
      </c>
      <c r="F61" s="42">
        <v>503.18</v>
      </c>
      <c r="G61" s="49">
        <f t="shared" si="12"/>
        <v>3.992533395281353E-2</v>
      </c>
      <c r="H61" s="93">
        <f t="shared" si="12"/>
        <v>0.96007466604718639</v>
      </c>
      <c r="I61" s="96">
        <f t="shared" si="13"/>
        <v>503.22074422041226</v>
      </c>
      <c r="J61" s="182">
        <f>(I61-I60)</f>
        <v>0</v>
      </c>
      <c r="K61" s="7"/>
      <c r="L61" s="144">
        <f>$T$5*LN($T$7/$S$7)+E61</f>
        <v>503.17805383034795</v>
      </c>
      <c r="M61" s="144">
        <f>IF( D61="Seller",((F61-F60)-J61)*$T$7,"")</f>
        <v>0</v>
      </c>
      <c r="N61" t="str">
        <f>IF(D61="Buyer",J61,"")</f>
        <v/>
      </c>
      <c r="P61" s="187"/>
      <c r="Q61" s="7" t="s">
        <v>94</v>
      </c>
      <c r="R61" s="189"/>
    </row>
    <row r="62" spans="3:20" x14ac:dyDescent="0.25">
      <c r="C62" t="s">
        <v>93</v>
      </c>
      <c r="D62" s="26" t="s">
        <v>82</v>
      </c>
      <c r="E62" s="48">
        <v>510</v>
      </c>
      <c r="F62" s="186">
        <f>F61</f>
        <v>503.18</v>
      </c>
      <c r="G62" s="49">
        <f t="shared" si="12"/>
        <v>0.99890946963253902</v>
      </c>
      <c r="H62" s="93">
        <f t="shared" si="12"/>
        <v>1.0905303674609804E-3</v>
      </c>
      <c r="I62" s="96">
        <f t="shared" si="13"/>
        <v>510.00109112542839</v>
      </c>
      <c r="J62" s="182">
        <f t="shared" ref="J62:J77" si="14">(I62-I61)</f>
        <v>6.7803469050161311</v>
      </c>
      <c r="K62" s="7"/>
      <c r="L62" s="144">
        <f>$T$5*LN($T$7/$S$7)+E62</f>
        <v>513.17805383034795</v>
      </c>
      <c r="M62" s="144" t="str">
        <f t="shared" ref="M62" si="15">IF( D62="Seller",((F62-F61)-J62)*$T$7,"")</f>
        <v/>
      </c>
      <c r="N62">
        <f>IF(D62="Buyer",J62,"")</f>
        <v>6.7803469050161311</v>
      </c>
      <c r="P62" s="7"/>
      <c r="Q62" s="7"/>
    </row>
    <row r="63" spans="3:20" x14ac:dyDescent="0.25">
      <c r="D63" s="26" t="s">
        <v>83</v>
      </c>
      <c r="E63" s="48">
        <v>510</v>
      </c>
      <c r="F63" s="186">
        <v>0</v>
      </c>
      <c r="G63" s="49">
        <f t="shared" ref="G63:G77" si="16">EXP(E63/$T$5)/(EXP($F63/$T$5)+EXP($E63/$T$5))</f>
        <v>1</v>
      </c>
      <c r="H63" s="93">
        <f t="shared" ref="H63:H77" si="17">EXP(F63/$T$5)/(EXP($F63/$T$5)+EXP($E63/$T$5))</f>
        <v>3.2345526845351109E-222</v>
      </c>
      <c r="I63" s="96">
        <f t="shared" si="13"/>
        <v>510</v>
      </c>
      <c r="J63" s="182">
        <f>(I63-I62)</f>
        <v>-1.0911254283882954E-3</v>
      </c>
      <c r="K63" s="7"/>
      <c r="L63" s="144">
        <f t="shared" ref="L63:L76" si="18">$T$5*LN($T$7/$S$7)+E63</f>
        <v>513.17805383034795</v>
      </c>
      <c r="M63" s="144">
        <f>IF( D63="Seller",((F63-F62)-J63)*$T$7,"")</f>
        <v>-483.05175251958872</v>
      </c>
      <c r="N63" t="str">
        <f t="shared" ref="N63:N69" si="19">IF(D63="Buyer",J63,"")</f>
        <v/>
      </c>
      <c r="O63" s="7"/>
      <c r="P63" s="7"/>
      <c r="Q63" s="7" t="s">
        <v>103</v>
      </c>
    </row>
    <row r="64" spans="3:20" x14ac:dyDescent="0.25">
      <c r="D64" s="26" t="s">
        <v>82</v>
      </c>
      <c r="E64" s="48"/>
      <c r="F64" s="186"/>
      <c r="G64" s="49">
        <f t="shared" si="16"/>
        <v>0.5</v>
      </c>
      <c r="H64" s="93">
        <f t="shared" si="17"/>
        <v>0.5</v>
      </c>
      <c r="I64" s="96">
        <f t="shared" si="13"/>
        <v>0.69314718055994529</v>
      </c>
      <c r="J64" s="182">
        <f t="shared" si="14"/>
        <v>-509.30685281944005</v>
      </c>
      <c r="K64" s="7"/>
      <c r="L64" s="144">
        <f t="shared" si="18"/>
        <v>3.1780538303479458</v>
      </c>
      <c r="M64" s="144" t="str">
        <f t="shared" ref="M64" si="20">IF( D64="Seller",((F64-F63)-J64)*$T$7,"")</f>
        <v/>
      </c>
      <c r="N64">
        <f t="shared" si="19"/>
        <v>-509.30685281944005</v>
      </c>
      <c r="O64" s="7"/>
      <c r="P64" s="7"/>
      <c r="Q64" s="7"/>
    </row>
    <row r="65" spans="4:17" x14ac:dyDescent="0.25">
      <c r="D65" s="26" t="s">
        <v>83</v>
      </c>
      <c r="E65" s="48"/>
      <c r="F65" s="186"/>
      <c r="G65" s="49">
        <f t="shared" si="16"/>
        <v>0.5</v>
      </c>
      <c r="H65" s="93">
        <f t="shared" si="17"/>
        <v>0.5</v>
      </c>
      <c r="I65" s="96">
        <f t="shared" si="13"/>
        <v>0.69314718055994529</v>
      </c>
      <c r="J65" s="182">
        <f t="shared" si="14"/>
        <v>0</v>
      </c>
      <c r="K65" s="7"/>
      <c r="L65" s="144">
        <f t="shared" si="18"/>
        <v>3.1780538303479458</v>
      </c>
      <c r="M65" s="144">
        <f>IF( D65="Seller",((F65-F64)-J65)*$T$7,"")</f>
        <v>0</v>
      </c>
      <c r="N65" t="str">
        <f t="shared" si="19"/>
        <v/>
      </c>
      <c r="O65" s="7"/>
      <c r="P65" s="7"/>
      <c r="Q65" s="7" t="s">
        <v>101</v>
      </c>
    </row>
    <row r="66" spans="4:17" x14ac:dyDescent="0.25">
      <c r="D66" s="26" t="s">
        <v>82</v>
      </c>
      <c r="E66" s="48"/>
      <c r="F66" s="186"/>
      <c r="G66" s="49">
        <f t="shared" si="16"/>
        <v>0.5</v>
      </c>
      <c r="H66" s="93">
        <f t="shared" si="17"/>
        <v>0.5</v>
      </c>
      <c r="I66" s="96">
        <f t="shared" si="13"/>
        <v>0.69314718055994529</v>
      </c>
      <c r="J66" s="182">
        <f t="shared" si="14"/>
        <v>0</v>
      </c>
      <c r="K66" s="7"/>
      <c r="L66" s="144">
        <f t="shared" si="18"/>
        <v>3.1780538303479458</v>
      </c>
      <c r="M66" s="144" t="str">
        <f t="shared" ref="M66" si="21">IF( D66="Seller",((F66-F65)-J66)*$T$7,"")</f>
        <v/>
      </c>
      <c r="N66">
        <f t="shared" si="19"/>
        <v>0</v>
      </c>
      <c r="O66" s="7"/>
      <c r="P66" s="7"/>
      <c r="Q66" s="8" t="s">
        <v>102</v>
      </c>
    </row>
    <row r="67" spans="4:17" x14ac:dyDescent="0.25">
      <c r="D67" s="26" t="s">
        <v>83</v>
      </c>
      <c r="E67" s="48"/>
      <c r="F67" s="186"/>
      <c r="G67" s="49">
        <f t="shared" si="16"/>
        <v>0.5</v>
      </c>
      <c r="H67" s="93">
        <f t="shared" si="17"/>
        <v>0.5</v>
      </c>
      <c r="I67" s="96">
        <f t="shared" si="13"/>
        <v>0.69314718055994529</v>
      </c>
      <c r="J67" s="182">
        <f t="shared" si="14"/>
        <v>0</v>
      </c>
      <c r="K67" s="7"/>
      <c r="L67" s="144">
        <f t="shared" si="18"/>
        <v>3.1780538303479458</v>
      </c>
      <c r="M67" s="144">
        <f>IF( D67="Seller",((F67-F66)-J67)*$T$7,"")</f>
        <v>0</v>
      </c>
      <c r="N67" t="str">
        <f t="shared" si="19"/>
        <v/>
      </c>
      <c r="O67" s="7"/>
      <c r="P67" s="7"/>
      <c r="Q67" s="8" t="s">
        <v>99</v>
      </c>
    </row>
    <row r="68" spans="4:17" x14ac:dyDescent="0.25">
      <c r="D68" s="26" t="s">
        <v>82</v>
      </c>
      <c r="E68" s="48"/>
      <c r="F68" s="186"/>
      <c r="G68" s="49">
        <f t="shared" si="16"/>
        <v>0.5</v>
      </c>
      <c r="H68" s="93">
        <f t="shared" si="17"/>
        <v>0.5</v>
      </c>
      <c r="I68" s="96">
        <f t="shared" si="13"/>
        <v>0.69314718055994529</v>
      </c>
      <c r="J68" s="182">
        <f t="shared" si="14"/>
        <v>0</v>
      </c>
      <c r="K68" s="7"/>
      <c r="L68" s="144">
        <f t="shared" si="18"/>
        <v>3.1780538303479458</v>
      </c>
      <c r="M68" s="144" t="str">
        <f t="shared" ref="M68:M74" si="22">IF( D68="Seller",((F68-F67)-J68)*$T$7,"")</f>
        <v/>
      </c>
      <c r="N68">
        <f t="shared" si="19"/>
        <v>0</v>
      </c>
      <c r="O68" s="7"/>
      <c r="P68" s="7"/>
      <c r="Q68" s="8" t="s">
        <v>100</v>
      </c>
    </row>
    <row r="69" spans="4:17" x14ac:dyDescent="0.25">
      <c r="D69" s="26" t="s">
        <v>83</v>
      </c>
      <c r="E69" s="48"/>
      <c r="F69" s="186"/>
      <c r="G69" s="49">
        <f t="shared" si="16"/>
        <v>0.5</v>
      </c>
      <c r="H69" s="93">
        <f t="shared" si="17"/>
        <v>0.5</v>
      </c>
      <c r="I69" s="96">
        <f t="shared" si="13"/>
        <v>0.69314718055994529</v>
      </c>
      <c r="J69" s="182">
        <f t="shared" si="14"/>
        <v>0</v>
      </c>
      <c r="K69" s="7"/>
      <c r="L69" s="144">
        <f t="shared" si="18"/>
        <v>3.1780538303479458</v>
      </c>
      <c r="M69" s="144">
        <f t="shared" si="22"/>
        <v>0</v>
      </c>
      <c r="N69" t="str">
        <f t="shared" si="19"/>
        <v/>
      </c>
      <c r="O69" s="7"/>
      <c r="P69" s="7"/>
      <c r="Q69" s="7"/>
    </row>
    <row r="70" spans="4:17" x14ac:dyDescent="0.25">
      <c r="D70" s="26" t="s">
        <v>82</v>
      </c>
      <c r="E70" s="48"/>
      <c r="F70" s="186"/>
      <c r="G70" s="49">
        <f t="shared" si="16"/>
        <v>0.5</v>
      </c>
      <c r="H70" s="93">
        <f t="shared" si="17"/>
        <v>0.5</v>
      </c>
      <c r="I70" s="96">
        <f t="shared" si="13"/>
        <v>0.69314718055994529</v>
      </c>
      <c r="J70" s="182">
        <f t="shared" si="14"/>
        <v>0</v>
      </c>
      <c r="K70" s="7"/>
      <c r="L70" s="144">
        <f t="shared" si="18"/>
        <v>3.1780538303479458</v>
      </c>
      <c r="M70" s="144" t="str">
        <f t="shared" si="22"/>
        <v/>
      </c>
      <c r="N70">
        <f>IF(D70="Buyer",J70,"")</f>
        <v>0</v>
      </c>
      <c r="O70" s="7"/>
      <c r="P70" s="7"/>
      <c r="Q70" s="7"/>
    </row>
    <row r="71" spans="4:17" x14ac:dyDescent="0.25">
      <c r="D71" s="26" t="s">
        <v>83</v>
      </c>
      <c r="E71" s="48"/>
      <c r="F71" s="186"/>
      <c r="G71" s="49">
        <f t="shared" si="16"/>
        <v>0.5</v>
      </c>
      <c r="H71" s="93">
        <f t="shared" si="17"/>
        <v>0.5</v>
      </c>
      <c r="I71" s="96">
        <f t="shared" si="13"/>
        <v>0.69314718055994529</v>
      </c>
      <c r="J71" s="182">
        <f t="shared" si="14"/>
        <v>0</v>
      </c>
      <c r="K71" s="7"/>
      <c r="L71" s="144">
        <f t="shared" si="18"/>
        <v>3.1780538303479458</v>
      </c>
      <c r="M71" s="144">
        <f t="shared" si="22"/>
        <v>0</v>
      </c>
      <c r="N71" t="str">
        <f>IF(D71="Buyer",J71,"")</f>
        <v/>
      </c>
      <c r="O71" s="7"/>
      <c r="P71" s="7"/>
      <c r="Q71" s="7"/>
    </row>
    <row r="72" spans="4:17" x14ac:dyDescent="0.25">
      <c r="D72" s="26" t="s">
        <v>82</v>
      </c>
      <c r="E72" s="48"/>
      <c r="F72" s="186"/>
      <c r="G72" s="49">
        <f t="shared" si="16"/>
        <v>0.5</v>
      </c>
      <c r="H72" s="93">
        <f t="shared" si="17"/>
        <v>0.5</v>
      </c>
      <c r="I72" s="96">
        <f t="shared" si="13"/>
        <v>0.69314718055994529</v>
      </c>
      <c r="J72" s="182">
        <f t="shared" si="14"/>
        <v>0</v>
      </c>
      <c r="K72" s="7"/>
      <c r="L72" s="144">
        <f t="shared" si="18"/>
        <v>3.1780538303479458</v>
      </c>
      <c r="M72" s="144" t="str">
        <f t="shared" si="22"/>
        <v/>
      </c>
      <c r="N72">
        <f t="shared" ref="N72:N77" si="23">IF(D72="Buyer",J72,"")</f>
        <v>0</v>
      </c>
      <c r="O72" s="7"/>
      <c r="P72" s="7"/>
      <c r="Q72" s="7"/>
    </row>
    <row r="73" spans="4:17" x14ac:dyDescent="0.25">
      <c r="D73" s="26" t="s">
        <v>83</v>
      </c>
      <c r="E73" s="48"/>
      <c r="F73" s="186"/>
      <c r="G73" s="49">
        <f t="shared" si="16"/>
        <v>0.5</v>
      </c>
      <c r="H73" s="93">
        <f t="shared" si="17"/>
        <v>0.5</v>
      </c>
      <c r="I73" s="96">
        <f t="shared" si="13"/>
        <v>0.69314718055994529</v>
      </c>
      <c r="J73" s="182">
        <f t="shared" si="14"/>
        <v>0</v>
      </c>
      <c r="K73" s="7"/>
      <c r="L73" s="144">
        <f t="shared" si="18"/>
        <v>3.1780538303479458</v>
      </c>
      <c r="M73" s="144">
        <f t="shared" si="22"/>
        <v>0</v>
      </c>
      <c r="N73" t="str">
        <f t="shared" si="23"/>
        <v/>
      </c>
      <c r="O73" s="7"/>
      <c r="P73" s="7"/>
      <c r="Q73" s="7"/>
    </row>
    <row r="74" spans="4:17" x14ac:dyDescent="0.25">
      <c r="D74" s="26" t="s">
        <v>82</v>
      </c>
      <c r="E74" s="48"/>
      <c r="F74" s="186"/>
      <c r="G74" s="49">
        <f t="shared" si="16"/>
        <v>0.5</v>
      </c>
      <c r="H74" s="93">
        <f t="shared" si="17"/>
        <v>0.5</v>
      </c>
      <c r="I74" s="96">
        <f t="shared" si="13"/>
        <v>0.69314718055994529</v>
      </c>
      <c r="J74" s="182">
        <f t="shared" si="14"/>
        <v>0</v>
      </c>
      <c r="K74" s="7"/>
      <c r="L74" s="144">
        <f t="shared" si="18"/>
        <v>3.1780538303479458</v>
      </c>
      <c r="M74" s="144" t="str">
        <f t="shared" si="22"/>
        <v/>
      </c>
      <c r="N74">
        <f t="shared" si="23"/>
        <v>0</v>
      </c>
      <c r="O74" s="7"/>
      <c r="P74" s="7"/>
      <c r="Q74" s="7"/>
    </row>
    <row r="75" spans="4:17" x14ac:dyDescent="0.25">
      <c r="D75" s="26" t="s">
        <v>83</v>
      </c>
      <c r="E75" s="48"/>
      <c r="F75" s="186"/>
      <c r="G75" s="49">
        <f t="shared" si="16"/>
        <v>0.5</v>
      </c>
      <c r="H75" s="93">
        <f t="shared" si="17"/>
        <v>0.5</v>
      </c>
      <c r="I75" s="96">
        <f t="shared" si="13"/>
        <v>0.69314718055994529</v>
      </c>
      <c r="J75" s="182">
        <f t="shared" si="14"/>
        <v>0</v>
      </c>
      <c r="K75" s="7"/>
      <c r="L75" s="144">
        <f t="shared" si="18"/>
        <v>3.1780538303479458</v>
      </c>
      <c r="M75" s="144">
        <f>IF( D75="Seller",((F75-F74)-J75)*$T$7,"")</f>
        <v>0</v>
      </c>
      <c r="N75" t="str">
        <f t="shared" si="23"/>
        <v/>
      </c>
      <c r="O75" s="7"/>
      <c r="P75" s="7"/>
      <c r="Q75" s="7"/>
    </row>
    <row r="76" spans="4:17" x14ac:dyDescent="0.25">
      <c r="D76" s="21" t="s">
        <v>84</v>
      </c>
      <c r="E76" s="48"/>
      <c r="F76" s="186"/>
      <c r="G76" s="49">
        <f t="shared" si="16"/>
        <v>0.5</v>
      </c>
      <c r="H76" s="93">
        <f t="shared" si="17"/>
        <v>0.5</v>
      </c>
      <c r="I76" s="96">
        <f t="shared" si="13"/>
        <v>0.69314718055994529</v>
      </c>
      <c r="J76" s="182">
        <f t="shared" si="14"/>
        <v>0</v>
      </c>
      <c r="K76" s="7"/>
      <c r="L76" s="144">
        <f t="shared" si="18"/>
        <v>3.1780538303479458</v>
      </c>
      <c r="M76" s="144" t="str">
        <f t="shared" ref="M76:M77" si="24">IF( D76="Seller",((F76-F75)-J76)*$T$7,"")</f>
        <v/>
      </c>
      <c r="N76" t="str">
        <f t="shared" si="23"/>
        <v/>
      </c>
      <c r="O76" s="7"/>
      <c r="P76" s="7"/>
      <c r="Q76" s="7"/>
    </row>
    <row r="77" spans="4:17" ht="15.75" thickBot="1" x14ac:dyDescent="0.3">
      <c r="D77" s="26" t="s">
        <v>40</v>
      </c>
      <c r="E77" s="48"/>
      <c r="F77" s="188"/>
      <c r="G77" s="49">
        <f t="shared" si="16"/>
        <v>0.5</v>
      </c>
      <c r="H77" s="93">
        <f t="shared" si="17"/>
        <v>0.5</v>
      </c>
      <c r="I77" s="133">
        <f t="shared" si="13"/>
        <v>0.69314718055994529</v>
      </c>
      <c r="J77" s="183">
        <f t="shared" si="14"/>
        <v>0</v>
      </c>
      <c r="K77" s="7"/>
      <c r="L77" s="144">
        <f>$T$5*LN($T$7/$S$7)+E77</f>
        <v>3.1780538303479458</v>
      </c>
      <c r="M77" s="144" t="str">
        <f t="shared" si="24"/>
        <v/>
      </c>
      <c r="N77" t="str">
        <f t="shared" si="23"/>
        <v/>
      </c>
      <c r="O77" s="7"/>
      <c r="P77" s="7"/>
      <c r="Q77" s="7"/>
    </row>
    <row r="78" spans="4:17" ht="16.5" thickTop="1" thickBot="1" x14ac:dyDescent="0.3">
      <c r="D78" s="26" t="s">
        <v>0</v>
      </c>
      <c r="E78" s="52">
        <f>E77</f>
        <v>0</v>
      </c>
      <c r="F78" s="190">
        <f>F77</f>
        <v>0</v>
      </c>
      <c r="G78" s="54">
        <f>EXP(E78)/(EXP($F78)+EXP($E78))</f>
        <v>0.5</v>
      </c>
      <c r="H78" s="94">
        <f>EXP(F78)/(EXP($F78)+EXP($E78))</f>
        <v>0.5</v>
      </c>
      <c r="I78" s="97">
        <f t="shared" si="13"/>
        <v>0.69314718055994529</v>
      </c>
      <c r="J78" s="184">
        <f>SUM(J59:J77)</f>
        <v>0.69314718055994717</v>
      </c>
      <c r="K78" s="8" t="s">
        <v>47</v>
      </c>
      <c r="L78" s="7"/>
      <c r="M78" s="7"/>
      <c r="N78" s="7"/>
      <c r="O78" s="7"/>
      <c r="P78" s="7"/>
      <c r="Q78" s="8"/>
    </row>
    <row r="79" spans="4:17" ht="15.75" thickBot="1" x14ac:dyDescent="0.3">
      <c r="E79" s="34"/>
      <c r="F79" s="34"/>
      <c r="G79" s="34"/>
      <c r="H79" s="34"/>
      <c r="I79" s="130">
        <v>0</v>
      </c>
      <c r="J79" s="185">
        <f>J78-(SUMPRODUCT(G78:H78,E78:F78))</f>
        <v>0.69314718055994717</v>
      </c>
      <c r="K79" t="s">
        <v>64</v>
      </c>
      <c r="L79" s="7"/>
      <c r="M79" s="7"/>
      <c r="N79" s="7"/>
      <c r="O79" s="7"/>
      <c r="P79" s="7"/>
    </row>
    <row r="81" spans="13:15" x14ac:dyDescent="0.25">
      <c r="M81" t="s">
        <v>87</v>
      </c>
      <c r="N81" t="s">
        <v>88</v>
      </c>
      <c r="O81" t="s">
        <v>89</v>
      </c>
    </row>
    <row r="82" spans="13:15" x14ac:dyDescent="0.25">
      <c r="M82">
        <f>M61+(M75*($S$9-1))</f>
        <v>0</v>
      </c>
      <c r="N82">
        <f>N60+(N74*($S$9-1))</f>
        <v>502.52759703985231</v>
      </c>
      <c r="O82">
        <f>K54</f>
        <v>0.69314718055994529</v>
      </c>
    </row>
    <row r="84" spans="13:15" x14ac:dyDescent="0.25">
      <c r="M84" t="s">
        <v>86</v>
      </c>
    </row>
    <row r="86" spans="13:15" x14ac:dyDescent="0.25">
      <c r="M86" t="s">
        <v>91</v>
      </c>
    </row>
    <row r="87" spans="13:15" x14ac:dyDescent="0.25">
      <c r="N87">
        <f>S54*S55</f>
        <v>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topLeftCell="A28"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F57" sqref="F57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227" t="s">
        <v>67</v>
      </c>
      <c r="G4" s="228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229" t="s">
        <v>68</v>
      </c>
      <c r="S22" s="230"/>
      <c r="T22" s="230"/>
      <c r="U22" s="231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HLMSR</vt:lpstr>
      <vt:lpstr>Simple Example</vt:lpstr>
      <vt:lpstr>Scaled Claims</vt:lpstr>
      <vt:lpstr>MV Scaled</vt:lpstr>
      <vt:lpstr>Changing b mid contract</vt:lpstr>
      <vt:lpstr>Insurance Fraud Experiments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Psztorc</cp:lastModifiedBy>
  <dcterms:created xsi:type="dcterms:W3CDTF">2013-11-06T14:19:02Z</dcterms:created>
  <dcterms:modified xsi:type="dcterms:W3CDTF">2014-04-27T21:12:01Z</dcterms:modified>
</cp:coreProperties>
</file>