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B20" i="1" s="1"/>
  <c r="D32" i="1"/>
  <c r="H16" i="1"/>
  <c r="Q13" i="1" l="1"/>
  <c r="H13" i="1"/>
  <c r="H17" i="1"/>
  <c r="O19" i="1"/>
  <c r="P19" i="1"/>
  <c r="Q29" i="1"/>
  <c r="O30" i="1" s="1"/>
  <c r="H31" i="1"/>
  <c r="I31" i="1"/>
  <c r="J31" i="1"/>
  <c r="K31" i="1"/>
  <c r="L31" i="1"/>
  <c r="M31" i="1"/>
  <c r="N31" i="1"/>
  <c r="O31" i="1"/>
  <c r="H28" i="1"/>
  <c r="N18" i="1"/>
  <c r="S11" i="1"/>
  <c r="H21" i="1"/>
  <c r="Q27" i="1" l="1"/>
  <c r="J28" i="1" s="1"/>
  <c r="H24" i="1"/>
  <c r="H22" i="1"/>
  <c r="H20" i="1"/>
  <c r="G20" i="1"/>
  <c r="H12" i="1"/>
  <c r="H14" i="1" s="1"/>
  <c r="Q11" i="1"/>
  <c r="I9" i="1"/>
  <c r="J9" i="1"/>
  <c r="K9" i="1"/>
  <c r="L9" i="1"/>
  <c r="M9" i="1"/>
  <c r="N9" i="1"/>
  <c r="O9" i="1"/>
  <c r="O10" i="1" s="1"/>
  <c r="J13" i="1"/>
  <c r="K13" i="1"/>
  <c r="L13" i="1"/>
  <c r="M13" i="1"/>
  <c r="N13" i="1"/>
  <c r="O13" i="1"/>
  <c r="J12" i="1"/>
  <c r="K14" i="1" s="1"/>
  <c r="O12" i="1"/>
  <c r="L12" i="1"/>
  <c r="M12" i="1"/>
  <c r="N12" i="1"/>
  <c r="N14" i="1" s="1"/>
  <c r="P13" i="1"/>
  <c r="I13" i="1"/>
  <c r="K12" i="1"/>
  <c r="I12" i="1"/>
  <c r="J14" i="1" s="1"/>
  <c r="H9" i="1"/>
  <c r="H10" i="1" s="1"/>
  <c r="B16" i="1" l="1"/>
  <c r="N19" i="1"/>
  <c r="N20" i="1" s="1"/>
  <c r="M18" i="1"/>
  <c r="M19" i="1"/>
  <c r="M20" i="1" s="1"/>
  <c r="L18" i="1"/>
  <c r="L19" i="1"/>
  <c r="L20" i="1" s="1"/>
  <c r="K18" i="1"/>
  <c r="H18" i="1"/>
  <c r="H15" i="1"/>
  <c r="J19" i="1"/>
  <c r="J20" i="1" s="1"/>
  <c r="I18" i="1"/>
  <c r="K19" i="1"/>
  <c r="K20" i="1" s="1"/>
  <c r="J18" i="1"/>
  <c r="L14" i="1"/>
  <c r="K10" i="1"/>
  <c r="O14" i="1"/>
  <c r="L10" i="1"/>
  <c r="N10" i="1"/>
  <c r="J10" i="1"/>
  <c r="I19" i="1"/>
  <c r="I20" i="1" s="1"/>
  <c r="S13" i="1"/>
  <c r="M14" i="1"/>
  <c r="M10" i="1"/>
  <c r="I10" i="1"/>
  <c r="P20" i="1"/>
  <c r="P14" i="1"/>
  <c r="O20" i="1"/>
  <c r="N15" i="1"/>
  <c r="M15" i="1"/>
  <c r="I15" i="1"/>
  <c r="L15" i="1"/>
  <c r="K15" i="1"/>
  <c r="J15" i="1"/>
  <c r="M28" i="1"/>
  <c r="I28" i="1"/>
  <c r="L28" i="1"/>
  <c r="O28" i="1"/>
  <c r="K28" i="1"/>
  <c r="N28" i="1"/>
  <c r="I14" i="1"/>
  <c r="Q12" i="1"/>
  <c r="X28" i="1" l="1"/>
  <c r="Y28" i="1"/>
  <c r="Z28" i="1" s="1"/>
  <c r="I21" i="1"/>
  <c r="Q19" i="1"/>
  <c r="Q20" i="1"/>
  <c r="T28" i="1"/>
  <c r="S28" i="1"/>
  <c r="Q28" i="1"/>
  <c r="Q15" i="1"/>
  <c r="Q14" i="1"/>
  <c r="I24" i="1" l="1"/>
  <c r="I22" i="1"/>
  <c r="J21" i="1"/>
  <c r="U28" i="1"/>
  <c r="J24" i="1" l="1"/>
  <c r="J22" i="1"/>
  <c r="K21" i="1"/>
  <c r="Q16" i="1"/>
  <c r="K24" i="1" l="1"/>
  <c r="L21" i="1"/>
  <c r="K22" i="1"/>
  <c r="M21" i="1" l="1"/>
  <c r="L22" i="1"/>
  <c r="L24" i="1"/>
  <c r="M24" i="1" l="1"/>
  <c r="N21" i="1"/>
  <c r="M22" i="1"/>
  <c r="N24" i="1" l="1"/>
  <c r="O21" i="1"/>
  <c r="N22" i="1"/>
  <c r="V28" i="1" l="1"/>
  <c r="W28" i="1" s="1"/>
  <c r="P21" i="1"/>
  <c r="O22" i="1"/>
  <c r="AA28" i="1" s="1"/>
  <c r="AB28" i="1" s="1"/>
  <c r="O24" i="1"/>
  <c r="J30" i="1" l="1"/>
  <c r="H30" i="1"/>
  <c r="L30" i="1"/>
  <c r="I30" i="1"/>
  <c r="M30" i="1"/>
  <c r="K30" i="1"/>
  <c r="N30" i="1"/>
  <c r="Q21" i="1"/>
  <c r="P24" i="1"/>
  <c r="P22" i="1"/>
  <c r="Q22" i="1" s="1"/>
  <c r="AA30" i="1" l="1"/>
  <c r="V30" i="1"/>
  <c r="Y30" i="1"/>
  <c r="S30" i="1"/>
  <c r="X30" i="1"/>
  <c r="T30" i="1"/>
  <c r="Q30" i="1"/>
  <c r="U30" i="1" l="1"/>
  <c r="W30" i="1"/>
  <c r="AB30" i="1"/>
  <c r="Z30" i="1"/>
  <c r="E37" i="1" l="1"/>
  <c r="Q31" i="1"/>
  <c r="M32" i="1" s="1"/>
  <c r="L32" i="1" l="1"/>
  <c r="H32" i="1"/>
  <c r="J32" i="1"/>
  <c r="K32" i="1"/>
  <c r="N32" i="1"/>
  <c r="I32" i="1"/>
  <c r="O32" i="1"/>
  <c r="X32" i="1" l="1"/>
  <c r="S32" i="1"/>
  <c r="AA32" i="1"/>
  <c r="Q32" i="1"/>
  <c r="Y32" i="1"/>
  <c r="T32" i="1"/>
  <c r="V32" i="1"/>
  <c r="Z32" i="1" l="1"/>
  <c r="W32" i="1"/>
  <c r="AB32" i="1"/>
  <c r="E38" i="1" s="1"/>
  <c r="E39" i="1" s="1"/>
  <c r="U32" i="1"/>
  <c r="E40" i="1" l="1"/>
  <c r="E41" i="1" s="1"/>
</calcChain>
</file>

<file path=xl/sharedStrings.xml><?xml version="1.0" encoding="utf-8"?>
<sst xmlns="http://schemas.openxmlformats.org/spreadsheetml/2006/main" count="64" uniqueCount="45">
  <si>
    <t>Uniform</t>
  </si>
  <si>
    <t>Cost</t>
  </si>
  <si>
    <t>+INF</t>
  </si>
  <si>
    <t>Greater</t>
  </si>
  <si>
    <t>Less</t>
  </si>
  <si>
    <t>Weight</t>
  </si>
  <si>
    <t>Shares</t>
  </si>
  <si>
    <t>Market
Quantiles</t>
  </si>
  <si>
    <t>Private
Quantiles</t>
  </si>
  <si>
    <t>Private Benefit</t>
  </si>
  <si>
    <t>Market
Prices P(x&lt;X)</t>
  </si>
  <si>
    <t>Private
Prices P(x&lt;X)</t>
  </si>
  <si>
    <t>Market Benefit</t>
  </si>
  <si>
    <t>Market Return</t>
  </si>
  <si>
    <t>Private Return</t>
  </si>
  <si>
    <t>Mean
Estimation</t>
  </si>
  <si>
    <t>Midpoints</t>
  </si>
  <si>
    <t>Strike (X_raw)</t>
  </si>
  <si>
    <t>LogStrike Ln(X_raw)</t>
  </si>
  <si>
    <t>Reweighting*</t>
  </si>
  <si>
    <t>* Probably could use something for this, but safest to just ignore.</t>
  </si>
  <si>
    <t>(New) Mean
Usage</t>
  </si>
  <si>
    <t>-INF</t>
  </si>
  <si>
    <t>LESS (Betting on downward movement)</t>
  </si>
  <si>
    <t>GREATER (Betting on upward movement)</t>
  </si>
  <si>
    <t>Market Estimated Value</t>
  </si>
  <si>
    <t>Private Estimated Excess Return</t>
  </si>
  <si>
    <t>Private Estimated Value</t>
  </si>
  <si>
    <t>Private Return*</t>
  </si>
  <si>
    <t>h</t>
  </si>
  <si>
    <t>spent on shares</t>
  </si>
  <si>
    <t>return on shares</t>
  </si>
  <si>
    <t>share value</t>
  </si>
  <si>
    <t>porfolio return</t>
  </si>
  <si>
    <t>portfolio value (cash + sold)</t>
  </si>
  <si>
    <t>initial funds ($)</t>
  </si>
  <si>
    <t>Binomial Option</t>
  </si>
  <si>
    <t>Altered</t>
  </si>
  <si>
    <t>**</t>
  </si>
  <si>
    <t>Notice that in E41 I acheved the 'portfolio return' I aimed for in B18.</t>
  </si>
  <si>
    <t>*By law of one price, this should equal the expected appreciation. It does not, so we use hedging/leverage.</t>
  </si>
  <si>
    <t>** For similicity, I chose (4.2/4), so as to approximate something that should shift the quantiles over one column (and be a simple 5%).
You'll notice that the red quantiles have not truly been subjectively input, and are merely shifted (with a leftmost zero and rightmost sum(a,b)).</t>
  </si>
  <si>
    <t>Experimenting with continous variables, put-call parity, portfolio construction.</t>
  </si>
  <si>
    <t>(Binomial only works to the degree that someone can purchase the underlying, and conduct arbitrage, so I'm not sure if there will be any benefit (many idea-futures lack such arbitrage-opportunities, and commodities already have futures markets [and the US CFTC did not allow InTrade to offer commodity futures markets]).</t>
  </si>
  <si>
    <t>Central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</si>
</sst>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0" fontId="0" fillId="2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0" fillId="0" borderId="24" xfId="0" applyBorder="1" applyAlignment="1">
      <alignment horizontal="center" vertical="center"/>
    </xf>
    <xf numFmtId="0" fontId="0" fillId="0" borderId="1" xfId="0" applyBorder="1"/>
    <xf numFmtId="0" fontId="0" fillId="2" borderId="2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10" fontId="0" fillId="0" borderId="23" xfId="0" applyNumberFormat="1" applyBorder="1" applyAlignment="1">
      <alignment horizontal="center"/>
    </xf>
    <xf numFmtId="10" fontId="0" fillId="0" borderId="23" xfId="0" applyNumberFormat="1" applyBorder="1"/>
    <xf numFmtId="10" fontId="0" fillId="0" borderId="22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3" borderId="30" xfId="0" applyFill="1" applyBorder="1" applyAlignment="1">
      <alignment horizontal="center"/>
    </xf>
    <xf numFmtId="0" fontId="0" fillId="0" borderId="31" xfId="0" applyBorder="1"/>
    <xf numFmtId="0" fontId="1" fillId="3" borderId="28" xfId="0" applyFont="1" applyFill="1" applyBorder="1" applyAlignment="1">
      <alignment horizontal="center"/>
    </xf>
    <xf numFmtId="0" fontId="0" fillId="0" borderId="13" xfId="0" applyBorder="1"/>
    <xf numFmtId="0" fontId="0" fillId="0" borderId="32" xfId="0" applyBorder="1"/>
    <xf numFmtId="0" fontId="0" fillId="0" borderId="29" xfId="0" applyBorder="1" applyAlignment="1">
      <alignment horizontal="center" vertical="center"/>
    </xf>
    <xf numFmtId="0" fontId="0" fillId="2" borderId="29" xfId="0" applyFill="1" applyBorder="1"/>
    <xf numFmtId="9" fontId="0" fillId="0" borderId="0" xfId="0" applyNumberFormat="1" applyAlignment="1">
      <alignment horizontal="left"/>
    </xf>
    <xf numFmtId="0" fontId="0" fillId="0" borderId="33" xfId="0" applyBorder="1"/>
    <xf numFmtId="0" fontId="0" fillId="0" borderId="14" xfId="0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165" fontId="0" fillId="0" borderId="13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0" fontId="0" fillId="0" borderId="35" xfId="0" applyBorder="1"/>
    <xf numFmtId="0" fontId="0" fillId="0" borderId="34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left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0" xfId="0" applyFont="1"/>
    <xf numFmtId="0" fontId="1" fillId="3" borderId="2" xfId="0" applyFont="1" applyFill="1" applyBorder="1"/>
    <xf numFmtId="0" fontId="1" fillId="5" borderId="2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165" fontId="0" fillId="3" borderId="28" xfId="0" applyNumberFormat="1" applyFill="1" applyBorder="1" applyAlignment="1">
      <alignment horizontal="center"/>
    </xf>
    <xf numFmtId="166" fontId="1" fillId="4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P(x between this and left-neighbor-value, zero not shown)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P(x between this and right neighbor-value)</c:v>
          </c:tx>
          <c:invertIfNegative val="0"/>
          <c:cat>
            <c:strRef>
              <c:f>Sheet1!$H$8:$P$8</c:f>
              <c:strCache>
                <c:ptCount val="9"/>
                <c:pt idx="0">
                  <c:v>3.2</c:v>
                </c:pt>
                <c:pt idx="1">
                  <c:v>3.4</c:v>
                </c:pt>
                <c:pt idx="2">
                  <c:v>3.6</c:v>
                </c:pt>
                <c:pt idx="3">
                  <c:v>3.8</c:v>
                </c:pt>
                <c:pt idx="4">
                  <c:v>4</c:v>
                </c:pt>
                <c:pt idx="5">
                  <c:v>4.2</c:v>
                </c:pt>
                <c:pt idx="6">
                  <c:v>4.4</c:v>
                </c:pt>
                <c:pt idx="7">
                  <c:v>4.6</c:v>
                </c:pt>
                <c:pt idx="8">
                  <c:v>+INF</c:v>
                </c:pt>
              </c:strCache>
            </c:strRef>
          </c:cat>
          <c:val>
            <c:numRef>
              <c:f>Sheet1!$H$13:$P$13</c:f>
              <c:numCache>
                <c:formatCode>General</c:formatCode>
                <c:ptCount val="9"/>
                <c:pt idx="0">
                  <c:v>0.03</c:v>
                </c:pt>
                <c:pt idx="1">
                  <c:v>0.1</c:v>
                </c:pt>
                <c:pt idx="2">
                  <c:v>0.12</c:v>
                </c:pt>
                <c:pt idx="3">
                  <c:v>0.15000000000000002</c:v>
                </c:pt>
                <c:pt idx="4">
                  <c:v>0.19999999999999996</c:v>
                </c:pt>
                <c:pt idx="5">
                  <c:v>0.15000000000000002</c:v>
                </c:pt>
                <c:pt idx="6">
                  <c:v>0.12</c:v>
                </c:pt>
                <c:pt idx="7">
                  <c:v>9.9999999999999978E-2</c:v>
                </c:pt>
                <c:pt idx="8">
                  <c:v>3.0000000000000027E-2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738816"/>
        <c:axId val="58344576"/>
      </c:barChart>
      <c:catAx>
        <c:axId val="9673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58344576"/>
        <c:crosses val="autoZero"/>
        <c:auto val="1"/>
        <c:lblAlgn val="ctr"/>
        <c:lblOffset val="100"/>
        <c:noMultiLvlLbl val="0"/>
      </c:catAx>
      <c:valAx>
        <c:axId val="5834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73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201704</xdr:colOff>
      <xdr:row>1</xdr:row>
      <xdr:rowOff>100853</xdr:rowOff>
    </xdr:from>
    <xdr:to>
      <xdr:col>24</xdr:col>
      <xdr:colOff>493058</xdr:colOff>
      <xdr:row>13</xdr:row>
      <xdr:rowOff>145677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4"/>
  <sheetViews>
    <sheetView tabSelected="1" zoomScale="85" zoomScaleNormal="85" workbookViewId="0">
      <selection activeCell="M40" sqref="M40"/>
    </sheetView>
  </sheetViews>
  <sheetFormatPr defaultRowHeight="15" x14ac:dyDescent="0.25"/>
  <cols>
    <col min="2" max="2" width="30.85546875" customWidth="1"/>
    <col min="4" max="4" width="12.85546875" customWidth="1"/>
    <col min="5" max="5" width="19.42578125" customWidth="1"/>
    <col min="6" max="6" width="21.42578125" customWidth="1"/>
    <col min="17" max="17" width="13.140625" customWidth="1"/>
    <col min="18" max="18" width="13.28515625" customWidth="1"/>
    <col min="19" max="19" width="9.28515625" customWidth="1"/>
    <col min="20" max="20" width="18.140625" customWidth="1"/>
    <col min="21" max="23" width="16" customWidth="1"/>
    <col min="24" max="24" width="10.42578125" customWidth="1"/>
    <col min="25" max="25" width="16.140625" customWidth="1"/>
    <col min="26" max="26" width="14.28515625" customWidth="1"/>
    <col min="27" max="28" width="15" customWidth="1"/>
  </cols>
  <sheetData>
    <row r="2" spans="1:24" ht="21" x14ac:dyDescent="0.35">
      <c r="E2" s="98" t="s">
        <v>42</v>
      </c>
    </row>
    <row r="3" spans="1:24" x14ac:dyDescent="0.25">
      <c r="E3" s="81" t="s">
        <v>43</v>
      </c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</row>
    <row r="4" spans="1:24" x14ac:dyDescent="0.25"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</row>
    <row r="7" spans="1:24" x14ac:dyDescent="0.25">
      <c r="G7" s="53"/>
      <c r="K7" s="2"/>
      <c r="Q7" s="2"/>
    </row>
    <row r="8" spans="1:24" x14ac:dyDescent="0.25">
      <c r="F8" s="33" t="s">
        <v>17</v>
      </c>
      <c r="G8" s="54">
        <v>0</v>
      </c>
      <c r="H8" s="2">
        <v>3.2</v>
      </c>
      <c r="I8" s="2">
        <v>3.4</v>
      </c>
      <c r="J8" s="2">
        <v>3.6</v>
      </c>
      <c r="K8" s="2">
        <v>3.8</v>
      </c>
      <c r="L8" s="2">
        <v>4</v>
      </c>
      <c r="M8" s="2">
        <v>4.2</v>
      </c>
      <c r="N8" s="2">
        <v>4.4000000000000004</v>
      </c>
      <c r="O8" s="2">
        <v>4.5999999999999996</v>
      </c>
      <c r="P8" s="54" t="s">
        <v>2</v>
      </c>
      <c r="Q8" s="2"/>
    </row>
    <row r="9" spans="1:24" x14ac:dyDescent="0.25">
      <c r="F9" s="33" t="s">
        <v>18</v>
      </c>
      <c r="G9" s="54" t="s">
        <v>22</v>
      </c>
      <c r="H9" s="2">
        <f>LN(H8)</f>
        <v>1.1631508098056809</v>
      </c>
      <c r="I9" s="2">
        <f t="shared" ref="I9:O9" si="0">LN(I8)</f>
        <v>1.2237754316221157</v>
      </c>
      <c r="J9" s="2">
        <f t="shared" si="0"/>
        <v>1.2809338454620642</v>
      </c>
      <c r="K9" s="2">
        <f t="shared" si="0"/>
        <v>1.33500106673234</v>
      </c>
      <c r="L9" s="2">
        <f t="shared" si="0"/>
        <v>1.3862943611198906</v>
      </c>
      <c r="M9" s="2">
        <f t="shared" si="0"/>
        <v>1.4350845252893227</v>
      </c>
      <c r="N9" s="2">
        <f t="shared" si="0"/>
        <v>1.4816045409242156</v>
      </c>
      <c r="O9" s="2">
        <f t="shared" si="0"/>
        <v>1.5260563034950492</v>
      </c>
      <c r="P9" s="54" t="s">
        <v>2</v>
      </c>
      <c r="Q9" s="2"/>
    </row>
    <row r="10" spans="1:24" ht="15.75" thickBot="1" x14ac:dyDescent="0.3">
      <c r="F10" s="57" t="s">
        <v>16</v>
      </c>
      <c r="G10" s="52" t="s">
        <v>22</v>
      </c>
      <c r="H10" s="10">
        <f t="shared" ref="H10:O10" si="1">IFERROR(AVERAGE(H9:I9),"")</f>
        <v>1.1934631207138984</v>
      </c>
      <c r="I10" s="10">
        <f t="shared" si="1"/>
        <v>1.2523546385420898</v>
      </c>
      <c r="J10" s="10">
        <f t="shared" si="1"/>
        <v>1.3079674560972021</v>
      </c>
      <c r="K10" s="10">
        <f t="shared" si="1"/>
        <v>1.3606477139261153</v>
      </c>
      <c r="L10" s="10">
        <f t="shared" si="1"/>
        <v>1.4106894432046067</v>
      </c>
      <c r="M10" s="10">
        <f t="shared" si="1"/>
        <v>1.4583445331067693</v>
      </c>
      <c r="N10" s="10">
        <f t="shared" si="1"/>
        <v>1.5038304222096324</v>
      </c>
      <c r="O10" s="10">
        <f t="shared" si="1"/>
        <v>1.5260563034950492</v>
      </c>
      <c r="P10" s="52" t="s">
        <v>2</v>
      </c>
      <c r="Q10" s="5"/>
    </row>
    <row r="11" spans="1:24" ht="16.5" customHeight="1" thickTop="1" thickBot="1" x14ac:dyDescent="0.3">
      <c r="E11" s="96" t="s">
        <v>10</v>
      </c>
      <c r="F11" s="1" t="s">
        <v>4</v>
      </c>
      <c r="G11" s="1">
        <v>0</v>
      </c>
      <c r="H11" s="76">
        <v>0.03</v>
      </c>
      <c r="I11" s="77">
        <v>0.13</v>
      </c>
      <c r="J11" s="77">
        <v>0.25</v>
      </c>
      <c r="K11" s="77">
        <v>0.4</v>
      </c>
      <c r="L11" s="77">
        <v>0.6</v>
      </c>
      <c r="M11" s="77">
        <v>0.75</v>
      </c>
      <c r="N11" s="77">
        <v>0.87</v>
      </c>
      <c r="O11" s="78">
        <v>0.97</v>
      </c>
      <c r="P11" s="3">
        <v>1</v>
      </c>
      <c r="Q11" s="51">
        <f>AVERAGE(G11:P11)</f>
        <v>0.5</v>
      </c>
      <c r="S11" s="55" t="str">
        <f>COUNT(H11:O11)&amp;" Markets"</f>
        <v>8 Markets</v>
      </c>
    </row>
    <row r="12" spans="1:24" ht="15.75" thickBot="1" x14ac:dyDescent="0.3">
      <c r="E12" s="97"/>
      <c r="F12" s="5" t="s">
        <v>3</v>
      </c>
      <c r="G12" s="5">
        <v>1</v>
      </c>
      <c r="H12" s="6">
        <f>1-H11</f>
        <v>0.97</v>
      </c>
      <c r="I12" s="6">
        <f t="shared" ref="I12:J12" si="2">1-I11</f>
        <v>0.87</v>
      </c>
      <c r="J12" s="6">
        <f t="shared" si="2"/>
        <v>0.75</v>
      </c>
      <c r="K12" s="6">
        <f t="shared" ref="K12" si="3">1-K11</f>
        <v>0.6</v>
      </c>
      <c r="L12" s="6">
        <f>1-L11</f>
        <v>0.4</v>
      </c>
      <c r="M12" s="6">
        <f>1-M11</f>
        <v>0.25</v>
      </c>
      <c r="N12" s="6">
        <f>1-N11</f>
        <v>0.13</v>
      </c>
      <c r="O12" s="6">
        <f>1-O11</f>
        <v>3.0000000000000027E-2</v>
      </c>
      <c r="P12" s="7">
        <v>0</v>
      </c>
      <c r="Q12" s="15">
        <f>AVERAGE(G12:P12)</f>
        <v>0.5</v>
      </c>
    </row>
    <row r="13" spans="1:24" ht="16.5" customHeight="1" thickTop="1" x14ac:dyDescent="0.25">
      <c r="A13" s="11"/>
      <c r="B13" s="11"/>
      <c r="C13" s="11"/>
      <c r="D13" s="12"/>
      <c r="E13" s="88" t="s">
        <v>7</v>
      </c>
      <c r="F13" s="8" t="s">
        <v>4</v>
      </c>
      <c r="G13" s="8">
        <v>0</v>
      </c>
      <c r="H13" s="10">
        <f>H11-G11</f>
        <v>0.03</v>
      </c>
      <c r="I13" s="10">
        <f>I11-H11</f>
        <v>0.1</v>
      </c>
      <c r="J13" s="10">
        <f t="shared" ref="J13:O13" si="4">J11-I11</f>
        <v>0.12</v>
      </c>
      <c r="K13" s="10">
        <f t="shared" si="4"/>
        <v>0.15000000000000002</v>
      </c>
      <c r="L13" s="10">
        <f t="shared" si="4"/>
        <v>0.19999999999999996</v>
      </c>
      <c r="M13" s="10">
        <f t="shared" si="4"/>
        <v>0.15000000000000002</v>
      </c>
      <c r="N13" s="10">
        <f t="shared" si="4"/>
        <v>0.12</v>
      </c>
      <c r="O13" s="10">
        <f t="shared" si="4"/>
        <v>9.9999999999999978E-2</v>
      </c>
      <c r="P13" s="10">
        <f>P11-O11</f>
        <v>3.0000000000000027E-2</v>
      </c>
      <c r="Q13" s="14">
        <f>SUM(H13:P13)</f>
        <v>1</v>
      </c>
      <c r="R13" s="11"/>
      <c r="S13" s="55" t="str">
        <f>COUNT(H13:P13)&amp;" Partitions"</f>
        <v>9 Partitions</v>
      </c>
    </row>
    <row r="14" spans="1:24" ht="16.5" customHeight="1" thickBot="1" x14ac:dyDescent="0.3">
      <c r="A14" s="11"/>
      <c r="B14" s="11"/>
      <c r="C14" s="11"/>
      <c r="D14" s="56"/>
      <c r="E14" s="90"/>
      <c r="F14" s="5" t="s">
        <v>3</v>
      </c>
      <c r="G14" s="5">
        <v>0</v>
      </c>
      <c r="H14" s="6">
        <f>G12-H12</f>
        <v>3.0000000000000027E-2</v>
      </c>
      <c r="I14" s="6">
        <f t="shared" ref="I14:O14" si="5">H12-I12</f>
        <v>9.9999999999999978E-2</v>
      </c>
      <c r="J14" s="6">
        <f t="shared" si="5"/>
        <v>0.12</v>
      </c>
      <c r="K14" s="6">
        <f t="shared" si="5"/>
        <v>0.15000000000000002</v>
      </c>
      <c r="L14" s="6">
        <f t="shared" si="5"/>
        <v>0.19999999999999996</v>
      </c>
      <c r="M14" s="6">
        <f t="shared" si="5"/>
        <v>0.15000000000000002</v>
      </c>
      <c r="N14" s="6">
        <f t="shared" si="5"/>
        <v>0.12</v>
      </c>
      <c r="O14" s="6">
        <f t="shared" si="5"/>
        <v>9.9999999999999978E-2</v>
      </c>
      <c r="P14" s="6">
        <f>O12-P12</f>
        <v>3.0000000000000027E-2</v>
      </c>
      <c r="Q14" s="16">
        <f>SUM(H14:P14)</f>
        <v>1</v>
      </c>
      <c r="R14" s="11"/>
    </row>
    <row r="15" spans="1:24" ht="20.25" customHeight="1" thickTop="1" thickBot="1" x14ac:dyDescent="0.3">
      <c r="A15" s="11"/>
      <c r="B15" s="59" t="s">
        <v>25</v>
      </c>
      <c r="C15" s="61"/>
      <c r="D15" s="88" t="s">
        <v>15</v>
      </c>
      <c r="E15" s="20" t="s">
        <v>19</v>
      </c>
      <c r="F15" s="8"/>
      <c r="G15" s="8"/>
      <c r="H15" s="10">
        <f t="shared" ref="H15:N15" si="6">H13/SUM($H$13:$N$13)</f>
        <v>3.4482758620689655E-2</v>
      </c>
      <c r="I15" s="10">
        <f t="shared" si="6"/>
        <v>0.1149425287356322</v>
      </c>
      <c r="J15" s="10">
        <f t="shared" si="6"/>
        <v>0.13793103448275862</v>
      </c>
      <c r="K15" s="10">
        <f t="shared" si="6"/>
        <v>0.17241379310344832</v>
      </c>
      <c r="L15" s="10">
        <f t="shared" si="6"/>
        <v>0.22988505747126431</v>
      </c>
      <c r="M15" s="10">
        <f t="shared" si="6"/>
        <v>0.17241379310344832</v>
      </c>
      <c r="N15" s="10">
        <f t="shared" si="6"/>
        <v>0.13793103448275862</v>
      </c>
      <c r="O15" s="10"/>
      <c r="P15" s="10"/>
      <c r="Q15" s="8">
        <f>SUM(H15:N15)</f>
        <v>1</v>
      </c>
      <c r="R15" s="11" t="s">
        <v>20</v>
      </c>
      <c r="X15" s="11"/>
    </row>
    <row r="16" spans="1:24" ht="15.75" thickBot="1" x14ac:dyDescent="0.3">
      <c r="A16" s="11"/>
      <c r="B16" s="103">
        <f>EXP(H16)</f>
        <v>3.9879067517565376</v>
      </c>
      <c r="C16" s="62"/>
      <c r="D16" s="89"/>
      <c r="E16" s="63" t="s">
        <v>44</v>
      </c>
      <c r="F16" s="64"/>
      <c r="G16" s="64"/>
      <c r="H16" s="99">
        <f>SUMPRODUCT(H10:N10,H15:N15)</f>
        <v>1.3832664696187358</v>
      </c>
      <c r="I16" s="13"/>
      <c r="J16" s="13"/>
      <c r="K16" s="13"/>
      <c r="L16" s="13"/>
      <c r="M16" s="13"/>
      <c r="N16" s="13"/>
      <c r="O16" s="13"/>
      <c r="P16" s="13"/>
      <c r="Q16" s="5">
        <f>SUM(H16:N16)</f>
        <v>1.3832664696187358</v>
      </c>
      <c r="R16" s="13"/>
      <c r="X16" s="11"/>
    </row>
    <row r="17" spans="1:28" ht="16.5" customHeight="1" thickBot="1" x14ac:dyDescent="0.3">
      <c r="A17" s="11"/>
      <c r="B17" s="59" t="s">
        <v>26</v>
      </c>
      <c r="C17" s="11"/>
      <c r="D17" s="88" t="s">
        <v>21</v>
      </c>
      <c r="E17" s="21" t="s">
        <v>44</v>
      </c>
      <c r="F17" s="24"/>
      <c r="G17" s="24"/>
      <c r="H17" s="50">
        <f>LN(B20)</f>
        <v>1.4320566337881677</v>
      </c>
      <c r="I17" s="11"/>
      <c r="J17" s="11"/>
      <c r="K17" s="11"/>
      <c r="L17" s="11"/>
      <c r="M17" s="11"/>
      <c r="N17" s="11"/>
      <c r="O17" s="11"/>
      <c r="P17" s="11"/>
      <c r="Q17" s="8"/>
      <c r="R17" s="11"/>
      <c r="X17" s="11"/>
    </row>
    <row r="18" spans="1:28" ht="15.75" thickBot="1" x14ac:dyDescent="0.3">
      <c r="A18" s="11"/>
      <c r="B18" s="104">
        <f>(M8-L8)/L8</f>
        <v>5.0000000000000044E-2</v>
      </c>
      <c r="C18" s="11" t="s">
        <v>38</v>
      </c>
      <c r="D18" s="90"/>
      <c r="E18" s="20" t="s">
        <v>19</v>
      </c>
      <c r="F18" s="23"/>
      <c r="G18" s="23"/>
      <c r="H18" s="58">
        <f>H13/SUM($H$13:$N$13)</f>
        <v>3.4482758620689655E-2</v>
      </c>
      <c r="I18" s="6">
        <f t="shared" ref="I18:M18" si="7">I13/SUM($H$13:$N$13)</f>
        <v>0.1149425287356322</v>
      </c>
      <c r="J18" s="6">
        <f t="shared" si="7"/>
        <v>0.13793103448275862</v>
      </c>
      <c r="K18" s="6">
        <f t="shared" si="7"/>
        <v>0.17241379310344832</v>
      </c>
      <c r="L18" s="6">
        <f t="shared" si="7"/>
        <v>0.22988505747126431</v>
      </c>
      <c r="M18" s="6">
        <f t="shared" si="7"/>
        <v>0.17241379310344832</v>
      </c>
      <c r="N18" s="36">
        <f>N13/SUM($H$13:$N$13)</f>
        <v>0.13793103448275862</v>
      </c>
      <c r="O18" s="13"/>
      <c r="P18" s="13"/>
      <c r="Q18" s="5"/>
      <c r="R18" s="11"/>
      <c r="X18" s="11"/>
    </row>
    <row r="19" spans="1:28" ht="16.5" thickTop="1" thickBot="1" x14ac:dyDescent="0.3">
      <c r="A19" s="11"/>
      <c r="B19" s="59" t="s">
        <v>27</v>
      </c>
      <c r="C19" s="11"/>
      <c r="E19" s="94" t="s">
        <v>8</v>
      </c>
      <c r="F19" s="1" t="s">
        <v>4</v>
      </c>
      <c r="G19" s="1">
        <v>0</v>
      </c>
      <c r="H19" s="100">
        <v>0</v>
      </c>
      <c r="I19" s="101">
        <f>H13</f>
        <v>0.03</v>
      </c>
      <c r="J19" s="101">
        <f t="shared" ref="J19:N19" si="8">I13</f>
        <v>0.1</v>
      </c>
      <c r="K19" s="101">
        <f t="shared" si="8"/>
        <v>0.12</v>
      </c>
      <c r="L19" s="101">
        <f t="shared" si="8"/>
        <v>0.15000000000000002</v>
      </c>
      <c r="M19" s="101">
        <f t="shared" si="8"/>
        <v>0.19999999999999996</v>
      </c>
      <c r="N19" s="101">
        <f t="shared" si="8"/>
        <v>0.15000000000000002</v>
      </c>
      <c r="O19" s="101">
        <f>N13</f>
        <v>0.12</v>
      </c>
      <c r="P19" s="102">
        <f>SUM(O13:P13)</f>
        <v>0.13</v>
      </c>
      <c r="Q19" s="3">
        <f>SUM(H19:P19)</f>
        <v>1</v>
      </c>
      <c r="S19" s="2"/>
      <c r="T19" s="2"/>
      <c r="U19" s="2"/>
      <c r="V19" s="2"/>
      <c r="W19" s="2"/>
      <c r="X19" s="18"/>
      <c r="Y19" s="4"/>
      <c r="Z19" s="4"/>
      <c r="AA19" s="4"/>
    </row>
    <row r="20" spans="1:28" ht="15.75" thickBot="1" x14ac:dyDescent="0.3">
      <c r="B20" s="60">
        <f>B16*(1+B18)</f>
        <v>4.1873020893443647</v>
      </c>
      <c r="E20" s="95"/>
      <c r="F20" s="5" t="s">
        <v>3</v>
      </c>
      <c r="G20" s="5">
        <f>G19</f>
        <v>0</v>
      </c>
      <c r="H20" s="26">
        <f t="shared" ref="H20:P20" si="9">H19</f>
        <v>0</v>
      </c>
      <c r="I20" s="26">
        <f>I19</f>
        <v>0.03</v>
      </c>
      <c r="J20" s="26">
        <f t="shared" si="9"/>
        <v>0.1</v>
      </c>
      <c r="K20" s="26">
        <f t="shared" si="9"/>
        <v>0.12</v>
      </c>
      <c r="L20" s="26">
        <f t="shared" si="9"/>
        <v>0.15000000000000002</v>
      </c>
      <c r="M20" s="26">
        <f t="shared" si="9"/>
        <v>0.19999999999999996</v>
      </c>
      <c r="N20" s="26">
        <f t="shared" si="9"/>
        <v>0.15000000000000002</v>
      </c>
      <c r="O20" s="26">
        <f t="shared" si="9"/>
        <v>0.12</v>
      </c>
      <c r="P20" s="27">
        <f t="shared" si="9"/>
        <v>0.13</v>
      </c>
      <c r="Q20" s="7">
        <f>SUM(H20:P20)</f>
        <v>1</v>
      </c>
      <c r="S20" s="2"/>
      <c r="T20" s="2"/>
      <c r="U20" s="2"/>
      <c r="V20" s="2"/>
      <c r="W20" s="2"/>
      <c r="X20" s="18"/>
      <c r="Y20" s="4"/>
      <c r="Z20" s="4"/>
      <c r="AA20" s="4"/>
    </row>
    <row r="21" spans="1:28" x14ac:dyDescent="0.25">
      <c r="E21" s="81" t="s">
        <v>11</v>
      </c>
      <c r="F21" s="1" t="s">
        <v>4</v>
      </c>
      <c r="G21" s="1">
        <v>0</v>
      </c>
      <c r="H21" s="10">
        <f>H19+G21</f>
        <v>0</v>
      </c>
      <c r="I21" s="10">
        <f>I19+H21</f>
        <v>0.03</v>
      </c>
      <c r="J21" s="10">
        <f t="shared" ref="J21:O21" si="10">J19+I21</f>
        <v>0.13</v>
      </c>
      <c r="K21" s="10">
        <f t="shared" si="10"/>
        <v>0.25</v>
      </c>
      <c r="L21" s="10">
        <f t="shared" si="10"/>
        <v>0.4</v>
      </c>
      <c r="M21" s="10">
        <f t="shared" si="10"/>
        <v>0.6</v>
      </c>
      <c r="N21" s="10">
        <f t="shared" si="10"/>
        <v>0.75</v>
      </c>
      <c r="O21" s="10">
        <f t="shared" si="10"/>
        <v>0.87</v>
      </c>
      <c r="P21" s="35">
        <f t="shared" ref="P21" si="11">P19+O21</f>
        <v>1</v>
      </c>
      <c r="Q21" s="25">
        <f>AVERAGE(G21:P21)</f>
        <v>0.40300000000000002</v>
      </c>
      <c r="S21" s="2"/>
      <c r="T21" s="2"/>
      <c r="U21" s="2"/>
      <c r="V21" s="2"/>
      <c r="W21" s="2"/>
      <c r="X21" s="2"/>
      <c r="Y21" s="4"/>
      <c r="Z21" s="4"/>
      <c r="AA21" s="4"/>
    </row>
    <row r="22" spans="1:28" ht="15.75" thickBot="1" x14ac:dyDescent="0.3">
      <c r="E22" s="81"/>
      <c r="F22" s="5" t="s">
        <v>3</v>
      </c>
      <c r="G22" s="5">
        <v>1</v>
      </c>
      <c r="H22" s="6">
        <f>1-H21</f>
        <v>1</v>
      </c>
      <c r="I22" s="6">
        <f t="shared" ref="I22:N22" si="12">1-I21</f>
        <v>0.97</v>
      </c>
      <c r="J22" s="6">
        <f t="shared" si="12"/>
        <v>0.87</v>
      </c>
      <c r="K22" s="6">
        <f t="shared" si="12"/>
        <v>0.75</v>
      </c>
      <c r="L22" s="6">
        <f t="shared" si="12"/>
        <v>0.6</v>
      </c>
      <c r="M22" s="6">
        <f t="shared" si="12"/>
        <v>0.4</v>
      </c>
      <c r="N22" s="6">
        <f t="shared" si="12"/>
        <v>0.25</v>
      </c>
      <c r="O22" s="6">
        <f>1-O21</f>
        <v>0.13</v>
      </c>
      <c r="P22" s="36">
        <f>1-P21</f>
        <v>0</v>
      </c>
      <c r="Q22" s="34">
        <f>AVERAGE(G22:P22)</f>
        <v>0.59699999999999998</v>
      </c>
      <c r="S22" s="2"/>
      <c r="T22" s="2"/>
      <c r="U22" s="2"/>
      <c r="V22" s="2"/>
      <c r="W22" s="2"/>
      <c r="X22" s="2"/>
      <c r="Y22" s="4"/>
      <c r="Z22" s="4"/>
      <c r="AA22" s="4"/>
    </row>
    <row r="23" spans="1:28" ht="16.5" thickTop="1" thickBot="1" x14ac:dyDescent="0.3">
      <c r="B23" s="79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  <c r="S23" s="2"/>
      <c r="T23" s="2"/>
      <c r="U23" s="2"/>
      <c r="V23" s="2"/>
      <c r="W23" s="2"/>
      <c r="X23" s="2"/>
      <c r="Y23" s="4"/>
      <c r="Z23" s="4"/>
      <c r="AA23" s="4"/>
    </row>
    <row r="24" spans="1:28" ht="15" customHeight="1" x14ac:dyDescent="0.25">
      <c r="B24" s="80" t="s">
        <v>41</v>
      </c>
      <c r="G24" s="2"/>
      <c r="H24" s="2">
        <f t="shared" ref="H24:P24" si="13">H21-H11</f>
        <v>-0.03</v>
      </c>
      <c r="I24" s="2">
        <f t="shared" si="13"/>
        <v>-0.1</v>
      </c>
      <c r="J24" s="2">
        <f t="shared" si="13"/>
        <v>-0.12</v>
      </c>
      <c r="K24" s="2">
        <f t="shared" si="13"/>
        <v>-0.15000000000000002</v>
      </c>
      <c r="L24" s="2">
        <f t="shared" si="13"/>
        <v>-0.19999999999999996</v>
      </c>
      <c r="M24" s="2">
        <f t="shared" si="13"/>
        <v>-0.15000000000000002</v>
      </c>
      <c r="N24" s="2">
        <f t="shared" si="13"/>
        <v>-0.12</v>
      </c>
      <c r="O24" s="2">
        <f t="shared" si="13"/>
        <v>-9.9999999999999978E-2</v>
      </c>
      <c r="P24" s="2">
        <f t="shared" si="13"/>
        <v>0</v>
      </c>
      <c r="Q24" s="9"/>
      <c r="S24" s="82" t="s">
        <v>23</v>
      </c>
      <c r="T24" s="83"/>
      <c r="U24" s="83"/>
      <c r="V24" s="83"/>
      <c r="W24" s="84"/>
      <c r="X24" s="82" t="s">
        <v>24</v>
      </c>
      <c r="Y24" s="83"/>
      <c r="Z24" s="83"/>
      <c r="AA24" s="83"/>
      <c r="AB24" s="84"/>
    </row>
    <row r="25" spans="1:28" ht="15.75" thickBot="1" x14ac:dyDescent="0.3">
      <c r="B25" s="80"/>
      <c r="G25" s="2"/>
      <c r="H25" s="2"/>
      <c r="I25" s="2"/>
      <c r="J25" s="2"/>
      <c r="K25" s="2"/>
      <c r="L25" s="2"/>
      <c r="M25" s="2"/>
      <c r="N25" s="2"/>
      <c r="O25" s="2"/>
      <c r="P25" s="2"/>
      <c r="Q25" s="9"/>
      <c r="S25" s="85"/>
      <c r="T25" s="86"/>
      <c r="U25" s="86"/>
      <c r="V25" s="86"/>
      <c r="W25" s="87"/>
      <c r="X25" s="85"/>
      <c r="Y25" s="86"/>
      <c r="Z25" s="86"/>
      <c r="AA25" s="86"/>
      <c r="AB25" s="87"/>
    </row>
    <row r="26" spans="1:28" x14ac:dyDescent="0.25">
      <c r="B26" s="80"/>
      <c r="G26" s="2"/>
      <c r="H26" s="2"/>
      <c r="I26" s="2"/>
      <c r="J26" s="2"/>
      <c r="K26" s="2"/>
      <c r="L26" s="2"/>
      <c r="M26" s="2"/>
      <c r="N26" s="2"/>
      <c r="O26" s="2"/>
      <c r="P26" s="2"/>
      <c r="Q26" s="9"/>
      <c r="S26" s="28" t="s">
        <v>1</v>
      </c>
      <c r="T26" s="18" t="s">
        <v>12</v>
      </c>
      <c r="U26" s="18" t="s">
        <v>13</v>
      </c>
      <c r="V26" s="18" t="s">
        <v>9</v>
      </c>
      <c r="W26" s="32" t="s">
        <v>28</v>
      </c>
      <c r="X26" s="18" t="s">
        <v>1</v>
      </c>
      <c r="Y26" s="18" t="s">
        <v>12</v>
      </c>
      <c r="Z26" s="18" t="s">
        <v>13</v>
      </c>
      <c r="AA26" s="18" t="s">
        <v>9</v>
      </c>
      <c r="AB26" s="29" t="s">
        <v>14</v>
      </c>
    </row>
    <row r="27" spans="1:28" x14ac:dyDescent="0.25">
      <c r="B27" s="80"/>
      <c r="E27" s="80" t="s">
        <v>0</v>
      </c>
      <c r="F27" s="8" t="s">
        <v>5</v>
      </c>
      <c r="G27" s="18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8"/>
      <c r="Q27" s="8">
        <f>SUM(H27:O27)</f>
        <v>8</v>
      </c>
      <c r="S27" s="28"/>
      <c r="T27" s="18"/>
      <c r="U27" s="18"/>
      <c r="V27" s="18"/>
      <c r="W27" s="33"/>
      <c r="X27" s="18"/>
      <c r="Y27" s="18"/>
      <c r="Z27" s="18"/>
      <c r="AA27" s="18"/>
      <c r="AB27" s="30"/>
    </row>
    <row r="28" spans="1:28" ht="15.75" thickBot="1" x14ac:dyDescent="0.3">
      <c r="B28" s="80"/>
      <c r="E28" s="93"/>
      <c r="F28" s="5" t="s">
        <v>6</v>
      </c>
      <c r="G28" s="19"/>
      <c r="H28" s="10">
        <f>H27/$Q$27</f>
        <v>0.125</v>
      </c>
      <c r="I28" s="10">
        <f t="shared" ref="I28:O28" si="14">I27/$Q$27</f>
        <v>0.125</v>
      </c>
      <c r="J28" s="10">
        <f t="shared" si="14"/>
        <v>0.125</v>
      </c>
      <c r="K28" s="10">
        <f t="shared" si="14"/>
        <v>0.125</v>
      </c>
      <c r="L28" s="10">
        <f t="shared" si="14"/>
        <v>0.125</v>
      </c>
      <c r="M28" s="10">
        <f t="shared" si="14"/>
        <v>0.125</v>
      </c>
      <c r="N28" s="10">
        <f t="shared" si="14"/>
        <v>0.125</v>
      </c>
      <c r="O28" s="10">
        <f t="shared" si="14"/>
        <v>0.125</v>
      </c>
      <c r="P28" s="19"/>
      <c r="Q28" s="5">
        <f>SUM(H28:O28)</f>
        <v>1</v>
      </c>
      <c r="S28" s="37">
        <f>SUMPRODUCT($H28:$O28,$H$11:$O$11)</f>
        <v>0.5</v>
      </c>
      <c r="T28" s="38">
        <f>SUMPRODUCT($H28:$O28,$H$11:$O$11)</f>
        <v>0.5</v>
      </c>
      <c r="U28" s="42">
        <f>(T28-S28)/S28</f>
        <v>0</v>
      </c>
      <c r="V28" s="38">
        <f>SUMPRODUCT($H28:$O28,$H$21:$O$21)</f>
        <v>0.37875000000000003</v>
      </c>
      <c r="W28" s="44">
        <f>(V28-S28)/S28</f>
        <v>-0.24249999999999994</v>
      </c>
      <c r="X28" s="38">
        <f>SUMPRODUCT($H28:$O28,$H$12:$O$12)</f>
        <v>0.5</v>
      </c>
      <c r="Y28" s="38">
        <f>SUMPRODUCT($H28:$O28,$H$12:$O$12)</f>
        <v>0.5</v>
      </c>
      <c r="Z28" s="42">
        <f>(Y28-X28)/X28</f>
        <v>0</v>
      </c>
      <c r="AA28" s="38">
        <f>SUMPRODUCT($H28:$O28,$H$22:$O$22)</f>
        <v>0.62124999999999997</v>
      </c>
      <c r="AB28" s="47">
        <f>(AA28-X28)/X28</f>
        <v>0.24249999999999994</v>
      </c>
    </row>
    <row r="29" spans="1:28" ht="16.5" thickTop="1" thickBot="1" x14ac:dyDescent="0.3">
      <c r="B29" s="80"/>
      <c r="E29" s="93" t="s">
        <v>37</v>
      </c>
      <c r="F29" s="8" t="s">
        <v>5</v>
      </c>
      <c r="G29" s="18"/>
      <c r="H29" s="76">
        <v>1</v>
      </c>
      <c r="I29" s="77">
        <v>1</v>
      </c>
      <c r="J29" s="77">
        <v>1</v>
      </c>
      <c r="K29" s="77">
        <v>1</v>
      </c>
      <c r="L29" s="77">
        <v>1</v>
      </c>
      <c r="M29" s="77">
        <v>1</v>
      </c>
      <c r="N29" s="77">
        <v>1</v>
      </c>
      <c r="O29" s="78">
        <v>1</v>
      </c>
      <c r="P29" s="18"/>
      <c r="Q29" s="8">
        <f>SUM(H29:O29)</f>
        <v>8</v>
      </c>
      <c r="S29" s="37"/>
      <c r="T29" s="38"/>
      <c r="U29" s="42"/>
      <c r="V29" s="38"/>
      <c r="W29" s="44"/>
      <c r="X29" s="38"/>
      <c r="Y29" s="39"/>
      <c r="Z29" s="46"/>
      <c r="AA29" s="39"/>
      <c r="AB29" s="48"/>
    </row>
    <row r="30" spans="1:28" ht="15.75" thickBot="1" x14ac:dyDescent="0.3">
      <c r="B30" s="80"/>
      <c r="E30" s="93"/>
      <c r="F30" s="5" t="s">
        <v>6</v>
      </c>
      <c r="G30" s="19"/>
      <c r="H30" s="6">
        <f>H29/$Q$29</f>
        <v>0.125</v>
      </c>
      <c r="I30" s="6">
        <f t="shared" ref="I30:N30" si="15">I29/$Q$29</f>
        <v>0.125</v>
      </c>
      <c r="J30" s="6">
        <f t="shared" si="15"/>
        <v>0.125</v>
      </c>
      <c r="K30" s="6">
        <f t="shared" si="15"/>
        <v>0.125</v>
      </c>
      <c r="L30" s="6">
        <f t="shared" si="15"/>
        <v>0.125</v>
      </c>
      <c r="M30" s="6">
        <f t="shared" si="15"/>
        <v>0.125</v>
      </c>
      <c r="N30" s="6">
        <f t="shared" si="15"/>
        <v>0.125</v>
      </c>
      <c r="O30" s="6">
        <f>O29/$Q$29</f>
        <v>0.125</v>
      </c>
      <c r="P30" s="19"/>
      <c r="Q30" s="5">
        <f>SUM(H30:O30)</f>
        <v>1</v>
      </c>
      <c r="S30" s="40">
        <f>SUMPRODUCT($H30:$O30,$H$11:$O$11)</f>
        <v>0.5</v>
      </c>
      <c r="T30" s="41">
        <f>SUMPRODUCT($H30:$O30,$H$11:$O$11)</f>
        <v>0.5</v>
      </c>
      <c r="U30" s="43">
        <f>(T30-S30)/S30</f>
        <v>0</v>
      </c>
      <c r="V30" s="41">
        <f>SUMPRODUCT($H30:$O30,$H$21:$O$21)</f>
        <v>0.37875000000000003</v>
      </c>
      <c r="W30" s="45">
        <f>(V30-S30)/S30</f>
        <v>-0.24249999999999994</v>
      </c>
      <c r="X30" s="41">
        <f>SUMPRODUCT($H30:$O30,$H$12:$O$12)</f>
        <v>0.5</v>
      </c>
      <c r="Y30" s="41">
        <f>SUMPRODUCT($H30:$O30,$H$12:$O$12)</f>
        <v>0.5</v>
      </c>
      <c r="Z30" s="43">
        <f>(Y30-X30)/X30</f>
        <v>0</v>
      </c>
      <c r="AA30" s="41">
        <f>SUMPRODUCT($H30:$O30,$H$22:$O$22)</f>
        <v>0.62124999999999997</v>
      </c>
      <c r="AB30" s="49">
        <f>(AA30-X30)/X30</f>
        <v>0.24249999999999994</v>
      </c>
    </row>
    <row r="31" spans="1:28" ht="15.75" thickTop="1" x14ac:dyDescent="0.25">
      <c r="B31" s="80"/>
      <c r="D31" s="67" t="s">
        <v>29</v>
      </c>
      <c r="E31" s="91" t="s">
        <v>36</v>
      </c>
      <c r="F31" s="8" t="s">
        <v>5</v>
      </c>
      <c r="G31" s="18"/>
      <c r="H31" s="10">
        <f>H29</f>
        <v>1</v>
      </c>
      <c r="I31" s="10">
        <f t="shared" ref="I31:O31" si="16">I29</f>
        <v>1</v>
      </c>
      <c r="J31" s="10">
        <f t="shared" si="16"/>
        <v>1</v>
      </c>
      <c r="K31" s="10">
        <f t="shared" si="16"/>
        <v>1</v>
      </c>
      <c r="L31" s="10">
        <f t="shared" si="16"/>
        <v>1</v>
      </c>
      <c r="M31" s="10">
        <f t="shared" si="16"/>
        <v>1</v>
      </c>
      <c r="N31" s="10">
        <f t="shared" si="16"/>
        <v>1</v>
      </c>
      <c r="O31" s="10">
        <f t="shared" si="16"/>
        <v>1</v>
      </c>
      <c r="P31" s="18"/>
      <c r="Q31" s="8">
        <f>SUM(H31:O31)*(1/D32)</f>
        <v>38.799999999999955</v>
      </c>
      <c r="S31" s="37"/>
      <c r="T31" s="38"/>
      <c r="U31" s="42"/>
      <c r="V31" s="38"/>
      <c r="W31" s="44"/>
      <c r="X31" s="38"/>
      <c r="Y31" s="39"/>
      <c r="Z31" s="46"/>
      <c r="AA31" s="39"/>
      <c r="AB31" s="48"/>
    </row>
    <row r="32" spans="1:28" ht="15.75" thickBot="1" x14ac:dyDescent="0.3">
      <c r="B32" s="80"/>
      <c r="D32" s="68">
        <f>B18/AB30</f>
        <v>0.20618556701030952</v>
      </c>
      <c r="E32" s="92"/>
      <c r="F32" s="5" t="s">
        <v>6</v>
      </c>
      <c r="G32" s="22"/>
      <c r="H32" s="6">
        <f>H31/$Q$31</f>
        <v>2.577319587628869E-2</v>
      </c>
      <c r="I32" s="6">
        <f t="shared" ref="I32:O32" si="17">I31/$Q$31</f>
        <v>2.577319587628869E-2</v>
      </c>
      <c r="J32" s="6">
        <f t="shared" si="17"/>
        <v>2.577319587628869E-2</v>
      </c>
      <c r="K32" s="6">
        <f t="shared" si="17"/>
        <v>2.577319587628869E-2</v>
      </c>
      <c r="L32" s="6">
        <f t="shared" si="17"/>
        <v>2.577319587628869E-2</v>
      </c>
      <c r="M32" s="6">
        <f t="shared" si="17"/>
        <v>2.577319587628869E-2</v>
      </c>
      <c r="N32" s="6">
        <f t="shared" si="17"/>
        <v>2.577319587628869E-2</v>
      </c>
      <c r="O32" s="6">
        <f t="shared" si="17"/>
        <v>2.577319587628869E-2</v>
      </c>
      <c r="P32" s="22"/>
      <c r="Q32" s="5">
        <f>SUM(H32:O32)</f>
        <v>0.20618556701030949</v>
      </c>
      <c r="S32" s="40">
        <f>SUMPRODUCT($H32:$O32,$H$11:$O$11)</f>
        <v>0.10309278350515474</v>
      </c>
      <c r="T32" s="41">
        <f>SUMPRODUCT($H32:$O32,$H$11:$O$11)</f>
        <v>0.10309278350515474</v>
      </c>
      <c r="U32" s="43">
        <f>(T32-S32)/S32</f>
        <v>0</v>
      </c>
      <c r="V32" s="41">
        <f>SUMPRODUCT($H32:$O32,$H$21:$O$21)</f>
        <v>7.8092783505154723E-2</v>
      </c>
      <c r="W32" s="45">
        <f>(V32-S32)/S32</f>
        <v>-0.24249999999999997</v>
      </c>
      <c r="X32" s="41">
        <f>SUMPRODUCT($H32:$O32,$H$12:$O$12)</f>
        <v>0.10309278350515473</v>
      </c>
      <c r="Y32" s="41">
        <f>SUMPRODUCT($H32:$O32,$H$12:$O$12)</f>
        <v>0.10309278350515473</v>
      </c>
      <c r="Z32" s="43">
        <f>(Y32-X32)/X32</f>
        <v>0</v>
      </c>
      <c r="AA32" s="41">
        <f>SUMPRODUCT($H32:$O32,$H$22:$O$22)</f>
        <v>0.12809278350515477</v>
      </c>
      <c r="AB32" s="49">
        <f>(AA32-X32)/X32</f>
        <v>0.24250000000000013</v>
      </c>
    </row>
    <row r="33" spans="2:24" x14ac:dyDescent="0.25">
      <c r="B33" s="80"/>
      <c r="E33" s="7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S33" s="2"/>
      <c r="T33" s="2"/>
      <c r="U33" s="17"/>
      <c r="V33" s="2"/>
      <c r="W33" s="65" t="s">
        <v>40</v>
      </c>
      <c r="X33" s="2"/>
    </row>
    <row r="34" spans="2:24" x14ac:dyDescent="0.25">
      <c r="B34" s="80"/>
      <c r="E34" s="66"/>
      <c r="Q34" s="2"/>
      <c r="S34" s="2"/>
      <c r="T34" s="2"/>
      <c r="U34" s="17"/>
      <c r="V34" s="2"/>
      <c r="W34" s="17"/>
    </row>
    <row r="35" spans="2:24" ht="15.75" thickBot="1" x14ac:dyDescent="0.3">
      <c r="E35" s="75"/>
      <c r="Q35" s="2"/>
      <c r="S35" s="2"/>
      <c r="T35" s="2"/>
      <c r="U35" s="17"/>
      <c r="V35" s="2"/>
      <c r="W35" s="17"/>
    </row>
    <row r="36" spans="2:24" x14ac:dyDescent="0.25">
      <c r="E36" s="69">
        <v>1</v>
      </c>
      <c r="F36" s="70" t="s">
        <v>35</v>
      </c>
      <c r="H36" s="2"/>
      <c r="I36" s="2"/>
      <c r="K36" s="2"/>
      <c r="M36" s="2"/>
      <c r="N36" s="2"/>
      <c r="S36" s="2"/>
      <c r="T36" s="2"/>
      <c r="U36" s="17"/>
      <c r="V36" s="2"/>
      <c r="W36" s="17"/>
    </row>
    <row r="37" spans="2:24" x14ac:dyDescent="0.25">
      <c r="E37" s="71">
        <f>D32</f>
        <v>0.20618556701030952</v>
      </c>
      <c r="F37" s="30" t="s">
        <v>30</v>
      </c>
      <c r="S37" s="2"/>
      <c r="T37" s="2"/>
      <c r="U37" s="17"/>
      <c r="V37" s="2"/>
      <c r="W37" s="17"/>
    </row>
    <row r="38" spans="2:24" x14ac:dyDescent="0.25">
      <c r="E38" s="72">
        <f>AB32</f>
        <v>0.24250000000000013</v>
      </c>
      <c r="F38" s="30" t="s">
        <v>31</v>
      </c>
      <c r="S38" s="2"/>
      <c r="T38" s="2"/>
      <c r="U38" s="17"/>
      <c r="V38" s="2"/>
      <c r="W38" s="17"/>
    </row>
    <row r="39" spans="2:24" x14ac:dyDescent="0.25">
      <c r="E39" s="28">
        <f>E37*(1+E38)</f>
        <v>0.25618556701030959</v>
      </c>
      <c r="F39" s="30" t="s">
        <v>32</v>
      </c>
      <c r="S39" s="2"/>
      <c r="T39" s="2"/>
      <c r="U39" s="17"/>
      <c r="V39" s="2"/>
      <c r="W39" s="17"/>
    </row>
    <row r="40" spans="2:24" x14ac:dyDescent="0.25">
      <c r="E40" s="71">
        <f>(1-D32)+E39</f>
        <v>1.05</v>
      </c>
      <c r="F40" s="30" t="s">
        <v>34</v>
      </c>
      <c r="S40" s="2"/>
      <c r="T40" s="2"/>
      <c r="U40" s="17"/>
      <c r="V40" s="2"/>
      <c r="W40" s="17"/>
    </row>
    <row r="41" spans="2:24" ht="15.75" thickBot="1" x14ac:dyDescent="0.3">
      <c r="E41" s="73">
        <f>(E40-E36)/E36</f>
        <v>5.0000000000000044E-2</v>
      </c>
      <c r="F41" s="31" t="s">
        <v>33</v>
      </c>
      <c r="S41" s="2"/>
      <c r="T41" s="2"/>
      <c r="U41" s="17"/>
      <c r="V41" s="2"/>
      <c r="W41" s="17"/>
    </row>
    <row r="42" spans="2:24" x14ac:dyDescent="0.25">
      <c r="S42" s="2"/>
      <c r="T42" s="2"/>
      <c r="U42" s="17"/>
      <c r="V42" s="2"/>
      <c r="W42" s="17"/>
    </row>
    <row r="43" spans="2:24" x14ac:dyDescent="0.25">
      <c r="S43" s="2"/>
      <c r="T43" s="2"/>
      <c r="U43" s="17"/>
      <c r="V43" s="2"/>
      <c r="W43" s="17"/>
    </row>
    <row r="44" spans="2:24" x14ac:dyDescent="0.25">
      <c r="E44" t="s">
        <v>39</v>
      </c>
    </row>
  </sheetData>
  <mergeCells count="13">
    <mergeCell ref="E3:T4"/>
    <mergeCell ref="S24:W25"/>
    <mergeCell ref="X24:AB25"/>
    <mergeCell ref="D15:D16"/>
    <mergeCell ref="D17:D18"/>
    <mergeCell ref="E31:E32"/>
    <mergeCell ref="E29:E30"/>
    <mergeCell ref="E27:E28"/>
    <mergeCell ref="E19:E20"/>
    <mergeCell ref="E11:E12"/>
    <mergeCell ref="E21:E22"/>
    <mergeCell ref="E13:E14"/>
    <mergeCell ref="B24:B3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Psztorc</dc:creator>
  <cp:lastModifiedBy>Psztorc</cp:lastModifiedBy>
  <dcterms:created xsi:type="dcterms:W3CDTF">2014-03-01T20:31:34Z</dcterms:created>
  <dcterms:modified xsi:type="dcterms:W3CDTF">2014-03-02T23:15:05Z</dcterms:modified>
</cp:coreProperties>
</file>