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activeTab="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Charity'!$D$68:$E$69</definedName>
    <definedName name="solver_cvg" localSheetId="5" hidden="1">0.0001</definedName>
    <definedName name="solver_drv" localSheetId="5" hidden="1">2</definedName>
    <definedName name="solver_eng" localSheetId="5" hidden="1">1</definedName>
    <definedName name="solver_est" localSheetId="5" hidden="1">1</definedName>
    <definedName name="solver_itr" localSheetId="5" hidden="1">2147483647</definedName>
    <definedName name="solver_lhs1" localSheetId="5" hidden="1">'Conditional Charity'!$D$68:$E$69</definedName>
    <definedName name="solver_lhs2" localSheetId="5" hidden="1">'Conditional Charity'!$K$63:$L$64</definedName>
    <definedName name="solver_lhs3" localSheetId="5" hidden="1">'Conditional Charity'!#REF!</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2</definedName>
    <definedName name="solver_nwt" localSheetId="5" hidden="1">1</definedName>
    <definedName name="solver_opt" localSheetId="5" hidden="1">'Conditional Charity'!$K$75</definedName>
    <definedName name="solver_pre" localSheetId="5" hidden="1">0.000001</definedName>
    <definedName name="solver_rbv" localSheetId="5" hidden="1">2</definedName>
    <definedName name="solver_rel1" localSheetId="5" hidden="1">3</definedName>
    <definedName name="solver_rel2" localSheetId="5" hidden="1">2</definedName>
    <definedName name="solver_rel3" localSheetId="5" hidden="1">2</definedName>
    <definedName name="solver_rhs1" localSheetId="5" hidden="1">'Conditional Charity'!$D$58:$E$59</definedName>
    <definedName name="solver_rhs2" localSheetId="5" hidden="1">'Conditional Charity'!$K$68:$L$69</definedName>
    <definedName name="solver_rhs3" localSheetId="5" hidden="1">0</definedName>
    <definedName name="solver_rlx" localSheetId="5" hidden="1">2</definedName>
    <definedName name="solver_rsd" localSheetId="5" hidden="1">0</definedName>
    <definedName name="solver_scl" localSheetId="5" hidden="1">2</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2</definedName>
    <definedName name="solver_val" localSheetId="5" hidden="1">0</definedName>
    <definedName name="solver_ver" localSheetId="5" hidden="1">3</definedName>
  </definedNames>
  <calcPr calcId="145621"/>
</workbook>
</file>

<file path=xl/calcChain.xml><?xml version="1.0" encoding="utf-8"?>
<calcChain xmlns="http://schemas.openxmlformats.org/spreadsheetml/2006/main">
  <c r="F54" i="15" l="1"/>
  <c r="E54" i="15"/>
  <c r="V32" i="15"/>
  <c r="V31" i="15"/>
  <c r="V30" i="15"/>
  <c r="V29" i="15"/>
  <c r="V28" i="15"/>
  <c r="V27" i="15"/>
  <c r="V26" i="15"/>
  <c r="V25" i="15"/>
  <c r="U26" i="15"/>
  <c r="U30" i="15"/>
  <c r="U29" i="15"/>
  <c r="U28" i="15"/>
  <c r="U27" i="15"/>
  <c r="U25" i="15"/>
  <c r="P25" i="15"/>
  <c r="N25" i="15"/>
  <c r="E32" i="15"/>
  <c r="H32" i="15"/>
  <c r="G32" i="15"/>
  <c r="F32" i="15"/>
  <c r="G46" i="15" l="1"/>
  <c r="G47" i="15" s="1"/>
  <c r="G48" i="15" s="1"/>
  <c r="G49" i="15" s="1"/>
  <c r="H42" i="15"/>
  <c r="H43" i="15" s="1"/>
  <c r="H44" i="15" s="1"/>
  <c r="H45" i="15" s="1"/>
  <c r="H46" i="15" s="1"/>
  <c r="H47" i="15" s="1"/>
  <c r="H48" i="15" s="1"/>
  <c r="H49" i="15" s="1"/>
  <c r="E42" i="15"/>
  <c r="E43" i="15" s="1"/>
  <c r="E44" i="15" s="1"/>
  <c r="E45" i="15" s="1"/>
  <c r="E46" i="15" s="1"/>
  <c r="E47" i="15" s="1"/>
  <c r="E48" i="15" s="1"/>
  <c r="E49" i="15" s="1"/>
  <c r="F42" i="15"/>
  <c r="F43" i="15" s="1"/>
  <c r="F44" i="15" s="1"/>
  <c r="F45" i="15" s="1"/>
  <c r="F46" i="15" s="1"/>
  <c r="F47" i="15" s="1"/>
  <c r="F48" i="15" s="1"/>
  <c r="F49" i="15" s="1"/>
  <c r="N70" i="15"/>
  <c r="N67" i="15"/>
  <c r="N69" i="15"/>
  <c r="W41" i="15"/>
  <c r="W40" i="15"/>
  <c r="W39" i="15"/>
  <c r="W38" i="15"/>
  <c r="W37" i="15"/>
  <c r="W36" i="15"/>
  <c r="W35" i="15"/>
  <c r="W34" i="15"/>
  <c r="W33" i="15"/>
  <c r="W32" i="15"/>
  <c r="W31" i="15"/>
  <c r="W30" i="15"/>
  <c r="W29" i="15"/>
  <c r="W28" i="15"/>
  <c r="W27" i="15"/>
  <c r="W26" i="15"/>
  <c r="W25" i="15"/>
  <c r="J74" i="15"/>
  <c r="J75" i="15"/>
  <c r="K75" i="15" s="1"/>
  <c r="H68" i="15"/>
  <c r="K58" i="15"/>
  <c r="L58" i="15"/>
  <c r="H69" i="15"/>
  <c r="I69" i="15"/>
  <c r="H59" i="15"/>
  <c r="I59" i="15"/>
  <c r="I58" i="15"/>
  <c r="H58" i="15"/>
  <c r="E64" i="15"/>
  <c r="I64" i="15" s="1"/>
  <c r="D64" i="15"/>
  <c r="H64" i="15" s="1"/>
  <c r="E63" i="15"/>
  <c r="D63" i="15"/>
  <c r="F63" i="15"/>
  <c r="E60" i="15"/>
  <c r="D60" i="15"/>
  <c r="F59" i="15"/>
  <c r="F58" i="15"/>
  <c r="L59" i="15"/>
  <c r="K59" i="15"/>
  <c r="P97" i="6"/>
  <c r="Q98" i="6" s="1"/>
  <c r="R97" i="6"/>
  <c r="S98" i="6" s="1"/>
  <c r="P99" i="6"/>
  <c r="P98" i="6"/>
  <c r="O104" i="6"/>
  <c r="S101" i="6"/>
  <c r="P102" i="6"/>
  <c r="R102" i="6"/>
  <c r="R100" i="6"/>
  <c r="S100" i="6" s="1"/>
  <c r="R101" i="6"/>
  <c r="S102" i="6"/>
  <c r="R103" i="6"/>
  <c r="P101" i="6"/>
  <c r="Q101" i="6" s="1"/>
  <c r="Q102" i="6"/>
  <c r="P103" i="6"/>
  <c r="Q103" i="6" s="1"/>
  <c r="S99" i="6"/>
  <c r="Q100" i="6"/>
  <c r="Q99" i="6"/>
  <c r="N101" i="6"/>
  <c r="N102" i="6"/>
  <c r="N103" i="6"/>
  <c r="O103" i="6" s="1"/>
  <c r="O101" i="6"/>
  <c r="O102" i="6"/>
  <c r="O99" i="6"/>
  <c r="O100" i="6"/>
  <c r="N97" i="6"/>
  <c r="O97" i="6" s="1"/>
  <c r="R98" i="6"/>
  <c r="R99" i="6"/>
  <c r="N98" i="6"/>
  <c r="N99" i="6"/>
  <c r="P100" i="6"/>
  <c r="L69" i="6"/>
  <c r="N100" i="6"/>
  <c r="W47" i="15" l="1"/>
  <c r="W43" i="15"/>
  <c r="W46" i="15"/>
  <c r="W49" i="15"/>
  <c r="W48" i="15"/>
  <c r="W42" i="15"/>
  <c r="W44" i="15"/>
  <c r="W45" i="15"/>
  <c r="D65" i="15"/>
  <c r="E65" i="15"/>
  <c r="F64" i="15"/>
  <c r="M57" i="15"/>
  <c r="I63" i="15"/>
  <c r="H63" i="15"/>
  <c r="F69" i="15"/>
  <c r="E70" i="15"/>
  <c r="I68" i="15"/>
  <c r="M58" i="15"/>
  <c r="M59" i="15"/>
  <c r="K60" i="15"/>
  <c r="L60" i="15"/>
  <c r="Q97" i="6"/>
  <c r="O98" i="6"/>
  <c r="S97" i="6"/>
  <c r="S103" i="6"/>
  <c r="P41" i="14"/>
  <c r="P42" i="14"/>
  <c r="P40" i="14"/>
  <c r="Q42" i="14"/>
  <c r="Q41" i="14"/>
  <c r="Q40" i="14"/>
  <c r="O63" i="15" l="1"/>
  <c r="E23" i="14"/>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AA49" i="15"/>
  <c r="Z49" i="15"/>
  <c r="AD49" i="15" s="1"/>
  <c r="AA48" i="15"/>
  <c r="Z48" i="15"/>
  <c r="AD48" i="15" s="1"/>
  <c r="AA47" i="15"/>
  <c r="Z47" i="15"/>
  <c r="AA46" i="15"/>
  <c r="Z46" i="15"/>
  <c r="L46" i="15"/>
  <c r="K46" i="15"/>
  <c r="J46" i="15"/>
  <c r="I46" i="15"/>
  <c r="AA45" i="15"/>
  <c r="Z45" i="15"/>
  <c r="L45" i="15"/>
  <c r="K45" i="15"/>
  <c r="J45" i="15"/>
  <c r="I45" i="15"/>
  <c r="AA44" i="15"/>
  <c r="Z44" i="15"/>
  <c r="L44" i="15"/>
  <c r="K44" i="15"/>
  <c r="J44" i="15"/>
  <c r="I44" i="15"/>
  <c r="AA43" i="15"/>
  <c r="Z43" i="15"/>
  <c r="L43" i="15"/>
  <c r="K43" i="15"/>
  <c r="J43" i="15"/>
  <c r="I43" i="15"/>
  <c r="AA42" i="15"/>
  <c r="Z42" i="15"/>
  <c r="L42" i="15"/>
  <c r="K42" i="15"/>
  <c r="J42" i="15"/>
  <c r="I42" i="15"/>
  <c r="AA41" i="15"/>
  <c r="Z41" i="15"/>
  <c r="L41" i="15"/>
  <c r="K41" i="15"/>
  <c r="J41" i="15"/>
  <c r="I41" i="15"/>
  <c r="AA40" i="15"/>
  <c r="Z40" i="15"/>
  <c r="L40" i="15"/>
  <c r="K40" i="15"/>
  <c r="J40" i="15"/>
  <c r="I40" i="15"/>
  <c r="AA39" i="15"/>
  <c r="Z39" i="15"/>
  <c r="L39" i="15"/>
  <c r="K39" i="15"/>
  <c r="J39" i="15"/>
  <c r="I39" i="15"/>
  <c r="AA38" i="15"/>
  <c r="Z38" i="15"/>
  <c r="L38" i="15"/>
  <c r="K38" i="15"/>
  <c r="J38" i="15"/>
  <c r="I38" i="15"/>
  <c r="AA37" i="15"/>
  <c r="Z37" i="15"/>
  <c r="L37" i="15"/>
  <c r="K37" i="15"/>
  <c r="J37" i="15"/>
  <c r="I37" i="15"/>
  <c r="AA36" i="15"/>
  <c r="Z36" i="15"/>
  <c r="L36" i="15"/>
  <c r="K36" i="15"/>
  <c r="J36" i="15"/>
  <c r="I36" i="15"/>
  <c r="AA35" i="15"/>
  <c r="Z35" i="15"/>
  <c r="L35" i="15"/>
  <c r="K35" i="15"/>
  <c r="J35" i="15"/>
  <c r="I35" i="15"/>
  <c r="AA34" i="15"/>
  <c r="Z34" i="15"/>
  <c r="L34" i="15"/>
  <c r="K34" i="15"/>
  <c r="J34" i="15"/>
  <c r="I34" i="15"/>
  <c r="AA33" i="15"/>
  <c r="Z33" i="15"/>
  <c r="L33" i="15"/>
  <c r="K33" i="15"/>
  <c r="J33" i="15"/>
  <c r="I33" i="15"/>
  <c r="AA32" i="15"/>
  <c r="Z32" i="15"/>
  <c r="L32" i="15"/>
  <c r="K32" i="15"/>
  <c r="J32" i="15"/>
  <c r="I32" i="15"/>
  <c r="AA31" i="15"/>
  <c r="Z31" i="15"/>
  <c r="L31" i="15"/>
  <c r="K31" i="15"/>
  <c r="J31" i="15"/>
  <c r="I31" i="15"/>
  <c r="AA30" i="15"/>
  <c r="Z30" i="15"/>
  <c r="L30" i="15"/>
  <c r="K30" i="15"/>
  <c r="J30" i="15"/>
  <c r="I30" i="15"/>
  <c r="AA29" i="15"/>
  <c r="Z29" i="15"/>
  <c r="L29" i="15"/>
  <c r="K29" i="15"/>
  <c r="J29" i="15"/>
  <c r="I29" i="15"/>
  <c r="AA28" i="15"/>
  <c r="Z28" i="15"/>
  <c r="L28" i="15"/>
  <c r="K28" i="15"/>
  <c r="J28" i="15"/>
  <c r="I28" i="15"/>
  <c r="AA27" i="15"/>
  <c r="Z27" i="15"/>
  <c r="L27" i="15"/>
  <c r="K27" i="15"/>
  <c r="J27" i="15"/>
  <c r="I27" i="15"/>
  <c r="AA26" i="15"/>
  <c r="Z26" i="15"/>
  <c r="L26" i="15"/>
  <c r="K26" i="15"/>
  <c r="J26" i="15"/>
  <c r="I26" i="15"/>
  <c r="L25" i="15"/>
  <c r="K25" i="15"/>
  <c r="J25" i="15"/>
  <c r="I25" i="15"/>
  <c r="T24" i="15"/>
  <c r="S24" i="15"/>
  <c r="R24" i="15"/>
  <c r="Q24" i="15"/>
  <c r="L24" i="15"/>
  <c r="K24" i="15"/>
  <c r="J24" i="15"/>
  <c r="I24" i="15"/>
  <c r="H24" i="15"/>
  <c r="AA24" i="15" s="1"/>
  <c r="G24" i="15"/>
  <c r="F24" i="15"/>
  <c r="E24" i="15"/>
  <c r="Z24" i="15" s="1"/>
  <c r="E7" i="15"/>
  <c r="V45" i="15" l="1"/>
  <c r="V33" i="15"/>
  <c r="V37" i="15"/>
  <c r="V41" i="15"/>
  <c r="V43" i="15"/>
  <c r="V36" i="15"/>
  <c r="V44" i="15"/>
  <c r="V39" i="15"/>
  <c r="V34" i="15"/>
  <c r="V38" i="15"/>
  <c r="V42" i="15"/>
  <c r="V46" i="15"/>
  <c r="V40" i="15"/>
  <c r="V35" i="15"/>
  <c r="U34" i="15"/>
  <c r="U42" i="15"/>
  <c r="U46" i="15"/>
  <c r="U38" i="15"/>
  <c r="U32" i="15"/>
  <c r="U36" i="15"/>
  <c r="U40" i="15"/>
  <c r="U44" i="15"/>
  <c r="U31" i="15"/>
  <c r="U35" i="15"/>
  <c r="U39" i="15"/>
  <c r="U43" i="15"/>
  <c r="U33" i="15"/>
  <c r="U37" i="15"/>
  <c r="U41" i="15"/>
  <c r="U45" i="15"/>
  <c r="P28" i="15"/>
  <c r="N28" i="15" s="1"/>
  <c r="O26" i="15"/>
  <c r="M26" i="15" s="1"/>
  <c r="O30" i="15"/>
  <c r="M30" i="15" s="1"/>
  <c r="O34" i="15"/>
  <c r="M34" i="15" s="1"/>
  <c r="O38" i="15"/>
  <c r="M38" i="15" s="1"/>
  <c r="O42" i="15"/>
  <c r="M42" i="15" s="1"/>
  <c r="O46" i="15"/>
  <c r="M46" i="15" s="1"/>
  <c r="L63" i="15"/>
  <c r="O64" i="15"/>
  <c r="K63" i="15"/>
  <c r="O31" i="15"/>
  <c r="M31" i="15" s="1"/>
  <c r="O35" i="15"/>
  <c r="M35" i="15" s="1"/>
  <c r="O39" i="15"/>
  <c r="M39" i="15" s="1"/>
  <c r="O43" i="15"/>
  <c r="M43" i="15" s="1"/>
  <c r="U31" i="14"/>
  <c r="O29" i="15"/>
  <c r="O33" i="15"/>
  <c r="O37" i="15"/>
  <c r="O41" i="15"/>
  <c r="O45" i="15"/>
  <c r="O25" i="15"/>
  <c r="O28" i="15"/>
  <c r="O32" i="15"/>
  <c r="O36" i="15"/>
  <c r="O40" i="15"/>
  <c r="O44" i="15"/>
  <c r="P38" i="15"/>
  <c r="N38" i="15" s="1"/>
  <c r="P40" i="15"/>
  <c r="N40" i="15" s="1"/>
  <c r="P35" i="15"/>
  <c r="N35" i="15" s="1"/>
  <c r="P30" i="15"/>
  <c r="N30" i="15" s="1"/>
  <c r="P27" i="15"/>
  <c r="N27" i="15" s="1"/>
  <c r="E19" i="15"/>
  <c r="P42" i="15"/>
  <c r="N42" i="15" s="1"/>
  <c r="P37" i="15"/>
  <c r="N37" i="15" s="1"/>
  <c r="P44" i="15"/>
  <c r="N44" i="15" s="1"/>
  <c r="P32" i="15"/>
  <c r="N32" i="15" s="1"/>
  <c r="P29" i="15"/>
  <c r="N29" i="15" s="1"/>
  <c r="P46" i="15"/>
  <c r="N46" i="15" s="1"/>
  <c r="P39" i="15"/>
  <c r="N39" i="15" s="1"/>
  <c r="P41" i="15"/>
  <c r="N41" i="15" s="1"/>
  <c r="P34" i="15"/>
  <c r="N34" i="15" s="1"/>
  <c r="P31" i="15"/>
  <c r="N31" i="15" s="1"/>
  <c r="P26" i="15"/>
  <c r="N26" i="15" s="1"/>
  <c r="P43" i="15"/>
  <c r="N43" i="15" s="1"/>
  <c r="P36" i="15"/>
  <c r="N36" i="15" s="1"/>
  <c r="P33" i="15"/>
  <c r="N33" i="15" s="1"/>
  <c r="P45" i="15"/>
  <c r="N45" i="15" s="1"/>
  <c r="O27" i="15"/>
  <c r="T27" i="15" s="1"/>
  <c r="U32" i="14"/>
  <c r="U33" i="14"/>
  <c r="U34" i="14"/>
  <c r="U36" i="14"/>
  <c r="U35" i="14"/>
  <c r="U37" i="14"/>
  <c r="U30" i="14"/>
  <c r="K50" i="15"/>
  <c r="P50" i="15" s="1"/>
  <c r="N50" i="15" s="1"/>
  <c r="J48" i="15"/>
  <c r="K48" i="15"/>
  <c r="I48" i="15"/>
  <c r="L48" i="15"/>
  <c r="I50" i="15"/>
  <c r="J50" i="15"/>
  <c r="O50" i="15" s="1"/>
  <c r="M50" i="15" s="1"/>
  <c r="L47" i="15"/>
  <c r="X43" i="15"/>
  <c r="AB43" i="15" s="1"/>
  <c r="J47" i="15"/>
  <c r="I47" i="15"/>
  <c r="K47" i="15"/>
  <c r="E15" i="14"/>
  <c r="N13" i="8"/>
  <c r="U50" i="15" l="1"/>
  <c r="V50" i="15"/>
  <c r="Q50" i="15"/>
  <c r="R50" i="15"/>
  <c r="V48" i="15"/>
  <c r="V47" i="15"/>
  <c r="U47" i="15"/>
  <c r="U48" i="15"/>
  <c r="T28" i="15"/>
  <c r="S26" i="15"/>
  <c r="S27" i="15"/>
  <c r="S28" i="15"/>
  <c r="S29" i="15"/>
  <c r="S38" i="15"/>
  <c r="S30" i="15"/>
  <c r="S46" i="15"/>
  <c r="X42" i="15"/>
  <c r="AB42" i="15" s="1"/>
  <c r="AD42" i="15" s="1"/>
  <c r="S40" i="15"/>
  <c r="S50" i="15"/>
  <c r="S35" i="15"/>
  <c r="S31" i="15"/>
  <c r="S42" i="15"/>
  <c r="S34" i="15"/>
  <c r="S41" i="15"/>
  <c r="T42" i="15"/>
  <c r="S39" i="15"/>
  <c r="S44" i="15"/>
  <c r="X34" i="15"/>
  <c r="AB34" i="15" s="1"/>
  <c r="AD34" i="15" s="1"/>
  <c r="Q26" i="15"/>
  <c r="R26" i="15"/>
  <c r="N63" i="15"/>
  <c r="M62" i="15"/>
  <c r="N62" i="15" s="1"/>
  <c r="P47" i="15"/>
  <c r="N47" i="15" s="1"/>
  <c r="K64" i="15"/>
  <c r="K65" i="15" s="1"/>
  <c r="N65" i="15" s="1"/>
  <c r="L64" i="15"/>
  <c r="M64" i="15"/>
  <c r="S25" i="15"/>
  <c r="T34" i="15"/>
  <c r="P48" i="15"/>
  <c r="N48" i="15" s="1"/>
  <c r="S33" i="15"/>
  <c r="T46" i="15"/>
  <c r="T38" i="15"/>
  <c r="O47" i="15"/>
  <c r="M47" i="15" s="1"/>
  <c r="X38" i="15"/>
  <c r="AB38" i="15" s="1"/>
  <c r="AD38" i="15" s="1"/>
  <c r="S43" i="15"/>
  <c r="S32" i="15"/>
  <c r="M32" i="15"/>
  <c r="T32" i="15"/>
  <c r="R38" i="15"/>
  <c r="Q38" i="15"/>
  <c r="R30" i="15"/>
  <c r="Q30" i="15"/>
  <c r="M28" i="15"/>
  <c r="T26" i="15"/>
  <c r="X27" i="15"/>
  <c r="AB27" i="15" s="1"/>
  <c r="O48" i="15"/>
  <c r="M27" i="15"/>
  <c r="T35" i="15"/>
  <c r="M45" i="15"/>
  <c r="T45" i="15"/>
  <c r="S45" i="15"/>
  <c r="S37" i="15"/>
  <c r="Q35" i="15"/>
  <c r="R35" i="15"/>
  <c r="T43" i="15"/>
  <c r="M41" i="15"/>
  <c r="T41" i="15"/>
  <c r="Q39" i="15"/>
  <c r="R39" i="15"/>
  <c r="M36" i="15"/>
  <c r="T36" i="15"/>
  <c r="T30" i="15"/>
  <c r="R34" i="15"/>
  <c r="Q34" i="15"/>
  <c r="T50" i="15"/>
  <c r="Q43" i="15"/>
  <c r="R43" i="15"/>
  <c r="T37" i="15"/>
  <c r="M37" i="15"/>
  <c r="T39" i="15"/>
  <c r="T44" i="15"/>
  <c r="M44" i="15"/>
  <c r="M25" i="15"/>
  <c r="T25" i="15"/>
  <c r="M33" i="15"/>
  <c r="T33" i="15"/>
  <c r="T31" i="15"/>
  <c r="S36" i="15"/>
  <c r="R42" i="15"/>
  <c r="Q42" i="15"/>
  <c r="T40" i="15"/>
  <c r="M40" i="15"/>
  <c r="R46" i="15"/>
  <c r="Q46" i="15"/>
  <c r="M29" i="15"/>
  <c r="T29" i="15"/>
  <c r="Q31" i="15"/>
  <c r="R31" i="15"/>
  <c r="E42" i="14"/>
  <c r="X30" i="15"/>
  <c r="AB30" i="15" s="1"/>
  <c r="AD30" i="15" s="1"/>
  <c r="X39" i="15"/>
  <c r="AB39" i="15" s="1"/>
  <c r="AD39" i="15" s="1"/>
  <c r="X48" i="15"/>
  <c r="AB48" i="15" s="1"/>
  <c r="AE48" i="15" s="1"/>
  <c r="AF48" i="15" s="1"/>
  <c r="X47" i="15"/>
  <c r="AB47" i="15" s="1"/>
  <c r="AD47" i="15" s="1"/>
  <c r="X28" i="15"/>
  <c r="AB28" i="15" s="1"/>
  <c r="AD28" i="15" s="1"/>
  <c r="X35" i="15"/>
  <c r="AB35" i="15" s="1"/>
  <c r="AE35" i="15" s="1"/>
  <c r="X45" i="15"/>
  <c r="AB45" i="15" s="1"/>
  <c r="AE45" i="15" s="1"/>
  <c r="X31" i="15"/>
  <c r="AB31" i="15" s="1"/>
  <c r="AD31" i="15" s="1"/>
  <c r="X33" i="15"/>
  <c r="AB33" i="15" s="1"/>
  <c r="AE33" i="15" s="1"/>
  <c r="K49" i="15"/>
  <c r="J49" i="15"/>
  <c r="F50" i="15"/>
  <c r="W50" i="15" s="1"/>
  <c r="L49" i="15"/>
  <c r="I49" i="15"/>
  <c r="X40" i="15"/>
  <c r="AB40" i="15" s="1"/>
  <c r="AE31" i="15"/>
  <c r="X32" i="15"/>
  <c r="AB32" i="15" s="1"/>
  <c r="X41" i="15"/>
  <c r="AB41" i="15" s="1"/>
  <c r="X29" i="15"/>
  <c r="AB29" i="15" s="1"/>
  <c r="X36" i="15"/>
  <c r="AB36" i="15" s="1"/>
  <c r="E20" i="15"/>
  <c r="X49" i="15"/>
  <c r="AB49" i="15" s="1"/>
  <c r="AE49" i="15" s="1"/>
  <c r="AF49" i="15" s="1"/>
  <c r="AE43" i="15"/>
  <c r="AD43" i="15"/>
  <c r="X37" i="15"/>
  <c r="AB37" i="15" s="1"/>
  <c r="X44" i="15"/>
  <c r="AB44" i="15" s="1"/>
  <c r="X46" i="15"/>
  <c r="AB46" i="15" s="1"/>
  <c r="M18" i="8"/>
  <c r="M17" i="8"/>
  <c r="J32" i="11"/>
  <c r="H31" i="11"/>
  <c r="G31" i="11"/>
  <c r="F31" i="11"/>
  <c r="E31" i="11"/>
  <c r="J34" i="11"/>
  <c r="J33" i="11"/>
  <c r="I21" i="11"/>
  <c r="G21" i="11"/>
  <c r="AE42" i="15" l="1"/>
  <c r="AF42" i="15" s="1"/>
  <c r="V49" i="15"/>
  <c r="U49" i="15"/>
  <c r="AE39" i="15"/>
  <c r="AF39" i="15" s="1"/>
  <c r="AE27" i="15"/>
  <c r="AD27" i="15"/>
  <c r="AE34" i="15"/>
  <c r="AF34" i="15" s="1"/>
  <c r="S47" i="15"/>
  <c r="AE30" i="15"/>
  <c r="AF30" i="15" s="1"/>
  <c r="T47" i="15"/>
  <c r="AD33" i="15"/>
  <c r="AF33" i="15" s="1"/>
  <c r="L65" i="15"/>
  <c r="AD35" i="15"/>
  <c r="AF35" i="15" s="1"/>
  <c r="N64" i="15"/>
  <c r="AE38" i="15"/>
  <c r="AF38" i="15" s="1"/>
  <c r="R36" i="15"/>
  <c r="Q36" i="15"/>
  <c r="Q27" i="15"/>
  <c r="R27" i="15"/>
  <c r="AF31" i="15"/>
  <c r="Q47" i="15"/>
  <c r="R47" i="15"/>
  <c r="Q45" i="15"/>
  <c r="R45" i="15"/>
  <c r="R28" i="15"/>
  <c r="Q28" i="15"/>
  <c r="Q37" i="15"/>
  <c r="R37" i="15"/>
  <c r="R40" i="15"/>
  <c r="Q40" i="15"/>
  <c r="Q33" i="15"/>
  <c r="R33" i="15"/>
  <c r="Q25" i="15"/>
  <c r="R25" i="15"/>
  <c r="AE47" i="15"/>
  <c r="AF47" i="15" s="1"/>
  <c r="P49" i="15"/>
  <c r="N49" i="15" s="1"/>
  <c r="R44" i="15"/>
  <c r="Q44" i="15"/>
  <c r="R32" i="15"/>
  <c r="Q32" i="15"/>
  <c r="T48" i="15"/>
  <c r="M48" i="15"/>
  <c r="O49" i="15"/>
  <c r="Q29" i="15"/>
  <c r="R29" i="15"/>
  <c r="Q41" i="15"/>
  <c r="R41" i="15"/>
  <c r="S48" i="15"/>
  <c r="AE28" i="15"/>
  <c r="AF28" i="15" s="1"/>
  <c r="AD45" i="15"/>
  <c r="AF45" i="15" s="1"/>
  <c r="AE46" i="15"/>
  <c r="AD46" i="15"/>
  <c r="AD44" i="15"/>
  <c r="AE44" i="15"/>
  <c r="AF43" i="15"/>
  <c r="AE41" i="15"/>
  <c r="AD41" i="15"/>
  <c r="X25" i="15"/>
  <c r="X26" i="15"/>
  <c r="AB26" i="15" s="1"/>
  <c r="AD32" i="15"/>
  <c r="AE32" i="15"/>
  <c r="AD36" i="15"/>
  <c r="AE36" i="15"/>
  <c r="AE37" i="15"/>
  <c r="AD37" i="15"/>
  <c r="AE29" i="15"/>
  <c r="AD29" i="15"/>
  <c r="AD40" i="15"/>
  <c r="AE40" i="15"/>
  <c r="Q27" i="12"/>
  <c r="H38" i="14"/>
  <c r="G38" i="14"/>
  <c r="F38" i="14"/>
  <c r="E38" i="14"/>
  <c r="U38" i="14" s="1"/>
  <c r="S25" i="12"/>
  <c r="E19" i="12"/>
  <c r="E20" i="12"/>
  <c r="G50" i="12"/>
  <c r="E50" i="12"/>
  <c r="H50" i="12"/>
  <c r="F47" i="12"/>
  <c r="F48" i="12" s="1"/>
  <c r="F49" i="12" s="1"/>
  <c r="F50" i="12" s="1"/>
  <c r="Q50" i="12"/>
  <c r="I50" i="12"/>
  <c r="K50" i="12"/>
  <c r="J50" i="12"/>
  <c r="L50" i="12"/>
  <c r="E53" i="12"/>
  <c r="F53" i="12" s="1"/>
  <c r="J21" i="11"/>
  <c r="D16" i="11"/>
  <c r="E35" i="11"/>
  <c r="D35" i="11"/>
  <c r="H35" i="6"/>
  <c r="E33" i="6"/>
  <c r="G76" i="6"/>
  <c r="F76" i="6"/>
  <c r="E76" i="6"/>
  <c r="H28" i="14"/>
  <c r="L28" i="14" s="1"/>
  <c r="T28" i="14" s="1"/>
  <c r="G28" i="14"/>
  <c r="K28" i="14" s="1"/>
  <c r="S28" i="14" s="1"/>
  <c r="F28" i="14"/>
  <c r="J28" i="14" s="1"/>
  <c r="R28" i="14" s="1"/>
  <c r="E28" i="14"/>
  <c r="I28" i="14" s="1"/>
  <c r="Q28" i="14" s="1"/>
  <c r="AF27" i="15" l="1"/>
  <c r="AF29" i="15"/>
  <c r="AF37" i="15"/>
  <c r="R104" i="6"/>
  <c r="S104" i="6" s="1"/>
  <c r="P104" i="6"/>
  <c r="Q104" i="6" s="1"/>
  <c r="N104" i="6"/>
  <c r="R48" i="15"/>
  <c r="Q48" i="15"/>
  <c r="S49" i="15"/>
  <c r="AF46" i="15"/>
  <c r="M49" i="15"/>
  <c r="T49" i="15"/>
  <c r="S54" i="15"/>
  <c r="W51" i="15"/>
  <c r="W52" i="15" s="1"/>
  <c r="W53" i="15" s="1"/>
  <c r="AF40" i="15"/>
  <c r="AF36" i="15"/>
  <c r="AF41" i="15"/>
  <c r="AF32" i="15"/>
  <c r="AD26" i="15"/>
  <c r="AE26" i="15"/>
  <c r="AF44" i="15"/>
  <c r="S51" i="12"/>
  <c r="Y31" i="14"/>
  <c r="Y30" i="14"/>
  <c r="X30" i="14"/>
  <c r="L30" i="14"/>
  <c r="K30" i="14"/>
  <c r="J30" i="14"/>
  <c r="P30" i="14" s="1"/>
  <c r="N30" i="14" s="1"/>
  <c r="I30" i="14"/>
  <c r="L29" i="14"/>
  <c r="K29" i="14"/>
  <c r="O29" i="14" s="1"/>
  <c r="J29" i="14"/>
  <c r="I29" i="14"/>
  <c r="Y28" i="14"/>
  <c r="X28" i="14"/>
  <c r="E7" i="14"/>
  <c r="E7" i="12"/>
  <c r="D11" i="10"/>
  <c r="I15" i="10"/>
  <c r="D18" i="6"/>
  <c r="S52" i="15" l="1"/>
  <c r="M29" i="14"/>
  <c r="P29" i="14"/>
  <c r="T29" i="14" s="1"/>
  <c r="Q49" i="15"/>
  <c r="R49" i="15"/>
  <c r="D41" i="14"/>
  <c r="AF31" i="14" s="1"/>
  <c r="AF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N29" i="14" l="1"/>
  <c r="S29" i="14" s="1"/>
  <c r="R29" i="14"/>
  <c r="Q29" i="14"/>
  <c r="S53" i="15"/>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N20" i="11" s="1"/>
  <c r="C20" i="11"/>
  <c r="M20" i="11" s="1"/>
  <c r="M26" i="11"/>
  <c r="C31" i="11"/>
  <c r="K28" i="6"/>
  <c r="M30" i="11"/>
  <c r="M29" i="11"/>
  <c r="M28" i="11"/>
  <c r="M27" i="11"/>
  <c r="M25" i="11"/>
  <c r="N24" i="11"/>
  <c r="M24" i="11"/>
  <c r="F24" i="11"/>
  <c r="E24" i="11"/>
  <c r="G24" i="11" s="1"/>
  <c r="N23" i="11"/>
  <c r="M23" i="11"/>
  <c r="F23" i="11"/>
  <c r="E23" i="11"/>
  <c r="N22" i="11"/>
  <c r="M22" i="11"/>
  <c r="F22" i="11"/>
  <c r="E22" i="11"/>
  <c r="G22" i="11" s="1"/>
  <c r="F21" i="11"/>
  <c r="H21" i="11" s="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J23" i="11"/>
  <c r="J22" i="11"/>
  <c r="J29" i="11"/>
  <c r="J25" i="11"/>
  <c r="J28" i="11"/>
  <c r="D17" i="11"/>
  <c r="J27" i="11"/>
  <c r="J26" i="11"/>
  <c r="J24" i="11"/>
  <c r="H24" i="11"/>
  <c r="I24" i="11" s="1"/>
  <c r="G23" i="11"/>
  <c r="H23" i="11"/>
  <c r="I23" i="11" s="1"/>
  <c r="H22" i="11"/>
  <c r="I22" i="11" s="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K23" i="11"/>
  <c r="O23" i="11" s="1"/>
  <c r="R23" i="11" s="1"/>
  <c r="K24" i="11"/>
  <c r="O24" i="11" s="1"/>
  <c r="Q24" i="11" s="1"/>
  <c r="K22" i="11"/>
  <c r="O22" i="11" s="1"/>
  <c r="K21" i="11"/>
  <c r="I31" i="11"/>
  <c r="K25" i="11"/>
  <c r="Q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S23" i="11"/>
  <c r="R22" i="11"/>
  <c r="Q22" i="11"/>
  <c r="R24" i="11"/>
  <c r="S24" i="11" s="1"/>
  <c r="N28" i="11"/>
  <c r="F27" i="11"/>
  <c r="H27" i="11" s="1"/>
  <c r="I27" i="11" s="1"/>
  <c r="N27" i="11"/>
  <c r="E27" i="11"/>
  <c r="G27" i="11" s="1"/>
  <c r="F26" i="11"/>
  <c r="H26" i="11" s="1"/>
  <c r="I26" i="11" s="1"/>
  <c r="E26" i="11"/>
  <c r="G26" i="11" s="1"/>
  <c r="K28" i="11"/>
  <c r="F28" i="11"/>
  <c r="H28" i="11" s="1"/>
  <c r="I28" i="11" s="1"/>
  <c r="E28" i="11"/>
  <c r="G28" i="11" s="1"/>
  <c r="N26" i="11"/>
  <c r="E25" i="11"/>
  <c r="G25" i="11" s="1"/>
  <c r="F25" i="11"/>
  <c r="H25" i="11" s="1"/>
  <c r="I25" i="11" s="1"/>
  <c r="N25" i="11"/>
  <c r="K29" i="11"/>
  <c r="F29" i="11"/>
  <c r="H29" i="11" s="1"/>
  <c r="I29" i="11" s="1"/>
  <c r="N29" i="11"/>
  <c r="E29" i="11"/>
  <c r="G29" i="11" s="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S22" i="11"/>
  <c r="K26" i="11"/>
  <c r="K27" i="11"/>
  <c r="O27" i="11" s="1"/>
  <c r="Q27" i="11" s="1"/>
  <c r="O29" i="11"/>
  <c r="Q29" i="11" s="1"/>
  <c r="O28" i="11"/>
  <c r="Q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R27" i="11"/>
  <c r="S27" i="11" s="1"/>
  <c r="M16" i="8"/>
  <c r="R29" i="11"/>
  <c r="S29" i="11" s="1"/>
  <c r="R28" i="11"/>
  <c r="S28" i="11" s="1"/>
  <c r="O26" i="11"/>
  <c r="O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R25" i="11"/>
  <c r="Q25" i="11"/>
  <c r="R26" i="11"/>
  <c r="Q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S26" i="11"/>
  <c r="S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L71" i="6" l="1"/>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N20" i="7" l="1"/>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V82" i="6"/>
  <c r="H95" i="6"/>
  <c r="X82" i="6"/>
  <c r="I94" i="6"/>
  <c r="I96" i="6" s="1"/>
  <c r="W82" i="6"/>
  <c r="I95" i="6"/>
  <c r="L94" i="6" s="1"/>
  <c r="Y82" i="6"/>
  <c r="L100" i="6"/>
  <c r="H34" i="6"/>
  <c r="L108" i="6"/>
  <c r="I110" i="6"/>
  <c r="J109" i="6"/>
  <c r="J108" i="6"/>
  <c r="J110" i="6"/>
  <c r="H110" i="6"/>
  <c r="I102" i="6"/>
  <c r="J102" i="6"/>
  <c r="J101" i="6"/>
  <c r="J100" i="6"/>
  <c r="H102" i="6"/>
  <c r="T72" i="6"/>
  <c r="M74" i="6"/>
  <c r="H33" i="6"/>
  <c r="L76" i="6"/>
  <c r="L78" i="6" s="1"/>
  <c r="I29" i="6"/>
  <c r="I30" i="6"/>
  <c r="I28" i="6"/>
  <c r="I31" i="6"/>
  <c r="M70" i="6"/>
  <c r="M72" i="6"/>
  <c r="M71" i="6"/>
  <c r="M73" i="6"/>
  <c r="J95" i="6" l="1"/>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Q30" i="11" l="1"/>
  <c r="J31" i="11"/>
  <c r="E30" i="11"/>
  <c r="G30" i="11"/>
  <c r="F30" i="11"/>
  <c r="H30" i="11" s="1"/>
  <c r="I30" i="11" s="1"/>
  <c r="J30" i="11"/>
  <c r="K30" i="11"/>
  <c r="O30" i="11" s="1"/>
  <c r="D31" i="11"/>
  <c r="N30" i="11"/>
  <c r="R30" i="11"/>
  <c r="S30" i="11" s="1"/>
  <c r="L69" i="15" l="1"/>
  <c r="F68" i="15"/>
  <c r="D70" i="15"/>
  <c r="L68" i="15"/>
  <c r="K68" i="15"/>
  <c r="K69" i="15"/>
  <c r="M68" i="15" l="1"/>
  <c r="N68" i="15" s="1"/>
  <c r="M69" i="15"/>
  <c r="K70" i="15"/>
  <c r="M67" i="15"/>
  <c r="L70" i="15"/>
</calcChain>
</file>

<file path=xl/sharedStrings.xml><?xml version="1.0" encoding="utf-8"?>
<sst xmlns="http://schemas.openxmlformats.org/spreadsheetml/2006/main" count="664" uniqueCount="234">
  <si>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</si>
  <si>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</si>
  <si>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</si>
  <si>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</si>
  <si>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</si>
  <si>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</si>
  <si>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</si>
  <si>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</si>
  <si>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</si>
  <si>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</si>
  <si>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</si>
  <si>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</si>
  <si>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</si>
  <si>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</si>
  <si>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</si>
  <si>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</si>
  <si>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</si>
  <si>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</si>
  <si>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</si>
  <si>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</si>
  <si>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</si>
  <si>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</si>
  <si>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</si>
  <si>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</si>
  <si>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</si>
  <si>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</si>
  <si>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</si>
  <si>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</si>
  <si>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</si>
  <si>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</si>
  <si>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</si>
  <si>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</si>
  <si>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</si>
  <si>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</si>
  <si>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</si>
  <si>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</si>
  <si>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</si>
  <si>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</si>
  <si>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</si>
  <si>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</si>
  <si>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</si>
  <si>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</si>
  <si>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</si>
  <si>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</si>
  <si>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</si>
  <si>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</si>
  <si>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</si>
  <si>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</si>
  <si>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</si>
  <si>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</si>
  <si>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</si>
  <si>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</si>
  <si>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</si>
  <si>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</si>
  <si>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</si>
  <si>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</si>
  <si>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</si>
  <si>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</si>
  <si>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</si>
  <si>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</si>
  <si>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</si>
  <si>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</si>
  <si>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</si>
  <si>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</si>
  <si>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</si>
  <si>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</si>
  <si>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</si>
  <si>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</si>
  <si>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</si>
  <si>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</si>
  <si>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</si>
  <si>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</si>
  <si>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</si>
  <si>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</si>
  <si>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</si>
  <si>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</si>
  <si>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</si>
  <si>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</si>
  <si>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</si>
  <si>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</si>
  <si>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</si>
  <si>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</si>
  <si>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</si>
  <si>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</si>
  <si>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</si>
  <si>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</si>
  <si>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</si>
  <si>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</si>
  <si>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</si>
  <si>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</si>
  <si>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</si>
  <si>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</si>
  <si>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</si>
  <si>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</si>
  <si>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</si>
  <si>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</si>
  <si>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</si>
  <si>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</si>
  <si>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</si>
  <si>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</si>
  <si>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</si>
  <si>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</si>
  <si>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</si>
  <si>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</si>
  <si>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</si>
  <si>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</si>
  <si>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</si>
  <si>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</si>
  <si>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</si>
  <si>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</si>
  <si>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</si>
  <si>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</si>
  <si>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</si>
  <si>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</si>
  <si>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</si>
  <si>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</si>
  <si>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Index (Units)</t>
  </si>
  <si>
    <t>What happened to that money?</t>
  </si>
  <si>
    <t>was paid for 0 shares.</t>
  </si>
  <si>
    <t>If probabilities increase toward 100%, this amount is used. A higher b allows this number to increase higher before reaching 100%.</t>
  </si>
  <si>
    <t>Post-Hoc Net Cost - This cost will be lowest when the outcome is more central (ie far from both extremes).</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</si>
  <si>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</si>
  <si>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</si>
  <si>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</si>
  <si>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</si>
  <si>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</si>
  <si>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</si>
  <si>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</si>
  <si>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</si>
  <si>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</si>
  <si>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</si>
  <si>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</si>
  <si>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</si>
  <si>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</si>
  <si>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</si>
  <si>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</si>
  <si>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</si>
  <si>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</si>
  <si>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</si>
  <si>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</si>
  <si>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</si>
  <si>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</si>
  <si>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</si>
  <si>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</si>
  <si>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</si>
  <si>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</si>
  <si>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</si>
  <si>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</si>
  <si>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</si>
  <si>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</si>
  <si>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</si>
  <si>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</si>
  <si>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</si>
  <si>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</si>
  <si>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</si>
  <si>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</si>
  <si>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</si>
  <si>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</si>
  <si>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</si>
  <si>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</si>
  <si>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</si>
  <si>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</si>
  <si>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</si>
  <si>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</si>
  <si>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</si>
  <si>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</si>
  <si>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</si>
  <si>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</si>
  <si>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</si>
  <si>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</si>
  <si>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</si>
  <si>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Re: consensus, must switch to median and remove .5-disincentive (switch disincentive to max)</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</si>
  <si>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</si>
  <si>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</si>
  <si>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</si>
  <si>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</si>
  <si>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</si>
  <si>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</si>
  <si>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</si>
  <si>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</si>
  <si>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</si>
  <si>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</si>
  <si>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</si>
  <si>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</si>
  <si>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</si>
  <si>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</si>
  <si>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</si>
  <si>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</si>
  <si>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</si>
  <si>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</si>
  <si>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</si>
  <si>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</si>
  <si>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</si>
  <si>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</si>
  <si>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</si>
  <si>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</si>
  <si>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</si>
  <si>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</si>
  <si>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</si>
  <si>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"Bitcoin law passed in time T-1?"</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</si>
  <si>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</si>
  <si>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</si>
  <si>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</si>
  <si>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</si>
  <si>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</si>
  <si>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</si>
  <si>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</si>
  <si>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</si>
  <si>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This portfolio will be worth return(d1) reguardless of what happens to d2.</t>
  </si>
  <si>
    <t>i2=1000</t>
  </si>
  <si>
    <t>-i2</t>
  </si>
  <si>
    <t>i1=1</t>
  </si>
  <si>
    <t>-i1</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</si>
  <si>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</si>
  <si>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</si>
  <si>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</si>
  <si>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</si>
  <si>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</si>
  <si>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</si>
  <si>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</si>
  <si>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</si>
  <si>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</si>
  <si>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</si>
  <si>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</si>
  <si>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</si>
  <si>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</si>
  <si>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</si>
  <si>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</si>
  <si>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Decision Value</t>
  </si>
  <si>
    <t>Share Value</t>
  </si>
  <si>
    <t>Index</t>
  </si>
  <si>
    <t>1000|0</t>
  </si>
  <si>
    <t>1000|1</t>
  </si>
  <si>
    <t>goal: prevent law by providing (trustless / decnt) charitable incentive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</si>
</sst>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s>
  <fills count="22">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s>
  <borders count="5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559">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0" fontId="0" fillId="3" borderId="23"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0" fontId="0" fillId="5" borderId="38" xfId="0" applyFill="1" applyBorder="1" applyAlignment="1"/>
    <xf numFmtId="166" fontId="0" fillId="0" borderId="0" xfId="0" applyNumberFormat="1"/>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2" fontId="0" fillId="3" borderId="4" xfId="1" applyNumberFormat="1" applyFont="1" applyFill="1" applyBorder="1" applyAlignment="1"/>
    <xf numFmtId="2" fontId="0" fillId="3" borderId="6" xfId="1" applyNumberFormat="1" applyFont="1" applyFill="1" applyBorder="1" applyAlignment="1"/>
    <xf numFmtId="2" fontId="0" fillId="3" borderId="14" xfId="1" applyNumberFormat="1" applyFont="1" applyFill="1" applyBorder="1" applyAlignment="1"/>
    <xf numFmtId="0" fontId="0" fillId="3" borderId="46" xfId="0" applyFill="1" applyBorder="1" applyAlignment="1">
      <alignment horizontal="center"/>
    </xf>
    <xf numFmtId="166" fontId="0" fillId="5" borderId="3" xfId="1" applyNumberFormat="1" applyFont="1" applyFill="1" applyBorder="1" applyAlignment="1"/>
    <xf numFmtId="166" fontId="0" fillId="3" borderId="4" xfId="1" applyNumberFormat="1" applyFont="1" applyFill="1" applyBorder="1" applyAlignment="1"/>
    <xf numFmtId="166" fontId="0" fillId="5" borderId="5" xfId="1" applyNumberFormat="1" applyFont="1" applyFill="1" applyBorder="1" applyAlignment="1"/>
    <xf numFmtId="166" fontId="0" fillId="3" borderId="6" xfId="1" applyNumberFormat="1" applyFont="1" applyFill="1" applyBorder="1" applyAlignment="1"/>
    <xf numFmtId="166" fontId="0" fillId="5" borderId="13" xfId="1" applyNumberFormat="1" applyFont="1" applyFill="1" applyBorder="1" applyAlignment="1"/>
    <xf numFmtId="166" fontId="0" fillId="3" borderId="14" xfId="1" applyNumberFormat="1" applyFont="1" applyFill="1" applyBorder="1" applyAlignment="1"/>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47" xfId="0" applyFont="1" applyFill="1" applyBorder="1" applyAlignment="1">
      <alignment horizontal="left" vertical="center"/>
    </xf>
    <xf numFmtId="0" fontId="3" fillId="8" borderId="29"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0" fontId="0" fillId="5" borderId="27"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0" fontId="0" fillId="5" borderId="36" xfId="0" applyFill="1" applyBorder="1" applyAlignment="1"/>
    <xf numFmtId="166" fontId="0" fillId="5" borderId="38" xfId="1" applyNumberFormat="1" applyFont="1" applyFill="1" applyBorder="1" applyAlignment="1"/>
    <xf numFmtId="166" fontId="0" fillId="3" borderId="49" xfId="1" applyNumberFormat="1" applyFont="1" applyFill="1" applyBorder="1" applyAlignment="1"/>
    <xf numFmtId="2" fontId="0" fillId="3" borderId="49" xfId="1" applyNumberFormat="1" applyFon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3" fillId="8" borderId="50" xfId="0" applyFont="1" applyFill="1" applyBorder="1" applyAlignment="1">
      <alignment horizontal="left" vertical="center"/>
    </xf>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14"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4"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3"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5" borderId="41" xfId="0" applyFill="1" applyBorder="1" applyAlignment="1">
      <alignment horizontal="center"/>
    </xf>
    <xf numFmtId="2" fontId="0" fillId="15" borderId="39" xfId="1" applyNumberFormat="1" applyFont="1" applyFill="1" applyBorder="1" applyAlignment="1">
      <alignment horizontal="center"/>
    </xf>
    <xf numFmtId="2" fontId="0" fillId="15" borderId="22" xfId="1" applyNumberFormat="1" applyFont="1" applyFill="1" applyBorder="1" applyAlignment="1">
      <alignment horizontal="center"/>
    </xf>
    <xf numFmtId="2" fontId="0" fillId="15" borderId="41" xfId="1" applyNumberFormat="1" applyFont="1" applyFill="1" applyBorder="1" applyAlignment="1">
      <alignment horizontal="center"/>
    </xf>
    <xf numFmtId="2" fontId="0" fillId="15" borderId="19"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xf numFmtId="0" fontId="0" fillId="16" borderId="36" xfId="0" applyFill="1" applyBorder="1" applyAlignment="1">
      <alignment horizontal="center"/>
    </xf>
    <xf numFmtId="2" fontId="0" fillId="16" borderId="27" xfId="1" applyNumberFormat="1" applyFont="1" applyFill="1" applyBorder="1" applyAlignment="1">
      <alignment horizontal="center"/>
    </xf>
    <xf numFmtId="2" fontId="0" fillId="16" borderId="21" xfId="1" applyNumberFormat="1" applyFont="1" applyFill="1" applyBorder="1" applyAlignment="1">
      <alignment horizontal="center"/>
    </xf>
    <xf numFmtId="2" fontId="0" fillId="16" borderId="36" xfId="1" applyNumberFormat="1" applyFont="1" applyFill="1" applyBorder="1" applyAlignment="1">
      <alignment horizontal="center"/>
    </xf>
    <xf numFmtId="2" fontId="0" fillId="16" borderId="18" xfId="1" applyNumberFormat="1" applyFont="1" applyFill="1" applyBorder="1" applyAlignment="1">
      <alignment horizontal="center"/>
    </xf>
    <xf numFmtId="0" fontId="0" fillId="15" borderId="8" xfId="0" applyFill="1" applyBorder="1" applyAlignment="1">
      <alignment horizontal="center"/>
    </xf>
    <xf numFmtId="2" fontId="0" fillId="15" borderId="7" xfId="1" applyNumberFormat="1" applyFont="1" applyFill="1" applyBorder="1" applyAlignment="1">
      <alignment horizontal="center"/>
    </xf>
    <xf numFmtId="2" fontId="0" fillId="15" borderId="0" xfId="1" applyNumberFormat="1" applyFont="1" applyFill="1" applyBorder="1" applyAlignment="1">
      <alignment horizontal="center"/>
    </xf>
    <xf numFmtId="2" fontId="0" fillId="15" borderId="8" xfId="1" applyNumberFormat="1" applyFont="1" applyFill="1" applyBorder="1" applyAlignment="1">
      <alignment horizontal="center"/>
    </xf>
    <xf numFmtId="2" fontId="0" fillId="15" borderId="23" xfId="1" applyNumberFormat="1" applyFont="1" applyFill="1" applyBorder="1" applyAlignment="1">
      <alignment horizontal="center"/>
    </xf>
    <xf numFmtId="0" fontId="0" fillId="0" borderId="55" xfId="0" applyBorder="1"/>
    <xf numFmtId="166" fontId="0" fillId="15" borderId="0" xfId="0" applyNumberFormat="1" applyFill="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5" fillId="19" borderId="0" xfId="0" applyFont="1" applyFill="1" applyBorder="1"/>
    <xf numFmtId="0" fontId="16" fillId="20"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16" fillId="20" borderId="6" xfId="0" applyFont="1" applyFill="1" applyBorder="1" applyAlignment="1">
      <alignment horizontal="center"/>
    </xf>
    <xf numFmtId="168" fontId="16" fillId="20" borderId="22" xfId="0" applyNumberFormat="1" applyFont="1" applyFill="1" applyBorder="1" applyAlignment="1">
      <alignment horizontal="center"/>
    </xf>
    <xf numFmtId="0" fontId="17" fillId="2" borderId="21" xfId="0" applyFont="1" applyFill="1" applyBorder="1" applyAlignment="1">
      <alignment horizontal="center"/>
    </xf>
    <xf numFmtId="0" fontId="17" fillId="7" borderId="6" xfId="0" applyFont="1" applyFill="1" applyBorder="1" applyAlignment="1">
      <alignment horizontal="center"/>
    </xf>
    <xf numFmtId="0" fontId="17" fillId="2" borderId="0" xfId="0" applyFont="1" applyFill="1" applyBorder="1" applyAlignment="1">
      <alignment horizontal="center"/>
    </xf>
    <xf numFmtId="0" fontId="18" fillId="19" borderId="6" xfId="0" applyFont="1" applyFill="1" applyBorder="1" applyAlignment="1">
      <alignment horizontal="center"/>
    </xf>
    <xf numFmtId="0" fontId="17" fillId="7" borderId="22" xfId="0" applyFont="1" applyFill="1" applyBorder="1" applyAlignment="1">
      <alignment horizontal="center"/>
    </xf>
    <xf numFmtId="0" fontId="18" fillId="19" borderId="22" xfId="0" applyFont="1" applyFill="1" applyBorder="1" applyAlignment="1">
      <alignment horizontal="center"/>
    </xf>
    <xf numFmtId="0" fontId="0" fillId="2" borderId="18" xfId="0" applyFill="1" applyBorder="1" applyAlignment="1">
      <alignment horizontal="center"/>
    </xf>
    <xf numFmtId="0" fontId="0" fillId="7" borderId="49" xfId="0" applyFill="1" applyBorder="1" applyAlignment="1">
      <alignment horizontal="center"/>
    </xf>
    <xf numFmtId="0" fontId="0" fillId="2" borderId="23" xfId="0" applyFill="1" applyBorder="1" applyAlignment="1">
      <alignment horizontal="center"/>
    </xf>
    <xf numFmtId="0" fontId="0" fillId="7" borderId="19"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166" fontId="0" fillId="0" borderId="0" xfId="0" applyNumberFormat="1" applyAlignment="1"/>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8" fontId="0" fillId="0" borderId="0" xfId="0" applyNumberFormat="1" applyAlignment="1"/>
    <xf numFmtId="169" fontId="0" fillId="0" borderId="0" xfId="0" applyNumberFormat="1" applyAlignment="1"/>
    <xf numFmtId="172" fontId="0" fillId="0" borderId="0" xfId="0" applyNumberFormat="1" applyAlignment="1"/>
    <xf numFmtId="173" fontId="0" fillId="0" borderId="0" xfId="0" applyNumberFormat="1" applyAlignment="1"/>
    <xf numFmtId="10" fontId="0" fillId="13" borderId="0" xfId="1" applyNumberFormat="1" applyFont="1" applyFill="1" applyBorder="1"/>
    <xf numFmtId="0" fontId="0" fillId="13" borderId="0" xfId="0" applyFill="1" applyAlignment="1"/>
    <xf numFmtId="164" fontId="0" fillId="5" borderId="10" xfId="0" applyNumberFormat="1" applyFill="1" applyBorder="1" applyAlignment="1">
      <alignment horizontal="center"/>
    </xf>
    <xf numFmtId="0" fontId="0" fillId="2" borderId="56"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74" fontId="0" fillId="0" borderId="0" xfId="0" applyNumberFormat="1" applyFill="1" applyBorder="1" applyAlignment="1">
      <alignment horizontal="right"/>
    </xf>
    <xf numFmtId="174" fontId="0" fillId="0" borderId="0" xfId="1" applyNumberFormat="1" applyFont="1" applyFill="1" applyBorder="1" applyAlignment="1">
      <alignment horizontal="right"/>
    </xf>
    <xf numFmtId="10" fontId="0" fillId="21" borderId="10" xfId="1" applyNumberFormat="1" applyFont="1" applyFill="1" applyBorder="1" applyAlignment="1">
      <alignment horizontal="center"/>
    </xf>
    <xf numFmtId="10" fontId="0" fillId="15" borderId="12" xfId="1" applyNumberFormat="1" applyFont="1" applyFill="1" applyBorder="1" applyAlignment="1">
      <alignment horizontal="center"/>
    </xf>
    <xf numFmtId="10" fontId="0" fillId="18" borderId="18" xfId="1" applyNumberFormat="1" applyFont="1" applyFill="1" applyBorder="1" applyAlignment="1">
      <alignment horizontal="center"/>
    </xf>
    <xf numFmtId="10" fontId="0" fillId="17" borderId="19" xfId="1" applyNumberFormat="1" applyFont="1" applyFill="1" applyBorder="1" applyAlignment="1">
      <alignment horizont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2" xfId="0" applyBorder="1" applyAlignment="1">
      <alignment horizontal="center" vertical="center"/>
    </xf>
    <xf numFmtId="0" fontId="0" fillId="0" borderId="40" xfId="0" applyBorder="1" applyAlignment="1">
      <alignment horizontal="center" vertical="center"/>
    </xf>
    <xf numFmtId="0" fontId="0" fillId="0" borderId="51"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0" fontId="0" fillId="14" borderId="41" xfId="0" applyFill="1" applyBorder="1" applyAlignment="1">
      <alignment horizontal="center"/>
    </xf>
    <xf numFmtId="2" fontId="0" fillId="14" borderId="19" xfId="1" applyNumberFormat="1" applyFont="1" applyFill="1" applyBorder="1" applyAlignment="1"/>
    <xf numFmtId="2" fontId="0" fillId="6" borderId="7" xfId="1" applyNumberFormat="1" applyFont="1" applyFill="1" applyBorder="1" applyAlignment="1">
      <alignment horizontal="center"/>
    </xf>
    <xf numFmtId="2" fontId="0" fillId="6" borderId="0" xfId="1" applyNumberFormat="1" applyFont="1" applyFill="1" applyBorder="1" applyAlignment="1">
      <alignment horizontal="center"/>
    </xf>
    <xf numFmtId="2" fontId="0" fillId="6" borderId="8" xfId="1" applyNumberFormat="1" applyFont="1" applyFill="1" applyBorder="1" applyAlignment="1">
      <alignment horizontal="center"/>
    </xf>
    <xf numFmtId="2" fontId="0" fillId="6" borderId="23" xfId="1" applyNumberFormat="1" applyFont="1" applyFill="1" applyBorder="1" applyAlignment="1">
      <alignment horizontal="center"/>
    </xf>
    <xf numFmtId="2" fontId="0" fillId="13" borderId="21" xfId="1" applyNumberFormat="1" applyFont="1" applyFill="1" applyBorder="1" applyAlignment="1"/>
    <xf numFmtId="2" fontId="0" fillId="13" borderId="36" xfId="1" applyNumberFormat="1" applyFont="1" applyFill="1" applyBorder="1" applyAlignment="1"/>
    <xf numFmtId="0" fontId="0" fillId="13" borderId="36" xfId="0" applyFill="1" applyBorder="1" applyAlignment="1">
      <alignment horizontal="center"/>
    </xf>
    <xf numFmtId="2" fontId="0" fillId="13" borderId="57" xfId="1" applyNumberFormat="1" applyFont="1" applyFill="1" applyBorder="1" applyAlignment="1"/>
    <xf numFmtId="2" fontId="0" fillId="14" borderId="58" xfId="1" applyNumberFormat="1" applyFont="1" applyFill="1" applyBorder="1" applyAlignment="1"/>
    <xf numFmtId="0" fontId="0" fillId="13" borderId="18" xfId="1" applyNumberFormat="1" applyFont="1" applyFill="1" applyBorder="1" applyAlignment="1"/>
    <xf numFmtId="2" fontId="0" fillId="0" borderId="4" xfId="0" applyNumberForma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152587264"/>
        <c:axId val="152531712"/>
      </c:lineChart>
      <c:catAx>
        <c:axId val="152587264"/>
        <c:scaling>
          <c:orientation val="minMax"/>
        </c:scaling>
        <c:delete val="0"/>
        <c:axPos val="b"/>
        <c:majorTickMark val="out"/>
        <c:minorTickMark val="none"/>
        <c:tickLblPos val="nextTo"/>
        <c:crossAx val="152531712"/>
        <c:crosses val="autoZero"/>
        <c:auto val="1"/>
        <c:lblAlgn val="ctr"/>
        <c:lblOffset val="100"/>
        <c:noMultiLvlLbl val="0"/>
      </c:catAx>
      <c:valAx>
        <c:axId val="152531712"/>
        <c:scaling>
          <c:orientation val="minMax"/>
          <c:max val="1"/>
        </c:scaling>
        <c:delete val="0"/>
        <c:axPos val="l"/>
        <c:majorGridlines/>
        <c:numFmt formatCode="0.0%" sourceLinked="1"/>
        <c:majorTickMark val="out"/>
        <c:minorTickMark val="none"/>
        <c:tickLblPos val="nextTo"/>
        <c:crossAx val="15258726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62717696"/>
        <c:axId val="162719232"/>
      </c:lineChart>
      <c:catAx>
        <c:axId val="162717696"/>
        <c:scaling>
          <c:orientation val="minMax"/>
        </c:scaling>
        <c:delete val="0"/>
        <c:axPos val="b"/>
        <c:majorTickMark val="out"/>
        <c:minorTickMark val="none"/>
        <c:tickLblPos val="nextTo"/>
        <c:crossAx val="162719232"/>
        <c:crosses val="autoZero"/>
        <c:auto val="1"/>
        <c:lblAlgn val="ctr"/>
        <c:lblOffset val="100"/>
        <c:noMultiLvlLbl val="0"/>
      </c:catAx>
      <c:valAx>
        <c:axId val="162719232"/>
        <c:scaling>
          <c:orientation val="minMax"/>
        </c:scaling>
        <c:delete val="0"/>
        <c:axPos val="l"/>
        <c:majorGridlines/>
        <c:numFmt formatCode="0.0%" sourceLinked="1"/>
        <c:majorTickMark val="out"/>
        <c:minorTickMark val="none"/>
        <c:tickLblPos val="nextTo"/>
        <c:crossAx val="16271769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0.35000000000000003</c:v>
                </c:pt>
                <c:pt idx="3">
                  <c:v>0.26195571500204395</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0.21666666666666667</c:v>
                </c:pt>
                <c:pt idx="3">
                  <c:v>0.2366720583254813</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0.21666666666666667</c:v>
                </c:pt>
                <c:pt idx="3">
                  <c:v>0.26734780810524839</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0.21666666666666667</c:v>
                </c:pt>
                <c:pt idx="3">
                  <c:v>0.2340244185672265</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152784256"/>
        <c:axId val="152790144"/>
      </c:lineChart>
      <c:catAx>
        <c:axId val="152784256"/>
        <c:scaling>
          <c:orientation val="minMax"/>
        </c:scaling>
        <c:delete val="0"/>
        <c:axPos val="b"/>
        <c:majorTickMark val="out"/>
        <c:minorTickMark val="none"/>
        <c:tickLblPos val="nextTo"/>
        <c:crossAx val="152790144"/>
        <c:crosses val="autoZero"/>
        <c:auto val="1"/>
        <c:lblAlgn val="ctr"/>
        <c:lblOffset val="100"/>
        <c:noMultiLvlLbl val="0"/>
      </c:catAx>
      <c:valAx>
        <c:axId val="152790144"/>
        <c:scaling>
          <c:orientation val="minMax"/>
          <c:max val="1"/>
        </c:scaling>
        <c:delete val="0"/>
        <c:axPos val="l"/>
        <c:majorGridlines/>
        <c:numFmt formatCode="0%" sourceLinked="1"/>
        <c:majorTickMark val="out"/>
        <c:minorTickMark val="none"/>
        <c:tickLblPos val="nextTo"/>
        <c:crossAx val="152784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52828928"/>
        <c:axId val="161682176"/>
      </c:lineChart>
      <c:catAx>
        <c:axId val="152828928"/>
        <c:scaling>
          <c:orientation val="minMax"/>
        </c:scaling>
        <c:delete val="0"/>
        <c:axPos val="b"/>
        <c:majorTickMark val="out"/>
        <c:minorTickMark val="none"/>
        <c:tickLblPos val="nextTo"/>
        <c:crossAx val="161682176"/>
        <c:crosses val="autoZero"/>
        <c:auto val="1"/>
        <c:lblAlgn val="ctr"/>
        <c:lblOffset val="100"/>
        <c:noMultiLvlLbl val="0"/>
      </c:catAx>
      <c:valAx>
        <c:axId val="161682176"/>
        <c:scaling>
          <c:orientation val="minMax"/>
        </c:scaling>
        <c:delete val="0"/>
        <c:axPos val="l"/>
        <c:majorGridlines/>
        <c:numFmt formatCode="0.0%" sourceLinked="1"/>
        <c:majorTickMark val="out"/>
        <c:minorTickMark val="none"/>
        <c:tickLblPos val="nextTo"/>
        <c:crossAx val="15282892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61706368"/>
        <c:axId val="161707904"/>
      </c:lineChart>
      <c:catAx>
        <c:axId val="161706368"/>
        <c:scaling>
          <c:orientation val="minMax"/>
        </c:scaling>
        <c:delete val="0"/>
        <c:axPos val="b"/>
        <c:majorTickMark val="out"/>
        <c:minorTickMark val="none"/>
        <c:tickLblPos val="nextTo"/>
        <c:crossAx val="161707904"/>
        <c:crosses val="autoZero"/>
        <c:auto val="1"/>
        <c:lblAlgn val="ctr"/>
        <c:lblOffset val="100"/>
        <c:noMultiLvlLbl val="0"/>
      </c:catAx>
      <c:valAx>
        <c:axId val="161707904"/>
        <c:scaling>
          <c:orientation val="minMax"/>
          <c:max val="1"/>
        </c:scaling>
        <c:delete val="0"/>
        <c:axPos val="l"/>
        <c:majorGridlines/>
        <c:numFmt formatCode="0.0%" sourceLinked="1"/>
        <c:majorTickMark val="out"/>
        <c:minorTickMark val="none"/>
        <c:tickLblPos val="nextTo"/>
        <c:crossAx val="16170636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marker>
            <c:symbol val="none"/>
          </c:marker>
          <c:val>
            <c:numRef>
              <c:f>'Scaled Claims'!$I$21:$I$31</c:f>
              <c:numCache>
                <c:formatCode>0.00</c:formatCode>
                <c:ptCount val="11"/>
                <c:pt idx="0">
                  <c:v>14000</c:v>
                </c:pt>
                <c:pt idx="1">
                  <c:v>8000.5447744244293</c:v>
                </c:pt>
                <c:pt idx="2">
                  <c:v>19999.45522557557</c:v>
                </c:pt>
                <c:pt idx="3">
                  <c:v>14000</c:v>
                </c:pt>
                <c:pt idx="4">
                  <c:v>20000</c:v>
                </c:pt>
                <c:pt idx="5">
                  <c:v>14000</c:v>
                </c:pt>
                <c:pt idx="6">
                  <c:v>8000.000024733843</c:v>
                </c:pt>
                <c:pt idx="7">
                  <c:v>19999.999975266153</c:v>
                </c:pt>
                <c:pt idx="8">
                  <c:v>8000.000024733843</c:v>
                </c:pt>
                <c:pt idx="9">
                  <c:v>8000.000024733843</c:v>
                </c:pt>
                <c:pt idx="10">
                  <c:v>16027.59</c:v>
                </c:pt>
              </c:numCache>
            </c:numRef>
          </c:val>
          <c:smooth val="0"/>
        </c:ser>
        <c:dLbls>
          <c:showLegendKey val="0"/>
          <c:showVal val="0"/>
          <c:showCatName val="0"/>
          <c:showSerName val="0"/>
          <c:showPercent val="0"/>
          <c:showBubbleSize val="0"/>
        </c:dLbls>
        <c:marker val="1"/>
        <c:smooth val="0"/>
        <c:axId val="162175616"/>
        <c:axId val="162193792"/>
      </c:lineChart>
      <c:catAx>
        <c:axId val="162175616"/>
        <c:scaling>
          <c:orientation val="minMax"/>
        </c:scaling>
        <c:delete val="0"/>
        <c:axPos val="b"/>
        <c:majorTickMark val="out"/>
        <c:minorTickMark val="none"/>
        <c:tickLblPos val="nextTo"/>
        <c:crossAx val="162193792"/>
        <c:crosses val="autoZero"/>
        <c:auto val="1"/>
        <c:lblAlgn val="ctr"/>
        <c:lblOffset val="100"/>
        <c:noMultiLvlLbl val="0"/>
      </c:catAx>
      <c:valAx>
        <c:axId val="162193792"/>
        <c:scaling>
          <c:orientation val="minMax"/>
          <c:max val="20000"/>
          <c:min val="8000"/>
        </c:scaling>
        <c:delete val="0"/>
        <c:axPos val="l"/>
        <c:majorGridlines/>
        <c:numFmt formatCode="0.00" sourceLinked="1"/>
        <c:majorTickMark val="out"/>
        <c:minorTickMark val="none"/>
        <c:tickLblPos val="nextTo"/>
        <c:crossAx val="162175616"/>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162513664"/>
        <c:axId val="162515200"/>
      </c:lineChart>
      <c:catAx>
        <c:axId val="162513664"/>
        <c:scaling>
          <c:orientation val="minMax"/>
        </c:scaling>
        <c:delete val="0"/>
        <c:axPos val="b"/>
        <c:majorTickMark val="out"/>
        <c:minorTickMark val="none"/>
        <c:tickLblPos val="nextTo"/>
        <c:crossAx val="162515200"/>
        <c:crosses val="autoZero"/>
        <c:auto val="1"/>
        <c:lblAlgn val="ctr"/>
        <c:lblOffset val="100"/>
        <c:noMultiLvlLbl val="0"/>
      </c:catAx>
      <c:valAx>
        <c:axId val="162515200"/>
        <c:scaling>
          <c:orientation val="minMax"/>
          <c:max val="50"/>
          <c:min val="2"/>
        </c:scaling>
        <c:delete val="0"/>
        <c:axPos val="l"/>
        <c:majorGridlines/>
        <c:numFmt formatCode="0.00" sourceLinked="1"/>
        <c:majorTickMark val="out"/>
        <c:minorTickMark val="none"/>
        <c:tickLblPos val="nextTo"/>
        <c:crossAx val="1625136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62314880"/>
        <c:axId val="162333056"/>
      </c:lineChart>
      <c:catAx>
        <c:axId val="162314880"/>
        <c:scaling>
          <c:orientation val="minMax"/>
        </c:scaling>
        <c:delete val="0"/>
        <c:axPos val="b"/>
        <c:majorTickMark val="out"/>
        <c:minorTickMark val="none"/>
        <c:tickLblPos val="nextTo"/>
        <c:crossAx val="162333056"/>
        <c:crosses val="autoZero"/>
        <c:auto val="1"/>
        <c:lblAlgn val="ctr"/>
        <c:lblOffset val="100"/>
        <c:noMultiLvlLbl val="0"/>
      </c:catAx>
      <c:valAx>
        <c:axId val="162333056"/>
        <c:scaling>
          <c:orientation val="minMax"/>
          <c:max val="50"/>
          <c:min val="2"/>
        </c:scaling>
        <c:delete val="0"/>
        <c:axPos val="l"/>
        <c:majorGridlines/>
        <c:numFmt formatCode="0.00" sourceLinked="1"/>
        <c:majorTickMark val="out"/>
        <c:minorTickMark val="none"/>
        <c:tickLblPos val="nextTo"/>
        <c:crossAx val="162314880"/>
        <c:crosses val="autoZero"/>
        <c:crossBetween val="between"/>
        <c:majorUnit val="8"/>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162365824"/>
        <c:axId val="162367360"/>
      </c:lineChart>
      <c:catAx>
        <c:axId val="162365824"/>
        <c:scaling>
          <c:orientation val="minMax"/>
        </c:scaling>
        <c:delete val="0"/>
        <c:axPos val="b"/>
        <c:majorTickMark val="out"/>
        <c:minorTickMark val="none"/>
        <c:tickLblPos val="nextTo"/>
        <c:crossAx val="162367360"/>
        <c:crosses val="autoZero"/>
        <c:auto val="1"/>
        <c:lblAlgn val="ctr"/>
        <c:lblOffset val="100"/>
        <c:noMultiLvlLbl val="0"/>
      </c:catAx>
      <c:valAx>
        <c:axId val="162367360"/>
        <c:scaling>
          <c:orientation val="minMax"/>
          <c:max val="300"/>
          <c:min val="5"/>
        </c:scaling>
        <c:delete val="0"/>
        <c:axPos val="l"/>
        <c:majorGridlines/>
        <c:numFmt formatCode="0.00" sourceLinked="1"/>
        <c:majorTickMark val="out"/>
        <c:minorTickMark val="none"/>
        <c:tickLblPos val="nextTo"/>
        <c:crossAx val="162365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Donations</a:t>
            </a:r>
          </a:p>
        </c:rich>
      </c:tx>
      <c:layout/>
      <c:overlay val="0"/>
    </c:title>
    <c:autoTitleDeleted val="0"/>
    <c:plotArea>
      <c:layout/>
      <c:lineChart>
        <c:grouping val="standard"/>
        <c:varyColors val="0"/>
        <c:ser>
          <c:idx val="0"/>
          <c:order val="0"/>
          <c:tx>
            <c:strRef>
              <c:f>'Conditional Charity'!$U$24</c:f>
              <c:strCache>
                <c:ptCount val="1"/>
                <c:pt idx="0">
                  <c:v>1000|0</c:v>
                </c:pt>
              </c:strCache>
            </c:strRef>
          </c:tx>
          <c:marker>
            <c:symbol val="none"/>
          </c:marker>
          <c:val>
            <c:numRef>
              <c:f>'Conditional Charity'!$U$25:$U$50</c:f>
              <c:numCache>
                <c:formatCode>0.00</c:formatCode>
                <c:ptCount val="26"/>
                <c:pt idx="0">
                  <c:v>500</c:v>
                </c:pt>
                <c:pt idx="1">
                  <c:v>500</c:v>
                </c:pt>
                <c:pt idx="2">
                  <c:v>500</c:v>
                </c:pt>
                <c:pt idx="3">
                  <c:v>731.05857863000494</c:v>
                </c:pt>
                <c:pt idx="4">
                  <c:v>622.45933120185464</c:v>
                </c:pt>
                <c:pt idx="5">
                  <c:v>952.57412682243319</c:v>
                </c:pt>
                <c:pt idx="6">
                  <c:v>952.5741268224333</c:v>
                </c:pt>
                <c:pt idx="7">
                  <c:v>952.5741268224333</c:v>
                </c:pt>
                <c:pt idx="8">
                  <c:v>622.45933120185464</c:v>
                </c:pt>
                <c:pt idx="9">
                  <c:v>952.57412682243319</c:v>
                </c:pt>
                <c:pt idx="10">
                  <c:v>982.01379003790851</c:v>
                </c:pt>
                <c:pt idx="11">
                  <c:v>989.01305736940685</c:v>
                </c:pt>
                <c:pt idx="12">
                  <c:v>982.01379003790851</c:v>
                </c:pt>
                <c:pt idx="13">
                  <c:v>993.30714907571519</c:v>
                </c:pt>
                <c:pt idx="14">
                  <c:v>998.49881774326298</c:v>
                </c:pt>
                <c:pt idx="15">
                  <c:v>999.87660542401375</c:v>
                </c:pt>
                <c:pt idx="16">
                  <c:v>999.9832985781519</c:v>
                </c:pt>
                <c:pt idx="17">
                  <c:v>999.98987000901923</c:v>
                </c:pt>
                <c:pt idx="18">
                  <c:v>999.99385582539776</c:v>
                </c:pt>
                <c:pt idx="19">
                  <c:v>999.9962733607158</c:v>
                </c:pt>
                <c:pt idx="20">
                  <c:v>999.99773967570206</c:v>
                </c:pt>
                <c:pt idx="21">
                  <c:v>999.99773967570206</c:v>
                </c:pt>
                <c:pt idx="22">
                  <c:v>999.99773967570206</c:v>
                </c:pt>
                <c:pt idx="23">
                  <c:v>999.99773967570206</c:v>
                </c:pt>
                <c:pt idx="24">
                  <c:v>999.99773967570206</c:v>
                </c:pt>
                <c:pt idx="25" formatCode="General">
                  <c:v>750</c:v>
                </c:pt>
              </c:numCache>
            </c:numRef>
          </c:val>
          <c:smooth val="0"/>
        </c:ser>
        <c:ser>
          <c:idx val="1"/>
          <c:order val="1"/>
          <c:tx>
            <c:strRef>
              <c:f>'Conditional Charity'!$V$24</c:f>
              <c:strCache>
                <c:ptCount val="1"/>
                <c:pt idx="0">
                  <c:v>1000|1</c:v>
                </c:pt>
              </c:strCache>
            </c:strRef>
          </c:tx>
          <c:marker>
            <c:symbol val="none"/>
          </c:marker>
          <c:val>
            <c:numRef>
              <c:f>'Conditional Charity'!$V$25:$V$50</c:f>
              <c:numCache>
                <c:formatCode>0.00</c:formatCode>
                <c:ptCount val="26"/>
                <c:pt idx="0">
                  <c:v>500</c:v>
                </c:pt>
                <c:pt idx="1">
                  <c:v>500</c:v>
                </c:pt>
                <c:pt idx="2">
                  <c:v>500</c:v>
                </c:pt>
                <c:pt idx="3">
                  <c:v>817.5744761936437</c:v>
                </c:pt>
                <c:pt idx="4">
                  <c:v>731.05857863000494</c:v>
                </c:pt>
                <c:pt idx="5">
                  <c:v>731.05857863000494</c:v>
                </c:pt>
                <c:pt idx="6">
                  <c:v>924.14181997875642</c:v>
                </c:pt>
                <c:pt idx="7">
                  <c:v>924.14181997875642</c:v>
                </c:pt>
                <c:pt idx="8">
                  <c:v>731.05857863000494</c:v>
                </c:pt>
                <c:pt idx="9">
                  <c:v>731.05857863000494</c:v>
                </c:pt>
                <c:pt idx="10">
                  <c:v>924.14181997875642</c:v>
                </c:pt>
                <c:pt idx="11">
                  <c:v>924.14181997875642</c:v>
                </c:pt>
                <c:pt idx="12">
                  <c:v>731.05857863000494</c:v>
                </c:pt>
                <c:pt idx="13">
                  <c:v>880.79707797788251</c:v>
                </c:pt>
                <c:pt idx="14">
                  <c:v>924.14181997875642</c:v>
                </c:pt>
                <c:pt idx="15">
                  <c:v>377.54066879814542</c:v>
                </c:pt>
                <c:pt idx="16">
                  <c:v>731.05857863000483</c:v>
                </c:pt>
                <c:pt idx="17">
                  <c:v>731.05857863000494</c:v>
                </c:pt>
                <c:pt idx="18">
                  <c:v>731.05857863000494</c:v>
                </c:pt>
                <c:pt idx="19">
                  <c:v>731.05857863000494</c:v>
                </c:pt>
                <c:pt idx="20">
                  <c:v>731.05857863000494</c:v>
                </c:pt>
                <c:pt idx="21">
                  <c:v>731.05857863000494</c:v>
                </c:pt>
                <c:pt idx="22">
                  <c:v>731.05857863000494</c:v>
                </c:pt>
                <c:pt idx="23">
                  <c:v>731.05857863000494</c:v>
                </c:pt>
                <c:pt idx="24">
                  <c:v>731.05857863000494</c:v>
                </c:pt>
                <c:pt idx="25">
                  <c:v>0</c:v>
                </c:pt>
              </c:numCache>
            </c:numRef>
          </c:val>
          <c:smooth val="0"/>
        </c:ser>
        <c:dLbls>
          <c:showLegendKey val="0"/>
          <c:showVal val="0"/>
          <c:showCatName val="0"/>
          <c:showSerName val="0"/>
          <c:showPercent val="0"/>
          <c:showBubbleSize val="0"/>
        </c:dLbls>
        <c:marker val="1"/>
        <c:smooth val="0"/>
        <c:axId val="162614272"/>
        <c:axId val="162632448"/>
      </c:lineChart>
      <c:catAx>
        <c:axId val="162614272"/>
        <c:scaling>
          <c:orientation val="minMax"/>
        </c:scaling>
        <c:delete val="0"/>
        <c:axPos val="b"/>
        <c:majorTickMark val="out"/>
        <c:minorTickMark val="none"/>
        <c:tickLblPos val="nextTo"/>
        <c:crossAx val="162632448"/>
        <c:crosses val="autoZero"/>
        <c:auto val="1"/>
        <c:lblAlgn val="ctr"/>
        <c:lblOffset val="100"/>
        <c:noMultiLvlLbl val="0"/>
      </c:catAx>
      <c:valAx>
        <c:axId val="162632448"/>
        <c:scaling>
          <c:orientation val="minMax"/>
          <c:max val="1000"/>
          <c:min val="0"/>
        </c:scaling>
        <c:delete val="0"/>
        <c:axPos val="l"/>
        <c:majorGridlines/>
        <c:numFmt formatCode="0.00" sourceLinked="1"/>
        <c:majorTickMark val="out"/>
        <c:minorTickMark val="none"/>
        <c:tickLblPos val="nextTo"/>
        <c:crossAx val="162614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403411</xdr:colOff>
      <xdr:row>17</xdr:row>
      <xdr:rowOff>42600</xdr:rowOff>
    </xdr:from>
    <xdr:to>
      <xdr:col>38</xdr:col>
      <xdr:colOff>67235</xdr:colOff>
      <xdr:row>32</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231536</xdr:colOff>
      <xdr:row>1</xdr:row>
      <xdr:rowOff>328908</xdr:rowOff>
    </xdr:from>
    <xdr:to>
      <xdr:col>22</xdr:col>
      <xdr:colOff>295276</xdr:colOff>
      <xdr:row>19</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zoomScale="85" zoomScaleNormal="85" workbookViewId="0">
      <selection activeCell="J7" sqref="J7"/>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74" t="s">
        <v>136</v>
      </c>
      <c r="G2" s="17"/>
      <c r="H2" s="17"/>
      <c r="I2" s="17"/>
      <c r="W2" s="33"/>
    </row>
    <row r="3" spans="1:34" x14ac:dyDescent="0.25">
      <c r="A3" s="7"/>
      <c r="B3" s="7"/>
      <c r="C3" s="7"/>
      <c r="D3" s="7"/>
      <c r="E3" s="17"/>
      <c r="F3" s="272"/>
      <c r="G3" s="194"/>
      <c r="H3" s="17"/>
      <c r="I3" s="17"/>
      <c r="J3"/>
      <c r="N3" t="s">
        <v>138</v>
      </c>
      <c r="W3" s="33"/>
    </row>
    <row r="4" spans="1:34" x14ac:dyDescent="0.25">
      <c r="A4" s="7"/>
      <c r="B4" s="496" t="s">
        <v>172</v>
      </c>
      <c r="C4" s="155" t="s">
        <v>4</v>
      </c>
      <c r="D4" s="299" t="s">
        <v>152</v>
      </c>
      <c r="E4" s="155"/>
      <c r="F4" s="299"/>
      <c r="G4" s="306"/>
      <c r="H4" s="294"/>
      <c r="I4" s="194"/>
      <c r="J4"/>
      <c r="U4" s="33"/>
      <c r="V4" s="33"/>
      <c r="W4" s="33"/>
    </row>
    <row r="5" spans="1:34" x14ac:dyDescent="0.25">
      <c r="A5" s="7"/>
      <c r="B5" s="497"/>
      <c r="C5" s="17" t="s">
        <v>141</v>
      </c>
      <c r="D5" s="17" t="s">
        <v>3</v>
      </c>
      <c r="E5" s="7"/>
      <c r="F5" s="17"/>
      <c r="G5" s="194"/>
      <c r="H5" s="272"/>
      <c r="I5" s="194"/>
      <c r="J5"/>
      <c r="U5" s="33"/>
      <c r="V5" s="33"/>
      <c r="W5" s="33"/>
    </row>
    <row r="6" spans="1:34" x14ac:dyDescent="0.25">
      <c r="A6" s="7"/>
      <c r="B6" s="498"/>
      <c r="C6" s="292" t="s">
        <v>142</v>
      </c>
      <c r="D6" s="292" t="s">
        <v>2</v>
      </c>
      <c r="E6" s="280"/>
      <c r="F6" s="292"/>
      <c r="G6" s="307"/>
      <c r="H6" s="295"/>
      <c r="I6" s="194"/>
      <c r="J6"/>
      <c r="U6" s="33"/>
      <c r="V6" s="33"/>
      <c r="W6" s="33"/>
    </row>
    <row r="7" spans="1:34" ht="15.75" thickBot="1" x14ac:dyDescent="0.3">
      <c r="A7" s="7"/>
      <c r="B7" s="305"/>
      <c r="C7" s="17"/>
      <c r="D7" s="17"/>
      <c r="E7" s="7"/>
      <c r="F7" s="272"/>
      <c r="G7" s="194"/>
      <c r="H7" s="17"/>
      <c r="I7" s="194"/>
      <c r="J7"/>
      <c r="U7" s="33"/>
      <c r="V7" s="33"/>
      <c r="W7" s="33"/>
    </row>
    <row r="8" spans="1:34" x14ac:dyDescent="0.25">
      <c r="A8" s="7"/>
      <c r="B8" s="499" t="s">
        <v>160</v>
      </c>
      <c r="C8" s="308" t="s">
        <v>173</v>
      </c>
      <c r="D8" s="311" t="s">
        <v>174</v>
      </c>
      <c r="E8" s="286" t="s">
        <v>175</v>
      </c>
      <c r="F8" s="286"/>
      <c r="G8" s="183"/>
      <c r="H8" s="17"/>
      <c r="I8" s="194"/>
      <c r="J8"/>
      <c r="U8" s="33"/>
      <c r="V8" s="33"/>
      <c r="W8" s="33"/>
    </row>
    <row r="9" spans="1:34" x14ac:dyDescent="0.25">
      <c r="A9" s="7"/>
      <c r="B9" s="500"/>
      <c r="C9" s="17" t="s">
        <v>146</v>
      </c>
      <c r="D9" s="289">
        <v>2</v>
      </c>
      <c r="E9" s="17" t="s">
        <v>147</v>
      </c>
      <c r="F9" s="7"/>
      <c r="G9" s="312"/>
      <c r="H9" s="17"/>
      <c r="I9" s="194"/>
      <c r="J9"/>
      <c r="U9" s="33"/>
      <c r="V9" s="33"/>
      <c r="W9" s="33"/>
      <c r="AF9" s="7"/>
      <c r="AG9" s="7"/>
      <c r="AH9" s="7"/>
    </row>
    <row r="10" spans="1:34" x14ac:dyDescent="0.25">
      <c r="A10" s="7"/>
      <c r="B10" s="500"/>
      <c r="C10" s="17" t="s">
        <v>5</v>
      </c>
      <c r="D10" s="18">
        <v>7</v>
      </c>
      <c r="E10" s="17" t="s">
        <v>150</v>
      </c>
      <c r="F10" s="7"/>
      <c r="G10" s="312"/>
      <c r="H10" s="17"/>
      <c r="I10" s="194"/>
      <c r="J10"/>
      <c r="U10" s="33"/>
      <c r="V10" s="33"/>
      <c r="W10" s="33"/>
      <c r="AF10" s="7"/>
      <c r="AG10" s="7"/>
      <c r="AH10" s="7"/>
    </row>
    <row r="11" spans="1:34" ht="15.75" thickBot="1" x14ac:dyDescent="0.3">
      <c r="A11" s="7"/>
      <c r="B11" s="501"/>
      <c r="C11" s="171" t="s">
        <v>148</v>
      </c>
      <c r="D11" s="310">
        <f>D10*LN(D9)</f>
        <v>4.8520302639196169</v>
      </c>
      <c r="E11" s="171" t="s">
        <v>149</v>
      </c>
      <c r="F11" s="171"/>
      <c r="G11" s="184"/>
      <c r="H11" s="17"/>
      <c r="I11" s="194"/>
      <c r="J11"/>
      <c r="U11" s="33"/>
      <c r="V11" s="33"/>
      <c r="W11" s="33"/>
      <c r="AF11" s="7"/>
      <c r="AG11" s="7"/>
      <c r="AH11" s="7"/>
    </row>
    <row r="12" spans="1:34" s="7" customFormat="1" ht="15.75" thickBot="1" x14ac:dyDescent="0.3">
      <c r="C12"/>
      <c r="D12"/>
      <c r="E12" s="33"/>
      <c r="F12" s="272"/>
      <c r="G12" s="33"/>
      <c r="H12" s="33"/>
      <c r="I12" s="33"/>
      <c r="J12" s="33"/>
      <c r="K12"/>
      <c r="L12"/>
      <c r="M12"/>
      <c r="N12"/>
      <c r="O12"/>
      <c r="P12"/>
      <c r="Q12"/>
      <c r="R12"/>
      <c r="S12"/>
      <c r="T12" s="8"/>
    </row>
    <row r="13" spans="1:34" s="7" customFormat="1" ht="24.75" customHeight="1" thickBot="1" x14ac:dyDescent="0.35">
      <c r="D13"/>
      <c r="E13" s="220" t="s">
        <v>12</v>
      </c>
      <c r="F13" s="224"/>
      <c r="G13" s="334" t="s">
        <v>13</v>
      </c>
      <c r="H13" s="63"/>
      <c r="I13" s="64" t="s">
        <v>127</v>
      </c>
      <c r="J13" s="273" t="s">
        <v>131</v>
      </c>
      <c r="K13" s="20"/>
      <c r="L13" s="502" t="s">
        <v>99</v>
      </c>
      <c r="M13" s="503"/>
      <c r="N13" s="188" t="s">
        <v>100</v>
      </c>
      <c r="P13" s="7" t="s">
        <v>101</v>
      </c>
      <c r="Q13" s="20"/>
      <c r="R13" s="189" t="s">
        <v>101</v>
      </c>
      <c r="S13" s="20"/>
    </row>
    <row r="14" spans="1:34" s="7" customFormat="1" ht="16.5" thickTop="1" thickBot="1" x14ac:dyDescent="0.3">
      <c r="C14" s="32"/>
      <c r="D14" s="118" t="s">
        <v>45</v>
      </c>
      <c r="E14" s="282" t="s">
        <v>141</v>
      </c>
      <c r="F14" s="283" t="s">
        <v>142</v>
      </c>
      <c r="G14" s="179" t="s">
        <v>141</v>
      </c>
      <c r="H14" s="178" t="s">
        <v>142</v>
      </c>
      <c r="I14" s="331">
        <v>0</v>
      </c>
      <c r="J14" s="43"/>
      <c r="L14" s="185" t="str">
        <f>E14</f>
        <v>a=0</v>
      </c>
      <c r="M14" s="186" t="str">
        <f>F14</f>
        <v>a=1</v>
      </c>
      <c r="R14"/>
    </row>
    <row r="15" spans="1:34" s="7" customFormat="1" ht="18" customHeight="1" thickTop="1" x14ac:dyDescent="0.25">
      <c r="D15" s="25">
        <v>1</v>
      </c>
      <c r="E15" s="229">
        <v>0</v>
      </c>
      <c r="F15" s="329">
        <v>0</v>
      </c>
      <c r="G15" s="328">
        <f t="shared" ref="G15:G30" si="0">EXP(E15/$D$10)/(EXP($F15/$D$10)+EXP($E15/$D$10))</f>
        <v>0.5</v>
      </c>
      <c r="H15" s="80">
        <f t="shared" ref="H15:H30" si="1">EXP(F15/$D$10)/(EXP($F15/$D$10)+EXP($E15/$D$10))</f>
        <v>0.5</v>
      </c>
      <c r="I15" s="344">
        <f t="shared" ref="I15:I31" si="2">$D$10*LN(EXP($F15/$D$10)+EXP($E15/$D$10))</f>
        <v>4.8520302639196169</v>
      </c>
      <c r="J15" s="348">
        <f>(I15-I14)</f>
        <v>4.8520302639196169</v>
      </c>
      <c r="L15" s="117"/>
      <c r="M15" s="103"/>
      <c r="R15"/>
      <c r="X15" s="192"/>
    </row>
    <row r="16" spans="1:34" s="7" customFormat="1" ht="18.75" x14ac:dyDescent="0.3">
      <c r="D16" s="25">
        <v>2</v>
      </c>
      <c r="E16" s="229">
        <v>1</v>
      </c>
      <c r="F16" s="329">
        <v>0</v>
      </c>
      <c r="G16" s="328">
        <f t="shared" si="0"/>
        <v>0.53565367083397153</v>
      </c>
      <c r="H16" s="80">
        <f t="shared" si="1"/>
        <v>0.46434632916602836</v>
      </c>
      <c r="I16" s="344">
        <f t="shared" si="2"/>
        <v>5.3698722427589098</v>
      </c>
      <c r="J16" s="349">
        <f>(I16-I15)</f>
        <v>0.51784197883929295</v>
      </c>
      <c r="L16" s="117">
        <f>E16-E15</f>
        <v>1</v>
      </c>
      <c r="M16" s="103">
        <f>F16-F15</f>
        <v>0</v>
      </c>
      <c r="N16" s="187">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90" t="str">
        <f>P16&amp;Q16</f>
        <v>Bought 1 Shares of State 1 at a cost of 0.51784</v>
      </c>
    </row>
    <row r="17" spans="4:19" s="7" customFormat="1" ht="18.75" x14ac:dyDescent="0.3">
      <c r="D17" s="25">
        <v>3</v>
      </c>
      <c r="E17" s="229">
        <v>1</v>
      </c>
      <c r="F17" s="329">
        <v>6</v>
      </c>
      <c r="G17" s="328">
        <f t="shared" si="0"/>
        <v>0.32865254651727005</v>
      </c>
      <c r="H17" s="80">
        <f t="shared" si="1"/>
        <v>0.67134745348273006</v>
      </c>
      <c r="I17" s="344">
        <f t="shared" si="2"/>
        <v>8.7892792311985044</v>
      </c>
      <c r="J17" s="349">
        <f t="shared" ref="J17:J29" si="5">(I17-I16)</f>
        <v>3.4194069884395946</v>
      </c>
      <c r="L17" s="117">
        <f t="shared" ref="L17:L30" si="6">E17-E16</f>
        <v>0</v>
      </c>
      <c r="M17" s="103">
        <f t="shared" ref="M17:M30" si="7">F17-F16</f>
        <v>6</v>
      </c>
      <c r="N17" s="187">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90" t="str">
        <f t="shared" ref="R17:R30" si="9">P17&amp;Q17</f>
        <v>Bought 6 Shares of State 2 at a cost of 3.41941</v>
      </c>
    </row>
    <row r="18" spans="4:19" s="7" customFormat="1" ht="18.75" x14ac:dyDescent="0.3">
      <c r="D18" s="25">
        <v>4</v>
      </c>
      <c r="E18" s="229">
        <v>18</v>
      </c>
      <c r="F18" s="329">
        <v>6</v>
      </c>
      <c r="G18" s="328">
        <f t="shared" si="0"/>
        <v>0.84739133515736897</v>
      </c>
      <c r="H18" s="80">
        <f t="shared" si="1"/>
        <v>0.152608664842631</v>
      </c>
      <c r="I18" s="344">
        <f t="shared" si="2"/>
        <v>19.159148662361027</v>
      </c>
      <c r="J18" s="349">
        <f t="shared" ref="J18:J27" si="10">(I18-I17)</f>
        <v>10.369869431162522</v>
      </c>
      <c r="L18" s="117">
        <f t="shared" si="6"/>
        <v>17</v>
      </c>
      <c r="M18" s="103">
        <f t="shared" si="7"/>
        <v>0</v>
      </c>
      <c r="N18" s="187">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90" t="str">
        <f t="shared" si="9"/>
        <v>Bought 17 Shares of State 1 at a cost of 10.36987</v>
      </c>
    </row>
    <row r="19" spans="4:19" s="7" customFormat="1" ht="18.75" x14ac:dyDescent="0.3">
      <c r="D19" s="25">
        <v>5</v>
      </c>
      <c r="E19" s="229">
        <v>18</v>
      </c>
      <c r="F19" s="329">
        <v>18</v>
      </c>
      <c r="G19" s="328">
        <f t="shared" si="0"/>
        <v>0.5</v>
      </c>
      <c r="H19" s="80">
        <f t="shared" si="1"/>
        <v>0.5</v>
      </c>
      <c r="I19" s="344">
        <f t="shared" si="2"/>
        <v>22.85203026391962</v>
      </c>
      <c r="J19" s="349">
        <f t="shared" si="10"/>
        <v>3.692881601558593</v>
      </c>
      <c r="L19" s="117">
        <f t="shared" si="6"/>
        <v>0</v>
      </c>
      <c r="M19" s="103">
        <f t="shared" si="7"/>
        <v>12</v>
      </c>
      <c r="N19" s="187">
        <f t="shared" si="3"/>
        <v>3.692881601558593</v>
      </c>
      <c r="P19" s="7" t="str">
        <f t="shared" si="8"/>
        <v/>
      </c>
      <c r="Q19" s="7" t="str">
        <f t="shared" si="11"/>
        <v>Bought 12 Shares of State 2 at a cost of 3.69288</v>
      </c>
      <c r="R19" s="190" t="str">
        <f t="shared" si="9"/>
        <v>Bought 12 Shares of State 2 at a cost of 3.69288</v>
      </c>
    </row>
    <row r="20" spans="4:19" s="7" customFormat="1" ht="18.75" x14ac:dyDescent="0.3">
      <c r="D20" s="25">
        <v>6</v>
      </c>
      <c r="E20" s="229">
        <v>32</v>
      </c>
      <c r="F20" s="329">
        <v>18</v>
      </c>
      <c r="G20" s="328">
        <f t="shared" si="0"/>
        <v>0.88079707797788231</v>
      </c>
      <c r="H20" s="80">
        <f t="shared" si="1"/>
        <v>0.11920292202211759</v>
      </c>
      <c r="I20" s="344">
        <f t="shared" si="2"/>
        <v>32.8884960773008</v>
      </c>
      <c r="J20" s="349">
        <f t="shared" si="10"/>
        <v>10.036465813381181</v>
      </c>
      <c r="L20" s="117">
        <f t="shared" si="6"/>
        <v>14</v>
      </c>
      <c r="M20" s="103">
        <f t="shared" si="7"/>
        <v>0</v>
      </c>
      <c r="N20" s="187">
        <f t="shared" si="3"/>
        <v>10.036465813381181</v>
      </c>
      <c r="P20" s="7" t="str">
        <f t="shared" si="8"/>
        <v>Bought 14 Shares of State 1 at a cost of 10.03647</v>
      </c>
      <c r="Q20" s="7" t="str">
        <f t="shared" si="11"/>
        <v/>
      </c>
      <c r="R20" s="190" t="str">
        <f t="shared" si="9"/>
        <v>Bought 14 Shares of State 1 at a cost of 10.03647</v>
      </c>
    </row>
    <row r="21" spans="4:19" s="7" customFormat="1" ht="18.75" x14ac:dyDescent="0.3">
      <c r="D21" s="25">
        <v>7</v>
      </c>
      <c r="E21" s="229">
        <v>32</v>
      </c>
      <c r="F21" s="329">
        <v>30</v>
      </c>
      <c r="G21" s="328">
        <f t="shared" si="0"/>
        <v>0.57094659688346627</v>
      </c>
      <c r="H21" s="80">
        <f t="shared" si="1"/>
        <v>0.42905340311653373</v>
      </c>
      <c r="I21" s="344">
        <f t="shared" si="2"/>
        <v>35.923217195086352</v>
      </c>
      <c r="J21" s="349">
        <f t="shared" si="10"/>
        <v>3.0347211177855513</v>
      </c>
      <c r="L21" s="117">
        <f t="shared" si="6"/>
        <v>0</v>
      </c>
      <c r="M21" s="103">
        <f t="shared" si="7"/>
        <v>12</v>
      </c>
      <c r="N21" s="187">
        <f t="shared" si="3"/>
        <v>3.0347211177855513</v>
      </c>
      <c r="P21" s="7" t="str">
        <f t="shared" si="8"/>
        <v/>
      </c>
      <c r="Q21" s="7" t="str">
        <f t="shared" si="11"/>
        <v>Bought 12 Shares of State 2 at a cost of 3.03472</v>
      </c>
      <c r="R21" s="190" t="str">
        <f t="shared" si="9"/>
        <v>Bought 12 Shares of State 2 at a cost of 3.03472</v>
      </c>
    </row>
    <row r="22" spans="4:19" s="7" customFormat="1" ht="18.75" x14ac:dyDescent="0.3">
      <c r="D22" s="25">
        <v>8</v>
      </c>
      <c r="E22" s="229">
        <v>39</v>
      </c>
      <c r="F22" s="329">
        <v>30</v>
      </c>
      <c r="G22" s="328">
        <f t="shared" si="0"/>
        <v>0.78342090423182409</v>
      </c>
      <c r="H22" s="80">
        <f t="shared" si="1"/>
        <v>0.21657909576817599</v>
      </c>
      <c r="I22" s="344">
        <f t="shared" si="2"/>
        <v>40.70859621886801</v>
      </c>
      <c r="J22" s="349">
        <f t="shared" si="10"/>
        <v>4.7853790237816582</v>
      </c>
      <c r="L22" s="117">
        <f t="shared" si="6"/>
        <v>7</v>
      </c>
      <c r="M22" s="103">
        <f t="shared" si="7"/>
        <v>0</v>
      </c>
      <c r="N22" s="187">
        <f t="shared" si="3"/>
        <v>4.7853790237816582</v>
      </c>
      <c r="P22" s="7" t="str">
        <f t="shared" si="8"/>
        <v>Bought 7 Shares of State 1 at a cost of 4.78538</v>
      </c>
      <c r="Q22" s="7" t="str">
        <f t="shared" si="11"/>
        <v/>
      </c>
      <c r="R22" s="190" t="str">
        <f t="shared" si="9"/>
        <v>Bought 7 Shares of State 1 at a cost of 4.78538</v>
      </c>
    </row>
    <row r="23" spans="4:19" s="7" customFormat="1" ht="18.75" x14ac:dyDescent="0.3">
      <c r="D23" s="25">
        <v>9</v>
      </c>
      <c r="E23" s="229">
        <v>39</v>
      </c>
      <c r="F23" s="329">
        <v>43</v>
      </c>
      <c r="G23" s="328">
        <f t="shared" si="0"/>
        <v>0.36090725483714864</v>
      </c>
      <c r="H23" s="80">
        <f t="shared" si="1"/>
        <v>0.63909274516285142</v>
      </c>
      <c r="I23" s="344">
        <f t="shared" si="2"/>
        <v>46.133939858256404</v>
      </c>
      <c r="J23" s="349">
        <f t="shared" si="10"/>
        <v>5.4253436393883945</v>
      </c>
      <c r="L23" s="117">
        <f t="shared" si="6"/>
        <v>0</v>
      </c>
      <c r="M23" s="103">
        <f t="shared" si="7"/>
        <v>13</v>
      </c>
      <c r="N23" s="187">
        <f t="shared" si="3"/>
        <v>5.4253436393883945</v>
      </c>
      <c r="P23" s="7" t="str">
        <f t="shared" si="8"/>
        <v/>
      </c>
      <c r="Q23" s="7" t="str">
        <f t="shared" si="11"/>
        <v>Bought 13 Shares of State 2 at a cost of 5.42534</v>
      </c>
      <c r="R23" s="190" t="str">
        <f t="shared" si="9"/>
        <v>Bought 13 Shares of State 2 at a cost of 5.42534</v>
      </c>
    </row>
    <row r="24" spans="4:19" s="7" customFormat="1" ht="18.75" x14ac:dyDescent="0.3">
      <c r="D24" s="25">
        <v>10</v>
      </c>
      <c r="E24" s="229">
        <v>57</v>
      </c>
      <c r="F24" s="329">
        <v>43</v>
      </c>
      <c r="G24" s="328">
        <f t="shared" si="0"/>
        <v>0.88079707797788231</v>
      </c>
      <c r="H24" s="80">
        <f t="shared" si="1"/>
        <v>0.11920292202211764</v>
      </c>
      <c r="I24" s="344">
        <f t="shared" si="2"/>
        <v>57.8884960773008</v>
      </c>
      <c r="J24" s="349">
        <f>(I24-I23)</f>
        <v>11.754556219044396</v>
      </c>
      <c r="L24" s="117">
        <f t="shared" si="6"/>
        <v>18</v>
      </c>
      <c r="M24" s="103">
        <f t="shared" si="7"/>
        <v>0</v>
      </c>
      <c r="N24" s="187">
        <f t="shared" si="3"/>
        <v>11.754556219044396</v>
      </c>
      <c r="P24" s="7" t="str">
        <f t="shared" si="8"/>
        <v>Bought 18 Shares of State 1 at a cost of 11.75456</v>
      </c>
      <c r="Q24" s="7" t="str">
        <f t="shared" si="11"/>
        <v/>
      </c>
      <c r="R24" s="190" t="str">
        <f t="shared" si="9"/>
        <v>Bought 18 Shares of State 1 at a cost of 11.75456</v>
      </c>
    </row>
    <row r="25" spans="4:19" s="7" customFormat="1" ht="18.75" x14ac:dyDescent="0.3">
      <c r="D25" s="25">
        <v>11</v>
      </c>
      <c r="E25" s="229">
        <v>57</v>
      </c>
      <c r="F25" s="329">
        <v>61</v>
      </c>
      <c r="G25" s="328">
        <f t="shared" si="0"/>
        <v>0.36090725483714881</v>
      </c>
      <c r="H25" s="80">
        <f t="shared" si="1"/>
        <v>0.63909274516285108</v>
      </c>
      <c r="I25" s="344">
        <f t="shared" si="2"/>
        <v>64.133939858256412</v>
      </c>
      <c r="J25" s="349">
        <f t="shared" si="10"/>
        <v>6.2454437809556111</v>
      </c>
      <c r="L25" s="117">
        <f t="shared" si="6"/>
        <v>0</v>
      </c>
      <c r="M25" s="103">
        <f t="shared" si="7"/>
        <v>18</v>
      </c>
      <c r="N25" s="187">
        <f t="shared" si="3"/>
        <v>6.2454437809556111</v>
      </c>
      <c r="P25" s="7" t="str">
        <f t="shared" si="8"/>
        <v/>
      </c>
      <c r="Q25" s="7" t="str">
        <f t="shared" si="11"/>
        <v>Bought 18 Shares of State 2 at a cost of 6.24544</v>
      </c>
      <c r="R25" s="190" t="str">
        <f t="shared" si="9"/>
        <v>Bought 18 Shares of State 2 at a cost of 6.24544</v>
      </c>
    </row>
    <row r="26" spans="4:19" s="7" customFormat="1" ht="18.75" x14ac:dyDescent="0.3">
      <c r="D26" s="25">
        <v>12</v>
      </c>
      <c r="E26" s="229">
        <v>61</v>
      </c>
      <c r="F26" s="329">
        <v>61</v>
      </c>
      <c r="G26" s="328">
        <f t="shared" si="0"/>
        <v>0.5</v>
      </c>
      <c r="H26" s="80">
        <f t="shared" si="1"/>
        <v>0.5</v>
      </c>
      <c r="I26" s="344">
        <f t="shared" si="2"/>
        <v>65.852030263919616</v>
      </c>
      <c r="J26" s="349">
        <f t="shared" si="10"/>
        <v>1.7180904056632045</v>
      </c>
      <c r="L26" s="117">
        <f t="shared" si="6"/>
        <v>4</v>
      </c>
      <c r="M26" s="103">
        <f t="shared" si="7"/>
        <v>0</v>
      </c>
      <c r="N26" s="187">
        <f t="shared" si="3"/>
        <v>1.7180904056632045</v>
      </c>
      <c r="P26" s="7" t="str">
        <f t="shared" si="8"/>
        <v>Bought 4 Shares of State 1 at a cost of 1.71809</v>
      </c>
      <c r="Q26" s="7" t="str">
        <f t="shared" si="11"/>
        <v/>
      </c>
      <c r="R26" s="190" t="str">
        <f t="shared" si="9"/>
        <v>Bought 4 Shares of State 1 at a cost of 1.71809</v>
      </c>
    </row>
    <row r="27" spans="4:19" s="7" customFormat="1" ht="18.75" x14ac:dyDescent="0.3">
      <c r="D27" s="25">
        <v>13</v>
      </c>
      <c r="E27" s="229">
        <v>61</v>
      </c>
      <c r="F27" s="329">
        <v>40</v>
      </c>
      <c r="G27" s="328">
        <f t="shared" si="0"/>
        <v>0.95257412682243314</v>
      </c>
      <c r="H27" s="80">
        <f t="shared" si="1"/>
        <v>4.7425873177566823E-2</v>
      </c>
      <c r="I27" s="344">
        <f t="shared" si="2"/>
        <v>61.340111461016193</v>
      </c>
      <c r="J27" s="349">
        <f t="shared" si="10"/>
        <v>-4.5119188029034234</v>
      </c>
      <c r="L27" s="117">
        <f t="shared" si="6"/>
        <v>0</v>
      </c>
      <c r="M27" s="103">
        <f t="shared" si="7"/>
        <v>-21</v>
      </c>
      <c r="N27" s="187">
        <f t="shared" si="3"/>
        <v>-4.5119188029034234</v>
      </c>
      <c r="P27" s="7" t="str">
        <f t="shared" si="8"/>
        <v/>
      </c>
      <c r="Q27" s="7" t="str">
        <f t="shared" si="11"/>
        <v>Sold 21 Shares of State 2 at a cost of -4.51192</v>
      </c>
      <c r="R27" s="190" t="str">
        <f t="shared" si="9"/>
        <v>Sold 21 Shares of State 2 at a cost of -4.51192</v>
      </c>
    </row>
    <row r="28" spans="4:19" s="7" customFormat="1" ht="18.75" x14ac:dyDescent="0.3">
      <c r="D28" s="25">
        <v>14</v>
      </c>
      <c r="E28" s="229">
        <v>42</v>
      </c>
      <c r="F28" s="329">
        <v>40</v>
      </c>
      <c r="G28" s="328">
        <f t="shared" si="0"/>
        <v>0.57094659688346627</v>
      </c>
      <c r="H28" s="80">
        <f t="shared" si="1"/>
        <v>0.42905340311653378</v>
      </c>
      <c r="I28" s="344">
        <f t="shared" si="2"/>
        <v>45.923217195086359</v>
      </c>
      <c r="J28" s="349">
        <f t="shared" si="5"/>
        <v>-15.416894265929834</v>
      </c>
      <c r="L28" s="117">
        <f t="shared" si="6"/>
        <v>-19</v>
      </c>
      <c r="M28" s="103">
        <f t="shared" si="7"/>
        <v>0</v>
      </c>
      <c r="N28" s="187">
        <f t="shared" si="3"/>
        <v>-15.416894265929834</v>
      </c>
      <c r="P28" s="7" t="str">
        <f t="shared" si="8"/>
        <v>Sold 19 Shares of State 1 at a cost of -15.41689</v>
      </c>
      <c r="Q28" s="7" t="str">
        <f t="shared" si="11"/>
        <v/>
      </c>
      <c r="R28" s="190" t="str">
        <f t="shared" si="9"/>
        <v>Sold 19 Shares of State 1 at a cost of -15.41689</v>
      </c>
    </row>
    <row r="29" spans="4:19" s="7" customFormat="1" ht="18.75" x14ac:dyDescent="0.3">
      <c r="D29" s="25">
        <v>15</v>
      </c>
      <c r="E29" s="229">
        <v>42</v>
      </c>
      <c r="F29" s="329">
        <v>9</v>
      </c>
      <c r="G29" s="328">
        <f t="shared" si="0"/>
        <v>0.99111341128091202</v>
      </c>
      <c r="H29" s="80">
        <f t="shared" si="1"/>
        <v>8.8865887190879463E-3</v>
      </c>
      <c r="I29" s="344">
        <f t="shared" si="2"/>
        <v>42.062484169635077</v>
      </c>
      <c r="J29" s="349">
        <f t="shared" si="5"/>
        <v>-3.8607330254512817</v>
      </c>
      <c r="L29" s="117">
        <f t="shared" si="6"/>
        <v>0</v>
      </c>
      <c r="M29" s="103">
        <f t="shared" si="7"/>
        <v>-31</v>
      </c>
      <c r="N29" s="187">
        <f t="shared" si="3"/>
        <v>-3.8607330254512817</v>
      </c>
      <c r="P29" s="7" t="str">
        <f t="shared" si="8"/>
        <v/>
      </c>
      <c r="Q29" s="7" t="str">
        <f t="shared" si="11"/>
        <v>Sold 31 Shares of State 2 at a cost of -3.86073</v>
      </c>
      <c r="R29" s="190" t="str">
        <f t="shared" si="9"/>
        <v>Sold 31 Shares of State 2 at a cost of -3.86073</v>
      </c>
    </row>
    <row r="30" spans="4:19" s="7" customFormat="1" ht="19.5" thickBot="1" x14ac:dyDescent="0.35">
      <c r="D30" s="25">
        <v>16</v>
      </c>
      <c r="E30" s="229">
        <v>42</v>
      </c>
      <c r="F30" s="329">
        <v>4</v>
      </c>
      <c r="G30" s="328">
        <f t="shared" si="0"/>
        <v>0.99562982045655568</v>
      </c>
      <c r="H30" s="81">
        <f t="shared" si="1"/>
        <v>4.3701795434443556E-3</v>
      </c>
      <c r="I30" s="345">
        <f t="shared" si="2"/>
        <v>42.030658296835739</v>
      </c>
      <c r="J30" s="350">
        <f>(I30-I29)</f>
        <v>-3.1825872799338129E-2</v>
      </c>
      <c r="L30" s="124">
        <f t="shared" si="6"/>
        <v>0</v>
      </c>
      <c r="M30" s="105">
        <f t="shared" si="7"/>
        <v>-5</v>
      </c>
      <c r="N30" s="187">
        <f t="shared" si="3"/>
        <v>-3.1825872799338129E-2</v>
      </c>
      <c r="P30" s="7" t="str">
        <f t="shared" si="8"/>
        <v/>
      </c>
      <c r="Q30" s="7" t="str">
        <f t="shared" si="11"/>
        <v>Sold 5 Shares of State 2 at a cost of -0.03183</v>
      </c>
      <c r="R30" s="190" t="str">
        <f t="shared" si="9"/>
        <v>Sold 5 Shares of State 2 at a cost of -0.03183</v>
      </c>
    </row>
    <row r="31" spans="4:19" s="7" customFormat="1" ht="19.5" thickBot="1" x14ac:dyDescent="0.35">
      <c r="D31" s="25" t="s">
        <v>98</v>
      </c>
      <c r="E31" s="51">
        <v>42</v>
      </c>
      <c r="F31" s="333">
        <v>4</v>
      </c>
      <c r="G31" s="337">
        <v>1</v>
      </c>
      <c r="H31" s="330">
        <v>0</v>
      </c>
      <c r="I31" s="346">
        <f t="shared" si="2"/>
        <v>42.030658296835739</v>
      </c>
      <c r="J31" s="8" t="s">
        <v>139</v>
      </c>
      <c r="Q31" s="8"/>
      <c r="R31" s="277" t="s">
        <v>155</v>
      </c>
      <c r="S31" s="8"/>
    </row>
    <row r="32" spans="4:19" s="7" customFormat="1" ht="18.75" x14ac:dyDescent="0.3">
      <c r="D32"/>
      <c r="E32" s="286"/>
      <c r="F32" s="276"/>
      <c r="G32" s="17"/>
      <c r="H32" s="33"/>
      <c r="I32" s="347">
        <f>SUMPRODUCT(G31:H31,E31:F31)</f>
        <v>42</v>
      </c>
      <c r="J32" t="s">
        <v>111</v>
      </c>
      <c r="Q32"/>
      <c r="R32" s="190" t="str">
        <f>"Individuals redeem "&amp;E31&amp;" i=0 shares for $1 each."</f>
        <v>Individuals redeem 42 i=0 shares for $1 each.</v>
      </c>
      <c r="S32"/>
    </row>
    <row r="33" spans="2:34" s="7" customFormat="1" ht="18.75" x14ac:dyDescent="0.3">
      <c r="E33" s="17"/>
      <c r="F33" s="272"/>
      <c r="G33" s="17"/>
      <c r="H33" s="17"/>
      <c r="I33" s="347">
        <f>I31-I32</f>
        <v>3.0658296835738952E-2</v>
      </c>
      <c r="J33" s="7" t="s">
        <v>103</v>
      </c>
      <c r="R33" s="190" t="str">
        <f>ROUND(I33,4)&amp;" happens to be left over."</f>
        <v>0.0307 happens to be left over.</v>
      </c>
    </row>
    <row r="34" spans="2:34" s="7" customFormat="1" ht="18.75" x14ac:dyDescent="0.3">
      <c r="E34" s="17"/>
      <c r="F34" s="272"/>
      <c r="G34" s="17"/>
      <c r="H34" s="17"/>
      <c r="I34" s="206"/>
      <c r="J34" s="55"/>
      <c r="O34" s="8"/>
      <c r="P34" s="8"/>
      <c r="Q34" s="8"/>
      <c r="R34" s="277"/>
      <c r="S34" s="28"/>
    </row>
    <row r="35" spans="2:34" x14ac:dyDescent="0.25">
      <c r="B35" s="7"/>
      <c r="C35" s="7"/>
      <c r="E35" s="17"/>
      <c r="F35" s="272"/>
      <c r="G35" s="17"/>
      <c r="AF35" s="7"/>
      <c r="AG35" s="7"/>
      <c r="AH35" s="7"/>
    </row>
    <row r="36" spans="2:34" x14ac:dyDescent="0.25">
      <c r="B36" s="7"/>
      <c r="C36" s="7"/>
      <c r="D36" s="7"/>
      <c r="E36" s="17"/>
      <c r="F36" s="272"/>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72"/>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72"/>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35"/>
      <c r="C39" s="335"/>
      <c r="D39" s="7"/>
      <c r="E39" s="504" t="s">
        <v>129</v>
      </c>
      <c r="F39" s="505"/>
      <c r="G39" s="510" t="s">
        <v>130</v>
      </c>
      <c r="H39" s="511"/>
      <c r="I39" s="511"/>
      <c r="J39" s="512"/>
      <c r="K39" s="336"/>
      <c r="L39" s="336"/>
      <c r="M39" s="336"/>
      <c r="N39" s="336"/>
      <c r="O39" s="336"/>
      <c r="P39" s="336"/>
      <c r="Q39" s="336"/>
      <c r="R39" s="336"/>
      <c r="S39" s="336"/>
      <c r="T39" s="336"/>
      <c r="U39" s="336"/>
      <c r="V39" s="336"/>
      <c r="W39" s="336"/>
      <c r="X39" s="336"/>
      <c r="Y39" s="336"/>
      <c r="Z39" s="336"/>
      <c r="AA39" s="336"/>
      <c r="AB39" s="336"/>
      <c r="AC39" s="336"/>
      <c r="AD39" s="336"/>
      <c r="AE39" s="336"/>
      <c r="AF39" s="336"/>
      <c r="AG39" s="336"/>
    </row>
    <row r="40" spans="2:34" ht="15" customHeight="1" x14ac:dyDescent="0.25">
      <c r="B40" s="335"/>
      <c r="C40" s="335"/>
      <c r="D40" s="7"/>
      <c r="E40" s="506"/>
      <c r="F40" s="507"/>
      <c r="G40" s="513"/>
      <c r="H40" s="514"/>
      <c r="I40" s="514"/>
      <c r="J40" s="515"/>
      <c r="K40" s="336"/>
      <c r="L40" s="336"/>
      <c r="M40" s="336"/>
      <c r="N40" s="336"/>
      <c r="O40" s="336"/>
      <c r="P40" s="336"/>
      <c r="Q40" s="336"/>
      <c r="R40" s="336"/>
      <c r="S40" s="336"/>
      <c r="T40" s="336"/>
      <c r="U40" s="336"/>
      <c r="V40" s="336"/>
      <c r="W40" s="336"/>
      <c r="X40" s="336"/>
      <c r="Y40" s="336"/>
      <c r="Z40" s="336"/>
      <c r="AA40" s="336"/>
      <c r="AB40" s="336"/>
      <c r="AC40" s="336"/>
      <c r="AD40" s="336"/>
      <c r="AE40" s="336"/>
      <c r="AF40" s="336"/>
      <c r="AG40" s="336"/>
    </row>
    <row r="41" spans="2:34" ht="15" customHeight="1" x14ac:dyDescent="0.25">
      <c r="B41" s="335"/>
      <c r="C41" s="335"/>
      <c r="D41" s="7"/>
      <c r="E41" s="506"/>
      <c r="F41" s="507"/>
      <c r="G41" s="513"/>
      <c r="H41" s="514"/>
      <c r="I41" s="514"/>
      <c r="J41" s="515"/>
      <c r="K41" s="336"/>
      <c r="L41" s="336"/>
      <c r="M41" s="336"/>
      <c r="N41" s="336"/>
      <c r="O41" s="336"/>
      <c r="P41" s="336"/>
      <c r="Q41" s="336"/>
      <c r="R41" s="336"/>
      <c r="S41" s="336"/>
      <c r="T41" s="336"/>
      <c r="U41" s="336"/>
      <c r="V41" s="336"/>
      <c r="W41" s="336"/>
      <c r="X41" s="336"/>
      <c r="Y41" s="336"/>
      <c r="Z41" s="336"/>
      <c r="AA41" s="336"/>
      <c r="AB41" s="336"/>
      <c r="AC41" s="336"/>
      <c r="AD41" s="336"/>
      <c r="AE41" s="336"/>
      <c r="AF41" s="336"/>
      <c r="AG41" s="336"/>
    </row>
    <row r="42" spans="2:34" ht="15.75" customHeight="1" x14ac:dyDescent="0.25">
      <c r="B42" s="335"/>
      <c r="C42" s="335"/>
      <c r="D42" s="7"/>
      <c r="E42" s="508"/>
      <c r="F42" s="509"/>
      <c r="G42" s="516"/>
      <c r="H42" s="517"/>
      <c r="I42" s="517"/>
      <c r="J42" s="518"/>
      <c r="K42" s="336"/>
      <c r="L42" s="336"/>
      <c r="M42" s="336"/>
      <c r="N42" s="336"/>
      <c r="O42" s="336"/>
      <c r="P42" s="336"/>
      <c r="Q42" s="336"/>
      <c r="R42" s="336"/>
      <c r="S42" s="336"/>
      <c r="T42" s="336"/>
      <c r="U42" s="336"/>
      <c r="V42" s="336"/>
      <c r="W42" s="336"/>
      <c r="X42" s="336"/>
      <c r="Y42" s="336"/>
      <c r="Z42" s="336"/>
      <c r="AA42" s="336"/>
      <c r="AB42" s="336"/>
      <c r="AC42" s="336"/>
      <c r="AD42" s="336"/>
      <c r="AE42" s="336"/>
      <c r="AF42" s="336"/>
      <c r="AG42" s="336"/>
    </row>
    <row r="43" spans="2:34" x14ac:dyDescent="0.25">
      <c r="D43" s="7"/>
      <c r="E43" s="17"/>
      <c r="F43" s="17"/>
      <c r="G43" s="327"/>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27"/>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27"/>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27"/>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41" t="s">
        <v>60</v>
      </c>
      <c r="G4" s="542"/>
      <c r="H4"/>
      <c r="I4"/>
      <c r="J4"/>
      <c r="K4"/>
      <c r="L4"/>
      <c r="M4"/>
      <c r="N4"/>
      <c r="O4"/>
      <c r="P4"/>
      <c r="Q4"/>
      <c r="R4"/>
      <c r="S4"/>
      <c r="T4"/>
      <c r="U4"/>
    </row>
    <row r="5" spans="2:21" s="7" customFormat="1" x14ac:dyDescent="0.25">
      <c r="B5"/>
      <c r="C5" t="s">
        <v>26</v>
      </c>
      <c r="D5"/>
      <c r="E5"/>
      <c r="F5" s="117"/>
      <c r="G5" s="103" t="s">
        <v>28</v>
      </c>
      <c r="H5" s="129"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4"/>
      <c r="G6" s="135"/>
      <c r="H6" s="136"/>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3" t="str">
        <f t="shared" ref="F7:F16" si="0">B7</f>
        <v>a</v>
      </c>
      <c r="G7" s="130">
        <v>0</v>
      </c>
      <c r="H7" s="129">
        <f t="shared" ref="H7:H16" si="1">IF(G7=0,0,1)</f>
        <v>0</v>
      </c>
      <c r="I7" s="6">
        <f>1-SUMPRODUCT($H$7:$H$9,$C$7:$C$9)</f>
        <v>0.30000000000000004</v>
      </c>
      <c r="J7" s="6">
        <f>IF(SUM($G$7:$G$9)=0,0,SUM($G$7:$G$9))</f>
        <v>0.2</v>
      </c>
      <c r="K7" s="127">
        <f t="shared" ref="K7:K16" si="2">IF(G7&lt;&gt;0,G7,(G7-J7)*(C7/I7))</f>
        <v>-0.19999999999999996</v>
      </c>
      <c r="L7" s="127">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3" t="str">
        <f t="shared" si="0"/>
        <v>b|a</v>
      </c>
      <c r="G8" s="130">
        <v>0.2</v>
      </c>
      <c r="H8" s="129">
        <f t="shared" si="1"/>
        <v>1</v>
      </c>
      <c r="I8" s="6">
        <f>1-SUMPRODUCT($H$7:$H$9,$C$7:$C$9)</f>
        <v>0.30000000000000004</v>
      </c>
      <c r="J8" s="6">
        <f>IF(SUM($G$7:$G$9)=0,0,SUM($G$7:$G$9))</f>
        <v>0.2</v>
      </c>
      <c r="K8" s="127">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3" t="str">
        <f t="shared" si="0"/>
        <v>b|~a</v>
      </c>
      <c r="G9" s="130">
        <v>0</v>
      </c>
      <c r="H9" s="129">
        <f t="shared" si="1"/>
        <v>0</v>
      </c>
      <c r="I9" s="6">
        <f>1-SUMPRODUCT($H$7:$H$9,$C$7:$C$9)</f>
        <v>0.30000000000000004</v>
      </c>
      <c r="J9" s="6">
        <f>IF(SUM($G$7:$G$9)=0,0,SUM($G$7:$G$9))</f>
        <v>0.2</v>
      </c>
      <c r="K9" s="127">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3" t="str">
        <f t="shared" si="0"/>
        <v>a &amp; b</v>
      </c>
      <c r="G10" s="130">
        <v>0</v>
      </c>
      <c r="H10" s="129">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6">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3" t="str">
        <f t="shared" si="0"/>
        <v>a &amp; ~b</v>
      </c>
      <c r="G11" s="130">
        <v>0</v>
      </c>
      <c r="H11" s="129">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7">
        <f t="shared" si="3"/>
        <v>1.0000000000000009E-2</v>
      </c>
      <c r="S11" s="26" t="str">
        <f t="shared" si="4"/>
        <v>a &amp; ~b</v>
      </c>
      <c r="T11"/>
      <c r="U11"/>
    </row>
    <row r="12" spans="2:21" s="7" customFormat="1" x14ac:dyDescent="0.25">
      <c r="B12" s="21" t="s">
        <v>23</v>
      </c>
      <c r="C12" s="7">
        <f>(1-C7)*C9</f>
        <v>0.21</v>
      </c>
      <c r="D12">
        <f>D14*(1-D15)</f>
        <v>0.21</v>
      </c>
      <c r="E12" s="5">
        <f>D12</f>
        <v>0.21</v>
      </c>
      <c r="F12" s="123" t="str">
        <f t="shared" si="0"/>
        <v>~a &amp; b</v>
      </c>
      <c r="G12" s="130">
        <v>0</v>
      </c>
      <c r="H12" s="129">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7">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3" t="str">
        <f t="shared" si="0"/>
        <v>~a &amp; ~b</v>
      </c>
      <c r="G13" s="130">
        <v>0</v>
      </c>
      <c r="H13" s="129">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8">
        <f t="shared" si="3"/>
        <v>0.80999999999999983</v>
      </c>
      <c r="S13" s="26" t="str">
        <f t="shared" si="4"/>
        <v>~a &amp; ~b</v>
      </c>
      <c r="T13"/>
      <c r="U13"/>
    </row>
    <row r="14" spans="2:21" s="7" customFormat="1" ht="18" customHeight="1" x14ac:dyDescent="0.25">
      <c r="B14" s="25" t="s">
        <v>5</v>
      </c>
      <c r="C14">
        <f>C10+C12</f>
        <v>0.42</v>
      </c>
      <c r="D14" s="22">
        <f>C14</f>
        <v>0.42</v>
      </c>
      <c r="E14">
        <f>E10+E12</f>
        <v>0.42</v>
      </c>
      <c r="F14" s="123" t="str">
        <f t="shared" si="0"/>
        <v>b</v>
      </c>
      <c r="G14" s="130">
        <v>0</v>
      </c>
      <c r="H14" s="129">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5">
        <f t="shared" si="3"/>
        <v>0.18000000000000005</v>
      </c>
      <c r="S14" s="26" t="str">
        <f t="shared" si="4"/>
        <v>b</v>
      </c>
      <c r="T14"/>
      <c r="U14"/>
    </row>
    <row r="15" spans="2:21" s="7" customFormat="1" x14ac:dyDescent="0.25">
      <c r="B15" s="25" t="s">
        <v>15</v>
      </c>
      <c r="C15">
        <f>C10/(C10+C12)</f>
        <v>0.5</v>
      </c>
      <c r="D15" s="23">
        <f>C15</f>
        <v>0.5</v>
      </c>
      <c r="E15">
        <f>E10/(E10+E12)</f>
        <v>0.5</v>
      </c>
      <c r="F15" s="123" t="str">
        <f t="shared" si="0"/>
        <v>a|b</v>
      </c>
      <c r="G15" s="130">
        <v>0</v>
      </c>
      <c r="H15" s="129">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5">
        <f t="shared" si="3"/>
        <v>0.5</v>
      </c>
      <c r="S15" s="26" t="str">
        <f t="shared" si="4"/>
        <v>a|b</v>
      </c>
      <c r="T15"/>
      <c r="U15"/>
    </row>
    <row r="16" spans="2:21" s="7" customFormat="1" ht="15.75" thickBot="1" x14ac:dyDescent="0.3">
      <c r="B16" s="137" t="s">
        <v>17</v>
      </c>
      <c r="C16" s="13">
        <f>C11/(C11+C13)</f>
        <v>0.15517241379310348</v>
      </c>
      <c r="D16" s="138">
        <f>C16</f>
        <v>0.15517241379310348</v>
      </c>
      <c r="E16" s="13">
        <f>E11/(E11+E13)</f>
        <v>0.15517241379310348</v>
      </c>
      <c r="F16" s="139" t="str">
        <f t="shared" si="0"/>
        <v>a|~b</v>
      </c>
      <c r="G16" s="140">
        <v>0</v>
      </c>
      <c r="H16" s="136">
        <f t="shared" si="1"/>
        <v>0</v>
      </c>
      <c r="I16" s="12">
        <f>1-SUMPRODUCT($H$14:$H$16,$C$14:$C$16)</f>
        <v>1</v>
      </c>
      <c r="J16" s="12">
        <f>IF(SUM($G$14:$G$16)=0,0,SUM($G$14:$G$16))</f>
        <v>0</v>
      </c>
      <c r="K16" s="12">
        <f t="shared" si="2"/>
        <v>0</v>
      </c>
      <c r="L16" s="13">
        <f>L11/(L11+L13)</f>
        <v>1.219512195121953E-2</v>
      </c>
      <c r="M16" s="138">
        <f>D16+K16</f>
        <v>0.15517241379310348</v>
      </c>
      <c r="N16" s="13">
        <f>N11/(N11+N13)</f>
        <v>0.15517241379310348</v>
      </c>
      <c r="O16" s="141">
        <f t="shared" si="5"/>
        <v>-0.14297729184188396</v>
      </c>
      <c r="P16" s="141">
        <f t="shared" si="6"/>
        <v>0</v>
      </c>
      <c r="Q16" s="141">
        <f t="shared" si="7"/>
        <v>0</v>
      </c>
      <c r="R16" s="142">
        <f t="shared" si="3"/>
        <v>1.2195121951219523E-2</v>
      </c>
      <c r="S16" s="143" t="str">
        <f t="shared" si="4"/>
        <v>a|~b</v>
      </c>
      <c r="T16"/>
      <c r="U16"/>
    </row>
    <row r="17" spans="2:21" s="7" customFormat="1" ht="16.5" thickTop="1" thickBot="1" x14ac:dyDescent="0.3">
      <c r="B17"/>
      <c r="C17"/>
      <c r="D17"/>
      <c r="E17"/>
      <c r="F17" s="124"/>
      <c r="G17" s="105"/>
      <c r="H17"/>
      <c r="I17"/>
      <c r="J17"/>
      <c r="K17"/>
      <c r="O17"/>
      <c r="P17"/>
      <c r="Q17"/>
      <c r="R17" s="5"/>
      <c r="S17"/>
      <c r="T17"/>
      <c r="U17"/>
    </row>
    <row r="18" spans="2:21" s="7" customFormat="1" ht="15.75" thickBot="1" x14ac:dyDescent="0.3">
      <c r="B18"/>
      <c r="C18" s="87">
        <f>SUM(C10:C13)</f>
        <v>1</v>
      </c>
      <c r="D18" s="87">
        <f>SUM(D10:D13)</f>
        <v>1</v>
      </c>
      <c r="E18" s="87">
        <f>SUM(E10:E13)</f>
        <v>1</v>
      </c>
      <c r="F18"/>
      <c r="G18"/>
      <c r="H18"/>
      <c r="I18"/>
      <c r="J18"/>
      <c r="K18"/>
      <c r="L18" s="87">
        <f t="shared" ref="L18:Q18" si="8">SUM(L10:L13)</f>
        <v>0.99999999999999989</v>
      </c>
      <c r="M18" s="87">
        <f t="shared" si="8"/>
        <v>1</v>
      </c>
      <c r="N18" s="87">
        <f t="shared" si="8"/>
        <v>1</v>
      </c>
      <c r="O18" s="87">
        <f t="shared" si="8"/>
        <v>0</v>
      </c>
      <c r="P18" s="87">
        <f t="shared" si="8"/>
        <v>0</v>
      </c>
      <c r="Q18" s="87">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31">
        <f>INDEX($R$10:$R$13,COLUMN(Q20)-COLUMN($P$20))</f>
        <v>9.0000000000000024E-2</v>
      </c>
      <c r="S20" s="132">
        <f>INDEX($R$10:$R$13,COLUMN(R20)-COLUMN($P$20))</f>
        <v>1.0000000000000009E-2</v>
      </c>
      <c r="T20" s="132">
        <f>INDEX($R$10:$R$13,COLUMN(S20)-COLUMN($P$20))</f>
        <v>9.0000000000000024E-2</v>
      </c>
      <c r="U20" s="133">
        <f>INDEX($R$10:$R$13,COLUMN(T20)-COLUMN($P$20))</f>
        <v>0.80999999999999983</v>
      </c>
    </row>
    <row r="21" spans="2:21" x14ac:dyDescent="0.25">
      <c r="R21" s="117"/>
      <c r="S21" s="7"/>
      <c r="T21" s="7"/>
      <c r="U21" s="103"/>
    </row>
    <row r="22" spans="2:21" ht="15.75" thickBot="1" x14ac:dyDescent="0.3">
      <c r="R22" s="543" t="s">
        <v>61</v>
      </c>
      <c r="S22" s="544"/>
      <c r="T22" s="544"/>
      <c r="U22" s="545"/>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topLeftCell="A70" zoomScale="85" zoomScaleNormal="85" workbookViewId="0">
      <selection activeCell="U90" sqref="U90"/>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92.25" x14ac:dyDescent="1.35">
      <c r="C3" s="275" t="s">
        <v>132</v>
      </c>
    </row>
    <row r="6" spans="1:26" x14ac:dyDescent="0.25">
      <c r="C6" s="519" t="s">
        <v>133</v>
      </c>
      <c r="D6" s="520"/>
      <c r="E6" s="520"/>
      <c r="F6" s="520"/>
      <c r="G6" s="520"/>
      <c r="H6" s="520"/>
      <c r="I6" s="520"/>
      <c r="J6" s="520"/>
      <c r="K6" s="520"/>
      <c r="L6" s="520"/>
      <c r="M6" s="520"/>
      <c r="N6" s="520"/>
      <c r="O6" s="521"/>
      <c r="P6" s="356"/>
      <c r="Q6" s="356"/>
      <c r="R6" s="356"/>
      <c r="S6" s="356"/>
    </row>
    <row r="7" spans="1:26" x14ac:dyDescent="0.25">
      <c r="C7" s="522"/>
      <c r="D7" s="523"/>
      <c r="E7" s="523"/>
      <c r="F7" s="523"/>
      <c r="G7" s="523"/>
      <c r="H7" s="523"/>
      <c r="I7" s="523"/>
      <c r="J7" s="523"/>
      <c r="K7" s="523"/>
      <c r="L7" s="523"/>
      <c r="M7" s="523"/>
      <c r="N7" s="523"/>
      <c r="O7" s="524"/>
      <c r="P7" s="356"/>
      <c r="Q7" s="356"/>
      <c r="R7" s="356"/>
      <c r="S7" s="356"/>
    </row>
    <row r="8" spans="1:26" x14ac:dyDescent="0.25">
      <c r="C8" s="525"/>
      <c r="D8" s="526"/>
      <c r="E8" s="526"/>
      <c r="F8" s="526"/>
      <c r="G8" s="526"/>
      <c r="H8" s="526"/>
      <c r="I8" s="526"/>
      <c r="J8" s="526"/>
      <c r="K8" s="526"/>
      <c r="L8" s="526"/>
      <c r="M8" s="526"/>
      <c r="N8" s="526"/>
      <c r="O8" s="527"/>
      <c r="P8" s="356"/>
      <c r="Q8" s="356"/>
      <c r="R8" s="356"/>
      <c r="S8" s="356"/>
    </row>
    <row r="10" spans="1:26" ht="15.75" thickBot="1" x14ac:dyDescent="0.3">
      <c r="A10" s="13"/>
      <c r="B10" s="13"/>
      <c r="C10" s="13"/>
      <c r="D10" s="271"/>
      <c r="E10" s="271"/>
      <c r="F10" s="271"/>
      <c r="G10" s="271"/>
      <c r="H10" s="271"/>
      <c r="I10" s="271"/>
      <c r="J10" s="13"/>
      <c r="K10" s="13"/>
      <c r="L10" s="13"/>
      <c r="M10" s="13"/>
      <c r="N10" s="13"/>
      <c r="O10" s="13"/>
      <c r="P10" s="13"/>
      <c r="Q10" s="13"/>
      <c r="R10" s="13"/>
      <c r="S10" s="13"/>
      <c r="T10" s="13"/>
      <c r="U10" s="13"/>
      <c r="V10" s="13"/>
      <c r="W10" s="13"/>
      <c r="X10" s="13"/>
      <c r="Y10" s="13"/>
      <c r="Z10" s="13"/>
    </row>
    <row r="11" spans="1:26" ht="21.75" thickTop="1" x14ac:dyDescent="0.35">
      <c r="C11" s="144" t="s">
        <v>134</v>
      </c>
    </row>
    <row r="12" spans="1:26" x14ac:dyDescent="0.25">
      <c r="L12" s="7"/>
      <c r="M12" s="18"/>
      <c r="N12" s="7"/>
      <c r="O12" s="7"/>
      <c r="P12" s="7"/>
      <c r="Q12" s="7"/>
      <c r="R12" s="7"/>
      <c r="S12" s="7"/>
      <c r="T12" s="7"/>
    </row>
    <row r="13" spans="1:26" x14ac:dyDescent="0.25">
      <c r="B13" s="496" t="s">
        <v>172</v>
      </c>
      <c r="C13" s="155" t="s">
        <v>4</v>
      </c>
      <c r="D13" s="299" t="s">
        <v>140</v>
      </c>
      <c r="E13" s="299"/>
      <c r="F13" s="299"/>
      <c r="G13" s="299"/>
      <c r="H13" s="294"/>
      <c r="L13" s="7"/>
      <c r="M13" s="18"/>
      <c r="N13" s="7"/>
      <c r="O13" s="7"/>
      <c r="P13" s="7"/>
      <c r="Q13" s="7"/>
      <c r="R13" s="7"/>
      <c r="S13" s="7"/>
      <c r="T13" s="7"/>
    </row>
    <row r="14" spans="1:26" x14ac:dyDescent="0.25">
      <c r="B14" s="497"/>
      <c r="C14" s="17" t="s">
        <v>141</v>
      </c>
      <c r="D14" s="17" t="s">
        <v>3</v>
      </c>
      <c r="E14" s="17"/>
      <c r="F14" s="17"/>
      <c r="G14" s="17"/>
      <c r="H14" s="272"/>
      <c r="L14" s="7"/>
      <c r="M14" s="18"/>
      <c r="N14" s="7"/>
      <c r="O14" s="7"/>
      <c r="P14" s="7"/>
      <c r="Q14" s="7"/>
      <c r="R14" s="7"/>
      <c r="S14" s="7"/>
      <c r="T14" s="7"/>
    </row>
    <row r="15" spans="1:26" x14ac:dyDescent="0.25">
      <c r="B15" s="498"/>
      <c r="C15" s="292" t="s">
        <v>142</v>
      </c>
      <c r="D15" s="292" t="s">
        <v>2</v>
      </c>
      <c r="E15" s="292"/>
      <c r="F15" s="292"/>
      <c r="G15" s="292"/>
      <c r="H15" s="295"/>
      <c r="L15" s="7"/>
      <c r="M15" s="18"/>
      <c r="N15" s="7"/>
      <c r="O15" s="7"/>
      <c r="P15" s="7"/>
      <c r="Q15" s="7"/>
      <c r="R15" s="7"/>
      <c r="S15" s="7"/>
      <c r="T15" s="7"/>
    </row>
    <row r="16" spans="1:26" x14ac:dyDescent="0.25">
      <c r="B16" s="291"/>
      <c r="C16" s="33"/>
      <c r="L16" s="7"/>
      <c r="M16" s="18"/>
      <c r="N16" s="7"/>
      <c r="O16" s="7"/>
      <c r="P16" s="7"/>
      <c r="Q16" s="7"/>
      <c r="R16" s="7"/>
      <c r="S16" s="7"/>
      <c r="T16" s="7"/>
    </row>
    <row r="17" spans="2:23" x14ac:dyDescent="0.25">
      <c r="B17" s="496" t="s">
        <v>160</v>
      </c>
      <c r="C17" s="155" t="s">
        <v>173</v>
      </c>
      <c r="D17" s="303" t="s">
        <v>174</v>
      </c>
      <c r="E17" s="299" t="s">
        <v>175</v>
      </c>
      <c r="F17" s="299"/>
      <c r="G17" s="299"/>
      <c r="H17" s="294"/>
      <c r="L17" s="7"/>
      <c r="M17" s="18"/>
      <c r="N17" s="7"/>
      <c r="O17" s="7"/>
      <c r="P17" s="7"/>
      <c r="Q17" s="7"/>
      <c r="R17" s="7"/>
      <c r="S17" s="7"/>
      <c r="T17" s="7"/>
    </row>
    <row r="18" spans="2:23" x14ac:dyDescent="0.25">
      <c r="B18" s="497"/>
      <c r="C18" s="17" t="s">
        <v>146</v>
      </c>
      <c r="D18" s="289">
        <f>COUNTA(D25:E25)</f>
        <v>2</v>
      </c>
      <c r="E18" s="17" t="s">
        <v>147</v>
      </c>
      <c r="F18" s="17"/>
      <c r="G18" s="17"/>
      <c r="H18" s="272"/>
      <c r="L18" s="7"/>
      <c r="M18" s="18"/>
      <c r="N18" s="7"/>
      <c r="O18" s="7"/>
      <c r="P18" s="7"/>
      <c r="Q18" s="7"/>
      <c r="R18" s="7"/>
      <c r="S18" s="7"/>
      <c r="T18" s="7"/>
    </row>
    <row r="19" spans="2:23" x14ac:dyDescent="0.25">
      <c r="B19" s="497"/>
      <c r="C19" s="17" t="s">
        <v>5</v>
      </c>
      <c r="D19" s="288">
        <v>1</v>
      </c>
      <c r="E19" s="17" t="s">
        <v>150</v>
      </c>
      <c r="F19" s="17"/>
      <c r="G19" s="17"/>
      <c r="H19" s="272"/>
      <c r="L19" s="7"/>
      <c r="M19" s="18"/>
      <c r="N19" s="7"/>
      <c r="O19" s="7"/>
      <c r="P19" s="7"/>
      <c r="Q19" s="7"/>
      <c r="R19" s="7"/>
      <c r="S19" s="7"/>
      <c r="T19" s="7"/>
    </row>
    <row r="20" spans="2:23" x14ac:dyDescent="0.25">
      <c r="B20" s="498"/>
      <c r="C20" s="280" t="s">
        <v>148</v>
      </c>
      <c r="D20" s="304">
        <f>H26</f>
        <v>0.69314718055994529</v>
      </c>
      <c r="E20" s="280" t="s">
        <v>149</v>
      </c>
      <c r="F20" s="292"/>
      <c r="G20" s="292"/>
      <c r="H20" s="295"/>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2" t="s">
        <v>12</v>
      </c>
      <c r="E24" s="63"/>
      <c r="F24" s="63" t="s">
        <v>13</v>
      </c>
      <c r="G24" s="64"/>
      <c r="H24" s="62" t="s">
        <v>122</v>
      </c>
      <c r="I24" s="64" t="s">
        <v>35</v>
      </c>
      <c r="J24" s="20"/>
      <c r="T24" s="20"/>
      <c r="U24"/>
      <c r="V24" s="20"/>
    </row>
    <row r="25" spans="2:23" s="7" customFormat="1" ht="15.75" thickBot="1" x14ac:dyDescent="0.3">
      <c r="B25" s="32"/>
      <c r="C25" s="34" t="s">
        <v>34</v>
      </c>
      <c r="D25" s="177" t="s">
        <v>141</v>
      </c>
      <c r="E25" s="178" t="s">
        <v>142</v>
      </c>
      <c r="F25" s="179" t="s">
        <v>141</v>
      </c>
      <c r="G25" s="180" t="s">
        <v>142</v>
      </c>
      <c r="H25" s="42">
        <v>0</v>
      </c>
      <c r="I25" s="43"/>
      <c r="U25"/>
    </row>
    <row r="26" spans="2:23" s="7" customFormat="1" ht="18" customHeight="1" thickTop="1" x14ac:dyDescent="0.25">
      <c r="C26" s="25" t="s">
        <v>39</v>
      </c>
      <c r="D26" s="431">
        <v>0</v>
      </c>
      <c r="E26" s="433">
        <v>0</v>
      </c>
      <c r="F26" s="368">
        <f t="shared" ref="F26:G32" si="0">EXP(D26/$D$19)/(EXP($E26/$D$19)+EXP($D26/$D$19))</f>
        <v>0.5</v>
      </c>
      <c r="G26" s="237">
        <f t="shared" si="0"/>
        <v>0.5</v>
      </c>
      <c r="H26" s="297">
        <f t="shared" ref="H26:H33" si="1">$D$19*LN(EXP($E26/$D$19)+EXP($D26/$D$19))</f>
        <v>0.69314718055994529</v>
      </c>
      <c r="I26" s="46">
        <f>(H26-H25)</f>
        <v>0.69314718055994529</v>
      </c>
      <c r="U26"/>
    </row>
    <row r="27" spans="2:23" s="7" customFormat="1" ht="15.75" thickBot="1" x14ac:dyDescent="0.3">
      <c r="C27" s="25" t="s">
        <v>37</v>
      </c>
      <c r="D27" s="439">
        <v>1</v>
      </c>
      <c r="E27" s="441">
        <v>0</v>
      </c>
      <c r="F27" s="370">
        <f t="shared" si="0"/>
        <v>0.7310585786300049</v>
      </c>
      <c r="G27" s="257">
        <f t="shared" si="0"/>
        <v>0.2689414213699951</v>
      </c>
      <c r="H27" s="322">
        <f t="shared" si="1"/>
        <v>1.3132616875182228</v>
      </c>
      <c r="I27" s="49">
        <f>(H27-H26)</f>
        <v>0.62011450695827752</v>
      </c>
      <c r="K27" s="7" t="s">
        <v>143</v>
      </c>
      <c r="U27"/>
    </row>
    <row r="28" spans="2:23" s="7" customFormat="1" ht="15.75" thickBot="1" x14ac:dyDescent="0.3">
      <c r="C28" s="25" t="s">
        <v>40</v>
      </c>
      <c r="D28" s="447">
        <f>K28</f>
        <v>1.0986122886681098</v>
      </c>
      <c r="E28" s="441">
        <v>0</v>
      </c>
      <c r="F28" s="460">
        <f t="shared" si="0"/>
        <v>0.75000000000000011</v>
      </c>
      <c r="G28" s="257">
        <f t="shared" si="0"/>
        <v>0.25</v>
      </c>
      <c r="H28" s="322">
        <f t="shared" si="1"/>
        <v>1.3862943611198906</v>
      </c>
      <c r="I28" s="49">
        <f t="shared" ref="I28:I31" si="2">(H28-H27)</f>
        <v>7.3032673601667764E-2</v>
      </c>
      <c r="K28" s="86">
        <f>D19*LN(K29/(1-K29))+E28</f>
        <v>1.0986122886681098</v>
      </c>
      <c r="U28"/>
    </row>
    <row r="29" spans="2:23" s="7" customFormat="1" ht="15.75" thickBot="1" x14ac:dyDescent="0.3">
      <c r="C29" s="25" t="s">
        <v>41</v>
      </c>
      <c r="D29" s="439">
        <v>0.5</v>
      </c>
      <c r="E29" s="441">
        <v>0</v>
      </c>
      <c r="F29" s="370">
        <f t="shared" si="0"/>
        <v>0.62245933120185459</v>
      </c>
      <c r="G29" s="257">
        <f t="shared" si="0"/>
        <v>0.37754066879814541</v>
      </c>
      <c r="H29" s="322">
        <f t="shared" si="1"/>
        <v>0.97407698418010669</v>
      </c>
      <c r="I29" s="49">
        <f t="shared" si="2"/>
        <v>-0.41221737693978389</v>
      </c>
      <c r="K29" s="85">
        <v>0.75</v>
      </c>
      <c r="L29" s="7" t="b">
        <f>K29=F28</f>
        <v>1</v>
      </c>
      <c r="U29"/>
    </row>
    <row r="30" spans="2:23" s="7" customFormat="1" x14ac:dyDescent="0.25">
      <c r="C30" s="25" t="s">
        <v>144</v>
      </c>
      <c r="D30" s="439">
        <v>2.1</v>
      </c>
      <c r="E30" s="441">
        <v>0.8</v>
      </c>
      <c r="F30" s="370">
        <f t="shared" si="0"/>
        <v>0.78583498304255861</v>
      </c>
      <c r="G30" s="257">
        <f t="shared" si="0"/>
        <v>0.21416501695744139</v>
      </c>
      <c r="H30" s="322">
        <f t="shared" si="1"/>
        <v>2.3410084538329925</v>
      </c>
      <c r="I30" s="49">
        <f t="shared" si="2"/>
        <v>1.3669314696528858</v>
      </c>
      <c r="U30"/>
    </row>
    <row r="31" spans="2:23" s="7" customFormat="1" x14ac:dyDescent="0.25">
      <c r="B31"/>
      <c r="C31" s="21" t="s">
        <v>145</v>
      </c>
      <c r="D31" s="439">
        <v>3</v>
      </c>
      <c r="E31" s="441">
        <v>1.1000000000000001</v>
      </c>
      <c r="F31" s="370">
        <f t="shared" si="0"/>
        <v>0.86989152563700223</v>
      </c>
      <c r="G31" s="257">
        <f t="shared" si="0"/>
        <v>0.13010847436299786</v>
      </c>
      <c r="H31" s="322">
        <f t="shared" si="1"/>
        <v>3.1393867582829604</v>
      </c>
      <c r="I31" s="49">
        <f t="shared" si="2"/>
        <v>0.79837830444996793</v>
      </c>
      <c r="U31"/>
    </row>
    <row r="32" spans="2:23" s="7" customFormat="1" ht="15.75" thickBot="1" x14ac:dyDescent="0.3">
      <c r="C32" s="25" t="s">
        <v>38</v>
      </c>
      <c r="D32" s="177">
        <v>3</v>
      </c>
      <c r="E32" s="178">
        <v>0.2</v>
      </c>
      <c r="F32" s="372">
        <f t="shared" si="0"/>
        <v>0.94267582410113127</v>
      </c>
      <c r="G32" s="249">
        <f t="shared" si="0"/>
        <v>5.7324175898868741E-2</v>
      </c>
      <c r="H32" s="323">
        <f t="shared" si="1"/>
        <v>3.0590328262879716</v>
      </c>
      <c r="I32" s="116">
        <f>(H32-H31)</f>
        <v>-8.0353931994988859E-2</v>
      </c>
      <c r="U32"/>
    </row>
    <row r="33" spans="2:22" s="7" customFormat="1" ht="16.5" thickTop="1" thickBot="1" x14ac:dyDescent="0.3">
      <c r="C33" s="25" t="s">
        <v>0</v>
      </c>
      <c r="D33" s="461">
        <f>D32</f>
        <v>3</v>
      </c>
      <c r="E33" s="454">
        <f>E32</f>
        <v>0.2</v>
      </c>
      <c r="F33" s="374">
        <v>1</v>
      </c>
      <c r="G33" s="376">
        <v>0</v>
      </c>
      <c r="H33" s="296">
        <f t="shared" si="1"/>
        <v>3.0590328262879716</v>
      </c>
      <c r="I33" s="8" t="s">
        <v>43</v>
      </c>
      <c r="J33" s="8"/>
      <c r="T33" s="8"/>
      <c r="U33" s="8"/>
      <c r="V33" s="8"/>
    </row>
    <row r="34" spans="2:22" s="7" customFormat="1" ht="15.75" thickBot="1" x14ac:dyDescent="0.3">
      <c r="B34"/>
      <c r="C34"/>
      <c r="D34" s="33"/>
      <c r="E34" s="33"/>
      <c r="F34" s="33"/>
      <c r="G34" s="33"/>
      <c r="H34" s="298">
        <f>SUMPRODUCT(D33:E33,F33:G33)</f>
        <v>3</v>
      </c>
      <c r="I34" t="s">
        <v>111</v>
      </c>
      <c r="T34"/>
      <c r="U34"/>
      <c r="V34"/>
    </row>
    <row r="35" spans="2:22" s="7" customFormat="1" ht="15.75" thickBot="1" x14ac:dyDescent="0.3">
      <c r="B35"/>
      <c r="C35"/>
      <c r="D35" s="33"/>
      <c r="E35" s="33"/>
      <c r="F35" s="33"/>
      <c r="G35" s="33"/>
      <c r="H35" s="298">
        <f>H33-H34</f>
        <v>5.9032826287971574E-2</v>
      </c>
      <c r="I35" s="7" t="s">
        <v>123</v>
      </c>
      <c r="T35"/>
      <c r="U35"/>
      <c r="V35"/>
    </row>
    <row r="36" spans="2:22" s="7" customFormat="1" ht="15.75" thickBot="1" x14ac:dyDescent="0.3">
      <c r="D36" s="17"/>
      <c r="E36" s="17"/>
      <c r="F36" s="17"/>
      <c r="G36" s="17"/>
      <c r="H36" s="298">
        <f>D20-H35</f>
        <v>0.63411435427197371</v>
      </c>
      <c r="I36" s="55" t="s">
        <v>104</v>
      </c>
    </row>
    <row r="37" spans="2:22" s="7" customFormat="1" ht="15" customHeight="1" x14ac:dyDescent="0.25">
      <c r="D37" s="17"/>
      <c r="E37" s="17"/>
      <c r="F37" s="17"/>
      <c r="G37" s="17"/>
      <c r="H37" s="54"/>
      <c r="I37" s="55"/>
      <c r="L37" s="290"/>
      <c r="M37" s="290"/>
      <c r="N37" s="290"/>
      <c r="O37" s="290"/>
      <c r="P37" s="290"/>
      <c r="Q37" s="290"/>
      <c r="R37" s="290"/>
      <c r="S37" s="290"/>
      <c r="T37" s="290"/>
      <c r="U37" s="290"/>
    </row>
    <row r="38" spans="2:22" s="7" customFormat="1" x14ac:dyDescent="0.25">
      <c r="D38" s="17"/>
      <c r="E38" s="17"/>
      <c r="F38" s="17"/>
      <c r="G38" s="17"/>
      <c r="H38" s="54"/>
      <c r="I38" s="55"/>
      <c r="K38" s="290"/>
      <c r="L38" s="290"/>
      <c r="M38" s="290"/>
      <c r="N38" s="290"/>
      <c r="O38" s="290"/>
      <c r="P38" s="290"/>
      <c r="Q38" s="290"/>
      <c r="R38" s="290"/>
      <c r="S38" s="290"/>
      <c r="T38" s="290"/>
      <c r="U38" s="290"/>
    </row>
    <row r="39" spans="2:22" s="7" customFormat="1" ht="15" customHeight="1" x14ac:dyDescent="0.25">
      <c r="C39" s="528" t="s">
        <v>125</v>
      </c>
      <c r="D39" s="528"/>
      <c r="E39" s="528"/>
      <c r="F39" s="528"/>
      <c r="G39" s="528"/>
      <c r="H39" s="528"/>
      <c r="I39" s="528"/>
      <c r="J39" s="528"/>
      <c r="K39" s="528"/>
      <c r="L39" s="528"/>
      <c r="M39" s="528"/>
      <c r="N39" s="290"/>
      <c r="O39" s="290"/>
      <c r="P39" s="290"/>
      <c r="Q39" s="290"/>
      <c r="R39" s="290"/>
      <c r="S39" s="290"/>
      <c r="T39" s="290"/>
      <c r="U39" s="290"/>
    </row>
    <row r="40" spans="2:22" s="7" customFormat="1" x14ac:dyDescent="0.25">
      <c r="C40" s="528"/>
      <c r="D40" s="528"/>
      <c r="E40" s="528"/>
      <c r="F40" s="528"/>
      <c r="G40" s="528"/>
      <c r="H40" s="528"/>
      <c r="I40" s="528"/>
      <c r="J40" s="528"/>
      <c r="K40" s="528"/>
      <c r="L40" s="528"/>
      <c r="M40" s="528"/>
      <c r="N40" s="290"/>
      <c r="O40" s="290"/>
      <c r="P40" s="290"/>
      <c r="Q40" s="290"/>
      <c r="R40" s="290"/>
      <c r="S40" s="290"/>
      <c r="T40" s="290"/>
      <c r="U40" s="290"/>
    </row>
    <row r="41" spans="2:22" s="7" customFormat="1" x14ac:dyDescent="0.25">
      <c r="C41" s="528"/>
      <c r="D41" s="528"/>
      <c r="E41" s="528"/>
      <c r="F41" s="528"/>
      <c r="G41" s="528"/>
      <c r="H41" s="528"/>
      <c r="I41" s="528"/>
      <c r="J41" s="528"/>
      <c r="K41" s="528"/>
      <c r="L41" s="528"/>
      <c r="M41" s="528"/>
      <c r="N41" s="290"/>
      <c r="O41" s="290"/>
      <c r="P41" s="290"/>
      <c r="Q41" s="290"/>
      <c r="R41" s="290"/>
      <c r="S41" s="290"/>
      <c r="T41" s="290"/>
      <c r="U41" s="290"/>
    </row>
    <row r="42" spans="2:22" s="7" customFormat="1" x14ac:dyDescent="0.25">
      <c r="C42" s="528"/>
      <c r="D42" s="528"/>
      <c r="E42" s="528"/>
      <c r="F42" s="528"/>
      <c r="G42" s="528"/>
      <c r="H42" s="528"/>
      <c r="I42" s="528"/>
      <c r="J42" s="528"/>
      <c r="K42" s="528"/>
      <c r="L42" s="528"/>
      <c r="M42" s="528"/>
      <c r="N42" s="290"/>
      <c r="O42" s="290"/>
      <c r="P42" s="290"/>
      <c r="Q42" s="290"/>
      <c r="R42" s="290"/>
      <c r="S42" s="290"/>
      <c r="T42" s="290"/>
      <c r="U42" s="290"/>
    </row>
    <row r="43" spans="2:22" s="7" customFormat="1" x14ac:dyDescent="0.25">
      <c r="C43" s="528"/>
      <c r="D43" s="528"/>
      <c r="E43" s="528"/>
      <c r="F43" s="528"/>
      <c r="G43" s="528"/>
      <c r="H43" s="528"/>
      <c r="I43" s="528"/>
      <c r="J43" s="528"/>
      <c r="K43" s="528"/>
      <c r="L43" s="528"/>
      <c r="M43" s="528"/>
      <c r="N43" s="290"/>
      <c r="O43" s="290"/>
      <c r="P43" s="290"/>
      <c r="Q43" s="290"/>
      <c r="R43" s="290"/>
      <c r="S43" s="290"/>
      <c r="T43" s="290"/>
      <c r="U43" s="290"/>
    </row>
    <row r="44" spans="2:22" s="7" customFormat="1" x14ac:dyDescent="0.25">
      <c r="C44" s="528"/>
      <c r="D44" s="528"/>
      <c r="E44" s="528"/>
      <c r="F44" s="528"/>
      <c r="G44" s="528"/>
      <c r="H44" s="528"/>
      <c r="I44" s="528"/>
      <c r="J44" s="528"/>
      <c r="K44" s="528"/>
      <c r="L44" s="528"/>
      <c r="M44" s="528"/>
      <c r="N44" s="290"/>
      <c r="O44" s="290"/>
      <c r="P44" s="290"/>
      <c r="Q44" s="290"/>
      <c r="R44" s="290"/>
      <c r="S44" s="290"/>
      <c r="T44" s="290"/>
      <c r="U44" s="290"/>
    </row>
    <row r="45" spans="2:22" s="7" customFormat="1" x14ac:dyDescent="0.25">
      <c r="C45" s="528"/>
      <c r="D45" s="528"/>
      <c r="E45" s="528"/>
      <c r="F45" s="528"/>
      <c r="G45" s="528"/>
      <c r="H45" s="528"/>
      <c r="I45" s="528"/>
      <c r="J45" s="528"/>
      <c r="K45" s="528"/>
      <c r="L45" s="528"/>
      <c r="M45" s="528"/>
      <c r="N45" s="290"/>
      <c r="O45" s="290"/>
      <c r="P45" s="290"/>
      <c r="Q45" s="290"/>
      <c r="R45" s="290"/>
      <c r="S45" s="290"/>
      <c r="T45" s="290"/>
      <c r="U45" s="290"/>
    </row>
    <row r="46" spans="2:22" s="7" customFormat="1" x14ac:dyDescent="0.25">
      <c r="C46" s="528"/>
      <c r="D46" s="528"/>
      <c r="E46" s="528"/>
      <c r="F46" s="528"/>
      <c r="G46" s="528"/>
      <c r="H46" s="528"/>
      <c r="I46" s="528"/>
      <c r="J46" s="528"/>
      <c r="K46" s="528"/>
      <c r="L46" s="528"/>
      <c r="M46" s="528"/>
      <c r="N46" s="290"/>
      <c r="O46" s="290"/>
      <c r="P46" s="290"/>
      <c r="Q46" s="290"/>
      <c r="R46" s="290"/>
      <c r="S46" s="290"/>
      <c r="T46" s="290"/>
      <c r="U46" s="290"/>
    </row>
    <row r="47" spans="2:22" s="7" customFormat="1" x14ac:dyDescent="0.25">
      <c r="D47" s="17"/>
      <c r="E47" s="17"/>
      <c r="F47" s="17"/>
      <c r="G47" s="17"/>
      <c r="H47" s="54"/>
      <c r="I47" s="55"/>
      <c r="K47" s="290"/>
      <c r="L47" s="290"/>
      <c r="M47" s="290"/>
      <c r="N47" s="290"/>
      <c r="O47" s="290"/>
      <c r="P47" s="290"/>
      <c r="Q47" s="290"/>
      <c r="R47" s="290"/>
      <c r="S47" s="290"/>
      <c r="T47" s="290"/>
      <c r="U47" s="290"/>
    </row>
    <row r="48" spans="2:22" s="7" customFormat="1" x14ac:dyDescent="0.25">
      <c r="D48" s="17"/>
      <c r="E48" s="17"/>
      <c r="F48" s="17"/>
      <c r="G48" s="17"/>
      <c r="H48" s="54"/>
      <c r="I48" s="55"/>
    </row>
    <row r="49" spans="1:26" s="7" customFormat="1" x14ac:dyDescent="0.25">
      <c r="D49" s="17"/>
      <c r="E49" s="17"/>
      <c r="F49" s="17"/>
      <c r="G49" s="17"/>
      <c r="H49" s="54"/>
      <c r="I49" s="55"/>
    </row>
    <row r="50" spans="1:26" s="7" customFormat="1" ht="15.75" thickBot="1" x14ac:dyDescent="0.3">
      <c r="A50" s="13"/>
      <c r="B50" s="13"/>
      <c r="C50" s="13"/>
      <c r="D50" s="271"/>
      <c r="E50" s="271"/>
      <c r="F50" s="271"/>
      <c r="G50" s="271"/>
      <c r="H50" s="271"/>
      <c r="I50" s="271"/>
      <c r="J50" s="13"/>
      <c r="K50" s="13"/>
      <c r="L50" s="13"/>
      <c r="M50" s="13"/>
      <c r="N50" s="13"/>
      <c r="O50" s="13"/>
      <c r="P50" s="13"/>
      <c r="Q50" s="13"/>
      <c r="R50" s="13"/>
      <c r="S50" s="13"/>
      <c r="T50" s="13"/>
      <c r="U50" s="13"/>
      <c r="V50" s="13"/>
      <c r="W50" s="13"/>
      <c r="X50" s="13"/>
      <c r="Y50" s="13"/>
      <c r="Z50" s="13"/>
    </row>
    <row r="51" spans="1:26" ht="21.75" thickTop="1" x14ac:dyDescent="0.35">
      <c r="C51" s="144" t="s">
        <v>135</v>
      </c>
    </row>
    <row r="53" spans="1:26" x14ac:dyDescent="0.25">
      <c r="B53" s="496" t="s">
        <v>172</v>
      </c>
      <c r="C53" s="155" t="s">
        <v>4</v>
      </c>
      <c r="D53" s="299" t="s">
        <v>140</v>
      </c>
      <c r="E53" s="299"/>
      <c r="F53" s="299"/>
      <c r="G53" s="299"/>
      <c r="H53" s="294"/>
    </row>
    <row r="54" spans="1:26" x14ac:dyDescent="0.25">
      <c r="B54" s="497"/>
      <c r="C54" s="17" t="s">
        <v>141</v>
      </c>
      <c r="D54" s="17" t="s">
        <v>3</v>
      </c>
      <c r="E54" s="17"/>
      <c r="F54" s="17"/>
      <c r="G54" s="17"/>
      <c r="H54" s="272"/>
      <c r="M54" s="7"/>
      <c r="N54" s="7"/>
      <c r="O54" s="7"/>
      <c r="P54" s="7"/>
      <c r="Q54" s="7"/>
      <c r="R54" s="7"/>
      <c r="S54" s="7"/>
    </row>
    <row r="55" spans="1:26" x14ac:dyDescent="0.25">
      <c r="B55" s="498"/>
      <c r="C55" s="292" t="s">
        <v>142</v>
      </c>
      <c r="D55" s="292" t="s">
        <v>2</v>
      </c>
      <c r="E55" s="292"/>
      <c r="F55" s="292"/>
      <c r="G55" s="292"/>
      <c r="H55" s="295"/>
      <c r="M55" s="18"/>
      <c r="N55" s="7"/>
      <c r="O55" s="7"/>
      <c r="P55" s="7"/>
      <c r="Q55" s="7"/>
      <c r="R55" s="7"/>
      <c r="S55" s="7"/>
    </row>
    <row r="56" spans="1:26" x14ac:dyDescent="0.25">
      <c r="B56" s="291"/>
      <c r="C56" s="33"/>
      <c r="M56" s="7"/>
      <c r="N56" s="7"/>
      <c r="O56" s="7"/>
      <c r="P56" s="7"/>
      <c r="Q56" s="7"/>
      <c r="R56" s="7"/>
      <c r="S56" s="7"/>
    </row>
    <row r="57" spans="1:26" x14ac:dyDescent="0.25">
      <c r="B57" s="496" t="s">
        <v>176</v>
      </c>
      <c r="C57" s="155" t="s">
        <v>4</v>
      </c>
      <c r="D57" s="299" t="s">
        <v>151</v>
      </c>
      <c r="E57" s="299"/>
      <c r="F57" s="299"/>
      <c r="G57" s="299"/>
      <c r="H57" s="294"/>
      <c r="M57" s="18"/>
    </row>
    <row r="58" spans="1:26" x14ac:dyDescent="0.25">
      <c r="B58" s="497"/>
      <c r="C58" s="17" t="s">
        <v>141</v>
      </c>
      <c r="D58" s="17" t="s">
        <v>3</v>
      </c>
      <c r="E58" s="17"/>
      <c r="F58" s="17"/>
      <c r="G58" s="17"/>
      <c r="H58" s="272"/>
      <c r="M58" s="18"/>
    </row>
    <row r="59" spans="1:26" x14ac:dyDescent="0.25">
      <c r="B59" s="498"/>
      <c r="C59" s="292" t="s">
        <v>142</v>
      </c>
      <c r="D59" s="292" t="s">
        <v>2</v>
      </c>
      <c r="E59" s="292"/>
      <c r="F59" s="292"/>
      <c r="G59" s="292"/>
      <c r="H59" s="295"/>
      <c r="M59" s="18"/>
    </row>
    <row r="60" spans="1:26" ht="15.75" thickBot="1" x14ac:dyDescent="0.3">
      <c r="B60" s="290"/>
      <c r="C60" s="7"/>
      <c r="D60" s="288"/>
      <c r="E60" s="7"/>
      <c r="F60" s="17"/>
      <c r="G60" s="17"/>
      <c r="H60" s="17"/>
      <c r="M60" s="18"/>
    </row>
    <row r="61" spans="1:26" x14ac:dyDescent="0.25">
      <c r="B61" s="499" t="s">
        <v>160</v>
      </c>
      <c r="C61" s="10" t="s">
        <v>173</v>
      </c>
      <c r="D61" s="309" t="s">
        <v>177</v>
      </c>
      <c r="E61" s="286" t="s">
        <v>175</v>
      </c>
      <c r="F61" s="286"/>
      <c r="G61" s="286"/>
      <c r="H61" s="284"/>
      <c r="M61" s="18"/>
    </row>
    <row r="62" spans="1:26" x14ac:dyDescent="0.25">
      <c r="B62" s="500"/>
      <c r="C62" s="17" t="s">
        <v>146</v>
      </c>
      <c r="D62" s="289">
        <f>COUNTA(D68:G68)</f>
        <v>4</v>
      </c>
      <c r="E62" s="17" t="s">
        <v>147</v>
      </c>
      <c r="F62" s="17"/>
      <c r="G62" s="17"/>
      <c r="H62" s="207"/>
      <c r="M62" s="18"/>
    </row>
    <row r="63" spans="1:26" x14ac:dyDescent="0.25">
      <c r="B63" s="500"/>
      <c r="C63" s="17" t="s">
        <v>5</v>
      </c>
      <c r="D63" s="288">
        <v>8</v>
      </c>
      <c r="E63" s="17" t="s">
        <v>150</v>
      </c>
      <c r="F63" s="17"/>
      <c r="G63" s="17"/>
      <c r="H63" s="207"/>
      <c r="M63" s="18"/>
    </row>
    <row r="64" spans="1:26" ht="15.75" thickBot="1" x14ac:dyDescent="0.3">
      <c r="B64" s="501"/>
      <c r="C64" s="171" t="s">
        <v>148</v>
      </c>
      <c r="D64" s="310">
        <f>L69</f>
        <v>11.090364888959126</v>
      </c>
      <c r="E64" s="171" t="s">
        <v>149</v>
      </c>
      <c r="F64" s="287"/>
      <c r="G64" s="287"/>
      <c r="H64" s="285"/>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8" t="s">
        <v>34</v>
      </c>
      <c r="D68" s="177" t="s">
        <v>6</v>
      </c>
      <c r="E68" s="181" t="s">
        <v>7</v>
      </c>
      <c r="F68" s="178" t="s">
        <v>8</v>
      </c>
      <c r="G68" s="182" t="s">
        <v>9</v>
      </c>
      <c r="H68" s="448" t="s">
        <v>6</v>
      </c>
      <c r="I68" s="449" t="s">
        <v>7</v>
      </c>
      <c r="J68" s="450" t="s">
        <v>8</v>
      </c>
      <c r="K68" s="451"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431">
        <v>1.0000000000000001E-5</v>
      </c>
      <c r="E69" s="432">
        <v>1.0000000000000001E-5</v>
      </c>
      <c r="F69" s="433">
        <v>1.0000000000000001E-5</v>
      </c>
      <c r="G69" s="434">
        <v>1.0000000000000001E-5</v>
      </c>
      <c r="H69" s="435">
        <f t="shared" ref="H69:K75" si="3">EXP(D69/$D$63)/(EXP($D69/$D$63)+EXP($E69/$D$63)+EXP($F69/$D$63)+EXP($G69/$D$63))</f>
        <v>0.25</v>
      </c>
      <c r="I69" s="436">
        <f t="shared" si="3"/>
        <v>0.25</v>
      </c>
      <c r="J69" s="437">
        <f t="shared" si="3"/>
        <v>0.25</v>
      </c>
      <c r="K69" s="438">
        <f t="shared" si="3"/>
        <v>0.25</v>
      </c>
      <c r="L69" s="297">
        <f>$D$63*LN(EXP($D69/$D$63)+EXP($E69/$D$63)+EXP($F69/$D$63)+EXP($G69/$D$63))</f>
        <v>11.090364888959126</v>
      </c>
      <c r="M69" s="75">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439">
        <v>1</v>
      </c>
      <c r="E70" s="440">
        <v>1</v>
      </c>
      <c r="F70" s="441">
        <v>1</v>
      </c>
      <c r="G70" s="442">
        <v>1</v>
      </c>
      <c r="H70" s="443">
        <f t="shared" si="3"/>
        <v>0.25</v>
      </c>
      <c r="I70" s="444">
        <f t="shared" si="3"/>
        <v>0.25</v>
      </c>
      <c r="J70" s="445">
        <f t="shared" si="3"/>
        <v>0.25</v>
      </c>
      <c r="K70" s="446">
        <f t="shared" si="3"/>
        <v>0.25</v>
      </c>
      <c r="L70" s="322">
        <f t="shared" ref="L70:L76" si="4">$D$63*LN(EXP($D70/$D$63)+EXP($E70/$D$63)+EXP($F70/$D$63)+EXP($G70/$D$63))</f>
        <v>12.090354888959125</v>
      </c>
      <c r="M70" s="76">
        <f t="shared" ref="M70:M74" si="5">(L70-L69)</f>
        <v>0.9999899999999986</v>
      </c>
      <c r="N70" s="7"/>
      <c r="O70" s="7" t="s">
        <v>121</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447">
        <f>O71</f>
        <v>3.8365846420950902</v>
      </c>
      <c r="E71" s="440">
        <v>0</v>
      </c>
      <c r="F71" s="441">
        <v>0</v>
      </c>
      <c r="G71" s="442">
        <v>0</v>
      </c>
      <c r="H71" s="443">
        <f t="shared" si="3"/>
        <v>0.35000000000000003</v>
      </c>
      <c r="I71" s="444">
        <f t="shared" si="3"/>
        <v>0.21666666666666667</v>
      </c>
      <c r="J71" s="445">
        <f t="shared" si="3"/>
        <v>0.21666666666666667</v>
      </c>
      <c r="K71" s="446">
        <f t="shared" si="3"/>
        <v>0.21666666666666667</v>
      </c>
      <c r="L71" s="322">
        <f>$D$63*LN(EXP($D71/$D$63)+EXP($E71/$D$63)+EXP($F71/$D$63)+EXP($G71/$D$63))</f>
        <v>12.235161638084511</v>
      </c>
      <c r="M71" s="76">
        <f t="shared" si="5"/>
        <v>0.1448067491253866</v>
      </c>
      <c r="N71" s="7"/>
      <c r="O71" s="86">
        <f>D63*LN(O72/(1-O72))+D63*LN((SUM((EXP(E71/D63)+EXP(F71/D63)+EXP(G71/D63)))))</f>
        <v>3.8365846420950902</v>
      </c>
      <c r="P71" s="352"/>
      <c r="Q71" s="352"/>
      <c r="R71" s="352"/>
      <c r="S71" s="352"/>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39">
        <v>1.9019999999999999</v>
      </c>
      <c r="E72" s="440">
        <v>1.0900000000000001</v>
      </c>
      <c r="F72" s="441">
        <v>2.0649999999999999</v>
      </c>
      <c r="G72" s="442">
        <v>1</v>
      </c>
      <c r="H72" s="443">
        <f t="shared" si="3"/>
        <v>0.26195571500204395</v>
      </c>
      <c r="I72" s="444">
        <f t="shared" si="3"/>
        <v>0.2366720583254813</v>
      </c>
      <c r="J72" s="445">
        <f t="shared" si="3"/>
        <v>0.26734780810524839</v>
      </c>
      <c r="K72" s="446">
        <f t="shared" si="3"/>
        <v>0.2340244185672265</v>
      </c>
      <c r="L72" s="322">
        <f t="shared" si="4"/>
        <v>12.618638529739362</v>
      </c>
      <c r="M72" s="76">
        <f t="shared" si="5"/>
        <v>0.38347689165485122</v>
      </c>
      <c r="N72" s="7"/>
      <c r="O72" s="85">
        <v>0.35</v>
      </c>
      <c r="P72" s="153"/>
      <c r="Q72" s="153"/>
      <c r="R72" s="153"/>
      <c r="S72" s="153"/>
      <c r="T72" s="7" t="b">
        <f>O72=H71</f>
        <v>1</v>
      </c>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439">
        <v>7</v>
      </c>
      <c r="E73" s="440">
        <v>4</v>
      </c>
      <c r="F73" s="441">
        <v>4.24</v>
      </c>
      <c r="G73" s="442">
        <v>3.1880000000000002</v>
      </c>
      <c r="H73" s="443">
        <f t="shared" si="3"/>
        <v>0.33151414279912189</v>
      </c>
      <c r="I73" s="444">
        <f t="shared" si="3"/>
        <v>0.22784611611341585</v>
      </c>
      <c r="J73" s="445">
        <f t="shared" si="3"/>
        <v>0.23478506339276881</v>
      </c>
      <c r="K73" s="446">
        <f t="shared" si="3"/>
        <v>0.20585467769469348</v>
      </c>
      <c r="L73" s="322">
        <f t="shared" si="4"/>
        <v>15.832678457777227</v>
      </c>
      <c r="M73" s="76">
        <f t="shared" si="5"/>
        <v>3.2140399280378649</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439">
        <v>11</v>
      </c>
      <c r="E74" s="440">
        <v>5</v>
      </c>
      <c r="F74" s="441">
        <v>2</v>
      </c>
      <c r="G74" s="442">
        <v>3.4</v>
      </c>
      <c r="H74" s="443">
        <f t="shared" si="3"/>
        <v>0.45792577025660447</v>
      </c>
      <c r="I74" s="444">
        <f t="shared" si="3"/>
        <v>0.21630881750738612</v>
      </c>
      <c r="J74" s="445">
        <f t="shared" si="3"/>
        <v>0.14866673118077942</v>
      </c>
      <c r="K74" s="446">
        <f t="shared" si="3"/>
        <v>0.17709868105523</v>
      </c>
      <c r="L74" s="322">
        <f t="shared" si="4"/>
        <v>17.248385453430764</v>
      </c>
      <c r="M74" s="76">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7">
        <v>10</v>
      </c>
      <c r="E75" s="181">
        <v>0</v>
      </c>
      <c r="F75" s="178">
        <v>0</v>
      </c>
      <c r="G75" s="182">
        <v>0</v>
      </c>
      <c r="H75" s="448">
        <f t="shared" si="3"/>
        <v>0.53777481102890734</v>
      </c>
      <c r="I75" s="449">
        <f t="shared" si="3"/>
        <v>0.15407506299036422</v>
      </c>
      <c r="J75" s="450">
        <f t="shared" si="3"/>
        <v>0.15407506299036422</v>
      </c>
      <c r="K75" s="451">
        <f t="shared" si="3"/>
        <v>0.15407506299036422</v>
      </c>
      <c r="L75" s="323">
        <f t="shared" si="4"/>
        <v>14.962522986437438</v>
      </c>
      <c r="M75" s="35">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452">
        <f>D75</f>
        <v>10</v>
      </c>
      <c r="E76" s="453">
        <f>E75</f>
        <v>0</v>
      </c>
      <c r="F76" s="454">
        <f>F75</f>
        <v>0</v>
      </c>
      <c r="G76" s="455">
        <f>G75</f>
        <v>0</v>
      </c>
      <c r="H76" s="456">
        <v>1</v>
      </c>
      <c r="I76" s="457">
        <v>0</v>
      </c>
      <c r="J76" s="458">
        <v>0</v>
      </c>
      <c r="K76" s="459">
        <v>0</v>
      </c>
      <c r="L76" s="296">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98">
        <f>SUMPRODUCT(D76:G76,H76:K76)</f>
        <v>10</v>
      </c>
      <c r="M77" t="s">
        <v>111</v>
      </c>
    </row>
    <row r="78" spans="1:45" ht="15.75" thickBot="1" x14ac:dyDescent="0.3">
      <c r="A78" s="7"/>
      <c r="B78" s="7"/>
      <c r="C78" s="7"/>
      <c r="L78" s="298">
        <f>L76-L77</f>
        <v>4.9625229864374383</v>
      </c>
      <c r="M78" s="7" t="s">
        <v>123</v>
      </c>
    </row>
    <row r="79" spans="1:45" ht="15.75" thickBot="1" x14ac:dyDescent="0.3">
      <c r="A79" s="7"/>
      <c r="B79" s="7"/>
      <c r="C79" s="7"/>
      <c r="L79" s="298">
        <f>D64-L78</f>
        <v>6.1278419025216877</v>
      </c>
      <c r="M79" s="55" t="s">
        <v>104</v>
      </c>
    </row>
    <row r="80" spans="1:45" x14ac:dyDescent="0.25">
      <c r="A80" s="7"/>
      <c r="B80" s="7"/>
      <c r="C80" s="7"/>
      <c r="M80" s="206"/>
      <c r="N80" s="7"/>
    </row>
    <row r="81" spans="1:25" x14ac:dyDescent="0.25">
      <c r="A81" s="7"/>
      <c r="B81" s="7"/>
      <c r="C81" s="7"/>
      <c r="M81" s="206"/>
      <c r="N81" s="7"/>
    </row>
    <row r="82" spans="1:25" ht="15" customHeight="1" x14ac:dyDescent="0.25">
      <c r="A82" s="7"/>
      <c r="B82" s="7"/>
      <c r="C82" s="7"/>
      <c r="D82" s="528" t="s">
        <v>126</v>
      </c>
      <c r="E82" s="528"/>
      <c r="F82" s="528"/>
      <c r="G82" s="528"/>
      <c r="H82" s="528"/>
      <c r="I82" s="528"/>
      <c r="J82" s="528"/>
      <c r="K82" s="528"/>
      <c r="L82" s="528"/>
      <c r="M82" s="528"/>
      <c r="N82" s="290"/>
      <c r="O82" s="290"/>
      <c r="P82" s="290"/>
      <c r="Q82" s="290"/>
      <c r="R82" s="290"/>
      <c r="S82" s="290"/>
      <c r="T82" s="290"/>
      <c r="U82" s="290"/>
      <c r="V82">
        <f>(D72-D71)*H71</f>
        <v>-0.6771046247332817</v>
      </c>
      <c r="W82">
        <f>(E72-E71)*I71</f>
        <v>0.23616666666666669</v>
      </c>
      <c r="X82">
        <f t="shared" ref="X82" si="6">(F72-F71)*J71</f>
        <v>0.44741666666666668</v>
      </c>
      <c r="Y82">
        <f>(G72-G71)*K71</f>
        <v>0.21666666666666667</v>
      </c>
    </row>
    <row r="83" spans="1:25" x14ac:dyDescent="0.25">
      <c r="A83" s="7"/>
      <c r="B83" s="7"/>
      <c r="C83" s="7"/>
      <c r="D83" s="528"/>
      <c r="E83" s="528"/>
      <c r="F83" s="528"/>
      <c r="G83" s="528"/>
      <c r="H83" s="528"/>
      <c r="I83" s="528"/>
      <c r="J83" s="528"/>
      <c r="K83" s="528"/>
      <c r="L83" s="528"/>
      <c r="M83" s="528"/>
      <c r="N83" s="290"/>
      <c r="O83" s="290"/>
      <c r="P83" s="290"/>
      <c r="Q83" s="290"/>
      <c r="R83" s="290"/>
      <c r="S83" s="290"/>
      <c r="T83" s="290"/>
      <c r="U83" s="290"/>
      <c r="V83" s="290"/>
      <c r="W83" s="290"/>
    </row>
    <row r="84" spans="1:25" x14ac:dyDescent="0.25">
      <c r="A84" s="7"/>
      <c r="B84" s="7"/>
      <c r="C84" s="7"/>
      <c r="D84" s="528"/>
      <c r="E84" s="528"/>
      <c r="F84" s="528"/>
      <c r="G84" s="528"/>
      <c r="H84" s="528"/>
      <c r="I84" s="528"/>
      <c r="J84" s="528"/>
      <c r="K84" s="528"/>
      <c r="L84" s="528"/>
      <c r="M84" s="528"/>
      <c r="N84" s="290"/>
      <c r="O84" s="290"/>
      <c r="P84" s="290"/>
      <c r="Q84" s="290"/>
      <c r="R84" s="290"/>
      <c r="S84" s="290"/>
      <c r="T84" s="290"/>
      <c r="U84" s="290"/>
      <c r="V84" s="290"/>
      <c r="W84" s="290"/>
    </row>
    <row r="85" spans="1:25" x14ac:dyDescent="0.25">
      <c r="A85" s="7"/>
      <c r="B85" s="7"/>
      <c r="C85" s="7"/>
      <c r="D85" s="528"/>
      <c r="E85" s="528"/>
      <c r="F85" s="528"/>
      <c r="G85" s="528"/>
      <c r="H85" s="528"/>
      <c r="I85" s="528"/>
      <c r="J85" s="528"/>
      <c r="K85" s="528"/>
      <c r="L85" s="528"/>
      <c r="M85" s="528"/>
      <c r="N85" s="290"/>
      <c r="O85" s="290"/>
      <c r="P85" s="290"/>
      <c r="Q85" s="290"/>
      <c r="R85" s="290"/>
      <c r="S85" s="290"/>
      <c r="T85" s="290"/>
      <c r="U85" s="290"/>
      <c r="V85" s="290"/>
      <c r="W85" s="290"/>
    </row>
    <row r="86" spans="1:25" x14ac:dyDescent="0.25">
      <c r="A86" s="7"/>
      <c r="B86" s="7"/>
      <c r="C86" s="7"/>
      <c r="D86" s="528"/>
      <c r="E86" s="528"/>
      <c r="F86" s="528"/>
      <c r="G86" s="528"/>
      <c r="H86" s="528"/>
      <c r="I86" s="528"/>
      <c r="J86" s="528"/>
      <c r="K86" s="528"/>
      <c r="L86" s="528"/>
      <c r="M86" s="528"/>
      <c r="N86" s="290"/>
      <c r="O86" s="290"/>
      <c r="P86" s="290"/>
      <c r="Q86" s="290"/>
      <c r="R86" s="290"/>
      <c r="S86" s="290"/>
      <c r="T86" s="290"/>
      <c r="U86" s="290"/>
      <c r="V86" s="290"/>
      <c r="W86" s="290"/>
    </row>
    <row r="87" spans="1:25" x14ac:dyDescent="0.25">
      <c r="A87" s="7"/>
      <c r="B87" s="7"/>
      <c r="C87" s="7"/>
      <c r="D87" s="528"/>
      <c r="E87" s="528"/>
      <c r="F87" s="528"/>
      <c r="G87" s="528"/>
      <c r="H87" s="528"/>
      <c r="I87" s="528"/>
      <c r="J87" s="528"/>
      <c r="K87" s="528"/>
      <c r="L87" s="528"/>
      <c r="M87" s="528"/>
      <c r="N87" s="290"/>
      <c r="O87" s="290"/>
      <c r="P87" s="290"/>
      <c r="Q87" s="290"/>
      <c r="R87" s="290"/>
      <c r="S87" s="290"/>
      <c r="T87" s="290"/>
      <c r="U87" s="290"/>
      <c r="V87" s="290"/>
      <c r="W87" s="290"/>
    </row>
    <row r="88" spans="1:25" x14ac:dyDescent="0.25">
      <c r="A88" s="7"/>
      <c r="B88" s="7"/>
      <c r="C88" s="7"/>
      <c r="D88" s="528"/>
      <c r="E88" s="528"/>
      <c r="F88" s="528"/>
      <c r="G88" s="528"/>
      <c r="H88" s="528"/>
      <c r="I88" s="528"/>
      <c r="J88" s="528"/>
      <c r="K88" s="528"/>
      <c r="L88" s="528"/>
      <c r="M88" s="528"/>
      <c r="N88" s="290"/>
      <c r="O88" s="290"/>
      <c r="P88" s="290"/>
      <c r="Q88" s="290"/>
      <c r="R88" s="290"/>
      <c r="S88" s="290"/>
      <c r="T88" s="290"/>
      <c r="U88" s="290"/>
      <c r="V88" s="290"/>
      <c r="W88" s="290"/>
    </row>
    <row r="89" spans="1:25" x14ac:dyDescent="0.25">
      <c r="A89" s="7"/>
      <c r="B89" s="7"/>
      <c r="C89" s="7"/>
      <c r="M89" s="290"/>
      <c r="N89" s="290"/>
      <c r="O89" s="290"/>
      <c r="P89" s="290"/>
      <c r="Q89" s="290"/>
      <c r="R89" s="290"/>
      <c r="S89" s="290"/>
      <c r="T89" s="290"/>
      <c r="U89" s="290"/>
      <c r="V89" s="290"/>
      <c r="W89" s="290"/>
    </row>
    <row r="90" spans="1:25" x14ac:dyDescent="0.25">
      <c r="A90" s="7"/>
      <c r="B90" s="7"/>
      <c r="C90" s="7"/>
    </row>
    <row r="91" spans="1:25" x14ac:dyDescent="0.25">
      <c r="A91" s="7"/>
      <c r="B91" s="7"/>
      <c r="C91" s="7"/>
      <c r="D91" s="292" t="s">
        <v>124</v>
      </c>
      <c r="E91" s="292"/>
      <c r="F91" s="292"/>
      <c r="G91" s="292"/>
      <c r="H91" s="292"/>
      <c r="I91" s="292"/>
      <c r="J91" s="280"/>
      <c r="K91" s="280"/>
      <c r="L91" s="280"/>
      <c r="M91" s="293"/>
      <c r="N91" s="55"/>
      <c r="T91" s="7"/>
      <c r="U91" s="7"/>
      <c r="V91" s="7"/>
    </row>
    <row r="92" spans="1:25" ht="15" customHeight="1" x14ac:dyDescent="0.25">
      <c r="A92" s="7"/>
      <c r="B92" s="7"/>
      <c r="C92" s="7"/>
      <c r="D92" s="17"/>
      <c r="E92" s="17"/>
      <c r="F92" s="17"/>
      <c r="H92" s="87" t="s">
        <v>5</v>
      </c>
      <c r="I92" s="87" t="s">
        <v>5</v>
      </c>
      <c r="N92" s="155"/>
      <c r="O92" s="155"/>
      <c r="P92" s="155"/>
      <c r="Q92" s="155"/>
      <c r="R92" s="155"/>
      <c r="S92" s="155"/>
      <c r="T92" s="299"/>
      <c r="U92" s="155"/>
      <c r="V92" s="155"/>
      <c r="W92" s="407"/>
    </row>
    <row r="93" spans="1:25" ht="15.75" thickBot="1" x14ac:dyDescent="0.3">
      <c r="A93" s="17"/>
      <c r="B93" s="17"/>
      <c r="C93" s="17"/>
      <c r="D93" s="17"/>
      <c r="E93" s="17"/>
      <c r="F93" s="20">
        <v>3</v>
      </c>
      <c r="H93" s="87">
        <v>0</v>
      </c>
      <c r="I93" s="87">
        <v>1</v>
      </c>
      <c r="L93" t="s">
        <v>54</v>
      </c>
      <c r="V93" s="529" t="s">
        <v>218</v>
      </c>
      <c r="W93" s="530"/>
      <c r="X93" s="531"/>
    </row>
    <row r="94" spans="1:25" ht="15.75" thickBot="1" x14ac:dyDescent="0.3">
      <c r="A94" s="7"/>
      <c r="B94" s="7"/>
      <c r="C94" s="7"/>
      <c r="D94" s="17"/>
      <c r="E94" s="17"/>
      <c r="F94" s="21" t="s">
        <v>4</v>
      </c>
      <c r="G94" s="87">
        <v>0</v>
      </c>
      <c r="H94" s="88">
        <f>H71</f>
        <v>0.35000000000000003</v>
      </c>
      <c r="I94" s="89">
        <f>I71</f>
        <v>0.21666666666666667</v>
      </c>
      <c r="J94" s="90">
        <f>SUM(H94:I94)</f>
        <v>0.56666666666666665</v>
      </c>
      <c r="L94" s="120">
        <f>I95/SUM(H95:I95)</f>
        <v>0.5</v>
      </c>
      <c r="V94" s="532"/>
      <c r="W94" s="528"/>
      <c r="X94" s="533"/>
    </row>
    <row r="95" spans="1:25" ht="15.75" thickBot="1" x14ac:dyDescent="0.3">
      <c r="A95" s="7"/>
      <c r="B95" s="7"/>
      <c r="C95" s="7"/>
      <c r="D95" s="17"/>
      <c r="E95" s="17"/>
      <c r="F95" s="21" t="s">
        <v>4</v>
      </c>
      <c r="G95" s="87">
        <v>1</v>
      </c>
      <c r="H95" s="91">
        <f>J71</f>
        <v>0.21666666666666667</v>
      </c>
      <c r="I95" s="92">
        <f>K71</f>
        <v>0.21666666666666667</v>
      </c>
      <c r="J95" s="93">
        <f>SUM(H95:I95)</f>
        <v>0.43333333333333335</v>
      </c>
      <c r="N95" s="409" t="s">
        <v>36</v>
      </c>
      <c r="O95" s="412" t="s">
        <v>213</v>
      </c>
      <c r="P95" s="410" t="s">
        <v>215</v>
      </c>
      <c r="Q95" s="412" t="s">
        <v>213</v>
      </c>
      <c r="R95" s="410" t="s">
        <v>214</v>
      </c>
      <c r="S95" s="411" t="s">
        <v>213</v>
      </c>
      <c r="V95" s="532"/>
      <c r="W95" s="528"/>
      <c r="X95" s="533"/>
    </row>
    <row r="96" spans="1:25" ht="15.75" thickBot="1" x14ac:dyDescent="0.3">
      <c r="A96" s="7"/>
      <c r="B96" s="7"/>
      <c r="C96" s="7"/>
      <c r="D96" s="17"/>
      <c r="E96" s="17"/>
      <c r="F96" s="17"/>
      <c r="H96" s="121">
        <f>SUM(H94:H95)</f>
        <v>0.56666666666666665</v>
      </c>
      <c r="I96" s="122">
        <f>SUM(I94:I95)</f>
        <v>0.43333333333333335</v>
      </c>
      <c r="J96" s="95">
        <f>SUM(H94:I95)</f>
        <v>1</v>
      </c>
      <c r="N96" s="415">
        <v>0</v>
      </c>
      <c r="O96" s="416"/>
      <c r="P96" s="417">
        <v>0</v>
      </c>
      <c r="Q96" s="416"/>
      <c r="R96" s="417">
        <v>0</v>
      </c>
      <c r="S96" s="418"/>
      <c r="V96" s="532"/>
      <c r="W96" s="528"/>
      <c r="X96" s="533"/>
    </row>
    <row r="97" spans="1:24" x14ac:dyDescent="0.25">
      <c r="A97" s="7"/>
      <c r="B97" s="7"/>
      <c r="C97" s="7"/>
      <c r="D97" s="17"/>
      <c r="E97" s="17"/>
      <c r="F97" s="17"/>
      <c r="H97" s="94"/>
      <c r="I97" s="94"/>
      <c r="J97" s="93"/>
      <c r="N97" s="415">
        <f>$D$63*LN(EXP($D69/$D$63)+EXP($E69/$D$63)+EXP($F69/$D$63)+EXP($G69/$D$63))</f>
        <v>11.090364888959126</v>
      </c>
      <c r="O97" s="419">
        <f t="shared" ref="O97:Q104" si="7">N97-N96</f>
        <v>11.090364888959126</v>
      </c>
      <c r="P97" s="417">
        <f>$D$63*((($D69/$D$63)+($E69/$D$63)+($F69/$D$63)+($G69/$D$63)))/((SUM(($D69/$D$63)^2,($E69/$D$63)^2,($F69/$D$63)^2,($G69/$D$63)^2)^(1/2)))</f>
        <v>16</v>
      </c>
      <c r="Q97" s="419">
        <f>P97-P96</f>
        <v>16</v>
      </c>
      <c r="R97" s="417">
        <f>$D$63*(($D69/$D$63)+($E69/$D$63)+($F69/$D$63)+($G69/$D$63)) - $D$63*(SUM(($D69/$D$63)^2,($E69/$D$63)^2,($F69/$D$63)^2,($G69/$D$63)^2)/2)</f>
        <v>3.9999975000000002E-5</v>
      </c>
      <c r="S97" s="420">
        <f t="shared" ref="S97" si="8">R97-R96</f>
        <v>3.9999975000000002E-5</v>
      </c>
      <c r="T97" s="414" t="s">
        <v>217</v>
      </c>
      <c r="V97" s="532"/>
      <c r="W97" s="528"/>
      <c r="X97" s="533"/>
    </row>
    <row r="98" spans="1:24" x14ac:dyDescent="0.25">
      <c r="A98" s="7"/>
      <c r="B98" s="7"/>
      <c r="C98" s="7"/>
      <c r="D98" s="17"/>
      <c r="E98" s="17"/>
      <c r="F98" s="17"/>
      <c r="H98" s="94"/>
      <c r="I98" s="94"/>
      <c r="J98" s="93"/>
      <c r="N98" s="415">
        <f t="shared" ref="N98:N99" si="9">$D$63*LN(EXP($D70/$D$63)+EXP($E70/$D$63)+EXP($F70/$D$63)+EXP($G70/$D$63))</f>
        <v>12.090354888959125</v>
      </c>
      <c r="O98" s="416">
        <f t="shared" si="7"/>
        <v>0.9999899999999986</v>
      </c>
      <c r="P98" s="417">
        <f>$D$63*((($D70/$D$63)+($E70/$D$63)+($F70/$D$63)+($G70/$D$63)))/((SUM(($D70/$D$63)^2,($E70/$D$63)^2,($F70/$D$63)^2,($G70/$D$63)^2)^(1/2)))</f>
        <v>16</v>
      </c>
      <c r="Q98" s="416">
        <f>P98-P97</f>
        <v>0</v>
      </c>
      <c r="R98" s="417">
        <f t="shared" ref="R98:R104" si="10">$D$63*(($D70/$D$63)+($E70/$D$63)+($F70/$D$63)+($G70/$D$63)) - $D$63*(SUM(($D70/$D$63)^2,($E70/$D$63)^2,($F70/$D$63)^2,($G70/$D$63)^2)/2)</f>
        <v>3.75</v>
      </c>
      <c r="S98" s="418">
        <f>R98-R97</f>
        <v>3.7499600000250002</v>
      </c>
      <c r="V98" s="532"/>
      <c r="W98" s="528"/>
      <c r="X98" s="533"/>
    </row>
    <row r="99" spans="1:24" ht="15.75" thickBot="1" x14ac:dyDescent="0.3">
      <c r="A99" s="7"/>
      <c r="B99" s="7"/>
      <c r="C99" s="17"/>
      <c r="D99" s="17"/>
      <c r="E99" s="17"/>
      <c r="F99" s="20">
        <v>4</v>
      </c>
      <c r="H99" s="96">
        <v>0</v>
      </c>
      <c r="I99" s="96">
        <v>1</v>
      </c>
      <c r="J99" s="93"/>
      <c r="L99" t="s">
        <v>54</v>
      </c>
      <c r="M99">
        <v>3</v>
      </c>
      <c r="N99" s="415">
        <f t="shared" si="9"/>
        <v>12.235161638084511</v>
      </c>
      <c r="O99" s="416">
        <f t="shared" si="7"/>
        <v>0.1448067491253866</v>
      </c>
      <c r="P99" s="417">
        <f>$D$63*((($D71/$D$63)+($E71/$D$63)+($F71/$D$63)+($G71/$D$63)))/((SUM(($D71/$D$63)^2,($E71/$D$63)^2,($F71/$D$63)^2,($G71/$D$63)^2)^(1/2)))</f>
        <v>8</v>
      </c>
      <c r="Q99" s="416">
        <f t="shared" si="7"/>
        <v>-8</v>
      </c>
      <c r="R99" s="417">
        <f t="shared" si="10"/>
        <v>2.9166232848475957</v>
      </c>
      <c r="S99" s="418">
        <f t="shared" ref="S99" si="11">R99-R98</f>
        <v>-0.8333767151524043</v>
      </c>
      <c r="V99" s="532"/>
      <c r="W99" s="528"/>
      <c r="X99" s="533"/>
    </row>
    <row r="100" spans="1:24" x14ac:dyDescent="0.25">
      <c r="A100" s="7"/>
      <c r="B100" s="7"/>
      <c r="C100" s="7"/>
      <c r="F100" s="21" t="s">
        <v>4</v>
      </c>
      <c r="G100" s="87">
        <v>0</v>
      </c>
      <c r="H100" s="88">
        <f>H72</f>
        <v>0.26195571500204395</v>
      </c>
      <c r="I100" s="89">
        <f>I72</f>
        <v>0.2366720583254813</v>
      </c>
      <c r="J100" s="90">
        <f>SUM(H100:I100)</f>
        <v>0.49862777332752528</v>
      </c>
      <c r="L100" s="408">
        <f>I101/SUM(H101:I101)</f>
        <v>0.46676781464423767</v>
      </c>
      <c r="M100">
        <v>4</v>
      </c>
      <c r="N100" s="421">
        <f>$D$63*LN(EXP($D72/$D$63)+EXP($E72/$D$63)+EXP($F72/$D$63)+EXP($G72/$D$63))</f>
        <v>12.618638529739362</v>
      </c>
      <c r="O100" s="422">
        <f>N100-N99</f>
        <v>0.38347689165485122</v>
      </c>
      <c r="P100" s="423">
        <f>$D$63*((($D72/$D$63)+($E72/$D$63)+($F72/$D$63)+($G72/$D$63)))/((SUM(($D72/$D$63)^2,($E72/$D$63)^2,($F72/$D$63)^2,($G72/$D$63)^2)^(1/2)))</f>
        <v>15.269835427210296</v>
      </c>
      <c r="Q100" s="424">
        <f>P100-P99</f>
        <v>7.2698354272102961</v>
      </c>
      <c r="R100" s="423">
        <f t="shared" si="10"/>
        <v>5.4276294375000003</v>
      </c>
      <c r="S100" s="425">
        <f>R100-R99</f>
        <v>2.5110061526524046</v>
      </c>
      <c r="T100" s="413" t="s">
        <v>216</v>
      </c>
      <c r="V100" s="532"/>
      <c r="W100" s="528"/>
      <c r="X100" s="533"/>
    </row>
    <row r="101" spans="1:24" ht="15.75" thickBot="1" x14ac:dyDescent="0.3">
      <c r="A101" s="7"/>
      <c r="B101" s="7"/>
      <c r="C101" s="7"/>
      <c r="F101" s="21" t="s">
        <v>4</v>
      </c>
      <c r="G101" s="87">
        <v>1</v>
      </c>
      <c r="H101" s="91">
        <f>J72</f>
        <v>0.26734780810524839</v>
      </c>
      <c r="I101" s="92">
        <f>K72</f>
        <v>0.2340244185672265</v>
      </c>
      <c r="J101" s="93">
        <f>SUM(H101:I101)</f>
        <v>0.50137222667247494</v>
      </c>
      <c r="M101">
        <v>5</v>
      </c>
      <c r="N101" s="421">
        <f t="shared" ref="N101:N103" si="12">$D$63*LN(EXP($D73/$D$63)+EXP($E73/$D$63)+EXP($F73/$D$63)+EXP($G73/$D$63))</f>
        <v>15.832678457777227</v>
      </c>
      <c r="O101" s="422">
        <f t="shared" si="7"/>
        <v>3.2140399280378649</v>
      </c>
      <c r="P101" s="423">
        <f t="shared" ref="P101:P104" si="13">$D$63*((($D73/$D$63)+($E73/$D$63)+($F73/$D$63)+($G73/$D$63)))/((SUM(($D73/$D$63)^2,($E73/$D$63)^2,($F73/$D$63)^2,($G73/$D$63)^2)^(1/2)))</f>
        <v>15.275585766304406</v>
      </c>
      <c r="Q101" s="422">
        <f t="shared" si="7"/>
        <v>5.7503390941100463E-3</v>
      </c>
      <c r="R101" s="423">
        <f t="shared" si="10"/>
        <v>12.606691000000001</v>
      </c>
      <c r="S101" s="426">
        <f>R101-R100</f>
        <v>7.1790615625000012</v>
      </c>
      <c r="T101" s="413" t="s">
        <v>216</v>
      </c>
      <c r="V101" s="532"/>
      <c r="W101" s="528"/>
      <c r="X101" s="533"/>
    </row>
    <row r="102" spans="1:24" ht="15.75" thickBot="1" x14ac:dyDescent="0.3">
      <c r="A102" s="7"/>
      <c r="B102" s="7"/>
      <c r="C102" s="7"/>
      <c r="H102" s="121">
        <f>SUM(H100:H101)</f>
        <v>0.52930352310729234</v>
      </c>
      <c r="I102" s="122">
        <f>SUM(I100:I101)</f>
        <v>0.47069647689270777</v>
      </c>
      <c r="J102" s="95">
        <f>SUM(H100:I101)</f>
        <v>1.0000000000000002</v>
      </c>
      <c r="N102" s="415">
        <f t="shared" si="12"/>
        <v>17.248385453430764</v>
      </c>
      <c r="O102" s="416">
        <f t="shared" si="7"/>
        <v>1.4157069956535366</v>
      </c>
      <c r="P102" s="417">
        <f>$D$63*((($D74/$D$63)+($E74/$D$63)+($F74/$D$63)+($G74/$D$63)))/((SUM(($D74/$D$63)^2,($E74/$D$63)^2,($F74/$D$63)^2,($G74/$D$63)^2)^(1/2)))</f>
        <v>13.469046060602045</v>
      </c>
      <c r="Q102" s="416">
        <f t="shared" si="7"/>
        <v>-1.8065397057023613</v>
      </c>
      <c r="R102" s="417">
        <f>$D$63*(($D74/$D$63)+($E74/$D$63)+($F74/$D$63)+($G74/$D$63)) - $D$63*(SUM(($D74/$D$63)^2,($E74/$D$63)^2,($F74/$D$63)^2,($G74/$D$63)^2)/2)</f>
        <v>11.302499999999998</v>
      </c>
      <c r="S102" s="418">
        <f t="shared" ref="S102" si="14">R102-R101</f>
        <v>-1.304191000000003</v>
      </c>
      <c r="V102" s="532"/>
      <c r="W102" s="528"/>
      <c r="X102" s="533"/>
    </row>
    <row r="103" spans="1:24" x14ac:dyDescent="0.25">
      <c r="A103" s="7"/>
      <c r="B103" s="7"/>
      <c r="C103" s="7"/>
      <c r="N103" s="415">
        <f t="shared" si="12"/>
        <v>14.962522986437438</v>
      </c>
      <c r="O103" s="416">
        <f t="shared" si="7"/>
        <v>-2.2858624669933256</v>
      </c>
      <c r="P103" s="417">
        <f t="shared" si="13"/>
        <v>8</v>
      </c>
      <c r="Q103" s="416">
        <f t="shared" si="7"/>
        <v>-5.4690460606020448</v>
      </c>
      <c r="R103" s="417">
        <f t="shared" si="10"/>
        <v>3.75</v>
      </c>
      <c r="S103" s="418">
        <f t="shared" ref="S103" si="15">R103-R102</f>
        <v>-7.5524999999999984</v>
      </c>
      <c r="V103" s="532"/>
      <c r="W103" s="528"/>
      <c r="X103" s="533"/>
    </row>
    <row r="104" spans="1:24" ht="15.75" customHeight="1" thickBot="1" x14ac:dyDescent="0.3">
      <c r="F104" s="537" t="s">
        <v>55</v>
      </c>
      <c r="G104" s="537"/>
      <c r="H104" s="537"/>
      <c r="I104" s="537"/>
      <c r="J104" s="537"/>
      <c r="K104" s="537"/>
      <c r="L104" s="537"/>
      <c r="N104" s="427">
        <f>$D$63*LN(EXP($D76/$D$63)+EXP($E76/$D$63)+EXP($F76/$D$63)+EXP($G76/$D$63))</f>
        <v>14.962522986437438</v>
      </c>
      <c r="O104" s="428">
        <f>N104-N103</f>
        <v>0</v>
      </c>
      <c r="P104" s="429">
        <f t="shared" si="13"/>
        <v>8</v>
      </c>
      <c r="Q104" s="428">
        <f t="shared" si="7"/>
        <v>0</v>
      </c>
      <c r="R104" s="429">
        <f t="shared" si="10"/>
        <v>3.75</v>
      </c>
      <c r="S104" s="430">
        <f t="shared" ref="S104" si="16">R104-R103</f>
        <v>0</v>
      </c>
      <c r="V104" s="532"/>
      <c r="W104" s="528"/>
      <c r="X104" s="533"/>
    </row>
    <row r="105" spans="1:24" x14ac:dyDescent="0.25">
      <c r="F105" s="537"/>
      <c r="G105" s="537"/>
      <c r="H105" s="537"/>
      <c r="I105" s="537"/>
      <c r="J105" s="537"/>
      <c r="K105" s="537"/>
      <c r="L105" s="537"/>
      <c r="N105" s="145"/>
      <c r="O105" s="8"/>
      <c r="P105" s="8"/>
      <c r="Q105" s="8"/>
      <c r="R105" s="8"/>
      <c r="S105" s="8"/>
      <c r="V105" s="532"/>
      <c r="W105" s="528"/>
      <c r="X105" s="533"/>
    </row>
    <row r="106" spans="1:24" x14ac:dyDescent="0.25">
      <c r="N106" s="145"/>
      <c r="P106" s="8"/>
      <c r="R106" s="8"/>
      <c r="S106" s="8"/>
      <c r="V106" s="532"/>
      <c r="W106" s="528"/>
      <c r="X106" s="533"/>
    </row>
    <row r="107" spans="1:24" ht="15.75" thickBot="1" x14ac:dyDescent="0.3">
      <c r="F107" s="26">
        <v>5</v>
      </c>
      <c r="H107" s="96">
        <v>0</v>
      </c>
      <c r="I107" s="96">
        <v>1</v>
      </c>
      <c r="J107" s="93"/>
      <c r="L107" t="s">
        <v>54</v>
      </c>
      <c r="N107" s="146"/>
      <c r="O107" s="146"/>
      <c r="P107" s="146"/>
      <c r="Q107" s="146"/>
      <c r="R107" s="146"/>
      <c r="S107" s="146"/>
      <c r="V107" s="532"/>
      <c r="W107" s="528"/>
      <c r="X107" s="533"/>
    </row>
    <row r="108" spans="1:24" x14ac:dyDescent="0.25">
      <c r="F108" s="21" t="s">
        <v>4</v>
      </c>
      <c r="G108" s="87">
        <v>0</v>
      </c>
      <c r="H108" s="88">
        <f>H73</f>
        <v>0.33151414279912189</v>
      </c>
      <c r="I108" s="89">
        <f>I73</f>
        <v>0.22784611611341585</v>
      </c>
      <c r="J108" s="90">
        <f>SUM(H108:I108)</f>
        <v>0.55936025891253771</v>
      </c>
      <c r="L108" s="408">
        <f>I109/SUM(H109:I109)</f>
        <v>0.46717229178344477</v>
      </c>
      <c r="N108" s="145"/>
      <c r="O108" s="8"/>
      <c r="P108" s="145"/>
      <c r="Q108" s="8"/>
      <c r="R108" s="145"/>
      <c r="S108" s="8"/>
      <c r="V108" s="532"/>
      <c r="W108" s="528"/>
      <c r="X108" s="533"/>
    </row>
    <row r="109" spans="1:24" ht="15.75" thickBot="1" x14ac:dyDescent="0.3">
      <c r="F109" s="21" t="s">
        <v>4</v>
      </c>
      <c r="G109" s="87">
        <v>1</v>
      </c>
      <c r="H109" s="91">
        <f>J73</f>
        <v>0.23478506339276881</v>
      </c>
      <c r="I109" s="92">
        <f>K73</f>
        <v>0.20585467769469348</v>
      </c>
      <c r="J109" s="93">
        <f>SUM(H109:I109)</f>
        <v>0.44063974108746229</v>
      </c>
      <c r="N109" s="145"/>
      <c r="O109" s="8"/>
      <c r="P109" s="145"/>
      <c r="Q109" s="8"/>
      <c r="R109" s="145"/>
      <c r="S109" s="8"/>
      <c r="V109" s="532"/>
      <c r="W109" s="528"/>
      <c r="X109" s="533"/>
    </row>
    <row r="110" spans="1:24" ht="15.75" thickBot="1" x14ac:dyDescent="0.3">
      <c r="H110" s="121">
        <f>SUM(H108:H109)</f>
        <v>0.56629920619189067</v>
      </c>
      <c r="I110" s="94">
        <f>SUM(I108:I109)</f>
        <v>0.43370079380810933</v>
      </c>
      <c r="J110" s="95">
        <f>SUM(H108:I109)</f>
        <v>1</v>
      </c>
      <c r="V110" s="532"/>
      <c r="W110" s="528"/>
      <c r="X110" s="533"/>
    </row>
    <row r="111" spans="1:24" x14ac:dyDescent="0.25">
      <c r="V111" s="532"/>
      <c r="W111" s="528"/>
      <c r="X111" s="533"/>
    </row>
    <row r="112" spans="1:24" ht="18" customHeight="1" x14ac:dyDescent="0.25">
      <c r="F112" s="537" t="s">
        <v>56</v>
      </c>
      <c r="G112" s="537"/>
      <c r="H112" s="537"/>
      <c r="I112" s="537"/>
      <c r="J112" s="537"/>
      <c r="K112" s="537"/>
      <c r="L112" s="537"/>
      <c r="V112" s="532"/>
      <c r="W112" s="528"/>
      <c r="X112" s="533"/>
    </row>
    <row r="113" spans="6:24" x14ac:dyDescent="0.25">
      <c r="F113" s="537"/>
      <c r="G113" s="537"/>
      <c r="H113" s="537"/>
      <c r="I113" s="537"/>
      <c r="J113" s="537"/>
      <c r="K113" s="537"/>
      <c r="L113" s="537"/>
      <c r="V113" s="532"/>
      <c r="W113" s="528"/>
      <c r="X113" s="533"/>
    </row>
    <row r="114" spans="6:24" x14ac:dyDescent="0.25">
      <c r="V114" s="532"/>
      <c r="W114" s="528"/>
      <c r="X114" s="533"/>
    </row>
    <row r="115" spans="6:24" x14ac:dyDescent="0.25">
      <c r="V115" s="532"/>
      <c r="W115" s="528"/>
      <c r="X115" s="533"/>
    </row>
    <row r="116" spans="6:24" x14ac:dyDescent="0.25">
      <c r="J116" s="33"/>
      <c r="K116" s="33"/>
      <c r="L116" s="33"/>
      <c r="M116" s="33"/>
      <c r="N116" s="33"/>
      <c r="V116" s="532"/>
      <c r="W116" s="528"/>
      <c r="X116" s="533"/>
    </row>
    <row r="117" spans="6:24" x14ac:dyDescent="0.25">
      <c r="J117" s="33"/>
      <c r="K117" s="33"/>
      <c r="L117" s="33"/>
      <c r="M117" s="33"/>
      <c r="N117" s="33"/>
      <c r="V117" s="532"/>
      <c r="W117" s="528"/>
      <c r="X117" s="533"/>
    </row>
    <row r="118" spans="6:24" x14ac:dyDescent="0.25">
      <c r="J118" s="33"/>
      <c r="K118" s="33"/>
      <c r="L118" s="33"/>
      <c r="M118" s="33"/>
      <c r="N118" s="33"/>
      <c r="V118" s="532"/>
      <c r="W118" s="528"/>
      <c r="X118" s="533"/>
    </row>
    <row r="119" spans="6:24" x14ac:dyDescent="0.25">
      <c r="V119" s="532"/>
      <c r="W119" s="528"/>
      <c r="X119" s="533"/>
    </row>
    <row r="120" spans="6:24" x14ac:dyDescent="0.25">
      <c r="V120" s="532"/>
      <c r="W120" s="528"/>
      <c r="X120" s="533"/>
    </row>
    <row r="121" spans="6:24" x14ac:dyDescent="0.25">
      <c r="V121" s="532"/>
      <c r="W121" s="528"/>
      <c r="X121" s="533"/>
    </row>
    <row r="122" spans="6:24" x14ac:dyDescent="0.25">
      <c r="V122" s="532"/>
      <c r="W122" s="528"/>
      <c r="X122" s="533"/>
    </row>
    <row r="123" spans="6:24" x14ac:dyDescent="0.25">
      <c r="V123" s="532"/>
      <c r="W123" s="528"/>
      <c r="X123" s="533"/>
    </row>
    <row r="124" spans="6:24" x14ac:dyDescent="0.25">
      <c r="V124" s="532"/>
      <c r="W124" s="528"/>
      <c r="X124" s="533"/>
    </row>
    <row r="125" spans="6:24" x14ac:dyDescent="0.25">
      <c r="V125" s="534"/>
      <c r="W125" s="535"/>
      <c r="X125" s="536"/>
    </row>
  </sheetData>
  <mergeCells count="11">
    <mergeCell ref="C6:O8"/>
    <mergeCell ref="C39:M46"/>
    <mergeCell ref="D82:M88"/>
    <mergeCell ref="V93:X125"/>
    <mergeCell ref="F104:L105"/>
    <mergeCell ref="F112:L113"/>
    <mergeCell ref="B61:B64"/>
    <mergeCell ref="B13:B15"/>
    <mergeCell ref="B17:B20"/>
    <mergeCell ref="B53:B55"/>
    <mergeCell ref="B57:B59"/>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Y50"/>
  <sheetViews>
    <sheetView zoomScale="85" zoomScaleNormal="85" workbookViewId="0">
      <selection activeCell="G36" sqref="G36"/>
    </sheetView>
  </sheetViews>
  <sheetFormatPr defaultRowHeight="15" x14ac:dyDescent="0.25"/>
  <cols>
    <col min="2" max="2" width="10" customWidth="1"/>
    <col min="3" max="9" width="11.42578125" style="33" customWidth="1"/>
    <col min="10" max="10" width="13.42578125" style="33" customWidth="1"/>
    <col min="11" max="12" width="12" style="33" customWidth="1"/>
    <col min="13" max="13" width="0" hidden="1" customWidth="1"/>
    <col min="14" max="14" width="9.42578125" hidden="1" customWidth="1"/>
    <col min="15" max="15" width="12.7109375" hidden="1" customWidth="1"/>
    <col min="16" max="16" width="10.28515625" hidden="1" customWidth="1"/>
    <col min="17" max="17" width="10.7109375" hidden="1" customWidth="1"/>
    <col min="18" max="18" width="9.140625" hidden="1" customWidth="1"/>
    <col min="19" max="19" width="9.42578125" customWidth="1"/>
    <col min="21" max="21" width="12.140625" customWidth="1"/>
    <col min="22" max="22" width="10.5703125" customWidth="1"/>
    <col min="25" max="25" width="11.140625" customWidth="1"/>
  </cols>
  <sheetData>
    <row r="2" spans="2:22" ht="31.5" x14ac:dyDescent="0.5">
      <c r="B2" s="191" t="s">
        <v>128</v>
      </c>
    </row>
    <row r="3" spans="2:22" ht="17.25" customHeight="1" x14ac:dyDescent="0.5">
      <c r="B3" s="191"/>
    </row>
    <row r="4" spans="2:22" ht="17.25" customHeight="1" x14ac:dyDescent="0.5">
      <c r="B4" s="191"/>
    </row>
    <row r="5" spans="2:22" ht="17.25" customHeight="1" x14ac:dyDescent="0.25">
      <c r="B5" s="496" t="s">
        <v>172</v>
      </c>
      <c r="C5" s="155" t="s">
        <v>102</v>
      </c>
      <c r="D5" s="155" t="s">
        <v>156</v>
      </c>
      <c r="E5" s="155"/>
      <c r="F5" s="299"/>
      <c r="G5" s="299"/>
      <c r="H5" s="299"/>
      <c r="I5" s="299"/>
      <c r="J5" s="299"/>
      <c r="K5" s="299"/>
      <c r="L5" s="299"/>
      <c r="M5" s="155"/>
      <c r="N5" s="155"/>
      <c r="O5" s="155"/>
      <c r="P5" s="155"/>
      <c r="Q5" s="155"/>
      <c r="R5" s="155"/>
      <c r="S5" s="155"/>
      <c r="T5" s="155"/>
      <c r="U5" s="155"/>
      <c r="V5" s="269"/>
    </row>
    <row r="6" spans="2:22" ht="17.25" customHeight="1" x14ac:dyDescent="0.25">
      <c r="B6" s="497"/>
      <c r="C6" s="17" t="s">
        <v>157</v>
      </c>
      <c r="D6" s="148">
        <v>8000</v>
      </c>
      <c r="E6" s="7" t="s">
        <v>158</v>
      </c>
      <c r="F6" s="17"/>
      <c r="G6" s="17"/>
      <c r="H6" s="17"/>
      <c r="I6" s="17"/>
      <c r="J6" s="17"/>
      <c r="K6" s="17"/>
      <c r="L6" s="17"/>
      <c r="M6" s="7"/>
      <c r="N6" s="7"/>
      <c r="O6" s="7"/>
      <c r="P6" s="7"/>
      <c r="Q6" s="7"/>
      <c r="R6" s="7"/>
      <c r="S6" s="7"/>
      <c r="T6" s="7"/>
      <c r="U6" s="7"/>
      <c r="V6" s="6"/>
    </row>
    <row r="7" spans="2:22" ht="17.25" customHeight="1" x14ac:dyDescent="0.25">
      <c r="B7" s="497"/>
      <c r="C7" s="17" t="s">
        <v>160</v>
      </c>
      <c r="D7" s="148">
        <v>20000</v>
      </c>
      <c r="E7" s="7" t="s">
        <v>159</v>
      </c>
      <c r="F7" s="17"/>
      <c r="G7" s="17"/>
      <c r="H7" s="17"/>
      <c r="I7" s="17"/>
      <c r="J7" s="17"/>
      <c r="K7" s="17"/>
      <c r="L7" s="17"/>
      <c r="M7" s="7"/>
      <c r="N7" s="7"/>
      <c r="O7" s="7"/>
      <c r="P7" s="7"/>
      <c r="Q7" s="7"/>
      <c r="R7" s="7"/>
      <c r="S7" s="7"/>
      <c r="T7" s="7"/>
      <c r="U7" s="7"/>
      <c r="V7" s="6"/>
    </row>
    <row r="8" spans="2:22" ht="17.25" customHeight="1" x14ac:dyDescent="0.25">
      <c r="B8" s="497"/>
      <c r="C8" s="145" t="s">
        <v>161</v>
      </c>
      <c r="D8" s="18">
        <f>D7-D6</f>
        <v>12000</v>
      </c>
      <c r="E8" s="7" t="s">
        <v>162</v>
      </c>
      <c r="F8" s="17"/>
      <c r="G8" s="17"/>
      <c r="H8" s="17"/>
      <c r="I8" s="17"/>
      <c r="J8" s="17"/>
      <c r="K8" s="17"/>
      <c r="L8" s="17"/>
      <c r="M8" s="7"/>
      <c r="N8" s="7"/>
      <c r="O8" s="7"/>
      <c r="P8" s="7"/>
      <c r="Q8" s="7"/>
      <c r="R8" s="7"/>
      <c r="S8" s="7"/>
      <c r="T8" s="7"/>
      <c r="U8" s="7"/>
      <c r="V8" s="6"/>
    </row>
    <row r="9" spans="2:22" ht="17.25" customHeight="1" x14ac:dyDescent="0.25">
      <c r="B9" s="497"/>
      <c r="C9" s="145" t="s">
        <v>165</v>
      </c>
      <c r="D9" s="195" t="s">
        <v>109</v>
      </c>
      <c r="E9" s="8" t="s">
        <v>168</v>
      </c>
      <c r="F9" s="17"/>
      <c r="G9" s="17"/>
      <c r="H9" s="17"/>
      <c r="I9" s="17"/>
      <c r="J9" s="17"/>
      <c r="K9" s="17"/>
      <c r="L9" s="17"/>
      <c r="M9" s="7"/>
      <c r="N9" s="7"/>
      <c r="O9" s="7"/>
      <c r="P9" s="7"/>
      <c r="Q9" s="7"/>
      <c r="R9" s="7"/>
      <c r="S9" s="7"/>
      <c r="T9" s="7"/>
      <c r="U9" s="7"/>
      <c r="V9" s="6"/>
    </row>
    <row r="10" spans="2:22" ht="17.25" customHeight="1" x14ac:dyDescent="0.25">
      <c r="B10" s="497"/>
      <c r="C10" s="145" t="s">
        <v>166</v>
      </c>
      <c r="D10" s="195" t="s">
        <v>108</v>
      </c>
      <c r="E10" s="8" t="s">
        <v>169</v>
      </c>
      <c r="F10" s="17"/>
      <c r="G10" s="17"/>
      <c r="H10" s="17"/>
      <c r="I10" s="17"/>
      <c r="J10" s="17"/>
      <c r="K10" s="17"/>
      <c r="L10" s="17"/>
      <c r="M10" s="7"/>
      <c r="N10" s="7"/>
      <c r="O10" s="7"/>
      <c r="P10" s="7"/>
      <c r="Q10" s="7"/>
      <c r="R10" s="7"/>
      <c r="S10" s="7"/>
      <c r="T10" s="7"/>
      <c r="U10" s="7"/>
      <c r="V10" s="6"/>
    </row>
    <row r="11" spans="2:22" ht="17.25" customHeight="1" x14ac:dyDescent="0.25">
      <c r="B11" s="498"/>
      <c r="C11" s="300" t="s">
        <v>167</v>
      </c>
      <c r="D11" s="301" t="s">
        <v>107</v>
      </c>
      <c r="E11" s="302" t="s">
        <v>170</v>
      </c>
      <c r="F11" s="292"/>
      <c r="G11" s="292"/>
      <c r="H11" s="292"/>
      <c r="I11" s="292"/>
      <c r="J11" s="292"/>
      <c r="K11" s="292"/>
      <c r="L11" s="292"/>
      <c r="M11" s="280"/>
      <c r="N11" s="280"/>
      <c r="O11" s="280"/>
      <c r="P11" s="280"/>
      <c r="Q11" s="280"/>
      <c r="R11" s="280"/>
      <c r="S11" s="280"/>
      <c r="T11" s="280"/>
      <c r="U11" s="280"/>
      <c r="V11" s="3"/>
    </row>
    <row r="12" spans="2:22" ht="17.25" customHeight="1" thickBot="1" x14ac:dyDescent="0.3">
      <c r="B12" s="7"/>
      <c r="C12" s="7"/>
      <c r="D12" s="7"/>
    </row>
    <row r="13" spans="2:22" ht="17.25" customHeight="1" x14ac:dyDescent="0.25">
      <c r="B13" s="499" t="s">
        <v>160</v>
      </c>
      <c r="C13" s="308" t="s">
        <v>173</v>
      </c>
      <c r="D13" s="309" t="s">
        <v>174</v>
      </c>
      <c r="E13" s="286" t="s">
        <v>175</v>
      </c>
      <c r="F13" s="286"/>
      <c r="G13" s="286"/>
      <c r="H13" s="284"/>
    </row>
    <row r="14" spans="2:22" ht="17.25" customHeight="1" x14ac:dyDescent="0.25">
      <c r="B14" s="500"/>
      <c r="C14" s="17" t="s">
        <v>146</v>
      </c>
      <c r="D14" s="289">
        <v>2</v>
      </c>
      <c r="E14" s="17" t="s">
        <v>147</v>
      </c>
      <c r="F14" s="17"/>
      <c r="G14" s="17"/>
      <c r="H14" s="207"/>
    </row>
    <row r="15" spans="2:22" ht="17.25" customHeight="1" x14ac:dyDescent="0.25">
      <c r="B15" s="500"/>
      <c r="C15" s="17" t="s">
        <v>5</v>
      </c>
      <c r="D15" s="18">
        <v>0.1</v>
      </c>
      <c r="E15" s="17" t="s">
        <v>150</v>
      </c>
      <c r="F15" s="17"/>
      <c r="G15" s="17"/>
      <c r="H15" s="207"/>
    </row>
    <row r="16" spans="2:22" ht="17.25" customHeight="1" x14ac:dyDescent="0.25">
      <c r="B16" s="500"/>
      <c r="C16" s="145" t="s">
        <v>163</v>
      </c>
      <c r="D16" s="18">
        <f>D8</f>
        <v>12000</v>
      </c>
      <c r="E16" s="145" t="s">
        <v>164</v>
      </c>
      <c r="F16" s="17"/>
      <c r="G16" s="17"/>
      <c r="H16" s="207"/>
    </row>
    <row r="17" spans="2:25" ht="17.25" customHeight="1" thickBot="1" x14ac:dyDescent="0.3">
      <c r="B17" s="501"/>
      <c r="C17" s="171" t="s">
        <v>148</v>
      </c>
      <c r="D17" s="310">
        <f>D15*D16*LN(D14)</f>
        <v>831.77661667193433</v>
      </c>
      <c r="E17" s="171" t="s">
        <v>149</v>
      </c>
      <c r="F17" s="287"/>
      <c r="G17" s="287"/>
      <c r="H17" s="285"/>
    </row>
    <row r="18" spans="2:25" s="7" customFormat="1" ht="15.75" thickBot="1" x14ac:dyDescent="0.3">
      <c r="B18"/>
      <c r="C18" s="33"/>
      <c r="D18" s="33"/>
      <c r="E18" s="33"/>
      <c r="F18" s="33"/>
      <c r="G18" s="33"/>
      <c r="H18" s="33"/>
      <c r="I18" s="33"/>
      <c r="J18" s="33"/>
      <c r="K18" s="33"/>
      <c r="L18" s="33"/>
      <c r="M18"/>
      <c r="N18"/>
      <c r="O18"/>
      <c r="P18"/>
      <c r="Q18"/>
      <c r="R18"/>
      <c r="S18"/>
      <c r="T18"/>
      <c r="U18" s="8"/>
    </row>
    <row r="19" spans="2:25" s="7" customFormat="1" ht="24.75" customHeight="1" thickBot="1" x14ac:dyDescent="0.35">
      <c r="B19"/>
      <c r="C19" s="220" t="s">
        <v>12</v>
      </c>
      <c r="D19" s="221"/>
      <c r="E19" s="222" t="s">
        <v>13</v>
      </c>
      <c r="F19" s="223"/>
      <c r="G19" s="221" t="s">
        <v>72</v>
      </c>
      <c r="H19" s="221"/>
      <c r="I19" s="270" t="s">
        <v>116</v>
      </c>
      <c r="J19" s="222" t="s">
        <v>122</v>
      </c>
      <c r="K19" s="224" t="s">
        <v>35</v>
      </c>
      <c r="L19" s="205"/>
      <c r="M19" s="502" t="s">
        <v>99</v>
      </c>
      <c r="N19" s="503"/>
      <c r="O19" s="188" t="s">
        <v>100</v>
      </c>
      <c r="Q19" s="7" t="s">
        <v>101</v>
      </c>
      <c r="R19" s="20"/>
      <c r="S19" s="189" t="s">
        <v>101</v>
      </c>
      <c r="T19" s="20"/>
    </row>
    <row r="20" spans="2:25" s="7" customFormat="1" ht="16.5" thickTop="1" thickBot="1" x14ac:dyDescent="0.3">
      <c r="B20" s="118" t="s">
        <v>45</v>
      </c>
      <c r="C20" s="225" t="str">
        <f>"i="&amp;D6</f>
        <v>i=8000</v>
      </c>
      <c r="D20" s="213" t="str">
        <f>"i="&amp;D7</f>
        <v>i=20000</v>
      </c>
      <c r="E20" s="208" t="str">
        <f>"i="&amp;D6</f>
        <v>i=8000</v>
      </c>
      <c r="F20" s="209" t="str">
        <f>"i="&amp;D7</f>
        <v>i=20000</v>
      </c>
      <c r="G20" s="208" t="s">
        <v>97</v>
      </c>
      <c r="H20" s="209" t="str">
        <f>"i="&amp;D8</f>
        <v>i=12000</v>
      </c>
      <c r="I20" s="196" t="s">
        <v>102</v>
      </c>
      <c r="J20" s="42">
        <v>0</v>
      </c>
      <c r="K20" s="226"/>
      <c r="L20" s="145"/>
      <c r="M20" s="185" t="str">
        <f>C20</f>
        <v>i=8000</v>
      </c>
      <c r="N20" s="186" t="str">
        <f>D20</f>
        <v>i=20000</v>
      </c>
      <c r="S20"/>
    </row>
    <row r="21" spans="2:25" s="7" customFormat="1" ht="18" customHeight="1" thickTop="1" x14ac:dyDescent="0.25">
      <c r="B21" s="25">
        <v>1</v>
      </c>
      <c r="C21" s="227">
        <v>0</v>
      </c>
      <c r="D21" s="45">
        <v>0</v>
      </c>
      <c r="E21" s="214">
        <f t="shared" ref="E21:E29" si="0">EXP(C21/$D$15)/(EXP($D21/$D$15)+EXP($C21/$D$15))</f>
        <v>0.5</v>
      </c>
      <c r="F21" s="215">
        <f t="shared" ref="F21:F30" si="1">EXP(D21/$D$15)/(EXP($D21/$D$15)+EXP($C21/$D$15))</f>
        <v>0.5</v>
      </c>
      <c r="G21" s="44">
        <f>(E21*$D$8)</f>
        <v>6000</v>
      </c>
      <c r="H21" s="210">
        <f t="shared" ref="H21:H30" si="2">(F21*$D$8)</f>
        <v>6000</v>
      </c>
      <c r="I21" s="197">
        <f>H21+$D$6</f>
        <v>14000</v>
      </c>
      <c r="J21" s="82">
        <f>$D$15*$D$16*LN(EXP($D21/$D$15)+EXP($C21/$D$15))</f>
        <v>831.77661667193433</v>
      </c>
      <c r="K21" s="228">
        <f>(J21-J20)</f>
        <v>831.77661667193433</v>
      </c>
      <c r="L21" s="206"/>
      <c r="M21" s="117"/>
      <c r="N21" s="103"/>
      <c r="S21"/>
      <c r="Y21" s="192"/>
    </row>
    <row r="22" spans="2:25" s="7" customFormat="1" ht="18.75" x14ac:dyDescent="0.3">
      <c r="B22" s="25">
        <v>2</v>
      </c>
      <c r="C22" s="229">
        <v>1</v>
      </c>
      <c r="D22" s="41">
        <v>0</v>
      </c>
      <c r="E22" s="216">
        <f t="shared" si="0"/>
        <v>0.99995460213129761</v>
      </c>
      <c r="F22" s="217">
        <f t="shared" si="1"/>
        <v>4.5397868702434395E-5</v>
      </c>
      <c r="G22" s="47">
        <f t="shared" ref="G22:G30" si="3">(E22*$D$8)</f>
        <v>11999.455225575572</v>
      </c>
      <c r="H22" s="211">
        <f t="shared" si="2"/>
        <v>0.54477442442921276</v>
      </c>
      <c r="I22" s="198">
        <f t="shared" ref="I22:I31" si="4">H22+$D$6</f>
        <v>8000.5447744244293</v>
      </c>
      <c r="J22" s="83">
        <f t="shared" ref="J22:J31" si="5">$D$15*$D$16*LN(EXP($D22/$D$15)+EXP($C22/$D$15))</f>
        <v>12000.054478679062</v>
      </c>
      <c r="K22" s="230">
        <f t="shared" ref="K22:K29" si="6">(J22-J21)</f>
        <v>11168.277862007128</v>
      </c>
      <c r="L22" s="206"/>
      <c r="M22" s="117">
        <f t="shared" ref="M22:M30" si="7">C22-C21</f>
        <v>1</v>
      </c>
      <c r="N22" s="103">
        <f t="shared" ref="N22:N30" si="8">D22-D21</f>
        <v>0</v>
      </c>
      <c r="O22" s="187">
        <f t="shared" ref="O22:O30" si="9">K22</f>
        <v>11168.277862007128</v>
      </c>
      <c r="Q22" s="7" t="str">
        <f>IF(M22&gt;0,"Bought ",IF(M22&lt;0,"Sold ",""))&amp;IF(M22&lt;0,M22*-1,IF(M22&gt;0,M22,""))&amp;IF(M22&lt;&gt;0," Shares of State 1 at a cost of "&amp;ROUND($O22,5),"")</f>
        <v>Bought 1 Shares of State 1 at a cost of 11168.27786</v>
      </c>
      <c r="R22" s="7" t="str">
        <f t="shared" ref="R22" si="10">IF(N22&gt;0,"Bought ",IF(N22&lt;0,"Sold ",""))&amp;IF(N22&lt;0,N22*-1,IF(N22&gt;0,N22,""))&amp;IF(N22&lt;&gt;0," Shares of State 2 at a cost of "&amp;ROUND($O22,5),"")</f>
        <v/>
      </c>
      <c r="S22" s="190" t="str">
        <f>Q22&amp;R22</f>
        <v>Bought 1 Shares of State 1 at a cost of 11168.27786</v>
      </c>
    </row>
    <row r="23" spans="2:25" s="7" customFormat="1" ht="18.75" x14ac:dyDescent="0.3">
      <c r="B23" s="25">
        <v>3</v>
      </c>
      <c r="C23" s="229">
        <v>1</v>
      </c>
      <c r="D23" s="41">
        <v>2</v>
      </c>
      <c r="E23" s="216">
        <f t="shared" si="0"/>
        <v>4.5397868702434395E-5</v>
      </c>
      <c r="F23" s="217">
        <f t="shared" si="1"/>
        <v>0.99995460213129761</v>
      </c>
      <c r="G23" s="47">
        <f t="shared" si="3"/>
        <v>0.54477442442921276</v>
      </c>
      <c r="H23" s="211">
        <f t="shared" si="2"/>
        <v>11999.455225575572</v>
      </c>
      <c r="I23" s="198">
        <f t="shared" si="4"/>
        <v>19999.45522557557</v>
      </c>
      <c r="J23" s="83">
        <f t="shared" si="5"/>
        <v>24000.05447867906</v>
      </c>
      <c r="K23" s="230">
        <f t="shared" si="6"/>
        <v>11999.999999999998</v>
      </c>
      <c r="L23" s="206"/>
      <c r="M23" s="117">
        <f t="shared" si="7"/>
        <v>0</v>
      </c>
      <c r="N23" s="103">
        <f t="shared" si="8"/>
        <v>2</v>
      </c>
      <c r="O23" s="187">
        <f t="shared" si="9"/>
        <v>11999.999999999998</v>
      </c>
      <c r="Q23" s="7" t="str">
        <f>IF(M23&gt;0,"Bought ",IF(M23&lt;0,"Sold ",""))&amp;IF(M23&lt;0,M23*-1,IF(M23&gt;0,M23,""))&amp;IF(M23&lt;&gt;0," Shares of State 1 at a cost of "&amp;ROUND($O23,5),"")</f>
        <v/>
      </c>
      <c r="R23" s="7" t="str">
        <f>IF(N23&gt;0,"Bought ",IF(N23&lt;0,"Sold ",""))&amp;IF(N23&lt;0,N23*-1,IF(N23&gt;0,N23,""))&amp;IF(N23&lt;&gt;0," Shares of State 2 at a cost of "&amp;ROUND($O23,5),"")</f>
        <v>Bought 2 Shares of State 2 at a cost of 12000</v>
      </c>
      <c r="S23" s="190" t="str">
        <f t="shared" ref="S23:S30" si="11">Q23&amp;R23</f>
        <v>Bought 2 Shares of State 2 at a cost of 12000</v>
      </c>
    </row>
    <row r="24" spans="2:25" s="7" customFormat="1" ht="18.75" x14ac:dyDescent="0.3">
      <c r="B24" s="25">
        <v>4</v>
      </c>
      <c r="C24" s="229">
        <v>2</v>
      </c>
      <c r="D24" s="41">
        <v>2</v>
      </c>
      <c r="E24" s="216">
        <f t="shared" si="0"/>
        <v>0.5</v>
      </c>
      <c r="F24" s="217">
        <f t="shared" si="1"/>
        <v>0.5</v>
      </c>
      <c r="G24" s="47">
        <f t="shared" si="3"/>
        <v>6000</v>
      </c>
      <c r="H24" s="211">
        <f t="shared" si="2"/>
        <v>6000</v>
      </c>
      <c r="I24" s="198">
        <f t="shared" si="4"/>
        <v>14000</v>
      </c>
      <c r="J24" s="83">
        <f t="shared" si="5"/>
        <v>24831.776616671934</v>
      </c>
      <c r="K24" s="230">
        <f t="shared" si="6"/>
        <v>831.7221379928742</v>
      </c>
      <c r="L24" s="206"/>
      <c r="M24" s="117">
        <f t="shared" si="7"/>
        <v>1</v>
      </c>
      <c r="N24" s="103">
        <f t="shared" si="8"/>
        <v>0</v>
      </c>
      <c r="O24" s="187">
        <f t="shared" si="9"/>
        <v>831.7221379928742</v>
      </c>
      <c r="Q24" s="7" t="str">
        <f>IF(M24&gt;0,"Bought ",IF(M24&lt;0,"Sold ",""))&amp;IF(M24&lt;0,M24*-1,IF(M24&gt;0,M24,""))&amp;IF(M24&lt;&gt;0," Shares of State 1 at a cost of "&amp;ROUND($O24,5),"")</f>
        <v>Bought 1 Shares of State 1 at a cost of 831.72214</v>
      </c>
      <c r="R24" s="7" t="str">
        <f>IF(N24&gt;0,"Bought ",IF(N24&lt;0,"Sold ",""))&amp;IF(N24&lt;0,N24*-1,IF(N24&gt;0,N24,""))&amp;IF(N24&lt;&gt;0," Shares of State 2 at a cost of "&amp;ROUND($O24,5),"")</f>
        <v/>
      </c>
      <c r="S24" s="190" t="str">
        <f t="shared" si="11"/>
        <v>Bought 1 Shares of State 1 at a cost of 831.72214</v>
      </c>
    </row>
    <row r="25" spans="2:25" s="7" customFormat="1" ht="18.75" x14ac:dyDescent="0.3">
      <c r="B25" s="25">
        <v>5</v>
      </c>
      <c r="C25" s="229">
        <v>2</v>
      </c>
      <c r="D25" s="41">
        <v>12</v>
      </c>
      <c r="E25" s="216">
        <f t="shared" si="0"/>
        <v>3.7200759760208361E-44</v>
      </c>
      <c r="F25" s="217">
        <f t="shared" si="1"/>
        <v>1</v>
      </c>
      <c r="G25" s="47">
        <f t="shared" si="3"/>
        <v>4.4640911712250037E-40</v>
      </c>
      <c r="H25" s="211">
        <f t="shared" si="2"/>
        <v>12000</v>
      </c>
      <c r="I25" s="198">
        <f t="shared" si="4"/>
        <v>20000</v>
      </c>
      <c r="J25" s="83">
        <f t="shared" si="5"/>
        <v>144000</v>
      </c>
      <c r="K25" s="230">
        <f>(J25-J24)</f>
        <v>119168.22338332806</v>
      </c>
      <c r="L25" s="206"/>
      <c r="M25" s="117">
        <f t="shared" si="7"/>
        <v>0</v>
      </c>
      <c r="N25" s="103">
        <f t="shared" si="8"/>
        <v>10</v>
      </c>
      <c r="O25" s="187">
        <f t="shared" si="9"/>
        <v>119168.22338332806</v>
      </c>
      <c r="Q25" s="7" t="str">
        <f t="shared" ref="Q25:Q29" si="12">IF(M25&gt;0,"Bought ",IF(M25&lt;0,"Sold ",""))&amp;IF(M25&lt;0,M25*-1,IF(M25&gt;0,M25,""))&amp;IF(M25&lt;&gt;0," Shares of State 1 at a cost of "&amp;ROUND($O25,5),"")</f>
        <v/>
      </c>
      <c r="R25" s="7" t="str">
        <f t="shared" ref="R25:R29" si="13">IF(N25&gt;0,"Bought ",IF(N25&lt;0,"Sold ",""))&amp;IF(N25&lt;0,N25*-1,IF(N25&gt;0,N25,""))&amp;IF(N25&lt;&gt;0," Shares of State 2 at a cost of "&amp;ROUND($O25,5),"")</f>
        <v>Bought 10 Shares of State 2 at a cost of 119168.22338</v>
      </c>
      <c r="S25" s="190" t="str">
        <f t="shared" ref="S25:S29" si="14">Q25&amp;R25</f>
        <v>Bought 10 Shares of State 2 at a cost of 119168.22338</v>
      </c>
    </row>
    <row r="26" spans="2:25" s="7" customFormat="1" ht="18.75" x14ac:dyDescent="0.3">
      <c r="B26" s="25">
        <v>12</v>
      </c>
      <c r="C26" s="229">
        <v>12</v>
      </c>
      <c r="D26" s="41">
        <v>12</v>
      </c>
      <c r="E26" s="216">
        <f t="shared" si="0"/>
        <v>0.5</v>
      </c>
      <c r="F26" s="217">
        <f t="shared" si="1"/>
        <v>0.5</v>
      </c>
      <c r="G26" s="47">
        <f t="shared" si="3"/>
        <v>6000</v>
      </c>
      <c r="H26" s="211">
        <f t="shared" si="2"/>
        <v>6000</v>
      </c>
      <c r="I26" s="198">
        <f t="shared" si="4"/>
        <v>14000</v>
      </c>
      <c r="J26" s="83">
        <f t="shared" si="5"/>
        <v>144831.77661667194</v>
      </c>
      <c r="K26" s="230">
        <f t="shared" si="6"/>
        <v>831.77661667193752</v>
      </c>
      <c r="L26" s="206"/>
      <c r="M26" s="117">
        <f t="shared" si="7"/>
        <v>10</v>
      </c>
      <c r="N26" s="103">
        <f t="shared" si="8"/>
        <v>0</v>
      </c>
      <c r="O26" s="187">
        <f t="shared" si="9"/>
        <v>831.77661667193752</v>
      </c>
      <c r="Q26" s="7" t="str">
        <f t="shared" si="12"/>
        <v>Bought 10 Shares of State 1 at a cost of 831.77662</v>
      </c>
      <c r="R26" s="7" t="str">
        <f t="shared" si="13"/>
        <v/>
      </c>
      <c r="S26" s="190" t="str">
        <f t="shared" si="14"/>
        <v>Bought 10 Shares of State 1 at a cost of 831.77662</v>
      </c>
    </row>
    <row r="27" spans="2:25" s="7" customFormat="1" ht="18.75" x14ac:dyDescent="0.3">
      <c r="B27" s="25">
        <v>13</v>
      </c>
      <c r="C27" s="229">
        <v>12</v>
      </c>
      <c r="D27" s="41">
        <v>10</v>
      </c>
      <c r="E27" s="216">
        <f t="shared" si="0"/>
        <v>0.99999999793884631</v>
      </c>
      <c r="F27" s="217">
        <f t="shared" si="1"/>
        <v>2.0611536181902037E-9</v>
      </c>
      <c r="G27" s="47">
        <f t="shared" si="3"/>
        <v>11999.999975266155</v>
      </c>
      <c r="H27" s="211">
        <f t="shared" si="2"/>
        <v>2.4733843418282445E-5</v>
      </c>
      <c r="I27" s="198">
        <f t="shared" si="4"/>
        <v>8000.000024733843</v>
      </c>
      <c r="J27" s="83">
        <f t="shared" si="5"/>
        <v>144000.00000247339</v>
      </c>
      <c r="K27" s="230">
        <f t="shared" si="6"/>
        <v>-831.77661419854849</v>
      </c>
      <c r="L27" s="206"/>
      <c r="M27" s="117">
        <f t="shared" si="7"/>
        <v>0</v>
      </c>
      <c r="N27" s="103">
        <f t="shared" si="8"/>
        <v>-2</v>
      </c>
      <c r="O27" s="187">
        <f t="shared" si="9"/>
        <v>-831.77661419854849</v>
      </c>
      <c r="Q27" s="7" t="str">
        <f t="shared" si="12"/>
        <v/>
      </c>
      <c r="R27" s="7" t="str">
        <f t="shared" si="13"/>
        <v>Sold 2 Shares of State 2 at a cost of -831.77661</v>
      </c>
      <c r="S27" s="190" t="str">
        <f t="shared" si="14"/>
        <v>Sold 2 Shares of State 2 at a cost of -831.77661</v>
      </c>
    </row>
    <row r="28" spans="2:25" s="7" customFormat="1" ht="18.75" x14ac:dyDescent="0.3">
      <c r="B28" s="25">
        <v>14</v>
      </c>
      <c r="C28" s="229">
        <v>8</v>
      </c>
      <c r="D28" s="41">
        <v>10</v>
      </c>
      <c r="E28" s="216">
        <f t="shared" si="0"/>
        <v>2.0611536181902033E-9</v>
      </c>
      <c r="F28" s="217">
        <f t="shared" si="1"/>
        <v>0.99999999793884631</v>
      </c>
      <c r="G28" s="47">
        <f t="shared" si="3"/>
        <v>2.4733843418282441E-5</v>
      </c>
      <c r="H28" s="211">
        <f t="shared" si="2"/>
        <v>11999.999975266155</v>
      </c>
      <c r="I28" s="198">
        <f t="shared" si="4"/>
        <v>19999.999975266153</v>
      </c>
      <c r="J28" s="83">
        <f t="shared" si="5"/>
        <v>120000.00000247339</v>
      </c>
      <c r="K28" s="230">
        <f t="shared" si="6"/>
        <v>-24000</v>
      </c>
      <c r="L28" s="206"/>
      <c r="M28" s="117">
        <f t="shared" si="7"/>
        <v>-4</v>
      </c>
      <c r="N28" s="103">
        <f t="shared" si="8"/>
        <v>0</v>
      </c>
      <c r="O28" s="187">
        <f t="shared" si="9"/>
        <v>-24000</v>
      </c>
      <c r="Q28" s="7" t="str">
        <f t="shared" si="12"/>
        <v>Sold 4 Shares of State 1 at a cost of -24000</v>
      </c>
      <c r="R28" s="7" t="str">
        <f t="shared" si="13"/>
        <v/>
      </c>
      <c r="S28" s="190" t="str">
        <f t="shared" si="14"/>
        <v>Sold 4 Shares of State 1 at a cost of -24000</v>
      </c>
    </row>
    <row r="29" spans="2:25" s="7" customFormat="1" ht="18.75" x14ac:dyDescent="0.3">
      <c r="B29" s="25">
        <v>15</v>
      </c>
      <c r="C29" s="229">
        <v>12</v>
      </c>
      <c r="D29" s="41">
        <v>10</v>
      </c>
      <c r="E29" s="216">
        <f t="shared" si="0"/>
        <v>0.99999999793884631</v>
      </c>
      <c r="F29" s="217">
        <f t="shared" si="1"/>
        <v>2.0611536181902037E-9</v>
      </c>
      <c r="G29" s="47">
        <f t="shared" si="3"/>
        <v>11999.999975266155</v>
      </c>
      <c r="H29" s="211">
        <f t="shared" si="2"/>
        <v>2.4733843418282445E-5</v>
      </c>
      <c r="I29" s="198">
        <f t="shared" si="4"/>
        <v>8000.000024733843</v>
      </c>
      <c r="J29" s="83">
        <f t="shared" si="5"/>
        <v>144000.00000247339</v>
      </c>
      <c r="K29" s="230">
        <f t="shared" si="6"/>
        <v>24000</v>
      </c>
      <c r="L29" s="206"/>
      <c r="M29" s="117">
        <f t="shared" si="7"/>
        <v>4</v>
      </c>
      <c r="N29" s="103">
        <f t="shared" si="8"/>
        <v>0</v>
      </c>
      <c r="O29" s="187">
        <f t="shared" si="9"/>
        <v>24000</v>
      </c>
      <c r="Q29" s="7" t="str">
        <f t="shared" si="12"/>
        <v>Bought 4 Shares of State 1 at a cost of 24000</v>
      </c>
      <c r="R29" s="7" t="str">
        <f t="shared" si="13"/>
        <v/>
      </c>
      <c r="S29" s="190" t="str">
        <f t="shared" si="14"/>
        <v>Bought 4 Shares of State 1 at a cost of 24000</v>
      </c>
    </row>
    <row r="30" spans="2:25" s="7" customFormat="1" ht="19.5" thickBot="1" x14ac:dyDescent="0.35">
      <c r="B30" s="25">
        <v>16</v>
      </c>
      <c r="C30" s="231">
        <v>12</v>
      </c>
      <c r="D30" s="40">
        <v>10</v>
      </c>
      <c r="E30" s="218">
        <f>EXP(C30/$D$15)/(EXP($D30/$D$15)+EXP($C30/$D$15))</f>
        <v>0.99999999793884631</v>
      </c>
      <c r="F30" s="219">
        <f t="shared" si="1"/>
        <v>2.0611536181902037E-9</v>
      </c>
      <c r="G30" s="39">
        <f t="shared" si="3"/>
        <v>11999.999975266155</v>
      </c>
      <c r="H30" s="212">
        <f t="shared" si="2"/>
        <v>2.4733843418282445E-5</v>
      </c>
      <c r="I30" s="199">
        <f t="shared" si="4"/>
        <v>8000.000024733843</v>
      </c>
      <c r="J30" s="115">
        <f t="shared" si="5"/>
        <v>144000.00000247339</v>
      </c>
      <c r="K30" s="230">
        <f>(J30-J29)</f>
        <v>0</v>
      </c>
      <c r="L30" s="206"/>
      <c r="M30" s="124">
        <f t="shared" si="7"/>
        <v>0</v>
      </c>
      <c r="N30" s="105">
        <f t="shared" si="8"/>
        <v>0</v>
      </c>
      <c r="O30" s="187">
        <f t="shared" si="9"/>
        <v>0</v>
      </c>
      <c r="Q30" s="7" t="str">
        <f>IF(M30&gt;0,"Bought ",IF(M30&lt;0,"Sold ",""))&amp;IF(M30&lt;0,M30*-1,IF(M30&gt;0,M30,""))&amp;IF(M30&lt;&gt;0," Shares of State 1 at a cost of "&amp;ROUND($O30,5),"")</f>
        <v/>
      </c>
      <c r="R30" s="7" t="str">
        <f>IF(N30&gt;0,"Bought ",IF(N30&lt;0,"Sold ",""))&amp;IF(N30&lt;0,N30*-1,IF(N30&gt;0,N30,""))&amp;IF(N30&lt;&gt;0," Shares of State 2 at a cost of "&amp;ROUND($O30,5),"")</f>
        <v/>
      </c>
      <c r="S30" s="190" t="str">
        <f t="shared" si="11"/>
        <v/>
      </c>
    </row>
    <row r="31" spans="2:25" s="7" customFormat="1" ht="16.5" thickTop="1" thickBot="1" x14ac:dyDescent="0.3">
      <c r="B31" s="25" t="s">
        <v>98</v>
      </c>
      <c r="C31" s="51">
        <f>C30</f>
        <v>12</v>
      </c>
      <c r="D31" s="52">
        <f>D30</f>
        <v>10</v>
      </c>
      <c r="E31" s="232">
        <f>E35</f>
        <v>0.33103416666666663</v>
      </c>
      <c r="F31" s="233">
        <f>D35</f>
        <v>0.66896583333333337</v>
      </c>
      <c r="G31" s="119">
        <f>(E31*$D$8)</f>
        <v>3972.4099999999994</v>
      </c>
      <c r="H31" s="234">
        <f>(F31*$D$8)</f>
        <v>8027.59</v>
      </c>
      <c r="I31" s="200">
        <f t="shared" si="4"/>
        <v>16027.59</v>
      </c>
      <c r="J31" s="296">
        <f t="shared" si="5"/>
        <v>144000.00000247339</v>
      </c>
      <c r="K31" s="206"/>
      <c r="L31" s="8"/>
      <c r="R31" s="8"/>
      <c r="S31" s="8"/>
      <c r="T31" s="8"/>
    </row>
    <row r="32" spans="2:25" s="7" customFormat="1" ht="15.75" thickBot="1" x14ac:dyDescent="0.3">
      <c r="B32"/>
      <c r="C32" s="33"/>
      <c r="D32" s="33"/>
      <c r="E32" s="33"/>
      <c r="F32" s="33"/>
      <c r="G32" s="33"/>
      <c r="H32" s="33"/>
      <c r="I32" s="33"/>
      <c r="J32" s="298">
        <f>SUMPRODUCT(C31:D31,G31:H31)</f>
        <v>127944.81999999998</v>
      </c>
      <c r="K32" t="s">
        <v>111</v>
      </c>
      <c r="R32"/>
      <c r="S32"/>
      <c r="T32"/>
    </row>
    <row r="33" spans="2:20" s="7" customFormat="1" ht="15.75" thickBot="1" x14ac:dyDescent="0.3">
      <c r="C33" s="145"/>
      <c r="F33" s="17"/>
      <c r="G33" s="17"/>
      <c r="H33" s="17"/>
      <c r="I33" s="17"/>
      <c r="J33" s="298">
        <f>J31-J32</f>
        <v>16055.180002473411</v>
      </c>
      <c r="K33" s="7" t="s">
        <v>103</v>
      </c>
    </row>
    <row r="34" spans="2:20" s="7" customFormat="1" ht="15.75" thickBot="1" x14ac:dyDescent="0.3">
      <c r="B34" s="1"/>
      <c r="C34" s="155"/>
      <c r="D34" s="324" t="s">
        <v>162</v>
      </c>
      <c r="E34" s="269" t="s">
        <v>186</v>
      </c>
      <c r="F34" s="17"/>
      <c r="G34" s="17"/>
      <c r="H34" s="17"/>
      <c r="I34" s="17"/>
      <c r="J34" s="296">
        <f>J21-J33</f>
        <v>-15223.403385801477</v>
      </c>
      <c r="K34" s="55" t="s">
        <v>120</v>
      </c>
      <c r="P34" s="8"/>
      <c r="Q34" s="8"/>
      <c r="R34" s="8"/>
      <c r="S34" s="28"/>
      <c r="T34" s="28"/>
    </row>
    <row r="35" spans="2:20" x14ac:dyDescent="0.25">
      <c r="B35" s="325" t="s">
        <v>187</v>
      </c>
      <c r="C35" s="326">
        <v>16027.59</v>
      </c>
      <c r="D35" s="292">
        <f>(C35-D6)/D8</f>
        <v>0.66896583333333337</v>
      </c>
      <c r="E35" s="3">
        <f>1-D35</f>
        <v>0.33103416666666663</v>
      </c>
      <c r="K35" s="193"/>
    </row>
    <row r="38" spans="2:20" x14ac:dyDescent="0.25">
      <c r="B38" t="s">
        <v>153</v>
      </c>
    </row>
    <row r="40" spans="2:20" x14ac:dyDescent="0.25">
      <c r="B40" s="33" t="s">
        <v>106</v>
      </c>
    </row>
    <row r="41" spans="2:20" x14ac:dyDescent="0.25">
      <c r="B41" s="33" t="s">
        <v>105</v>
      </c>
    </row>
    <row r="43" spans="2:20" x14ac:dyDescent="0.25">
      <c r="B43" s="33" t="s">
        <v>171</v>
      </c>
    </row>
    <row r="45" spans="2:20" x14ac:dyDescent="0.25">
      <c r="B45" t="s">
        <v>154</v>
      </c>
    </row>
    <row r="50" spans="2:5" x14ac:dyDescent="0.25">
      <c r="B50" s="33"/>
      <c r="C50" s="193"/>
      <c r="E50" s="7"/>
    </row>
  </sheetData>
  <mergeCells count="3">
    <mergeCell ref="M19:N19"/>
    <mergeCell ref="B5:B11"/>
    <mergeCell ref="B13:B17"/>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opLeftCell="A4" zoomScale="70" zoomScaleNormal="70" workbookViewId="0">
      <selection activeCell="Q23" sqref="Q23:R50"/>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91" t="s">
        <v>182</v>
      </c>
      <c r="D2" s="144"/>
    </row>
    <row r="3" spans="2:13" ht="31.5" x14ac:dyDescent="0.5">
      <c r="B3" s="191"/>
      <c r="D3" s="144"/>
    </row>
    <row r="4" spans="2:13" x14ac:dyDescent="0.25">
      <c r="C4" s="496" t="s">
        <v>172</v>
      </c>
      <c r="D4" s="155" t="s">
        <v>102</v>
      </c>
      <c r="E4" s="155" t="s">
        <v>179</v>
      </c>
      <c r="F4" s="155"/>
      <c r="G4" s="299"/>
      <c r="H4" s="299"/>
      <c r="I4" s="299"/>
      <c r="J4" s="299"/>
      <c r="K4" s="299"/>
      <c r="L4" s="299"/>
      <c r="M4" s="294"/>
    </row>
    <row r="5" spans="2:13" x14ac:dyDescent="0.25">
      <c r="C5" s="497"/>
      <c r="D5" s="17" t="s">
        <v>157</v>
      </c>
      <c r="E5" s="18">
        <v>2</v>
      </c>
      <c r="F5" s="7" t="s">
        <v>158</v>
      </c>
      <c r="G5" s="17"/>
      <c r="H5" s="17"/>
      <c r="I5" s="17"/>
      <c r="J5" s="17"/>
      <c r="K5" s="17"/>
      <c r="L5" s="17"/>
      <c r="M5" s="272"/>
    </row>
    <row r="6" spans="2:13" x14ac:dyDescent="0.25">
      <c r="C6" s="497"/>
      <c r="D6" s="17" t="s">
        <v>160</v>
      </c>
      <c r="E6" s="18">
        <v>50</v>
      </c>
      <c r="F6" s="7" t="s">
        <v>159</v>
      </c>
      <c r="G6" s="17"/>
      <c r="H6" s="17"/>
      <c r="I6" s="17"/>
      <c r="J6" s="17"/>
      <c r="K6" s="17"/>
      <c r="L6" s="17"/>
      <c r="M6" s="272"/>
    </row>
    <row r="7" spans="2:13" x14ac:dyDescent="0.25">
      <c r="C7" s="497"/>
      <c r="D7" s="145" t="s">
        <v>161</v>
      </c>
      <c r="E7" s="18">
        <f>E6-E5</f>
        <v>48</v>
      </c>
      <c r="F7" s="7" t="s">
        <v>162</v>
      </c>
      <c r="G7" s="17"/>
      <c r="H7" s="17"/>
      <c r="I7" s="17"/>
      <c r="J7" s="17"/>
      <c r="K7" s="17"/>
      <c r="L7" s="17"/>
      <c r="M7" s="272"/>
    </row>
    <row r="8" spans="2:13" x14ac:dyDescent="0.25">
      <c r="C8" s="497"/>
      <c r="D8" s="145" t="s">
        <v>165</v>
      </c>
      <c r="E8" s="195" t="s">
        <v>180</v>
      </c>
      <c r="F8" s="8" t="s">
        <v>168</v>
      </c>
      <c r="G8" s="17"/>
      <c r="H8" s="17"/>
      <c r="I8" s="17"/>
      <c r="J8" s="17"/>
      <c r="K8" s="17"/>
      <c r="L8" s="17"/>
      <c r="M8" s="272"/>
    </row>
    <row r="9" spans="2:13" x14ac:dyDescent="0.25">
      <c r="C9" s="497"/>
      <c r="D9" s="145" t="s">
        <v>166</v>
      </c>
      <c r="E9" s="195"/>
      <c r="F9" s="8" t="s">
        <v>169</v>
      </c>
      <c r="G9" s="17"/>
      <c r="H9" s="17"/>
      <c r="I9" s="17"/>
      <c r="J9" s="17"/>
      <c r="K9" s="17"/>
      <c r="L9" s="17"/>
      <c r="M9" s="272"/>
    </row>
    <row r="10" spans="2:13" x14ac:dyDescent="0.25">
      <c r="C10" s="498"/>
      <c r="D10" s="300" t="s">
        <v>167</v>
      </c>
      <c r="E10" s="301"/>
      <c r="F10" s="302" t="s">
        <v>170</v>
      </c>
      <c r="G10" s="292"/>
      <c r="H10" s="292"/>
      <c r="I10" s="292"/>
      <c r="J10" s="292"/>
      <c r="K10" s="292"/>
      <c r="L10" s="292"/>
      <c r="M10" s="295"/>
    </row>
    <row r="11" spans="2:13" x14ac:dyDescent="0.25">
      <c r="C11" s="291"/>
      <c r="D11" s="145"/>
      <c r="E11" s="195"/>
      <c r="F11" s="8"/>
      <c r="G11" s="17"/>
      <c r="H11" s="17"/>
      <c r="I11" s="17"/>
      <c r="J11" s="17"/>
      <c r="K11" s="17"/>
      <c r="L11" s="17"/>
    </row>
    <row r="12" spans="2:13" x14ac:dyDescent="0.25">
      <c r="C12" s="496" t="s">
        <v>176</v>
      </c>
      <c r="D12" s="155" t="s">
        <v>4</v>
      </c>
      <c r="E12" s="299" t="s">
        <v>181</v>
      </c>
      <c r="F12" s="155"/>
      <c r="G12" s="299"/>
      <c r="H12" s="306"/>
      <c r="I12" s="299"/>
      <c r="J12" s="294"/>
      <c r="K12" s="17"/>
      <c r="L12" s="17"/>
    </row>
    <row r="13" spans="2:13" x14ac:dyDescent="0.25">
      <c r="C13" s="497"/>
      <c r="D13" s="17" t="s">
        <v>141</v>
      </c>
      <c r="E13" s="17" t="s">
        <v>3</v>
      </c>
      <c r="F13" s="7"/>
      <c r="G13" s="17"/>
      <c r="H13" s="194"/>
      <c r="I13" s="17"/>
      <c r="J13" s="272"/>
      <c r="K13" s="17"/>
      <c r="L13" s="17"/>
    </row>
    <row r="14" spans="2:13" x14ac:dyDescent="0.25">
      <c r="C14" s="498"/>
      <c r="D14" s="292" t="s">
        <v>142</v>
      </c>
      <c r="E14" s="292" t="s">
        <v>2</v>
      </c>
      <c r="F14" s="280"/>
      <c r="G14" s="292"/>
      <c r="H14" s="307"/>
      <c r="I14" s="292"/>
      <c r="J14" s="295"/>
      <c r="K14" s="17"/>
      <c r="L14" s="17"/>
    </row>
    <row r="15" spans="2:13" ht="15.75" thickBot="1" x14ac:dyDescent="0.3">
      <c r="C15" s="291"/>
      <c r="D15" s="145"/>
      <c r="E15" s="195"/>
      <c r="F15" s="8"/>
      <c r="G15" s="17"/>
      <c r="H15" s="17"/>
      <c r="I15" s="17"/>
      <c r="J15" s="17"/>
      <c r="K15" s="17"/>
      <c r="L15" s="17"/>
    </row>
    <row r="16" spans="2:13" x14ac:dyDescent="0.25">
      <c r="C16" s="499" t="s">
        <v>160</v>
      </c>
      <c r="D16" s="308" t="s">
        <v>173</v>
      </c>
      <c r="E16" s="309" t="s">
        <v>177</v>
      </c>
      <c r="F16" s="286" t="s">
        <v>175</v>
      </c>
      <c r="G16" s="286"/>
      <c r="H16" s="286"/>
      <c r="I16" s="284"/>
    </row>
    <row r="17" spans="2:34" x14ac:dyDescent="0.25">
      <c r="C17" s="500"/>
      <c r="D17" s="17" t="s">
        <v>146</v>
      </c>
      <c r="E17" s="289">
        <v>4</v>
      </c>
      <c r="F17" s="17" t="s">
        <v>147</v>
      </c>
      <c r="G17" s="17"/>
      <c r="H17" s="17"/>
      <c r="I17" s="207"/>
    </row>
    <row r="18" spans="2:34" x14ac:dyDescent="0.25">
      <c r="C18" s="500"/>
      <c r="D18" s="17" t="s">
        <v>5</v>
      </c>
      <c r="E18" s="18">
        <v>4</v>
      </c>
      <c r="F18" s="17" t="s">
        <v>150</v>
      </c>
      <c r="G18" s="17"/>
      <c r="H18" s="17"/>
      <c r="I18" s="207"/>
    </row>
    <row r="19" spans="2:34" x14ac:dyDescent="0.25">
      <c r="C19" s="500"/>
      <c r="D19" s="145" t="s">
        <v>163</v>
      </c>
      <c r="E19" s="18">
        <f>E7</f>
        <v>48</v>
      </c>
      <c r="F19" s="145" t="s">
        <v>164</v>
      </c>
      <c r="G19" s="17"/>
      <c r="H19" s="17"/>
      <c r="I19" s="207"/>
    </row>
    <row r="20" spans="2:34" ht="15.75" thickBot="1" x14ac:dyDescent="0.3">
      <c r="C20" s="501"/>
      <c r="D20" s="171" t="s">
        <v>148</v>
      </c>
      <c r="E20" s="310">
        <f>E18*E19*LN(E17)</f>
        <v>266.16851733501898</v>
      </c>
      <c r="F20" s="171" t="s">
        <v>149</v>
      </c>
      <c r="G20" s="287"/>
      <c r="H20" s="287"/>
      <c r="I20" s="285"/>
      <c r="Q20" s="33" t="s">
        <v>191</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2" t="s">
        <v>12</v>
      </c>
      <c r="F23" s="63"/>
      <c r="G23" s="63"/>
      <c r="H23" s="64"/>
      <c r="I23" s="63" t="s">
        <v>13</v>
      </c>
      <c r="J23" s="63"/>
      <c r="K23" s="63"/>
      <c r="L23" s="63"/>
      <c r="M23" s="62" t="s">
        <v>72</v>
      </c>
      <c r="N23" s="63"/>
      <c r="O23" s="63"/>
      <c r="P23" s="269"/>
      <c r="Q23" s="63" t="s">
        <v>115</v>
      </c>
      <c r="R23" s="63"/>
      <c r="S23" s="62" t="s">
        <v>36</v>
      </c>
      <c r="T23" s="64" t="s">
        <v>35</v>
      </c>
      <c r="U23" s="205"/>
      <c r="V23" s="502" t="s">
        <v>99</v>
      </c>
      <c r="W23" s="503"/>
      <c r="X23" s="188" t="s">
        <v>100</v>
      </c>
      <c r="Z23" s="7" t="s">
        <v>101</v>
      </c>
      <c r="AA23" s="20"/>
      <c r="AB23" s="189" t="s">
        <v>101</v>
      </c>
      <c r="AC23" s="20"/>
    </row>
    <row r="24" spans="2:34" s="7" customFormat="1" ht="16.5" thickTop="1" thickBot="1" x14ac:dyDescent="0.3">
      <c r="C24" s="32"/>
      <c r="D24" s="118" t="s">
        <v>45</v>
      </c>
      <c r="E24" s="177" t="str">
        <f>"i="&amp;$E$5&amp;", 0"</f>
        <v>i=2, 0</v>
      </c>
      <c r="F24" s="181" t="str">
        <f>"i="&amp;$E$5&amp;", 1"</f>
        <v>i=2, 1</v>
      </c>
      <c r="G24" s="178" t="str">
        <f>"i="&amp;$E$6&amp;", 0"</f>
        <v>i=50, 0</v>
      </c>
      <c r="H24" s="182" t="str">
        <f>"i="&amp;$E$6&amp;", 1"</f>
        <v>i=50, 1</v>
      </c>
      <c r="I24" s="179" t="str">
        <f>"i="&amp;$E$5&amp;", 0"</f>
        <v>i=2, 0</v>
      </c>
      <c r="J24" s="181" t="str">
        <f>"i="&amp;$E$5&amp;", 1"</f>
        <v>i=2, 1</v>
      </c>
      <c r="K24" s="178" t="str">
        <f>"i="&amp;$E$6&amp;", 0"</f>
        <v>i=50, 0</v>
      </c>
      <c r="L24" s="268" t="str">
        <f>"i="&amp;$E$6&amp;", 1"</f>
        <v>i=50, 1</v>
      </c>
      <c r="M24" s="177" t="str">
        <f>"i="&amp;$E$5&amp;", 0"</f>
        <v>i=2, 0</v>
      </c>
      <c r="N24" s="181" t="str">
        <f>"i="&amp;$E$5&amp;", 1"</f>
        <v>i=2, 1</v>
      </c>
      <c r="O24" s="178" t="str">
        <f>"i="&amp;$E$6&amp;", 0"</f>
        <v>i=50, 0</v>
      </c>
      <c r="P24" s="182" t="str">
        <f>"i="&amp;$E$6&amp;", 1"</f>
        <v>i=50, 1</v>
      </c>
      <c r="Q24" s="196" t="s">
        <v>114</v>
      </c>
      <c r="R24" s="201" t="s">
        <v>113</v>
      </c>
      <c r="S24" s="42">
        <v>0</v>
      </c>
      <c r="T24" s="43"/>
      <c r="U24" s="145"/>
      <c r="V24" s="185" t="str">
        <f>E24</f>
        <v>i=2, 0</v>
      </c>
      <c r="W24" s="186" t="str">
        <f>H24</f>
        <v>i=50, 1</v>
      </c>
      <c r="AB24"/>
    </row>
    <row r="25" spans="2:34" s="7" customFormat="1" ht="18" customHeight="1" thickTop="1" x14ac:dyDescent="0.25">
      <c r="D25" s="25">
        <v>1</v>
      </c>
      <c r="E25" s="243">
        <v>0</v>
      </c>
      <c r="F25" s="242">
        <v>0</v>
      </c>
      <c r="G25" s="241">
        <v>0</v>
      </c>
      <c r="H25" s="240">
        <v>0</v>
      </c>
      <c r="I25" s="239">
        <f t="shared" ref="I25:I49" si="0">EXP(E25/$E$18)/(EXP($E25/$E$18)+EXP($F25/$E$18)+EXP($G25/$E$18)+EXP($H25/$E$18))</f>
        <v>0.25</v>
      </c>
      <c r="J25" s="238">
        <f t="shared" ref="J25:J49" si="1">EXP(F25/$E$18)/(EXP($E25/$E$18)+EXP($F25/$E$18)+EXP($G25/$E$18)+EXP($H25/$E$18))</f>
        <v>0.25</v>
      </c>
      <c r="K25" s="237">
        <f t="shared" ref="K25:K49" si="2">EXP(G25/$E$18)/(EXP($E25/$E$18)+EXP($F25/$E$18)+EXP($G25/$E$18)+EXP($H25/$E$18))</f>
        <v>0.25</v>
      </c>
      <c r="L25" s="236">
        <f t="shared" ref="L25:L49" si="3">EXP(H25/$E$18)/(EXP($E25/$E$18)+EXP($F25/$E$18)+EXP($G25/$E$18)+EXP($H25/$E$18))</f>
        <v>0.25</v>
      </c>
      <c r="M25" s="267">
        <f>(I25*$E$19)</f>
        <v>12</v>
      </c>
      <c r="N25" s="266">
        <f>(J25*$E$19)</f>
        <v>12</v>
      </c>
      <c r="O25" s="265">
        <f t="shared" ref="O25:O50" si="4">(K25*$E$19)</f>
        <v>12</v>
      </c>
      <c r="P25" s="264">
        <f t="shared" ref="P25:P50" si="5">(L25*$E$19)</f>
        <v>12</v>
      </c>
      <c r="Q25" s="197">
        <f>O25+$E$5</f>
        <v>14</v>
      </c>
      <c r="R25" s="202">
        <f>P25+$E$5</f>
        <v>14</v>
      </c>
      <c r="S25" s="82">
        <f>$E$18*$E$19*LN(EXP($E25/$E$18) + EXP($F25/$E$18) + EXP($G25/$E$18) +EXP($H25/$E$18) )</f>
        <v>266.16851733501898</v>
      </c>
      <c r="T25" s="46">
        <f>(S25-S24)</f>
        <v>266.16851733501898</v>
      </c>
      <c r="U25" s="206"/>
      <c r="V25" s="117"/>
      <c r="W25" s="103"/>
      <c r="AB25"/>
      <c r="AH25" s="192"/>
    </row>
    <row r="26" spans="2:34" s="7" customFormat="1" ht="18.75" x14ac:dyDescent="0.3">
      <c r="D26" s="25">
        <v>2</v>
      </c>
      <c r="E26" s="263">
        <v>1</v>
      </c>
      <c r="F26" s="262">
        <v>1</v>
      </c>
      <c r="G26" s="261">
        <v>1</v>
      </c>
      <c r="H26" s="260">
        <v>1</v>
      </c>
      <c r="I26" s="259">
        <f t="shared" si="0"/>
        <v>0.25</v>
      </c>
      <c r="J26" s="258">
        <f t="shared" si="1"/>
        <v>0.25</v>
      </c>
      <c r="K26" s="257">
        <f t="shared" si="2"/>
        <v>0.25</v>
      </c>
      <c r="L26" s="256">
        <f t="shared" si="3"/>
        <v>0.25</v>
      </c>
      <c r="M26" s="247">
        <f t="shared" ref="M26:M50" si="6">(I26*$E$19)</f>
        <v>12</v>
      </c>
      <c r="N26" s="246">
        <f t="shared" ref="N26:N50" si="7">(J26*$E$19)</f>
        <v>12</v>
      </c>
      <c r="O26" s="245">
        <f t="shared" si="4"/>
        <v>12</v>
      </c>
      <c r="P26" s="244">
        <f t="shared" si="5"/>
        <v>12</v>
      </c>
      <c r="Q26" s="198">
        <f t="shared" ref="Q26:Q49" si="8">O26+$E$5</f>
        <v>14</v>
      </c>
      <c r="R26" s="203">
        <f t="shared" ref="R26:R49" si="9">P26+$E$5</f>
        <v>14</v>
      </c>
      <c r="S26" s="83">
        <f t="shared" ref="S26:S50" si="10">$E$18*$E$7*LN(EXP($E26/$E$18) + EXP($F26/$E$18) + EXP($G26/$E$18) +EXP($H26/$E$18) )</f>
        <v>314.16851733501898</v>
      </c>
      <c r="T26" s="49">
        <f t="shared" ref="T26:T27" si="11">(S26-S25)</f>
        <v>48</v>
      </c>
      <c r="U26" s="206"/>
      <c r="V26" s="117">
        <f>E26-E25</f>
        <v>1</v>
      </c>
      <c r="W26" s="103">
        <f>H26-H25</f>
        <v>1</v>
      </c>
      <c r="X26" s="187">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190" t="str">
        <f t="shared" ref="AB26:AB49" si="15">Z26&amp;AA26</f>
        <v>Bought 1 Shares of State 1 at a cost of 48Bought 1 Shares of State 2 at a cost of 48</v>
      </c>
    </row>
    <row r="27" spans="2:34" s="7" customFormat="1" ht="18.75" x14ac:dyDescent="0.3">
      <c r="C27" s="21" t="s">
        <v>112</v>
      </c>
      <c r="D27" s="25">
        <v>3</v>
      </c>
      <c r="E27" s="263">
        <v>1</v>
      </c>
      <c r="F27" s="262">
        <v>2</v>
      </c>
      <c r="G27" s="261">
        <v>1</v>
      </c>
      <c r="H27" s="260">
        <v>2</v>
      </c>
      <c r="I27" s="259">
        <f t="shared" si="0"/>
        <v>0.21891174955710094</v>
      </c>
      <c r="J27" s="258">
        <f t="shared" si="1"/>
        <v>0.28108825044289909</v>
      </c>
      <c r="K27" s="257">
        <f t="shared" si="2"/>
        <v>0.21891174955710094</v>
      </c>
      <c r="L27" s="256">
        <f t="shared" si="3"/>
        <v>0.28108825044289909</v>
      </c>
      <c r="M27" s="247">
        <f t="shared" si="6"/>
        <v>10.507763978740845</v>
      </c>
      <c r="N27" s="246">
        <f>(J27*$E$19)</f>
        <v>13.492236021259156</v>
      </c>
      <c r="O27" s="245">
        <f t="shared" si="4"/>
        <v>10.507763978740845</v>
      </c>
      <c r="P27" s="244">
        <f t="shared" si="5"/>
        <v>13.492236021259156</v>
      </c>
      <c r="Q27" s="198">
        <f>O27+$E$5</f>
        <v>12.507763978740845</v>
      </c>
      <c r="R27" s="203">
        <f t="shared" si="9"/>
        <v>15.492236021259156</v>
      </c>
      <c r="S27" s="83">
        <f t="shared" si="10"/>
        <v>339.66462728424744</v>
      </c>
      <c r="T27" s="49">
        <f t="shared" si="11"/>
        <v>25.496109949228469</v>
      </c>
      <c r="U27" s="206"/>
      <c r="V27" s="117">
        <f>E27-E26</f>
        <v>0</v>
      </c>
      <c r="W27" s="103">
        <f>H27-H26</f>
        <v>1</v>
      </c>
      <c r="X27" s="187">
        <f t="shared" si="12"/>
        <v>25.496109949228469</v>
      </c>
      <c r="Z27" s="7" t="str">
        <f t="shared" si="13"/>
        <v/>
      </c>
      <c r="AA27" s="7" t="str">
        <f t="shared" si="14"/>
        <v>Bought 1 Shares of State 2 at a cost of 25.49611</v>
      </c>
      <c r="AB27" s="190" t="str">
        <f t="shared" si="15"/>
        <v>Bought 1 Shares of State 2 at a cost of 25.49611</v>
      </c>
    </row>
    <row r="28" spans="2:34" s="7" customFormat="1" ht="18.75" x14ac:dyDescent="0.3">
      <c r="C28" s="21"/>
      <c r="D28" s="25">
        <v>4</v>
      </c>
      <c r="E28" s="263">
        <v>1.1692164012828186</v>
      </c>
      <c r="F28" s="262">
        <v>2.1692164012828186</v>
      </c>
      <c r="G28" s="261">
        <v>1.1543542860897125</v>
      </c>
      <c r="H28" s="260">
        <v>2.1543542860897125</v>
      </c>
      <c r="I28" s="259">
        <f t="shared" si="0"/>
        <v>0.21931843554411776</v>
      </c>
      <c r="J28" s="258">
        <f t="shared" si="1"/>
        <v>0.28161044558683934</v>
      </c>
      <c r="K28" s="257">
        <f t="shared" si="2"/>
        <v>0.21850506357008417</v>
      </c>
      <c r="L28" s="256">
        <f t="shared" si="3"/>
        <v>0.28056605529895873</v>
      </c>
      <c r="M28" s="247">
        <f t="shared" si="6"/>
        <v>10.527284906117652</v>
      </c>
      <c r="N28" s="246">
        <f t="shared" si="7"/>
        <v>13.517301388168288</v>
      </c>
      <c r="O28" s="245">
        <f t="shared" si="4"/>
        <v>10.488243051364041</v>
      </c>
      <c r="P28" s="244">
        <f t="shared" si="5"/>
        <v>13.467170654350019</v>
      </c>
      <c r="Q28" s="198">
        <f t="shared" si="8"/>
        <v>12.488243051364041</v>
      </c>
      <c r="R28" s="203">
        <f t="shared" si="9"/>
        <v>15.467170654350019</v>
      </c>
      <c r="S28" s="83">
        <f t="shared" si="10"/>
        <v>347.43065510469967</v>
      </c>
      <c r="T28" s="49">
        <f>(S28-S27)</f>
        <v>7.7660278204522228</v>
      </c>
      <c r="U28" s="206"/>
      <c r="V28" s="117">
        <f>E28-E27</f>
        <v>0.16921640128281856</v>
      </c>
      <c r="W28" s="103">
        <f>H28-H27</f>
        <v>0.15435428608971247</v>
      </c>
      <c r="X28" s="187">
        <f t="shared" si="12"/>
        <v>7.7660278204522228</v>
      </c>
      <c r="Z28" s="7" t="str">
        <f t="shared" si="13"/>
        <v>Bought 0.169216401282819 Shares of State 1 at a cost of 7.76603</v>
      </c>
      <c r="AA28" s="7" t="str">
        <f t="shared" si="14"/>
        <v>Bought 0.154354286089712 Shares of State 2 at a cost of 7.76603</v>
      </c>
      <c r="AB28" s="190" t="str">
        <f t="shared" si="15"/>
        <v>Bought 0.169216401282819 Shares of State 1 at a cost of 7.76603Bought 0.154354286089712 Shares of State 2 at a cost of 7.76603</v>
      </c>
    </row>
    <row r="29" spans="2:34" s="7" customFormat="1" ht="18.75" x14ac:dyDescent="0.3">
      <c r="C29" s="21"/>
      <c r="D29" s="25">
        <v>5</v>
      </c>
      <c r="E29" s="263">
        <v>1.5104162050182035</v>
      </c>
      <c r="F29" s="262">
        <v>2.5104162050182035</v>
      </c>
      <c r="G29" s="261">
        <v>1.2782178283708414</v>
      </c>
      <c r="H29" s="260">
        <v>2.2782178283708414</v>
      </c>
      <c r="I29" s="259">
        <f t="shared" si="0"/>
        <v>0.225263835018949</v>
      </c>
      <c r="J29" s="258">
        <f t="shared" si="1"/>
        <v>0.28924448962488469</v>
      </c>
      <c r="K29" s="257">
        <f t="shared" si="2"/>
        <v>0.21255966409525284</v>
      </c>
      <c r="L29" s="256">
        <f t="shared" si="3"/>
        <v>0.27293201126091338</v>
      </c>
      <c r="M29" s="247">
        <f t="shared" si="6"/>
        <v>10.812664080909553</v>
      </c>
      <c r="N29" s="246">
        <f t="shared" si="7"/>
        <v>13.883735501994465</v>
      </c>
      <c r="O29" s="245">
        <f t="shared" si="4"/>
        <v>10.202863876572136</v>
      </c>
      <c r="P29" s="244">
        <f t="shared" si="5"/>
        <v>13.100736540523842</v>
      </c>
      <c r="Q29" s="198">
        <f t="shared" si="8"/>
        <v>12.202863876572136</v>
      </c>
      <c r="R29" s="203">
        <f t="shared" si="9"/>
        <v>15.100736540523842</v>
      </c>
      <c r="S29" s="83">
        <f t="shared" si="10"/>
        <v>358.67270686206007</v>
      </c>
      <c r="T29" s="49">
        <f t="shared" ref="T29:T46" si="16">(S29-S28)</f>
        <v>11.2420517573604</v>
      </c>
      <c r="U29" s="206"/>
      <c r="V29" s="117">
        <f>E29-E28</f>
        <v>0.34119980373538494</v>
      </c>
      <c r="W29" s="103">
        <f>H29-H28</f>
        <v>0.12386354228112895</v>
      </c>
      <c r="X29" s="187">
        <f t="shared" si="12"/>
        <v>11.2420517573604</v>
      </c>
      <c r="Z29" s="7" t="str">
        <f t="shared" si="13"/>
        <v>Bought 0.341199803735385 Shares of State 1 at a cost of 11.24205</v>
      </c>
      <c r="AA29" s="7" t="str">
        <f t="shared" si="14"/>
        <v>Bought 0.123863542281129 Shares of State 2 at a cost of 11.24205</v>
      </c>
      <c r="AB29" s="190" t="str">
        <f t="shared" si="15"/>
        <v>Bought 0.341199803735385 Shares of State 1 at a cost of 11.24205Bought 0.123863542281129 Shares of State 2 at a cost of 11.24205</v>
      </c>
    </row>
    <row r="30" spans="2:34" s="7" customFormat="1" ht="18.75" x14ac:dyDescent="0.3">
      <c r="C30" s="21" t="s">
        <v>178</v>
      </c>
      <c r="D30" s="25">
        <v>6</v>
      </c>
      <c r="E30" s="263">
        <v>1.9303055462171903</v>
      </c>
      <c r="F30" s="262">
        <v>2.9303055462171903</v>
      </c>
      <c r="G30" s="261">
        <v>2.6134525019667878</v>
      </c>
      <c r="H30" s="260">
        <v>3.6134525019667878</v>
      </c>
      <c r="I30" s="259">
        <f t="shared" si="0"/>
        <v>0.20026344361279283</v>
      </c>
      <c r="J30" s="258">
        <f t="shared" si="1"/>
        <v>0.25714335163223834</v>
      </c>
      <c r="K30" s="257">
        <f t="shared" si="2"/>
        <v>0.23756005550140913</v>
      </c>
      <c r="L30" s="256">
        <f t="shared" si="3"/>
        <v>0.3050331492535599</v>
      </c>
      <c r="M30" s="247">
        <f t="shared" si="6"/>
        <v>9.6126452934140563</v>
      </c>
      <c r="N30" s="246">
        <f t="shared" si="7"/>
        <v>12.34288087834744</v>
      </c>
      <c r="O30" s="245">
        <f t="shared" si="4"/>
        <v>11.402882664067638</v>
      </c>
      <c r="P30" s="244">
        <f t="shared" si="5"/>
        <v>14.641591164170876</v>
      </c>
      <c r="Q30" s="198">
        <f t="shared" si="8"/>
        <v>13.402882664067638</v>
      </c>
      <c r="R30" s="203">
        <f t="shared" si="9"/>
        <v>16.641591164170876</v>
      </c>
      <c r="S30" s="83">
        <f t="shared" si="10"/>
        <v>401.41400595745552</v>
      </c>
      <c r="T30" s="49">
        <f t="shared" si="16"/>
        <v>42.741299095395448</v>
      </c>
      <c r="U30" s="206"/>
      <c r="V30" s="117">
        <f>E30-E27</f>
        <v>0.9303055462171903</v>
      </c>
      <c r="W30" s="103">
        <f>H30-H27</f>
        <v>1.6134525019667878</v>
      </c>
      <c r="X30" s="187">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90" t="str">
        <f t="shared" ref="AB30:AB33" si="19">Z30&amp;AA30</f>
        <v>Bought 0.93030554621719 Shares of State 1 at a cost of 42.7413Bought 1.61345250196679 Shares of State 2 at a cost of 42.7413</v>
      </c>
    </row>
    <row r="31" spans="2:34" s="7" customFormat="1" ht="18.75" x14ac:dyDescent="0.3">
      <c r="C31" s="21" t="s">
        <v>178</v>
      </c>
      <c r="D31" s="25">
        <v>7</v>
      </c>
      <c r="E31" s="263">
        <v>2.1501630907937965</v>
      </c>
      <c r="F31" s="262">
        <v>3.1501630907937965</v>
      </c>
      <c r="G31" s="261">
        <v>3.0125751135246941</v>
      </c>
      <c r="H31" s="260">
        <v>4.0125751135246936</v>
      </c>
      <c r="I31" s="259">
        <f t="shared" si="0"/>
        <v>0.19540372702078027</v>
      </c>
      <c r="J31" s="258">
        <f t="shared" si="1"/>
        <v>0.25090335201019509</v>
      </c>
      <c r="K31" s="257">
        <f t="shared" si="2"/>
        <v>0.24241977209342166</v>
      </c>
      <c r="L31" s="256">
        <f t="shared" si="3"/>
        <v>0.31127314887560303</v>
      </c>
      <c r="M31" s="247">
        <f t="shared" si="6"/>
        <v>9.3793788969974532</v>
      </c>
      <c r="N31" s="246">
        <f t="shared" si="7"/>
        <v>12.043360896489364</v>
      </c>
      <c r="O31" s="245">
        <f t="shared" si="4"/>
        <v>11.636149060484239</v>
      </c>
      <c r="P31" s="244">
        <f t="shared" si="5"/>
        <v>14.941111146028945</v>
      </c>
      <c r="Q31" s="198">
        <f t="shared" si="8"/>
        <v>13.636149060484239</v>
      </c>
      <c r="R31" s="203">
        <f t="shared" si="9"/>
        <v>16.941111146028945</v>
      </c>
      <c r="S31" s="83">
        <f t="shared" si="10"/>
        <v>416.6838217828751</v>
      </c>
      <c r="T31" s="49">
        <f t="shared" si="16"/>
        <v>15.269815825419585</v>
      </c>
      <c r="U31" s="206"/>
      <c r="V31" s="117">
        <f>E31-E26</f>
        <v>1.1501630907937965</v>
      </c>
      <c r="W31" s="103">
        <f>H31-H26</f>
        <v>3.0125751135246936</v>
      </c>
      <c r="X31" s="187">
        <f t="shared" si="12"/>
        <v>15.269815825419585</v>
      </c>
      <c r="Z31" s="7" t="str">
        <f t="shared" si="17"/>
        <v>Bought 1.1501630907938 Shares of State 1 at a cost of 15.26982</v>
      </c>
      <c r="AA31" s="7" t="str">
        <f t="shared" si="18"/>
        <v>Bought 3.01257511352469 Shares of State 2 at a cost of 15.26982</v>
      </c>
      <c r="AB31" s="190" t="str">
        <f t="shared" si="19"/>
        <v>Bought 1.1501630907938 Shares of State 1 at a cost of 15.26982Bought 3.01257511352469 Shares of State 2 at a cost of 15.26982</v>
      </c>
    </row>
    <row r="32" spans="2:34" s="7" customFormat="1" ht="18.75" x14ac:dyDescent="0.3">
      <c r="C32" s="21" t="s">
        <v>178</v>
      </c>
      <c r="D32" s="25">
        <v>6</v>
      </c>
      <c r="E32" s="263">
        <v>2.4510353098759161</v>
      </c>
      <c r="F32" s="262">
        <v>3.4510353098759161</v>
      </c>
      <c r="G32" s="261">
        <v>3.4765067433201708</v>
      </c>
      <c r="H32" s="260">
        <v>4.4765067433201704</v>
      </c>
      <c r="I32" s="259">
        <f t="shared" si="0"/>
        <v>0.19100346894480086</v>
      </c>
      <c r="J32" s="258">
        <f t="shared" si="1"/>
        <v>0.24525330880065202</v>
      </c>
      <c r="K32" s="257">
        <f t="shared" si="2"/>
        <v>0.24682003016940104</v>
      </c>
      <c r="L32" s="256">
        <f t="shared" si="3"/>
        <v>0.31692319208514613</v>
      </c>
      <c r="M32" s="247">
        <f t="shared" si="6"/>
        <v>9.1681665093504421</v>
      </c>
      <c r="N32" s="246">
        <f t="shared" si="7"/>
        <v>11.772158822431297</v>
      </c>
      <c r="O32" s="245">
        <f t="shared" si="4"/>
        <v>11.847361448131251</v>
      </c>
      <c r="P32" s="244">
        <f t="shared" si="5"/>
        <v>15.212313220087015</v>
      </c>
      <c r="Q32" s="198">
        <f t="shared" si="8"/>
        <v>13.847361448131251</v>
      </c>
      <c r="R32" s="203">
        <f t="shared" si="9"/>
        <v>17.212313220087015</v>
      </c>
      <c r="S32" s="83">
        <f t="shared" si="10"/>
        <v>435.49872317851191</v>
      </c>
      <c r="T32" s="49">
        <f t="shared" si="16"/>
        <v>18.814901395636809</v>
      </c>
      <c r="U32" s="206"/>
      <c r="V32" s="117">
        <f>E32-E27</f>
        <v>1.4510353098759161</v>
      </c>
      <c r="W32" s="103">
        <f>H32-H27</f>
        <v>2.4765067433201704</v>
      </c>
      <c r="X32" s="187">
        <f t="shared" si="12"/>
        <v>18.814901395636809</v>
      </c>
      <c r="Z32" s="7" t="str">
        <f t="shared" si="17"/>
        <v>Bought 1.45103530987592 Shares of State 1 at a cost of 18.8149</v>
      </c>
      <c r="AA32" s="7" t="str">
        <f t="shared" si="18"/>
        <v>Bought 2.47650674332017 Shares of State 2 at a cost of 18.8149</v>
      </c>
      <c r="AB32" s="190" t="str">
        <f t="shared" si="19"/>
        <v>Bought 1.45103530987592 Shares of State 1 at a cost of 18.8149Bought 2.47650674332017 Shares of State 2 at a cost of 18.8149</v>
      </c>
    </row>
    <row r="33" spans="3:28" s="7" customFormat="1" ht="18.75" x14ac:dyDescent="0.3">
      <c r="C33" s="21" t="s">
        <v>178</v>
      </c>
      <c r="D33" s="25">
        <v>7</v>
      </c>
      <c r="E33" s="263">
        <v>3.0740485134702338</v>
      </c>
      <c r="F33" s="262">
        <v>4.0740485134702338</v>
      </c>
      <c r="G33" s="261">
        <v>4.0660098634360837</v>
      </c>
      <c r="H33" s="260">
        <v>5.0660098634360837</v>
      </c>
      <c r="I33" s="259">
        <f t="shared" si="0"/>
        <v>0.19190601120242443</v>
      </c>
      <c r="J33" s="258">
        <f t="shared" si="1"/>
        <v>0.24641219599907538</v>
      </c>
      <c r="K33" s="257">
        <f t="shared" si="2"/>
        <v>0.24591748791177745</v>
      </c>
      <c r="L33" s="256">
        <f t="shared" si="3"/>
        <v>0.31576430488672264</v>
      </c>
      <c r="M33" s="247">
        <f t="shared" si="6"/>
        <v>9.211488537716372</v>
      </c>
      <c r="N33" s="246">
        <f t="shared" si="7"/>
        <v>11.827785407955618</v>
      </c>
      <c r="O33" s="245">
        <f t="shared" si="4"/>
        <v>11.804039419765317</v>
      </c>
      <c r="P33" s="244">
        <f t="shared" si="5"/>
        <v>15.156686634562686</v>
      </c>
      <c r="Q33" s="198">
        <f t="shared" si="8"/>
        <v>13.804039419765317</v>
      </c>
      <c r="R33" s="203">
        <f t="shared" si="9"/>
        <v>17.156686634562686</v>
      </c>
      <c r="S33" s="83">
        <f t="shared" si="10"/>
        <v>464.49824259182594</v>
      </c>
      <c r="T33" s="49">
        <f t="shared" si="16"/>
        <v>28.999519413314033</v>
      </c>
      <c r="U33" s="206"/>
      <c r="V33" s="117">
        <f>E33-E26</f>
        <v>2.0740485134702338</v>
      </c>
      <c r="W33" s="103">
        <f>H33-H26</f>
        <v>4.0660098634360837</v>
      </c>
      <c r="X33" s="187">
        <f t="shared" si="12"/>
        <v>28.999519413314033</v>
      </c>
      <c r="Z33" s="7" t="str">
        <f t="shared" si="17"/>
        <v>Bought 2.07404851347023 Shares of State 1 at a cost of 28.99952</v>
      </c>
      <c r="AA33" s="7" t="str">
        <f t="shared" si="18"/>
        <v>Bought 4.06600986343608 Shares of State 2 at a cost of 28.99952</v>
      </c>
      <c r="AB33" s="190" t="str">
        <f t="shared" si="19"/>
        <v>Bought 2.07404851347023 Shares of State 1 at a cost of 28.99952Bought 4.06600986343608 Shares of State 2 at a cost of 28.99952</v>
      </c>
    </row>
    <row r="34" spans="3:28" s="7" customFormat="1" ht="18.75" x14ac:dyDescent="0.3">
      <c r="C34" s="21" t="s">
        <v>178</v>
      </c>
      <c r="D34" s="25">
        <v>6</v>
      </c>
      <c r="E34" s="263">
        <v>3.3998650712957863</v>
      </c>
      <c r="F34" s="262">
        <v>4.3998650712957863</v>
      </c>
      <c r="G34" s="261">
        <v>4.4137336305758117</v>
      </c>
      <c r="H34" s="260">
        <v>5.4137336305758117</v>
      </c>
      <c r="I34" s="259">
        <f t="shared" si="0"/>
        <v>0.19131586690080502</v>
      </c>
      <c r="J34" s="258">
        <f t="shared" si="1"/>
        <v>0.24565443571628268</v>
      </c>
      <c r="K34" s="257">
        <f t="shared" si="2"/>
        <v>0.24650763221339692</v>
      </c>
      <c r="L34" s="256">
        <f t="shared" si="3"/>
        <v>0.31652206516951548</v>
      </c>
      <c r="M34" s="247">
        <f t="shared" si="6"/>
        <v>9.1831616112386403</v>
      </c>
      <c r="N34" s="246">
        <f t="shared" si="7"/>
        <v>11.791412914381569</v>
      </c>
      <c r="O34" s="245">
        <f t="shared" si="4"/>
        <v>11.832366346243052</v>
      </c>
      <c r="P34" s="244">
        <f t="shared" si="5"/>
        <v>15.193059128136742</v>
      </c>
      <c r="Q34" s="198">
        <f t="shared" si="8"/>
        <v>13.832366346243052</v>
      </c>
      <c r="R34" s="203">
        <f t="shared" si="9"/>
        <v>17.193059128136742</v>
      </c>
      <c r="S34" s="83">
        <f t="shared" si="10"/>
        <v>480.72878040893073</v>
      </c>
      <c r="T34" s="49">
        <f t="shared" si="16"/>
        <v>16.230537817104789</v>
      </c>
      <c r="U34" s="206"/>
      <c r="V34" s="117">
        <f>E34-E29</f>
        <v>1.8894488662775828</v>
      </c>
      <c r="W34" s="103">
        <f>H34-H29</f>
        <v>3.1355158022049703</v>
      </c>
      <c r="X34" s="187">
        <f t="shared" si="12"/>
        <v>16.230537817104789</v>
      </c>
      <c r="Z34" s="7" t="str">
        <f t="shared" si="13"/>
        <v>Bought 1.88944886627758 Shares of State 1 at a cost of 16.23054</v>
      </c>
      <c r="AA34" s="7" t="str">
        <f t="shared" si="14"/>
        <v>Bought 3.13551580220497 Shares of State 2 at a cost of 16.23054</v>
      </c>
      <c r="AB34" s="190" t="str">
        <f t="shared" si="15"/>
        <v>Bought 1.88944886627758 Shares of State 1 at a cost of 16.23054Bought 3.13551580220497 Shares of State 2 at a cost of 16.23054</v>
      </c>
    </row>
    <row r="35" spans="3:28" s="7" customFormat="1" ht="18.75" x14ac:dyDescent="0.3">
      <c r="C35" s="21" t="s">
        <v>178</v>
      </c>
      <c r="D35" s="25">
        <v>7</v>
      </c>
      <c r="E35" s="263">
        <v>3.8469135712387743</v>
      </c>
      <c r="F35" s="262">
        <v>4.8469135712387743</v>
      </c>
      <c r="G35" s="261">
        <v>5.0586155449840549</v>
      </c>
      <c r="H35" s="260">
        <v>6.0586155449840549</v>
      </c>
      <c r="I35" s="259">
        <f t="shared" si="0"/>
        <v>0.18600602038949593</v>
      </c>
      <c r="J35" s="258">
        <f t="shared" si="1"/>
        <v>0.23883645783705104</v>
      </c>
      <c r="K35" s="257">
        <f t="shared" si="2"/>
        <v>0.25181747872470595</v>
      </c>
      <c r="L35" s="256">
        <f t="shared" si="3"/>
        <v>0.32334004304874703</v>
      </c>
      <c r="M35" s="247">
        <f t="shared" si="6"/>
        <v>8.9282889786958037</v>
      </c>
      <c r="N35" s="246">
        <f t="shared" si="7"/>
        <v>11.464149976178451</v>
      </c>
      <c r="O35" s="245">
        <f t="shared" si="4"/>
        <v>12.087238978785885</v>
      </c>
      <c r="P35" s="244">
        <f t="shared" si="5"/>
        <v>15.520322066339858</v>
      </c>
      <c r="Q35" s="198">
        <f t="shared" si="8"/>
        <v>14.087238978785885</v>
      </c>
      <c r="R35" s="203">
        <f t="shared" si="9"/>
        <v>17.520322066339858</v>
      </c>
      <c r="S35" s="83">
        <f t="shared" si="10"/>
        <v>507.59128913606207</v>
      </c>
      <c r="T35" s="49">
        <f t="shared" si="16"/>
        <v>26.862508727131342</v>
      </c>
      <c r="U35" s="206"/>
      <c r="V35" s="117">
        <f>E35-E28</f>
        <v>2.6776971699559557</v>
      </c>
      <c r="W35" s="103">
        <f>H35-H28</f>
        <v>3.9042612588943424</v>
      </c>
      <c r="X35" s="187">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90" t="str">
        <f t="shared" ref="AB35:AB41" si="22">Z35&amp;AA35</f>
        <v>Bought 2.67769716995596 Shares of State 1 at a cost of 26.86251Bought 3.90426125889434 Shares of State 2 at a cost of 26.86251</v>
      </c>
    </row>
    <row r="36" spans="3:28" s="7" customFormat="1" ht="18.75" x14ac:dyDescent="0.3">
      <c r="C36" s="21" t="s">
        <v>178</v>
      </c>
      <c r="D36" s="25">
        <v>8</v>
      </c>
      <c r="E36" s="263">
        <v>4.2309480985953387</v>
      </c>
      <c r="F36" s="262">
        <v>5.2309480985953387</v>
      </c>
      <c r="G36" s="261">
        <v>5.6383161053180268</v>
      </c>
      <c r="H36" s="260">
        <v>6.6383161053180268</v>
      </c>
      <c r="I36" s="259">
        <f t="shared" si="0"/>
        <v>0.18079300205641774</v>
      </c>
      <c r="J36" s="258">
        <f t="shared" si="1"/>
        <v>0.23214280979971949</v>
      </c>
      <c r="K36" s="257">
        <f t="shared" si="2"/>
        <v>0.25703049705778414</v>
      </c>
      <c r="L36" s="256">
        <f t="shared" si="3"/>
        <v>0.33003369108607861</v>
      </c>
      <c r="M36" s="247">
        <f t="shared" si="6"/>
        <v>8.6780640987080524</v>
      </c>
      <c r="N36" s="246">
        <f t="shared" si="7"/>
        <v>11.142854870386536</v>
      </c>
      <c r="O36" s="245">
        <f t="shared" si="4"/>
        <v>12.337463858773638</v>
      </c>
      <c r="P36" s="244">
        <f t="shared" si="5"/>
        <v>15.841617172131773</v>
      </c>
      <c r="Q36" s="198">
        <f t="shared" si="8"/>
        <v>14.337463858773638</v>
      </c>
      <c r="R36" s="203">
        <f t="shared" si="9"/>
        <v>17.841617172131773</v>
      </c>
      <c r="S36" s="83">
        <f t="shared" si="10"/>
        <v>531.48279587753041</v>
      </c>
      <c r="T36" s="49">
        <f t="shared" si="16"/>
        <v>23.891506741468334</v>
      </c>
      <c r="U36" s="206"/>
      <c r="V36" s="117">
        <f>E36-E27</f>
        <v>3.2309480985953387</v>
      </c>
      <c r="W36" s="103">
        <f>H36-H27</f>
        <v>4.6383161053180268</v>
      </c>
      <c r="X36" s="187">
        <f t="shared" si="12"/>
        <v>23.891506741468334</v>
      </c>
      <c r="Z36" s="7" t="str">
        <f t="shared" si="20"/>
        <v>Bought 3.23094809859534 Shares of State 1 at a cost of 23.89151</v>
      </c>
      <c r="AA36" s="7" t="str">
        <f t="shared" si="21"/>
        <v>Bought 4.63831610531803 Shares of State 2 at a cost of 23.89151</v>
      </c>
      <c r="AB36" s="190" t="str">
        <f t="shared" si="22"/>
        <v>Bought 3.23094809859534 Shares of State 1 at a cost of 23.89151Bought 4.63831610531803 Shares of State 2 at a cost of 23.89151</v>
      </c>
    </row>
    <row r="37" spans="3:28" s="7" customFormat="1" ht="18.75" x14ac:dyDescent="0.3">
      <c r="C37" s="21" t="s">
        <v>178</v>
      </c>
      <c r="D37" s="25">
        <v>9</v>
      </c>
      <c r="E37" s="263">
        <v>5.104173288991448</v>
      </c>
      <c r="F37" s="262">
        <v>6.104173288991448</v>
      </c>
      <c r="G37" s="261">
        <v>6.0780072464130077</v>
      </c>
      <c r="H37" s="260">
        <v>7.0780072464130077</v>
      </c>
      <c r="I37" s="259">
        <f t="shared" si="0"/>
        <v>0.1923946353725654</v>
      </c>
      <c r="J37" s="258">
        <f t="shared" si="1"/>
        <v>0.24703960185274434</v>
      </c>
      <c r="K37" s="257">
        <f t="shared" si="2"/>
        <v>0.24542886374163644</v>
      </c>
      <c r="L37" s="256">
        <f t="shared" si="3"/>
        <v>0.31513689903305364</v>
      </c>
      <c r="M37" s="247">
        <f t="shared" si="6"/>
        <v>9.2349424978831394</v>
      </c>
      <c r="N37" s="246">
        <f t="shared" si="7"/>
        <v>11.857900888931729</v>
      </c>
      <c r="O37" s="245">
        <f t="shared" si="4"/>
        <v>11.78058545959855</v>
      </c>
      <c r="P37" s="244">
        <f t="shared" si="5"/>
        <v>15.126571153586575</v>
      </c>
      <c r="Q37" s="198">
        <f t="shared" si="8"/>
        <v>13.78058545959855</v>
      </c>
      <c r="R37" s="203">
        <f t="shared" si="9"/>
        <v>17.126571153586575</v>
      </c>
      <c r="S37" s="83">
        <f t="shared" si="10"/>
        <v>561.45598964469048</v>
      </c>
      <c r="T37" s="49">
        <f t="shared" si="16"/>
        <v>29.973193767160069</v>
      </c>
      <c r="U37" s="206"/>
      <c r="V37" s="117">
        <f>E37-E29</f>
        <v>3.5937570839732444</v>
      </c>
      <c r="W37" s="103">
        <f>H37-H29</f>
        <v>4.7997894180421667</v>
      </c>
      <c r="X37" s="187">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90" t="str">
        <f t="shared" ref="AB37:AB39" si="25">Z37&amp;AA37</f>
        <v>Bought 3.59375708397324 Shares of State 1 at a cost of 29.97319Bought 4.79978941804217 Shares of State 2 at a cost of 29.97319</v>
      </c>
    </row>
    <row r="38" spans="3:28" s="7" customFormat="1" ht="18.75" x14ac:dyDescent="0.3">
      <c r="C38" s="21" t="s">
        <v>178</v>
      </c>
      <c r="D38" s="25">
        <v>10</v>
      </c>
      <c r="E38" s="263">
        <v>5.987108250167636</v>
      </c>
      <c r="F38" s="262">
        <v>6.987108250167636</v>
      </c>
      <c r="G38" s="261">
        <v>6.3196156547653608</v>
      </c>
      <c r="H38" s="260">
        <v>7.3196156547653608</v>
      </c>
      <c r="I38" s="259">
        <f t="shared" si="0"/>
        <v>0.20981826313219692</v>
      </c>
      <c r="J38" s="258">
        <f t="shared" si="1"/>
        <v>0.26941198274701733</v>
      </c>
      <c r="K38" s="257">
        <f t="shared" si="2"/>
        <v>0.22800523598200501</v>
      </c>
      <c r="L38" s="256">
        <f t="shared" si="3"/>
        <v>0.29276451813878085</v>
      </c>
      <c r="M38" s="247">
        <f t="shared" si="6"/>
        <v>10.071276630345452</v>
      </c>
      <c r="N38" s="246">
        <f t="shared" si="7"/>
        <v>12.931775171856831</v>
      </c>
      <c r="O38" s="245">
        <f t="shared" si="4"/>
        <v>10.944251327136239</v>
      </c>
      <c r="P38" s="244">
        <f t="shared" si="5"/>
        <v>14.052696870661482</v>
      </c>
      <c r="Q38" s="198">
        <f t="shared" si="8"/>
        <v>12.944251327136239</v>
      </c>
      <c r="R38" s="203">
        <f t="shared" si="9"/>
        <v>16.052696870661482</v>
      </c>
      <c r="S38" s="83">
        <f t="shared" si="10"/>
        <v>587.19179503667874</v>
      </c>
      <c r="T38" s="49">
        <f t="shared" si="16"/>
        <v>25.735805391988265</v>
      </c>
      <c r="U38" s="206"/>
      <c r="V38" s="117">
        <f>E38-E28</f>
        <v>4.8178918488848179</v>
      </c>
      <c r="W38" s="103">
        <f>H38-H28</f>
        <v>5.1652613686756483</v>
      </c>
      <c r="X38" s="187">
        <f t="shared" si="12"/>
        <v>25.735805391988265</v>
      </c>
      <c r="Z38" s="7" t="str">
        <f t="shared" si="23"/>
        <v>Bought 4.81789184888482 Shares of State 1 at a cost of 25.73581</v>
      </c>
      <c r="AA38" s="7" t="str">
        <f t="shared" si="24"/>
        <v>Bought 5.16526136867565 Shares of State 2 at a cost of 25.73581</v>
      </c>
      <c r="AB38" s="190" t="str">
        <f t="shared" si="25"/>
        <v>Bought 4.81789184888482 Shares of State 1 at a cost of 25.73581Bought 5.16526136867565 Shares of State 2 at a cost of 25.73581</v>
      </c>
    </row>
    <row r="39" spans="3:28" s="7" customFormat="1" ht="18.75" x14ac:dyDescent="0.3">
      <c r="C39" s="21" t="s">
        <v>178</v>
      </c>
      <c r="D39" s="25">
        <v>11</v>
      </c>
      <c r="E39" s="263">
        <v>6.0564533420657778</v>
      </c>
      <c r="F39" s="262">
        <v>7.0564533420657778</v>
      </c>
      <c r="G39" s="261">
        <v>6.7440710564593589</v>
      </c>
      <c r="H39" s="260">
        <v>7.7440710564593589</v>
      </c>
      <c r="I39" s="259">
        <f t="shared" si="0"/>
        <v>0.20014199947829309</v>
      </c>
      <c r="J39" s="258">
        <f t="shared" si="1"/>
        <v>0.25698741427683297</v>
      </c>
      <c r="K39" s="257">
        <f t="shared" si="2"/>
        <v>0.23768149963590884</v>
      </c>
      <c r="L39" s="256">
        <f t="shared" si="3"/>
        <v>0.3051890866089651</v>
      </c>
      <c r="M39" s="247">
        <f t="shared" si="6"/>
        <v>9.6068159749580673</v>
      </c>
      <c r="N39" s="246">
        <f t="shared" si="7"/>
        <v>12.335395885287983</v>
      </c>
      <c r="O39" s="245">
        <f t="shared" si="4"/>
        <v>11.408711982523624</v>
      </c>
      <c r="P39" s="244">
        <f t="shared" si="5"/>
        <v>14.649076157230326</v>
      </c>
      <c r="Q39" s="198">
        <f t="shared" si="8"/>
        <v>13.408711982523624</v>
      </c>
      <c r="R39" s="203">
        <f t="shared" si="9"/>
        <v>16.649076157230326</v>
      </c>
      <c r="S39" s="83">
        <f t="shared" si="10"/>
        <v>599.58556847769387</v>
      </c>
      <c r="T39" s="49">
        <f t="shared" si="16"/>
        <v>12.393773441015128</v>
      </c>
      <c r="U39" s="206"/>
      <c r="V39" s="117">
        <f>E39-E27</f>
        <v>5.0564533420657778</v>
      </c>
      <c r="W39" s="103">
        <f>H39-H27</f>
        <v>5.7440710564593589</v>
      </c>
      <c r="X39" s="187">
        <f t="shared" si="12"/>
        <v>12.393773441015128</v>
      </c>
      <c r="Z39" s="7" t="str">
        <f t="shared" si="23"/>
        <v>Bought 5.05645334206578 Shares of State 1 at a cost of 12.39377</v>
      </c>
      <c r="AA39" s="7" t="str">
        <f t="shared" si="24"/>
        <v>Bought 5.74407105645936 Shares of State 2 at a cost of 12.39377</v>
      </c>
      <c r="AB39" s="190" t="str">
        <f t="shared" si="25"/>
        <v>Bought 5.05645334206578 Shares of State 1 at a cost of 12.39377Bought 5.74407105645936 Shares of State 2 at a cost of 12.39377</v>
      </c>
    </row>
    <row r="40" spans="3:28" s="7" customFormat="1" ht="18.75" x14ac:dyDescent="0.3">
      <c r="C40" s="21" t="s">
        <v>178</v>
      </c>
      <c r="D40" s="25">
        <v>9</v>
      </c>
      <c r="E40" s="263">
        <v>6.3154640072960584</v>
      </c>
      <c r="F40" s="262">
        <v>7.3154640072960584</v>
      </c>
      <c r="G40" s="261">
        <v>7.8017005353667326</v>
      </c>
      <c r="H40" s="260">
        <v>8.8017005353667326</v>
      </c>
      <c r="I40" s="259">
        <f t="shared" si="0"/>
        <v>0.17870393696700715</v>
      </c>
      <c r="J40" s="258">
        <f t="shared" si="1"/>
        <v>0.22946039712780128</v>
      </c>
      <c r="K40" s="257">
        <f t="shared" si="2"/>
        <v>0.25911956214719473</v>
      </c>
      <c r="L40" s="256">
        <f t="shared" si="3"/>
        <v>0.33271610375799682</v>
      </c>
      <c r="M40" s="247">
        <f t="shared" si="6"/>
        <v>8.5777889744163431</v>
      </c>
      <c r="N40" s="246">
        <f t="shared" si="7"/>
        <v>11.014099062134461</v>
      </c>
      <c r="O40" s="245">
        <f t="shared" si="4"/>
        <v>12.437738983065348</v>
      </c>
      <c r="P40" s="244">
        <f t="shared" si="5"/>
        <v>15.970372980383846</v>
      </c>
      <c r="Q40" s="198">
        <f t="shared" si="8"/>
        <v>14.437738983065348</v>
      </c>
      <c r="R40" s="203">
        <f t="shared" si="9"/>
        <v>17.970372980383846</v>
      </c>
      <c r="S40" s="83">
        <f t="shared" si="10"/>
        <v>633.77103892428318</v>
      </c>
      <c r="T40" s="49">
        <f t="shared" si="16"/>
        <v>34.185470446589306</v>
      </c>
      <c r="U40" s="206"/>
      <c r="V40" s="117">
        <f>E40-E36</f>
        <v>2.0845159087007197</v>
      </c>
      <c r="W40" s="103">
        <f>H40-H36</f>
        <v>2.1633844300487057</v>
      </c>
      <c r="X40" s="187">
        <f t="shared" si="12"/>
        <v>34.185470446589306</v>
      </c>
      <c r="Z40" s="7" t="str">
        <f t="shared" si="20"/>
        <v>Bought 2.08451590870072 Shares of State 1 at a cost of 34.18547</v>
      </c>
      <c r="AA40" s="7" t="str">
        <f t="shared" si="21"/>
        <v>Bought 2.16338443004871 Shares of State 2 at a cost of 34.18547</v>
      </c>
      <c r="AB40" s="190" t="str">
        <f t="shared" si="22"/>
        <v>Bought 2.08451590870072 Shares of State 1 at a cost of 34.18547Bought 2.16338443004871 Shares of State 2 at a cost of 34.18547</v>
      </c>
    </row>
    <row r="41" spans="3:28" s="7" customFormat="1" ht="18.75" x14ac:dyDescent="0.3">
      <c r="C41" s="21" t="s">
        <v>178</v>
      </c>
      <c r="D41" s="25">
        <v>10</v>
      </c>
      <c r="E41" s="263">
        <v>7.3968440818678882</v>
      </c>
      <c r="F41" s="262">
        <v>8.3968440818678882</v>
      </c>
      <c r="G41" s="261">
        <v>13.022131281540727</v>
      </c>
      <c r="H41" s="260">
        <v>14.022131281540727</v>
      </c>
      <c r="I41" s="259">
        <f t="shared" si="0"/>
        <v>8.6170167772874354E-2</v>
      </c>
      <c r="J41" s="258">
        <f t="shared" si="1"/>
        <v>0.11064468558061759</v>
      </c>
      <c r="K41" s="257">
        <f t="shared" si="2"/>
        <v>0.35165333134132748</v>
      </c>
      <c r="L41" s="256">
        <f t="shared" si="3"/>
        <v>0.4515318153051805</v>
      </c>
      <c r="M41" s="247">
        <f t="shared" si="6"/>
        <v>4.1361680530979692</v>
      </c>
      <c r="N41" s="246">
        <f t="shared" si="7"/>
        <v>5.3109449078696445</v>
      </c>
      <c r="O41" s="245">
        <f t="shared" si="4"/>
        <v>16.879359904383719</v>
      </c>
      <c r="P41" s="244">
        <f t="shared" si="5"/>
        <v>21.673527134648666</v>
      </c>
      <c r="Q41" s="198">
        <f t="shared" si="8"/>
        <v>18.879359904383719</v>
      </c>
      <c r="R41" s="203">
        <f t="shared" si="9"/>
        <v>23.673527134648666</v>
      </c>
      <c r="S41" s="83">
        <f t="shared" si="10"/>
        <v>825.72331453452875</v>
      </c>
      <c r="T41" s="49">
        <f t="shared" si="16"/>
        <v>191.95227561024558</v>
      </c>
      <c r="U41" s="206"/>
      <c r="V41" s="117">
        <f>E41-E35</f>
        <v>3.5499305106291139</v>
      </c>
      <c r="W41" s="103">
        <f>H41-H35</f>
        <v>7.9635157365566718</v>
      </c>
      <c r="X41" s="187">
        <f t="shared" si="12"/>
        <v>191.95227561024558</v>
      </c>
      <c r="Z41" s="7" t="str">
        <f t="shared" si="20"/>
        <v>Bought 3.54993051062911 Shares of State 1 at a cost of 191.95228</v>
      </c>
      <c r="AA41" s="7" t="str">
        <f t="shared" si="21"/>
        <v>Bought 7.96351573655667 Shares of State 2 at a cost of 191.95228</v>
      </c>
      <c r="AB41" s="190" t="str">
        <f t="shared" si="22"/>
        <v>Bought 3.54993051062911 Shares of State 1 at a cost of 191.95228Bought 7.96351573655667 Shares of State 2 at a cost of 191.95228</v>
      </c>
    </row>
    <row r="42" spans="3:28" s="7" customFormat="1" ht="18.75" x14ac:dyDescent="0.3">
      <c r="C42" s="21" t="s">
        <v>178</v>
      </c>
      <c r="D42" s="25">
        <v>11</v>
      </c>
      <c r="E42" s="263">
        <v>8.7852155419080447</v>
      </c>
      <c r="F42" s="262">
        <v>9.7852155419080447</v>
      </c>
      <c r="G42" s="261">
        <v>13.154740372352904</v>
      </c>
      <c r="H42" s="260">
        <v>14.154740372352904</v>
      </c>
      <c r="I42" s="259">
        <f t="shared" si="0"/>
        <v>0.10996819251519151</v>
      </c>
      <c r="J42" s="258">
        <f t="shared" si="1"/>
        <v>0.14120195421671652</v>
      </c>
      <c r="K42" s="257">
        <f t="shared" si="2"/>
        <v>0.32785530659901041</v>
      </c>
      <c r="L42" s="256">
        <f t="shared" si="3"/>
        <v>0.42097454666908157</v>
      </c>
      <c r="M42" s="247">
        <f t="shared" si="6"/>
        <v>5.2784732407291921</v>
      </c>
      <c r="N42" s="246">
        <f t="shared" si="7"/>
        <v>6.7776938024023927</v>
      </c>
      <c r="O42" s="245">
        <f t="shared" si="4"/>
        <v>15.7370547167525</v>
      </c>
      <c r="P42" s="244">
        <f t="shared" si="5"/>
        <v>20.206778240115916</v>
      </c>
      <c r="Q42" s="198">
        <f t="shared" si="8"/>
        <v>17.7370547167525</v>
      </c>
      <c r="R42" s="203">
        <f t="shared" si="9"/>
        <v>22.206778240115916</v>
      </c>
      <c r="S42" s="83">
        <f t="shared" si="10"/>
        <v>845.54265589133706</v>
      </c>
      <c r="T42" s="49">
        <f t="shared" si="16"/>
        <v>19.819341356808309</v>
      </c>
      <c r="U42" s="206"/>
      <c r="V42" s="117">
        <f>E42-E34</f>
        <v>5.3853504706122584</v>
      </c>
      <c r="W42" s="103">
        <f>H42-H34</f>
        <v>8.7410067417770918</v>
      </c>
      <c r="X42" s="187">
        <f t="shared" si="12"/>
        <v>19.819341356808309</v>
      </c>
      <c r="Z42" s="7" t="str">
        <f t="shared" si="13"/>
        <v>Bought 5.38535047061226 Shares of State 1 at a cost of 19.81934</v>
      </c>
      <c r="AA42" s="7" t="str">
        <f t="shared" si="14"/>
        <v>Bought 8.74100674177709 Shares of State 2 at a cost of 19.81934</v>
      </c>
      <c r="AB42" s="190" t="str">
        <f t="shared" si="15"/>
        <v>Bought 5.38535047061226 Shares of State 1 at a cost of 19.81934Bought 8.74100674177709 Shares of State 2 at a cost of 19.81934</v>
      </c>
    </row>
    <row r="43" spans="3:28" s="7" customFormat="1" ht="18.75" x14ac:dyDescent="0.3">
      <c r="C43" s="21" t="s">
        <v>178</v>
      </c>
      <c r="D43" s="25">
        <v>12</v>
      </c>
      <c r="E43" s="263">
        <v>9.3858670428309061</v>
      </c>
      <c r="F43" s="262">
        <v>10.385867042830906</v>
      </c>
      <c r="G43" s="261">
        <v>13.868111047852677</v>
      </c>
      <c r="H43" s="260">
        <v>14.868111047852677</v>
      </c>
      <c r="I43" s="259">
        <f t="shared" si="0"/>
        <v>0.10766396757663846</v>
      </c>
      <c r="J43" s="258">
        <f t="shared" si="1"/>
        <v>0.13824327082984866</v>
      </c>
      <c r="K43" s="257">
        <f t="shared" si="2"/>
        <v>0.33015953153756339</v>
      </c>
      <c r="L43" s="256">
        <f t="shared" si="3"/>
        <v>0.42393323005594946</v>
      </c>
      <c r="M43" s="247">
        <f t="shared" si="6"/>
        <v>5.1678704436786465</v>
      </c>
      <c r="N43" s="246">
        <f t="shared" si="7"/>
        <v>6.6356769998327358</v>
      </c>
      <c r="O43" s="245">
        <f t="shared" si="4"/>
        <v>15.847657513803043</v>
      </c>
      <c r="P43" s="244">
        <f t="shared" si="5"/>
        <v>20.348795042685573</v>
      </c>
      <c r="Q43" s="198">
        <f t="shared" si="8"/>
        <v>17.847657513803043</v>
      </c>
      <c r="R43" s="203">
        <f t="shared" si="9"/>
        <v>22.348795042685573</v>
      </c>
      <c r="S43" s="83">
        <f t="shared" si="10"/>
        <v>878.43975828425835</v>
      </c>
      <c r="T43" s="49">
        <f t="shared" si="16"/>
        <v>32.897102392921283</v>
      </c>
      <c r="U43" s="206"/>
      <c r="V43" s="117">
        <f>E43-E42</f>
        <v>0.60065150092286146</v>
      </c>
      <c r="W43" s="103">
        <f>H43-H42</f>
        <v>0.71337067549977284</v>
      </c>
      <c r="X43" s="187">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90" t="str">
        <f t="shared" ref="AB43:AB44" si="28">Z43&amp;AA43</f>
        <v>Bought 0.600651500922861 Shares of State 1 at a cost of 32.8971Bought 0.713370675499773 Shares of State 2 at a cost of 32.8971</v>
      </c>
    </row>
    <row r="44" spans="3:28" s="7" customFormat="1" ht="18.75" x14ac:dyDescent="0.3">
      <c r="C44" s="21" t="s">
        <v>178</v>
      </c>
      <c r="D44" s="25">
        <v>13</v>
      </c>
      <c r="E44" s="263">
        <v>9.4936986411330846</v>
      </c>
      <c r="F44" s="262">
        <v>10.493698641133085</v>
      </c>
      <c r="G44" s="261">
        <v>15.604490705269127</v>
      </c>
      <c r="H44" s="260">
        <v>16.604490705269129</v>
      </c>
      <c r="I44" s="259">
        <f t="shared" si="0"/>
        <v>7.8077389990765328E-2</v>
      </c>
      <c r="J44" s="258">
        <f t="shared" si="1"/>
        <v>0.10025335321678375</v>
      </c>
      <c r="K44" s="257">
        <f t="shared" si="2"/>
        <v>0.35974610912343652</v>
      </c>
      <c r="L44" s="256">
        <f t="shared" si="3"/>
        <v>0.46192314766901443</v>
      </c>
      <c r="M44" s="247">
        <f t="shared" si="6"/>
        <v>3.7477147195567357</v>
      </c>
      <c r="N44" s="246">
        <f t="shared" si="7"/>
        <v>4.8121609544056199</v>
      </c>
      <c r="O44" s="245">
        <f t="shared" si="4"/>
        <v>17.267813237924955</v>
      </c>
      <c r="P44" s="244">
        <f t="shared" si="5"/>
        <v>22.172311088112693</v>
      </c>
      <c r="Q44" s="198">
        <f t="shared" si="8"/>
        <v>19.267813237924955</v>
      </c>
      <c r="R44" s="203">
        <f t="shared" si="9"/>
        <v>24.172311088112693</v>
      </c>
      <c r="S44" s="83">
        <f t="shared" si="10"/>
        <v>945.30804961759645</v>
      </c>
      <c r="T44" s="49">
        <f t="shared" si="16"/>
        <v>66.868291333338107</v>
      </c>
      <c r="U44" s="206"/>
      <c r="V44" s="117">
        <f>E44-E43</f>
        <v>0.10783159830217848</v>
      </c>
      <c r="W44" s="103">
        <f>H44-H43</f>
        <v>1.7363796574164514</v>
      </c>
      <c r="X44" s="187">
        <f t="shared" si="12"/>
        <v>66.868291333338107</v>
      </c>
      <c r="Z44" s="7" t="str">
        <f t="shared" si="26"/>
        <v>Bought 0.107831598302178 Shares of State 1 at a cost of 66.86829</v>
      </c>
      <c r="AA44" s="7" t="str">
        <f t="shared" si="27"/>
        <v>Bought 1.73637965741645 Shares of State 2 at a cost of 66.86829</v>
      </c>
      <c r="AB44" s="190" t="str">
        <f t="shared" si="28"/>
        <v>Bought 0.107831598302178 Shares of State 1 at a cost of 66.86829Bought 1.73637965741645 Shares of State 2 at a cost of 66.86829</v>
      </c>
    </row>
    <row r="45" spans="3:28" s="7" customFormat="1" ht="18.75" x14ac:dyDescent="0.3">
      <c r="C45" s="21" t="s">
        <v>178</v>
      </c>
      <c r="D45" s="25">
        <v>14</v>
      </c>
      <c r="E45" s="263">
        <v>9.8817463876862526</v>
      </c>
      <c r="F45" s="262">
        <v>10.881746387686253</v>
      </c>
      <c r="G45" s="261">
        <v>15.604490705269127</v>
      </c>
      <c r="H45" s="260">
        <v>16.6044907052691</v>
      </c>
      <c r="I45" s="259">
        <f t="shared" si="0"/>
        <v>8.4496348514717406E-2</v>
      </c>
      <c r="J45" s="258">
        <f t="shared" si="1"/>
        <v>0.10849545911020265</v>
      </c>
      <c r="K45" s="257">
        <f t="shared" si="2"/>
        <v>0.35332715059948583</v>
      </c>
      <c r="L45" s="256">
        <f t="shared" si="3"/>
        <v>0.45368104177559415</v>
      </c>
      <c r="M45" s="247">
        <f t="shared" si="6"/>
        <v>4.0558247287064351</v>
      </c>
      <c r="N45" s="246">
        <f t="shared" si="7"/>
        <v>5.2077820372897277</v>
      </c>
      <c r="O45" s="245">
        <f t="shared" si="4"/>
        <v>16.959703228775318</v>
      </c>
      <c r="P45" s="244">
        <f t="shared" si="5"/>
        <v>21.77669000522852</v>
      </c>
      <c r="Q45" s="198">
        <f t="shared" si="8"/>
        <v>18.959703228775318</v>
      </c>
      <c r="R45" s="203">
        <f t="shared" si="9"/>
        <v>23.77669000522852</v>
      </c>
      <c r="S45" s="83">
        <f t="shared" si="10"/>
        <v>948.76484262102804</v>
      </c>
      <c r="T45" s="49">
        <f t="shared" si="16"/>
        <v>3.456793003431585</v>
      </c>
      <c r="U45" s="206"/>
      <c r="V45" s="117">
        <f>E45-E42</f>
        <v>1.0965308457782079</v>
      </c>
      <c r="W45" s="103">
        <f>H45-H42</f>
        <v>2.4497503329161958</v>
      </c>
      <c r="X45" s="187">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90" t="str">
        <f t="shared" ref="AB45:AB46" si="31">Z45&amp;AA45</f>
        <v>Bought 1.09653084577821 Shares of State 1 at a cost of 3.45679Bought 2.4497503329162 Shares of State 2 at a cost of 3.45679</v>
      </c>
    </row>
    <row r="46" spans="3:28" s="7" customFormat="1" ht="18.75" x14ac:dyDescent="0.3">
      <c r="C46" s="21" t="s">
        <v>190</v>
      </c>
      <c r="D46" s="25">
        <v>15</v>
      </c>
      <c r="E46" s="263">
        <v>0</v>
      </c>
      <c r="F46" s="262">
        <v>70.92</v>
      </c>
      <c r="G46" s="261">
        <v>0</v>
      </c>
      <c r="H46" s="260">
        <v>68</v>
      </c>
      <c r="I46" s="259">
        <f t="shared" si="0"/>
        <v>1.3462858817368261E-8</v>
      </c>
      <c r="J46" s="258">
        <f t="shared" si="1"/>
        <v>0.67480525441269734</v>
      </c>
      <c r="K46" s="257">
        <f t="shared" si="2"/>
        <v>1.3462858817368261E-8</v>
      </c>
      <c r="L46" s="256">
        <f t="shared" si="3"/>
        <v>0.32519471866158495</v>
      </c>
      <c r="M46" s="247">
        <f t="shared" si="6"/>
        <v>6.4621722323367655E-7</v>
      </c>
      <c r="N46" s="246">
        <f t="shared" si="7"/>
        <v>32.390652211809474</v>
      </c>
      <c r="O46" s="245">
        <f t="shared" si="4"/>
        <v>6.4621722323367655E-7</v>
      </c>
      <c r="P46" s="244">
        <f t="shared" si="5"/>
        <v>15.609346495756078</v>
      </c>
      <c r="Q46" s="198">
        <f t="shared" si="8"/>
        <v>2.0000006462172233</v>
      </c>
      <c r="R46" s="203">
        <f t="shared" si="9"/>
        <v>17.609346495756078</v>
      </c>
      <c r="S46" s="83">
        <f t="shared" si="10"/>
        <v>3479.6795792099301</v>
      </c>
      <c r="T46" s="49">
        <f t="shared" si="16"/>
        <v>2530.9147365889021</v>
      </c>
      <c r="U46" s="206"/>
      <c r="V46" s="117">
        <f>E46-E45</f>
        <v>-9.8817463876862526</v>
      </c>
      <c r="W46" s="103">
        <f>H46-H45</f>
        <v>51.3955092947309</v>
      </c>
      <c r="X46" s="187">
        <f t="shared" si="12"/>
        <v>2530.9147365889021</v>
      </c>
      <c r="Z46" s="7" t="str">
        <f t="shared" si="29"/>
        <v>Sold 9.88174638768625 Shares of State 1 at a cost of 2530.91474</v>
      </c>
      <c r="AA46" s="7" t="str">
        <f t="shared" si="30"/>
        <v>Bought 51.3955092947309 Shares of State 2 at a cost of 2530.91474</v>
      </c>
      <c r="AB46" s="190" t="str">
        <f t="shared" si="31"/>
        <v>Sold 9.88174638768625 Shares of State 1 at a cost of 2530.91474Bought 51.3955092947309 Shares of State 2 at a cost of 2530.91474</v>
      </c>
    </row>
    <row r="47" spans="3:28" s="7" customFormat="1" ht="18.75" x14ac:dyDescent="0.3">
      <c r="C47" s="21" t="s">
        <v>178</v>
      </c>
      <c r="D47" s="25">
        <v>16</v>
      </c>
      <c r="E47" s="263">
        <v>0</v>
      </c>
      <c r="F47" s="262">
        <f>F46*1.01</f>
        <v>71.629199999999997</v>
      </c>
      <c r="G47" s="261">
        <v>0</v>
      </c>
      <c r="H47" s="260">
        <v>70</v>
      </c>
      <c r="I47" s="259">
        <f t="shared" si="0"/>
        <v>1.003294066459086E-8</v>
      </c>
      <c r="J47" s="258">
        <f t="shared" si="1"/>
        <v>0.60044028109311265</v>
      </c>
      <c r="K47" s="257">
        <f t="shared" si="2"/>
        <v>1.003294066459086E-8</v>
      </c>
      <c r="L47" s="256">
        <f t="shared" si="3"/>
        <v>0.39955969884100612</v>
      </c>
      <c r="M47" s="247">
        <f t="shared" si="6"/>
        <v>4.8158115190036129E-7</v>
      </c>
      <c r="N47" s="246">
        <f t="shared" si="7"/>
        <v>28.821133492469407</v>
      </c>
      <c r="O47" s="245">
        <f t="shared" si="4"/>
        <v>4.8158115190036129E-7</v>
      </c>
      <c r="P47" s="244">
        <f t="shared" si="5"/>
        <v>19.178865544368293</v>
      </c>
      <c r="Q47" s="198">
        <f t="shared" si="8"/>
        <v>2.0000004815811518</v>
      </c>
      <c r="R47" s="203">
        <f t="shared" si="9"/>
        <v>21.178865544368293</v>
      </c>
      <c r="S47" s="83">
        <f t="shared" si="10"/>
        <v>3536.1392814806504</v>
      </c>
      <c r="T47" s="49">
        <f t="shared" ref="T47:T49" si="32">(S47-S46)</f>
        <v>56.4597022707203</v>
      </c>
      <c r="U47" s="206"/>
      <c r="V47" s="117">
        <f>E47-E42</f>
        <v>-8.7852155419080447</v>
      </c>
      <c r="W47" s="103">
        <f>H47-H42</f>
        <v>55.845259627647096</v>
      </c>
      <c r="X47" s="187">
        <f t="shared" si="12"/>
        <v>56.4597022707203</v>
      </c>
      <c r="Z47" s="7" t="str">
        <f t="shared" si="13"/>
        <v>Sold 8.78521554190804 Shares of State 1 at a cost of 56.4597</v>
      </c>
      <c r="AA47" s="7" t="str">
        <f t="shared" si="14"/>
        <v>Bought 55.8452596276471 Shares of State 2 at a cost of 56.4597</v>
      </c>
      <c r="AB47" s="190" t="str">
        <f t="shared" si="15"/>
        <v>Sold 8.78521554190804 Shares of State 1 at a cost of 56.4597Bought 55.8452596276471 Shares of State 2 at a cost of 56.4597</v>
      </c>
    </row>
    <row r="48" spans="3:28" s="7" customFormat="1" ht="18.75" x14ac:dyDescent="0.3">
      <c r="C48" s="21" t="s">
        <v>178</v>
      </c>
      <c r="D48" s="25">
        <v>17</v>
      </c>
      <c r="E48" s="263">
        <v>0</v>
      </c>
      <c r="F48" s="262">
        <f t="shared" ref="F48:F49" si="33">F47*1.01</f>
        <v>72.345491999999993</v>
      </c>
      <c r="G48" s="261">
        <v>0</v>
      </c>
      <c r="H48" s="260">
        <v>72</v>
      </c>
      <c r="I48" s="259">
        <f t="shared" si="0"/>
        <v>7.2863293059875227E-9</v>
      </c>
      <c r="J48" s="258">
        <f t="shared" si="1"/>
        <v>0.52157982807177372</v>
      </c>
      <c r="K48" s="257">
        <f t="shared" si="2"/>
        <v>7.2863293059875227E-9</v>
      </c>
      <c r="L48" s="256">
        <f t="shared" si="3"/>
        <v>0.47842015735556759</v>
      </c>
      <c r="M48" s="247">
        <f t="shared" si="6"/>
        <v>3.4974380668740111E-7</v>
      </c>
      <c r="N48" s="246">
        <f t="shared" si="7"/>
        <v>25.035831747445137</v>
      </c>
      <c r="O48" s="245">
        <f t="shared" si="4"/>
        <v>3.4974380668740111E-7</v>
      </c>
      <c r="P48" s="244">
        <f t="shared" si="5"/>
        <v>22.964167553067245</v>
      </c>
      <c r="Q48" s="198">
        <f t="shared" si="8"/>
        <v>2.0000003497438068</v>
      </c>
      <c r="R48" s="203">
        <f t="shared" si="9"/>
        <v>24.964167553067245</v>
      </c>
      <c r="S48" s="83">
        <f t="shared" si="10"/>
        <v>3597.5550609202173</v>
      </c>
      <c r="T48" s="49">
        <f t="shared" si="32"/>
        <v>61.415779439566904</v>
      </c>
      <c r="U48" s="206"/>
      <c r="V48" s="117">
        <f>E48-E47</f>
        <v>0</v>
      </c>
      <c r="W48" s="103">
        <f>H48-H47</f>
        <v>2</v>
      </c>
      <c r="X48" s="187">
        <f t="shared" si="12"/>
        <v>61.415779439566904</v>
      </c>
      <c r="Z48" s="7" t="str">
        <f t="shared" si="13"/>
        <v/>
      </c>
      <c r="AA48" s="7" t="str">
        <f t="shared" si="14"/>
        <v>Bought 2 Shares of State 2 at a cost of 61.41578</v>
      </c>
      <c r="AB48" s="190" t="str">
        <f t="shared" si="15"/>
        <v>Bought 2 Shares of State 2 at a cost of 61.41578</v>
      </c>
    </row>
    <row r="49" spans="3:29" s="7" customFormat="1" ht="19.5" thickBot="1" x14ac:dyDescent="0.35">
      <c r="C49" s="21" t="s">
        <v>178</v>
      </c>
      <c r="D49" s="25">
        <v>18</v>
      </c>
      <c r="E49" s="255">
        <v>0</v>
      </c>
      <c r="F49" s="254">
        <f t="shared" si="33"/>
        <v>73.068946919999988</v>
      </c>
      <c r="G49" s="253">
        <v>0</v>
      </c>
      <c r="H49" s="252">
        <v>74</v>
      </c>
      <c r="I49" s="251">
        <f t="shared" si="0"/>
        <v>5.1538456893847273E-9</v>
      </c>
      <c r="J49" s="250">
        <f t="shared" si="1"/>
        <v>0.4420704877213853</v>
      </c>
      <c r="K49" s="249">
        <f t="shared" si="2"/>
        <v>5.1538456893847273E-9</v>
      </c>
      <c r="L49" s="248">
        <f t="shared" si="3"/>
        <v>0.55792950197092328</v>
      </c>
      <c r="M49" s="318">
        <f t="shared" si="6"/>
        <v>2.473845930904669E-7</v>
      </c>
      <c r="N49" s="319">
        <f t="shared" si="7"/>
        <v>21.219383410626495</v>
      </c>
      <c r="O49" s="320">
        <f t="shared" si="4"/>
        <v>2.473845930904669E-7</v>
      </c>
      <c r="P49" s="321">
        <f t="shared" si="5"/>
        <v>26.780616094604319</v>
      </c>
      <c r="Q49" s="199">
        <f t="shared" si="8"/>
        <v>2.0000002473845933</v>
      </c>
      <c r="R49" s="204">
        <f t="shared" si="9"/>
        <v>28.780616094604319</v>
      </c>
      <c r="S49" s="115">
        <f t="shared" si="10"/>
        <v>3664.0363517061824</v>
      </c>
      <c r="T49" s="116">
        <f t="shared" si="32"/>
        <v>66.481290785965029</v>
      </c>
      <c r="U49" s="206"/>
      <c r="V49" s="124">
        <f>E49-E48</f>
        <v>0</v>
      </c>
      <c r="W49" s="105">
        <f>H49-H48</f>
        <v>2</v>
      </c>
      <c r="X49" s="187">
        <f t="shared" si="12"/>
        <v>66.481290785965029</v>
      </c>
      <c r="Z49" s="7" t="str">
        <f t="shared" si="13"/>
        <v/>
      </c>
      <c r="AA49" s="7" t="str">
        <f t="shared" si="14"/>
        <v>Bought 2 Shares of State 2 at a cost of 66.48129</v>
      </c>
      <c r="AB49" s="190" t="str">
        <f t="shared" si="15"/>
        <v>Bought 2 Shares of State 2 at a cost of 66.48129</v>
      </c>
    </row>
    <row r="50" spans="3:29" s="7" customFormat="1" ht="16.5" thickTop="1" thickBot="1" x14ac:dyDescent="0.3">
      <c r="D50" s="25" t="s">
        <v>98</v>
      </c>
      <c r="E50" s="243">
        <f>E49</f>
        <v>0</v>
      </c>
      <c r="F50" s="242">
        <f t="shared" ref="F50:H50" si="34">F49</f>
        <v>73.068946919999988</v>
      </c>
      <c r="G50" s="241">
        <f t="shared" si="34"/>
        <v>0</v>
      </c>
      <c r="H50" s="240">
        <f t="shared" si="34"/>
        <v>74</v>
      </c>
      <c r="I50" s="239">
        <f>F54*F53</f>
        <v>0</v>
      </c>
      <c r="J50" s="238">
        <f>F53*E54</f>
        <v>0.48531250000000004</v>
      </c>
      <c r="K50" s="237">
        <f>E53*F54</f>
        <v>0</v>
      </c>
      <c r="L50" s="236">
        <f>E53*E54</f>
        <v>0.51468749999999996</v>
      </c>
      <c r="M50" s="314">
        <f t="shared" si="6"/>
        <v>0</v>
      </c>
      <c r="N50" s="315">
        <f t="shared" si="7"/>
        <v>23.295000000000002</v>
      </c>
      <c r="O50" s="316">
        <f t="shared" si="4"/>
        <v>0</v>
      </c>
      <c r="P50" s="317">
        <f t="shared" si="5"/>
        <v>24.704999999999998</v>
      </c>
      <c r="Q50" s="200">
        <f>O50+$E$5</f>
        <v>2</v>
      </c>
      <c r="R50" s="279">
        <f>P50+E5</f>
        <v>26.704999999999998</v>
      </c>
      <c r="S50" s="83">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78">
        <f>SUMPRODUCT(E50:H50,M50:P50)</f>
        <v>3530.3111185013995</v>
      </c>
      <c r="T51" t="s">
        <v>111</v>
      </c>
      <c r="AA51"/>
      <c r="AB51"/>
      <c r="AC51"/>
    </row>
    <row r="52" spans="3:29" s="7" customFormat="1" ht="15.75" thickBot="1" x14ac:dyDescent="0.3">
      <c r="C52" s="1"/>
      <c r="D52" s="155" t="s">
        <v>189</v>
      </c>
      <c r="E52" s="324" t="s">
        <v>162</v>
      </c>
      <c r="F52" s="269" t="s">
        <v>186</v>
      </c>
      <c r="G52" s="145"/>
      <c r="H52" s="17"/>
      <c r="I52" s="17"/>
      <c r="J52" s="17"/>
      <c r="K52" s="17"/>
      <c r="L52" s="17"/>
      <c r="M52" s="17"/>
      <c r="N52" s="17"/>
      <c r="O52" s="17" t="s">
        <v>137</v>
      </c>
      <c r="P52" s="235">
        <f>SUM(M48:P48)</f>
        <v>48</v>
      </c>
      <c r="Q52" s="17"/>
      <c r="R52" s="17"/>
      <c r="S52" s="278">
        <f>S50-S51</f>
        <v>133.72523320478285</v>
      </c>
      <c r="T52" s="7" t="s">
        <v>103</v>
      </c>
    </row>
    <row r="53" spans="3:29" s="7" customFormat="1" ht="15.75" thickBot="1" x14ac:dyDescent="0.3">
      <c r="C53" s="5" t="s">
        <v>187</v>
      </c>
      <c r="D53" s="145">
        <v>26.704999999999998</v>
      </c>
      <c r="E53" s="7">
        <f>(D53-E5)/(E6-E5)</f>
        <v>0.51468749999999996</v>
      </c>
      <c r="F53" s="6">
        <f>1-E53</f>
        <v>0.48531250000000004</v>
      </c>
      <c r="H53" s="33"/>
      <c r="J53" s="33"/>
      <c r="K53" s="33"/>
      <c r="L53" s="33"/>
      <c r="M53" s="17"/>
      <c r="N53" s="17"/>
      <c r="O53" s="17"/>
      <c r="P53" s="235">
        <f>SUM(M49:P49)</f>
        <v>48</v>
      </c>
      <c r="Q53" s="17"/>
      <c r="R53" s="17"/>
      <c r="S53" s="281">
        <f>S25-S52</f>
        <v>132.44328413023612</v>
      </c>
      <c r="T53" s="55" t="s">
        <v>104</v>
      </c>
      <c r="Y53" s="8"/>
      <c r="Z53" s="8"/>
      <c r="AA53" s="8"/>
      <c r="AB53" s="28"/>
      <c r="AC53" s="28"/>
    </row>
    <row r="54" spans="3:29" x14ac:dyDescent="0.25">
      <c r="C54" s="325" t="s">
        <v>188</v>
      </c>
      <c r="D54" s="326">
        <v>1</v>
      </c>
      <c r="E54" s="292">
        <v>1</v>
      </c>
      <c r="F54" s="3">
        <v>0</v>
      </c>
      <c r="G54" s="17"/>
      <c r="P54" s="235">
        <f>SUM(M50:P50)</f>
        <v>48</v>
      </c>
      <c r="T54" s="193"/>
    </row>
    <row r="55" spans="3:29" x14ac:dyDescent="0.25">
      <c r="C55" s="17"/>
      <c r="D55" s="235"/>
      <c r="E55" s="17"/>
      <c r="F55" s="7"/>
      <c r="G55" s="17"/>
    </row>
    <row r="56" spans="3:29" x14ac:dyDescent="0.25">
      <c r="G56" s="193"/>
      <c r="H56" s="193"/>
      <c r="Q56" s="193"/>
    </row>
    <row r="57" spans="3:29" x14ac:dyDescent="0.25">
      <c r="G57" s="193"/>
      <c r="H57" s="193"/>
      <c r="Q57" s="193"/>
    </row>
    <row r="58" spans="3:29" x14ac:dyDescent="0.25">
      <c r="G58" s="193"/>
      <c r="H58" s="193"/>
      <c r="Q58" s="193"/>
    </row>
    <row r="59" spans="3:29" x14ac:dyDescent="0.25">
      <c r="G59" s="193"/>
      <c r="H59" s="193"/>
      <c r="Q59" s="193"/>
    </row>
    <row r="60" spans="3:29" x14ac:dyDescent="0.25">
      <c r="G60" s="193"/>
      <c r="H60" s="193"/>
      <c r="Q60" s="193"/>
    </row>
    <row r="61" spans="3:29" x14ac:dyDescent="0.25">
      <c r="G61" s="193"/>
      <c r="H61" s="193"/>
    </row>
    <row r="62" spans="3:29" x14ac:dyDescent="0.25">
      <c r="G62" s="193"/>
      <c r="H62" s="193"/>
    </row>
    <row r="63" spans="3:29" x14ac:dyDescent="0.25">
      <c r="G63" s="193"/>
      <c r="H63" s="193"/>
    </row>
    <row r="64" spans="3:29" x14ac:dyDescent="0.25">
      <c r="G64" s="193"/>
      <c r="H64" s="193"/>
    </row>
    <row r="65" spans="7:8" x14ac:dyDescent="0.25">
      <c r="G65" s="193"/>
      <c r="H65" s="193"/>
    </row>
    <row r="66" spans="7:8" x14ac:dyDescent="0.25">
      <c r="G66" s="193"/>
      <c r="H66" s="193"/>
    </row>
    <row r="68" spans="7:8" x14ac:dyDescent="0.25">
      <c r="G68" s="193"/>
      <c r="H68" s="193"/>
    </row>
    <row r="69" spans="7:8" x14ac:dyDescent="0.25">
      <c r="G69" s="193"/>
      <c r="H69" s="193"/>
    </row>
    <row r="70" spans="7:8" x14ac:dyDescent="0.25">
      <c r="G70" s="193"/>
      <c r="H70" s="193"/>
    </row>
    <row r="71" spans="7:8" x14ac:dyDescent="0.25">
      <c r="G71" s="193"/>
      <c r="H71" s="193"/>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zoomScale="70" zoomScaleNormal="70" workbookViewId="0">
      <selection activeCell="J49" sqref="J49"/>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191" t="s">
        <v>183</v>
      </c>
      <c r="D2" s="144"/>
    </row>
    <row r="3" spans="2:36" ht="31.5" x14ac:dyDescent="0.5">
      <c r="B3" s="191"/>
      <c r="D3" s="144"/>
    </row>
    <row r="4" spans="2:36" x14ac:dyDescent="0.25">
      <c r="C4" s="496" t="s">
        <v>172</v>
      </c>
      <c r="D4" s="155" t="s">
        <v>102</v>
      </c>
      <c r="E4" s="155" t="s">
        <v>184</v>
      </c>
      <c r="F4" s="155"/>
      <c r="G4" s="299"/>
      <c r="H4" s="299"/>
      <c r="I4" s="299"/>
      <c r="J4" s="299"/>
      <c r="K4" s="299"/>
      <c r="L4" s="299"/>
      <c r="M4" s="294"/>
    </row>
    <row r="5" spans="2:36" x14ac:dyDescent="0.25">
      <c r="C5" s="497"/>
      <c r="D5" s="17" t="s">
        <v>157</v>
      </c>
      <c r="E5" s="18">
        <v>2</v>
      </c>
      <c r="F5" s="7" t="s">
        <v>158</v>
      </c>
      <c r="G5" s="17"/>
      <c r="H5" s="17"/>
      <c r="I5" s="17"/>
      <c r="J5" s="17"/>
      <c r="K5" s="17"/>
      <c r="L5" s="17"/>
      <c r="M5" s="272"/>
    </row>
    <row r="6" spans="2:36" x14ac:dyDescent="0.25">
      <c r="C6" s="497"/>
      <c r="D6" s="17" t="s">
        <v>160</v>
      </c>
      <c r="E6" s="18">
        <v>50</v>
      </c>
      <c r="F6" s="7" t="s">
        <v>159</v>
      </c>
      <c r="G6" s="17"/>
      <c r="H6" s="17"/>
      <c r="I6" s="17"/>
      <c r="J6" s="17"/>
      <c r="K6" s="17"/>
      <c r="L6" s="17"/>
      <c r="M6" s="272"/>
    </row>
    <row r="7" spans="2:36" x14ac:dyDescent="0.25">
      <c r="C7" s="497"/>
      <c r="D7" s="145" t="s">
        <v>161</v>
      </c>
      <c r="E7" s="18">
        <f>E6-E5</f>
        <v>48</v>
      </c>
      <c r="F7" s="7" t="s">
        <v>162</v>
      </c>
      <c r="G7" s="17"/>
      <c r="H7" s="17"/>
      <c r="I7" s="17"/>
      <c r="J7" s="17"/>
      <c r="K7" s="17"/>
      <c r="L7" s="17"/>
      <c r="M7" s="272"/>
    </row>
    <row r="8" spans="2:36" x14ac:dyDescent="0.25">
      <c r="C8" s="497"/>
      <c r="D8" s="145" t="s">
        <v>165</v>
      </c>
      <c r="E8" s="195"/>
      <c r="F8" s="8" t="s">
        <v>168</v>
      </c>
      <c r="G8" s="17"/>
      <c r="H8" s="17"/>
      <c r="I8" s="17"/>
      <c r="J8" s="17"/>
      <c r="K8" s="17"/>
      <c r="L8" s="17"/>
      <c r="M8" s="272"/>
    </row>
    <row r="9" spans="2:36" x14ac:dyDescent="0.25">
      <c r="C9" s="497"/>
      <c r="D9" s="145" t="s">
        <v>166</v>
      </c>
      <c r="E9" s="195"/>
      <c r="F9" s="8" t="s">
        <v>169</v>
      </c>
      <c r="G9" s="17"/>
      <c r="H9" s="17"/>
      <c r="I9" s="17"/>
      <c r="J9" s="17"/>
      <c r="K9" s="17"/>
      <c r="L9" s="17"/>
      <c r="M9" s="272"/>
    </row>
    <row r="10" spans="2:36" x14ac:dyDescent="0.25">
      <c r="C10" s="498"/>
      <c r="D10" s="300" t="s">
        <v>167</v>
      </c>
      <c r="E10" s="301"/>
      <c r="F10" s="302" t="s">
        <v>170</v>
      </c>
      <c r="G10" s="292"/>
      <c r="H10" s="292"/>
      <c r="I10" s="292"/>
      <c r="J10" s="292"/>
      <c r="K10" s="292"/>
      <c r="L10" s="292"/>
      <c r="M10" s="295"/>
    </row>
    <row r="11" spans="2:36" x14ac:dyDescent="0.25">
      <c r="C11" s="291"/>
      <c r="D11" s="145"/>
      <c r="E11" s="195"/>
      <c r="F11" s="8"/>
      <c r="G11" s="17"/>
      <c r="H11" s="17"/>
      <c r="I11" s="17"/>
      <c r="J11" s="17"/>
      <c r="K11" s="17"/>
      <c r="L11" s="17"/>
    </row>
    <row r="12" spans="2:36" x14ac:dyDescent="0.25">
      <c r="C12" s="496" t="s">
        <v>176</v>
      </c>
      <c r="D12" s="155" t="s">
        <v>102</v>
      </c>
      <c r="E12" s="155" t="s">
        <v>185</v>
      </c>
      <c r="F12" s="155"/>
      <c r="G12" s="299"/>
      <c r="H12" s="299"/>
      <c r="I12" s="299"/>
      <c r="J12" s="299"/>
      <c r="K12" s="299"/>
      <c r="L12" s="299"/>
      <c r="M12" s="294"/>
    </row>
    <row r="13" spans="2:36" x14ac:dyDescent="0.25">
      <c r="C13" s="497"/>
      <c r="D13" s="17" t="s">
        <v>157</v>
      </c>
      <c r="E13" s="18">
        <v>5</v>
      </c>
      <c r="F13" s="7" t="s">
        <v>158</v>
      </c>
      <c r="G13" s="17"/>
      <c r="H13" s="17"/>
      <c r="I13" s="17"/>
      <c r="J13" s="17"/>
      <c r="K13" s="17"/>
      <c r="L13" s="17"/>
      <c r="M13" s="272"/>
    </row>
    <row r="14" spans="2:36" s="33" customFormat="1" x14ac:dyDescent="0.25">
      <c r="B14"/>
      <c r="C14" s="497"/>
      <c r="D14" s="17" t="s">
        <v>160</v>
      </c>
      <c r="E14" s="18">
        <v>255</v>
      </c>
      <c r="F14" s="7" t="s">
        <v>159</v>
      </c>
      <c r="G14" s="17"/>
      <c r="H14" s="17"/>
      <c r="I14" s="17"/>
      <c r="J14" s="17"/>
      <c r="K14" s="17"/>
      <c r="L14" s="17"/>
      <c r="M14" s="272"/>
      <c r="X14"/>
      <c r="Y14"/>
      <c r="Z14"/>
      <c r="AA14"/>
      <c r="AB14"/>
      <c r="AC14"/>
      <c r="AD14"/>
      <c r="AE14"/>
      <c r="AF14"/>
      <c r="AG14"/>
      <c r="AH14"/>
      <c r="AI14"/>
      <c r="AJ14"/>
    </row>
    <row r="15" spans="2:36" s="33" customFormat="1" x14ac:dyDescent="0.25">
      <c r="B15"/>
      <c r="C15" s="497"/>
      <c r="D15" s="145" t="s">
        <v>161</v>
      </c>
      <c r="E15" s="18">
        <f>E14-E13</f>
        <v>250</v>
      </c>
      <c r="F15" s="7" t="s">
        <v>162</v>
      </c>
      <c r="G15" s="17"/>
      <c r="H15" s="17"/>
      <c r="I15" s="17"/>
      <c r="J15" s="17"/>
      <c r="K15" s="17"/>
      <c r="L15" s="17"/>
      <c r="M15" s="272"/>
      <c r="X15"/>
      <c r="Y15"/>
      <c r="Z15"/>
      <c r="AA15"/>
      <c r="AB15"/>
      <c r="AC15"/>
      <c r="AD15"/>
      <c r="AE15"/>
      <c r="AF15"/>
      <c r="AG15"/>
      <c r="AH15"/>
      <c r="AI15"/>
      <c r="AJ15"/>
    </row>
    <row r="16" spans="2:36" s="33" customFormat="1" x14ac:dyDescent="0.25">
      <c r="B16"/>
      <c r="C16" s="497"/>
      <c r="D16" s="145" t="s">
        <v>165</v>
      </c>
      <c r="E16" s="195"/>
      <c r="F16" s="8" t="s">
        <v>168</v>
      </c>
      <c r="G16" s="17"/>
      <c r="H16" s="17"/>
      <c r="I16" s="17"/>
      <c r="J16" s="17"/>
      <c r="K16" s="17"/>
      <c r="L16" s="17"/>
      <c r="M16" s="272"/>
      <c r="X16"/>
      <c r="Y16"/>
      <c r="Z16"/>
      <c r="AA16"/>
      <c r="AB16"/>
      <c r="AC16"/>
      <c r="AD16"/>
      <c r="AE16"/>
      <c r="AF16"/>
      <c r="AG16"/>
      <c r="AH16"/>
      <c r="AI16"/>
      <c r="AJ16"/>
    </row>
    <row r="17" spans="2:36" s="33" customFormat="1" x14ac:dyDescent="0.25">
      <c r="B17"/>
      <c r="C17" s="497"/>
      <c r="D17" s="145" t="s">
        <v>166</v>
      </c>
      <c r="E17" s="195"/>
      <c r="F17" s="8" t="s">
        <v>169</v>
      </c>
      <c r="G17" s="17"/>
      <c r="H17" s="17"/>
      <c r="I17" s="17"/>
      <c r="J17" s="17"/>
      <c r="K17" s="17"/>
      <c r="L17" s="17"/>
      <c r="M17" s="272"/>
      <c r="X17"/>
      <c r="Y17"/>
      <c r="Z17"/>
      <c r="AA17"/>
      <c r="AB17"/>
      <c r="AC17"/>
      <c r="AD17"/>
      <c r="AE17"/>
      <c r="AF17"/>
      <c r="AG17"/>
      <c r="AH17"/>
      <c r="AI17"/>
      <c r="AJ17"/>
    </row>
    <row r="18" spans="2:36" s="33" customFormat="1" x14ac:dyDescent="0.25">
      <c r="B18"/>
      <c r="C18" s="498"/>
      <c r="D18" s="300" t="s">
        <v>167</v>
      </c>
      <c r="E18" s="301"/>
      <c r="F18" s="302" t="s">
        <v>170</v>
      </c>
      <c r="G18" s="292"/>
      <c r="H18" s="292"/>
      <c r="I18" s="292"/>
      <c r="J18" s="292"/>
      <c r="K18" s="292"/>
      <c r="L18" s="292"/>
      <c r="M18" s="295"/>
      <c r="X18"/>
      <c r="Y18"/>
      <c r="Z18"/>
      <c r="AA18"/>
      <c r="AB18"/>
      <c r="AC18"/>
      <c r="AD18"/>
      <c r="AE18"/>
      <c r="AF18"/>
      <c r="AG18"/>
      <c r="AH18"/>
      <c r="AI18"/>
      <c r="AJ18"/>
    </row>
    <row r="19" spans="2:36" s="33" customFormat="1" ht="15.75" thickBot="1" x14ac:dyDescent="0.3">
      <c r="B19"/>
      <c r="C19" s="291"/>
      <c r="D19" s="145"/>
      <c r="E19" s="195"/>
      <c r="F19" s="8"/>
      <c r="G19" s="17"/>
      <c r="H19" s="17"/>
      <c r="I19" s="17"/>
      <c r="J19" s="17"/>
      <c r="K19" s="17"/>
      <c r="L19" s="17"/>
      <c r="X19"/>
      <c r="Y19"/>
      <c r="Z19"/>
      <c r="AA19"/>
      <c r="AB19"/>
      <c r="AC19"/>
      <c r="AD19"/>
      <c r="AE19"/>
      <c r="AF19"/>
      <c r="AG19"/>
      <c r="AH19"/>
      <c r="AI19"/>
      <c r="AJ19"/>
    </row>
    <row r="20" spans="2:36" s="33" customFormat="1" x14ac:dyDescent="0.25">
      <c r="B20"/>
      <c r="C20" s="499" t="s">
        <v>160</v>
      </c>
      <c r="D20" s="308" t="s">
        <v>173</v>
      </c>
      <c r="E20" s="309" t="s">
        <v>177</v>
      </c>
      <c r="F20" s="286" t="s">
        <v>175</v>
      </c>
      <c r="G20" s="286"/>
      <c r="H20" s="286"/>
      <c r="I20" s="284"/>
      <c r="X20"/>
      <c r="Y20"/>
      <c r="Z20"/>
      <c r="AA20"/>
      <c r="AB20"/>
      <c r="AC20"/>
      <c r="AD20"/>
      <c r="AE20"/>
      <c r="AF20"/>
      <c r="AG20"/>
      <c r="AH20"/>
      <c r="AI20"/>
      <c r="AJ20"/>
    </row>
    <row r="21" spans="2:36" x14ac:dyDescent="0.25">
      <c r="C21" s="500"/>
      <c r="D21" s="17" t="s">
        <v>146</v>
      </c>
      <c r="E21" s="289">
        <v>4</v>
      </c>
      <c r="F21" s="17" t="s">
        <v>147</v>
      </c>
      <c r="G21" s="17"/>
      <c r="H21" s="17"/>
      <c r="I21" s="207"/>
    </row>
    <row r="22" spans="2:36" x14ac:dyDescent="0.25">
      <c r="C22" s="500"/>
      <c r="D22" s="17" t="s">
        <v>5</v>
      </c>
      <c r="E22" s="18">
        <v>1</v>
      </c>
      <c r="F22" s="17" t="s">
        <v>150</v>
      </c>
      <c r="G22" s="17"/>
      <c r="H22" s="17"/>
      <c r="I22" s="207"/>
    </row>
    <row r="23" spans="2:36" x14ac:dyDescent="0.25">
      <c r="C23" s="500"/>
      <c r="D23" s="145" t="s">
        <v>163</v>
      </c>
      <c r="E23" s="18">
        <f>SUM(E14,E6)*2</f>
        <v>610</v>
      </c>
      <c r="F23" s="145" t="s">
        <v>206</v>
      </c>
      <c r="G23" s="17"/>
      <c r="H23" s="17"/>
      <c r="I23" s="207"/>
    </row>
    <row r="24" spans="2:36" ht="15.75" thickBot="1" x14ac:dyDescent="0.3">
      <c r="C24" s="501"/>
      <c r="D24" s="171" t="s">
        <v>148</v>
      </c>
      <c r="E24" s="310">
        <f>E22*E23*LN(E21)</f>
        <v>845.63956028313328</v>
      </c>
      <c r="F24" s="171" t="s">
        <v>149</v>
      </c>
      <c r="G24" s="287"/>
      <c r="H24" s="287"/>
      <c r="I24" s="285"/>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20" t="s">
        <v>12</v>
      </c>
      <c r="F27" s="221"/>
      <c r="G27" s="221"/>
      <c r="H27" s="224"/>
      <c r="I27" s="220" t="s">
        <v>13</v>
      </c>
      <c r="J27" s="221"/>
      <c r="K27" s="221"/>
      <c r="L27" s="224"/>
      <c r="M27" s="220" t="s">
        <v>115</v>
      </c>
      <c r="N27" s="221"/>
      <c r="O27" s="221"/>
      <c r="P27" s="224"/>
      <c r="Q27" s="220" t="s">
        <v>72</v>
      </c>
      <c r="R27" s="221"/>
      <c r="S27" s="221"/>
      <c r="T27" s="11"/>
      <c r="U27" s="63" t="s">
        <v>36</v>
      </c>
      <c r="V27" s="64" t="s">
        <v>35</v>
      </c>
      <c r="W27" s="205"/>
      <c r="X27" s="502" t="s">
        <v>99</v>
      </c>
      <c r="Y27" s="503"/>
      <c r="Z27" s="188" t="s">
        <v>100</v>
      </c>
      <c r="AB27" s="7" t="s">
        <v>101</v>
      </c>
      <c r="AC27" s="20"/>
      <c r="AD27" s="189" t="s">
        <v>101</v>
      </c>
      <c r="AE27" s="20"/>
    </row>
    <row r="28" spans="2:36" s="7" customFormat="1" ht="16.5" thickTop="1" thickBot="1" x14ac:dyDescent="0.3">
      <c r="C28" s="32"/>
      <c r="D28" s="118" t="s">
        <v>45</v>
      </c>
      <c r="E28" s="282" t="str">
        <f>"i="&amp;$E$5&amp;", "&amp;E13</f>
        <v>i=2, 5</v>
      </c>
      <c r="F28" s="181" t="str">
        <f>"i="&amp;$E$5&amp;", "&amp;E14</f>
        <v>i=2, 255</v>
      </c>
      <c r="G28" s="178" t="str">
        <f>"i="&amp;$E$6&amp;", "&amp;E13</f>
        <v>i=50, 5</v>
      </c>
      <c r="H28" s="357" t="str">
        <f>"i="&amp;$E$6&amp;", "&amp;E14</f>
        <v>i=50, 255</v>
      </c>
      <c r="I28" s="282" t="str">
        <f>E28</f>
        <v>i=2, 5</v>
      </c>
      <c r="J28" s="181" t="str">
        <f t="shared" ref="J28:L28" si="0">F28</f>
        <v>i=2, 255</v>
      </c>
      <c r="K28" s="178" t="str">
        <f t="shared" si="0"/>
        <v>i=50, 5</v>
      </c>
      <c r="L28" s="357" t="str">
        <f t="shared" si="0"/>
        <v>i=50, 255</v>
      </c>
      <c r="M28" s="397" t="s">
        <v>200</v>
      </c>
      <c r="N28" s="402" t="s">
        <v>201</v>
      </c>
      <c r="O28" s="392" t="s">
        <v>172</v>
      </c>
      <c r="P28" s="387" t="s">
        <v>176</v>
      </c>
      <c r="Q28" s="282" t="str">
        <f>I28</f>
        <v>i=2, 5</v>
      </c>
      <c r="R28" s="181" t="str">
        <f>J28</f>
        <v>i=2, 255</v>
      </c>
      <c r="S28" s="178" t="str">
        <f>K28</f>
        <v>i=50, 5</v>
      </c>
      <c r="T28" s="357" t="str">
        <f>L28</f>
        <v>i=50, 255</v>
      </c>
      <c r="U28" s="332">
        <v>0</v>
      </c>
      <c r="V28" s="43"/>
      <c r="W28" s="145"/>
      <c r="X28" s="185" t="str">
        <f>E28</f>
        <v>i=2, 5</v>
      </c>
      <c r="Y28" s="186" t="str">
        <f>H28</f>
        <v>i=50, 255</v>
      </c>
      <c r="AD28"/>
      <c r="AE28" s="7" t="s">
        <v>197</v>
      </c>
    </row>
    <row r="29" spans="2:36" s="7" customFormat="1" ht="18" customHeight="1" thickTop="1" x14ac:dyDescent="0.25">
      <c r="D29" s="25">
        <v>1</v>
      </c>
      <c r="E29" s="358">
        <v>0</v>
      </c>
      <c r="F29" s="242">
        <v>0</v>
      </c>
      <c r="G29" s="241">
        <v>0</v>
      </c>
      <c r="H29" s="359">
        <v>0</v>
      </c>
      <c r="I29" s="368">
        <f t="shared" ref="I29:I37" si="1">EXP(E29/$E$22)/(EXP($E29/$E$22)+EXP($F29/$E$22)+EXP($G29/$E$22)+EXP($H29/$E$22))</f>
        <v>0.25</v>
      </c>
      <c r="J29" s="238">
        <f t="shared" ref="J29:J37" si="2">EXP(F29/$E$22)/(EXP($E29/$E$22)+EXP($F29/$E$22)+EXP($G29/$E$22)+EXP($H29/$E$22))</f>
        <v>0.25</v>
      </c>
      <c r="K29" s="237">
        <f t="shared" ref="K29:K37" si="3">EXP(G29/$E$22)/(EXP($E29/$E$22)+EXP($F29/$E$22)+EXP($G29/$E$22)+EXP($H29/$E$22))</f>
        <v>0.25</v>
      </c>
      <c r="L29" s="369">
        <f t="shared" ref="L29:L37" si="4">EXP(H29/$E$22)/(EXP($E29/$E$22)+EXP($F29/$E$22)+EXP($G29/$E$22)+EXP($H29/$E$22))</f>
        <v>0.25</v>
      </c>
      <c r="M29" s="398">
        <f>$E$6-O29</f>
        <v>24</v>
      </c>
      <c r="N29" s="403">
        <f>$E$14-P29</f>
        <v>125</v>
      </c>
      <c r="O29" s="393">
        <f t="shared" ref="O29:O38" si="5">$E$5+SUM(K29:L29)*$E$7</f>
        <v>26</v>
      </c>
      <c r="P29" s="388">
        <f t="shared" ref="P29:P38" si="6">$E$13+SUM(J29,L29)*$E$15</f>
        <v>130</v>
      </c>
      <c r="Q29" s="358">
        <f t="shared" ref="Q29:Q38" si="7">SUM(M29:N29)</f>
        <v>149</v>
      </c>
      <c r="R29" s="242">
        <f t="shared" ref="R29:R38" si="8">SUM(M29,P29)</f>
        <v>154</v>
      </c>
      <c r="S29" s="241">
        <f t="shared" ref="S29:S38" si="9">SUM(N29:O29)</f>
        <v>151</v>
      </c>
      <c r="T29" s="359">
        <f t="shared" ref="T29:T38" si="10">SUM(O29:P29)</f>
        <v>156</v>
      </c>
      <c r="U29" s="384">
        <f>$E$23*$E$22*LN(EXP($E29/$E$22) + EXP($F29/$E$22) + EXP($G29/$E$22) +EXP($H29/$E$22) )</f>
        <v>845.63956028313328</v>
      </c>
      <c r="V29" s="46">
        <f>(U29-U28)</f>
        <v>845.63956028313328</v>
      </c>
      <c r="W29" s="206"/>
      <c r="X29" s="117"/>
      <c r="Y29" s="103"/>
      <c r="AD29"/>
      <c r="AJ29" s="192"/>
    </row>
    <row r="30" spans="2:36" s="7" customFormat="1" ht="18.75" x14ac:dyDescent="0.3">
      <c r="D30" s="25">
        <v>2</v>
      </c>
      <c r="E30" s="360">
        <v>0</v>
      </c>
      <c r="F30" s="262">
        <v>0</v>
      </c>
      <c r="G30" s="261">
        <v>1</v>
      </c>
      <c r="H30" s="361">
        <v>1</v>
      </c>
      <c r="I30" s="370">
        <f t="shared" si="1"/>
        <v>0.13447071068499758</v>
      </c>
      <c r="J30" s="258">
        <f t="shared" si="2"/>
        <v>0.13447071068499758</v>
      </c>
      <c r="K30" s="257">
        <f t="shared" si="3"/>
        <v>0.3655292893150025</v>
      </c>
      <c r="L30" s="371">
        <f t="shared" si="4"/>
        <v>0.3655292893150025</v>
      </c>
      <c r="M30" s="399">
        <f>$E$6-O30</f>
        <v>12.909188225759763</v>
      </c>
      <c r="N30" s="404">
        <f>$E$14-P30</f>
        <v>124.99999999999997</v>
      </c>
      <c r="O30" s="394">
        <f t="shared" si="5"/>
        <v>37.090811774240237</v>
      </c>
      <c r="P30" s="389">
        <f t="shared" si="6"/>
        <v>130.00000000000003</v>
      </c>
      <c r="Q30" s="360">
        <f t="shared" si="7"/>
        <v>137.90918822575975</v>
      </c>
      <c r="R30" s="262">
        <f t="shared" si="8"/>
        <v>142.90918822575981</v>
      </c>
      <c r="S30" s="261">
        <f t="shared" si="9"/>
        <v>162.09081177424019</v>
      </c>
      <c r="T30" s="361">
        <f t="shared" si="10"/>
        <v>167.09081177424025</v>
      </c>
      <c r="U30" s="385">
        <f t="shared" ref="U30:U38" si="11">$E$23*$E$22*LN(EXP($E30/$E$22) + EXP($F30/$E$22) + EXP($G30/$E$22) +EXP($H30/$E$22) )</f>
        <v>1223.9094095276826</v>
      </c>
      <c r="V30" s="49">
        <f>(U30-U29)</f>
        <v>378.26984924454928</v>
      </c>
      <c r="W30" s="206"/>
      <c r="X30" s="117">
        <f>E30-E29</f>
        <v>0</v>
      </c>
      <c r="Y30" s="103">
        <f>H30-H29</f>
        <v>1</v>
      </c>
      <c r="Z30" s="187">
        <f t="shared" ref="Z30:Z37" si="12">V30</f>
        <v>378.26984924454928</v>
      </c>
      <c r="AB30" s="7" t="str">
        <f t="shared" ref="AB30:AB37" si="13">IF(X30&gt;0,"Bought ",IF(X30&lt;0,"Sold ",""))&amp;IF(X30&lt;0,X30*-1,IF(X30&gt;0,X30,""))&amp;IF(X30&lt;&gt;0," Shares of State 1 at a cost of "&amp;ROUND($Z30,5),"")</f>
        <v/>
      </c>
      <c r="AC30" s="7" t="str">
        <f t="shared" ref="AC30:AC37" si="14">IF(Y30&gt;0,"Bought ",IF(Y30&lt;0,"Sold ",""))&amp;IF(Y30&lt;0,Y30*-1,IF(Y30&gt;0,Y30,""))&amp;IF(Y30&lt;&gt;0," Shares of State 2 at a cost of "&amp;ROUND($Z30,5),"")</f>
        <v>Bought 1 Shares of State 2 at a cost of 378.26985</v>
      </c>
      <c r="AD30" s="190" t="str">
        <f t="shared" ref="AD30:AD37" si="15">AB30&amp;AC30</f>
        <v>Bought 1 Shares of State 2 at a cost of 378.26985</v>
      </c>
      <c r="AE30" s="354" t="s">
        <v>208</v>
      </c>
    </row>
    <row r="31" spans="2:36" s="7" customFormat="1" ht="18.75" x14ac:dyDescent="0.3">
      <c r="C31" s="21"/>
      <c r="D31" s="25">
        <v>3</v>
      </c>
      <c r="E31" s="360">
        <v>6</v>
      </c>
      <c r="F31" s="262">
        <v>8</v>
      </c>
      <c r="G31" s="261">
        <v>6</v>
      </c>
      <c r="H31" s="361">
        <v>8</v>
      </c>
      <c r="I31" s="370">
        <f t="shared" si="1"/>
        <v>5.9601461011058773E-2</v>
      </c>
      <c r="J31" s="258">
        <f t="shared" si="2"/>
        <v>0.44039853898894121</v>
      </c>
      <c r="K31" s="257">
        <f t="shared" si="3"/>
        <v>5.9601461011058773E-2</v>
      </c>
      <c r="L31" s="371">
        <f t="shared" si="4"/>
        <v>0.44039853898894121</v>
      </c>
      <c r="M31" s="399">
        <f t="shared" ref="M31:M38" si="16">$E$6-O31</f>
        <v>24</v>
      </c>
      <c r="N31" s="404">
        <f t="shared" ref="N31:N38" si="17">$E$14-P31</f>
        <v>29.800730505529401</v>
      </c>
      <c r="O31" s="394">
        <f t="shared" si="5"/>
        <v>26</v>
      </c>
      <c r="P31" s="389">
        <f t="shared" si="6"/>
        <v>225.1992694944706</v>
      </c>
      <c r="Q31" s="360">
        <f t="shared" si="7"/>
        <v>53.800730505529401</v>
      </c>
      <c r="R31" s="262">
        <f t="shared" si="8"/>
        <v>249.1992694944706</v>
      </c>
      <c r="S31" s="261">
        <f t="shared" si="9"/>
        <v>55.800730505529401</v>
      </c>
      <c r="T31" s="361">
        <f t="shared" si="10"/>
        <v>251.1992694944706</v>
      </c>
      <c r="U31" s="385">
        <f>$E$23*$E$22*LN(EXP($E31/$E$22) + EXP($F31/$E$22) + EXP($G31/$E$22) +EXP($H31/$E$22) )</f>
        <v>5380.2458668777799</v>
      </c>
      <c r="V31" s="49">
        <f t="shared" ref="V31" si="18">(U31-U30)</f>
        <v>4156.3364573500976</v>
      </c>
      <c r="W31" s="206"/>
      <c r="X31" s="117">
        <f>E31-E30</f>
        <v>6</v>
      </c>
      <c r="Y31" s="103">
        <f>H31-H30</f>
        <v>7</v>
      </c>
      <c r="Z31" s="187">
        <f t="shared" si="12"/>
        <v>4156.3364573500976</v>
      </c>
      <c r="AB31" s="7" t="str">
        <f t="shared" si="13"/>
        <v>Bought 6 Shares of State 1 at a cost of 4156.33646</v>
      </c>
      <c r="AC31" s="7" t="str">
        <f t="shared" si="14"/>
        <v>Bought 7 Shares of State 2 at a cost of 4156.33646</v>
      </c>
      <c r="AD31" s="190" t="str">
        <f t="shared" si="15"/>
        <v>Bought 6 Shares of State 1 at a cost of 4156.33646Bought 7 Shares of State 2 at a cost of 4156.33646</v>
      </c>
      <c r="AE31" s="7" t="s">
        <v>192</v>
      </c>
      <c r="AF31" s="352">
        <f>D41/O29</f>
        <v>1.03</v>
      </c>
      <c r="AH31" s="7" t="s">
        <v>194</v>
      </c>
      <c r="AI31" s="7" t="s">
        <v>195</v>
      </c>
    </row>
    <row r="32" spans="2:36" s="7" customFormat="1" ht="18.75" x14ac:dyDescent="0.3">
      <c r="C32" s="21"/>
      <c r="D32" s="25">
        <v>4</v>
      </c>
      <c r="E32" s="360">
        <v>6</v>
      </c>
      <c r="F32" s="262">
        <v>8</v>
      </c>
      <c r="G32" s="261">
        <v>5</v>
      </c>
      <c r="H32" s="361">
        <v>7</v>
      </c>
      <c r="I32" s="370">
        <f t="shared" si="1"/>
        <v>8.7144318742032559E-2</v>
      </c>
      <c r="J32" s="258">
        <f t="shared" si="2"/>
        <v>0.64391425988797235</v>
      </c>
      <c r="K32" s="257">
        <f t="shared" si="3"/>
        <v>3.2058603280084988E-2</v>
      </c>
      <c r="L32" s="371">
        <f t="shared" si="4"/>
        <v>0.2368828180899101</v>
      </c>
      <c r="M32" s="399">
        <f t="shared" si="16"/>
        <v>35.090811774240237</v>
      </c>
      <c r="N32" s="404">
        <f t="shared" si="17"/>
        <v>29.800730505529401</v>
      </c>
      <c r="O32" s="394">
        <f t="shared" si="5"/>
        <v>14.909188225759765</v>
      </c>
      <c r="P32" s="389">
        <f t="shared" si="6"/>
        <v>225.1992694944706</v>
      </c>
      <c r="Q32" s="360">
        <f t="shared" si="7"/>
        <v>64.891542279769638</v>
      </c>
      <c r="R32" s="262">
        <f t="shared" si="8"/>
        <v>260.29008126871082</v>
      </c>
      <c r="S32" s="261">
        <f t="shared" si="9"/>
        <v>44.709918731289164</v>
      </c>
      <c r="T32" s="361">
        <f t="shared" si="10"/>
        <v>240.10845772023038</v>
      </c>
      <c r="U32" s="385">
        <f t="shared" si="11"/>
        <v>5148.5157161223287</v>
      </c>
      <c r="V32" s="49">
        <f>(U32-U31)</f>
        <v>-231.73015075545118</v>
      </c>
      <c r="W32" s="206"/>
      <c r="X32" s="117">
        <f>E32-E31</f>
        <v>0</v>
      </c>
      <c r="Y32" s="103">
        <f>H32-H31</f>
        <v>-1</v>
      </c>
      <c r="Z32" s="187">
        <f t="shared" si="12"/>
        <v>-231.73015075545118</v>
      </c>
      <c r="AB32" s="7" t="str">
        <f t="shared" si="13"/>
        <v/>
      </c>
      <c r="AC32" s="7" t="str">
        <f t="shared" si="14"/>
        <v>Sold 1 Shares of State 2 at a cost of -231.73015</v>
      </c>
      <c r="AD32" s="190" t="str">
        <f t="shared" si="15"/>
        <v>Sold 1 Shares of State 2 at a cost of -231.73015</v>
      </c>
      <c r="AE32" s="7" t="s">
        <v>193</v>
      </c>
      <c r="AF32" s="352">
        <f>AI32/AH32</f>
        <v>0.81571396878770996</v>
      </c>
      <c r="AH32" s="187">
        <f>V30</f>
        <v>378.26984924454928</v>
      </c>
      <c r="AI32" s="187">
        <f>SUM(S38:T38)</f>
        <v>308.56</v>
      </c>
      <c r="AJ32" s="7" t="s">
        <v>207</v>
      </c>
    </row>
    <row r="33" spans="3:36" s="7" customFormat="1" ht="18.75" x14ac:dyDescent="0.3">
      <c r="C33" s="21"/>
      <c r="D33" s="25">
        <v>5</v>
      </c>
      <c r="E33" s="360">
        <v>6</v>
      </c>
      <c r="F33" s="262">
        <v>8</v>
      </c>
      <c r="G33" s="261">
        <v>5</v>
      </c>
      <c r="H33" s="361">
        <v>7</v>
      </c>
      <c r="I33" s="370">
        <f t="shared" si="1"/>
        <v>8.7144318742032559E-2</v>
      </c>
      <c r="J33" s="258">
        <f t="shared" si="2"/>
        <v>0.64391425988797235</v>
      </c>
      <c r="K33" s="257">
        <f t="shared" si="3"/>
        <v>3.2058603280084988E-2</v>
      </c>
      <c r="L33" s="371">
        <f t="shared" si="4"/>
        <v>0.2368828180899101</v>
      </c>
      <c r="M33" s="399">
        <f t="shared" si="16"/>
        <v>35.090811774240237</v>
      </c>
      <c r="N33" s="404">
        <f t="shared" si="17"/>
        <v>29.800730505529401</v>
      </c>
      <c r="O33" s="394">
        <f t="shared" si="5"/>
        <v>14.909188225759765</v>
      </c>
      <c r="P33" s="389">
        <f t="shared" si="6"/>
        <v>225.1992694944706</v>
      </c>
      <c r="Q33" s="360">
        <f t="shared" si="7"/>
        <v>64.891542279769638</v>
      </c>
      <c r="R33" s="262">
        <f t="shared" si="8"/>
        <v>260.29008126871082</v>
      </c>
      <c r="S33" s="261">
        <f t="shared" si="9"/>
        <v>44.709918731289164</v>
      </c>
      <c r="T33" s="361">
        <f t="shared" si="10"/>
        <v>240.10845772023038</v>
      </c>
      <c r="U33" s="385">
        <f t="shared" si="11"/>
        <v>5148.5157161223287</v>
      </c>
      <c r="V33" s="49">
        <f t="shared" ref="V33:V37" si="19">(U33-U32)</f>
        <v>0</v>
      </c>
      <c r="W33" s="206"/>
      <c r="X33" s="117">
        <f>E33-E32</f>
        <v>0</v>
      </c>
      <c r="Y33" s="103">
        <f>H33-H32</f>
        <v>0</v>
      </c>
      <c r="Z33" s="187">
        <f t="shared" si="12"/>
        <v>0</v>
      </c>
      <c r="AB33" s="7" t="str">
        <f t="shared" si="13"/>
        <v/>
      </c>
      <c r="AC33" s="7" t="str">
        <f t="shared" si="14"/>
        <v/>
      </c>
      <c r="AD33" s="190" t="str">
        <f t="shared" si="15"/>
        <v/>
      </c>
      <c r="AE33" s="8" t="s">
        <v>196</v>
      </c>
      <c r="AF33" s="351">
        <f>AI33/AH33</f>
        <v>1.0050814332247557</v>
      </c>
      <c r="AH33" s="187">
        <f>SUM(S29:T29)</f>
        <v>307</v>
      </c>
      <c r="AI33" s="187">
        <f>SUM(S38:T38)</f>
        <v>308.56</v>
      </c>
    </row>
    <row r="34" spans="3:36" s="7" customFormat="1" ht="18.75" x14ac:dyDescent="0.3">
      <c r="C34" s="21"/>
      <c r="D34" s="25">
        <v>6</v>
      </c>
      <c r="E34" s="360">
        <v>6</v>
      </c>
      <c r="F34" s="262">
        <v>8</v>
      </c>
      <c r="G34" s="261">
        <v>5</v>
      </c>
      <c r="H34" s="361">
        <v>7</v>
      </c>
      <c r="I34" s="370">
        <f t="shared" si="1"/>
        <v>8.7144318742032559E-2</v>
      </c>
      <c r="J34" s="258">
        <f t="shared" si="2"/>
        <v>0.64391425988797235</v>
      </c>
      <c r="K34" s="257">
        <f t="shared" si="3"/>
        <v>3.2058603280084988E-2</v>
      </c>
      <c r="L34" s="371">
        <f t="shared" si="4"/>
        <v>0.2368828180899101</v>
      </c>
      <c r="M34" s="399">
        <f t="shared" si="16"/>
        <v>35.090811774240237</v>
      </c>
      <c r="N34" s="404">
        <f t="shared" si="17"/>
        <v>29.800730505529401</v>
      </c>
      <c r="O34" s="394">
        <f t="shared" si="5"/>
        <v>14.909188225759765</v>
      </c>
      <c r="P34" s="389">
        <f t="shared" si="6"/>
        <v>225.1992694944706</v>
      </c>
      <c r="Q34" s="360">
        <f t="shared" si="7"/>
        <v>64.891542279769638</v>
      </c>
      <c r="R34" s="262">
        <f t="shared" si="8"/>
        <v>260.29008126871082</v>
      </c>
      <c r="S34" s="261">
        <f t="shared" si="9"/>
        <v>44.709918731289164</v>
      </c>
      <c r="T34" s="361">
        <f t="shared" si="10"/>
        <v>240.10845772023038</v>
      </c>
      <c r="U34" s="385">
        <f t="shared" si="11"/>
        <v>5148.5157161223287</v>
      </c>
      <c r="V34" s="49">
        <f t="shared" si="19"/>
        <v>0</v>
      </c>
      <c r="W34" s="206"/>
      <c r="X34" s="117">
        <f>E34-E31</f>
        <v>0</v>
      </c>
      <c r="Y34" s="103">
        <f>H34-H31</f>
        <v>-1</v>
      </c>
      <c r="Z34" s="187">
        <f t="shared" si="12"/>
        <v>0</v>
      </c>
      <c r="AB34" s="7" t="str">
        <f t="shared" si="13"/>
        <v/>
      </c>
      <c r="AC34" s="7" t="str">
        <f t="shared" si="14"/>
        <v>Sold 1 Shares of State 2 at a cost of 0</v>
      </c>
      <c r="AD34" s="190" t="str">
        <f t="shared" si="15"/>
        <v>Sold 1 Shares of State 2 at a cost of 0</v>
      </c>
      <c r="AE34" s="8" t="s">
        <v>88</v>
      </c>
      <c r="AF34" s="351">
        <f>AI34/AH34</f>
        <v>0.43449391986960922</v>
      </c>
      <c r="AH34" s="187">
        <f>AH32-$E$14</f>
        <v>123.26984924454928</v>
      </c>
      <c r="AI34" s="187">
        <f>AI32-$E$14</f>
        <v>53.56</v>
      </c>
      <c r="AJ34" s="7" t="s">
        <v>204</v>
      </c>
    </row>
    <row r="35" spans="3:36" s="7" customFormat="1" ht="18.75" x14ac:dyDescent="0.3">
      <c r="C35" s="21"/>
      <c r="D35" s="25">
        <v>16</v>
      </c>
      <c r="E35" s="360">
        <v>1</v>
      </c>
      <c r="F35" s="262">
        <v>99</v>
      </c>
      <c r="G35" s="261">
        <v>1</v>
      </c>
      <c r="H35" s="361">
        <v>1</v>
      </c>
      <c r="I35" s="370">
        <f t="shared" si="1"/>
        <v>2.7487850079102147E-43</v>
      </c>
      <c r="J35" s="258">
        <f t="shared" si="2"/>
        <v>1</v>
      </c>
      <c r="K35" s="257">
        <f t="shared" si="3"/>
        <v>2.7487850079102147E-43</v>
      </c>
      <c r="L35" s="371">
        <f t="shared" si="4"/>
        <v>2.7487850079102147E-43</v>
      </c>
      <c r="M35" s="399">
        <f t="shared" si="16"/>
        <v>48</v>
      </c>
      <c r="N35" s="404">
        <f t="shared" si="17"/>
        <v>0</v>
      </c>
      <c r="O35" s="394">
        <f t="shared" si="5"/>
        <v>2</v>
      </c>
      <c r="P35" s="389">
        <f t="shared" si="6"/>
        <v>255</v>
      </c>
      <c r="Q35" s="360">
        <f t="shared" si="7"/>
        <v>48</v>
      </c>
      <c r="R35" s="262">
        <f t="shared" si="8"/>
        <v>303</v>
      </c>
      <c r="S35" s="261">
        <f t="shared" si="9"/>
        <v>2</v>
      </c>
      <c r="T35" s="361">
        <f t="shared" si="10"/>
        <v>257</v>
      </c>
      <c r="U35" s="385">
        <f t="shared" si="11"/>
        <v>60390</v>
      </c>
      <c r="V35" s="49">
        <f t="shared" si="19"/>
        <v>55241.484283877668</v>
      </c>
      <c r="W35" s="206"/>
      <c r="X35" s="117" t="e">
        <f>E35-#REF!</f>
        <v>#REF!</v>
      </c>
      <c r="Y35" s="103" t="e">
        <f>H35-#REF!</f>
        <v>#REF!</v>
      </c>
      <c r="Z35" s="187">
        <f t="shared" si="12"/>
        <v>55241.484283877668</v>
      </c>
      <c r="AB35" s="7" t="e">
        <f t="shared" si="13"/>
        <v>#REF!</v>
      </c>
      <c r="AC35" s="7" t="e">
        <f t="shared" si="14"/>
        <v>#REF!</v>
      </c>
      <c r="AD35" s="190" t="e">
        <f t="shared" si="15"/>
        <v>#REF!</v>
      </c>
      <c r="AE35" s="8" t="s">
        <v>205</v>
      </c>
      <c r="AF35" s="352">
        <f>AI35/AH35</f>
        <v>1.03</v>
      </c>
      <c r="AH35" s="187">
        <f>AH33-$E$14</f>
        <v>52</v>
      </c>
      <c r="AI35" s="187">
        <f>AI33-$E$14</f>
        <v>53.56</v>
      </c>
    </row>
    <row r="36" spans="3:36" s="7" customFormat="1" ht="18.75" x14ac:dyDescent="0.3">
      <c r="C36" s="21"/>
      <c r="D36" s="25">
        <v>17</v>
      </c>
      <c r="E36" s="360">
        <v>6</v>
      </c>
      <c r="F36" s="262">
        <v>8</v>
      </c>
      <c r="G36" s="261">
        <v>5</v>
      </c>
      <c r="H36" s="361">
        <v>7</v>
      </c>
      <c r="I36" s="370">
        <f t="shared" si="1"/>
        <v>8.7144318742032559E-2</v>
      </c>
      <c r="J36" s="258">
        <f t="shared" si="2"/>
        <v>0.64391425988797235</v>
      </c>
      <c r="K36" s="257">
        <f t="shared" si="3"/>
        <v>3.2058603280084988E-2</v>
      </c>
      <c r="L36" s="371">
        <f t="shared" si="4"/>
        <v>0.2368828180899101</v>
      </c>
      <c r="M36" s="399">
        <f t="shared" si="16"/>
        <v>35.090811774240237</v>
      </c>
      <c r="N36" s="404">
        <f t="shared" si="17"/>
        <v>29.800730505529401</v>
      </c>
      <c r="O36" s="394">
        <f t="shared" si="5"/>
        <v>14.909188225759765</v>
      </c>
      <c r="P36" s="389">
        <f t="shared" si="6"/>
        <v>225.1992694944706</v>
      </c>
      <c r="Q36" s="360">
        <f t="shared" si="7"/>
        <v>64.891542279769638</v>
      </c>
      <c r="R36" s="262">
        <f t="shared" si="8"/>
        <v>260.29008126871082</v>
      </c>
      <c r="S36" s="261">
        <f t="shared" si="9"/>
        <v>44.709918731289164</v>
      </c>
      <c r="T36" s="361">
        <f t="shared" si="10"/>
        <v>240.10845772023038</v>
      </c>
      <c r="U36" s="385">
        <f t="shared" si="11"/>
        <v>5148.5157161223287</v>
      </c>
      <c r="V36" s="49">
        <f t="shared" si="19"/>
        <v>-55241.484283877668</v>
      </c>
      <c r="W36" s="206"/>
      <c r="X36" s="117">
        <f>E36-E35</f>
        <v>5</v>
      </c>
      <c r="Y36" s="103">
        <f>H36-H35</f>
        <v>6</v>
      </c>
      <c r="Z36" s="187">
        <f t="shared" si="12"/>
        <v>-55241.484283877668</v>
      </c>
      <c r="AB36" s="7" t="str">
        <f t="shared" si="13"/>
        <v>Bought 5 Shares of State 1 at a cost of -55241.48428</v>
      </c>
      <c r="AC36" s="7" t="str">
        <f t="shared" si="14"/>
        <v>Bought 6 Shares of State 2 at a cost of -55241.48428</v>
      </c>
      <c r="AD36" s="190" t="str">
        <f t="shared" si="15"/>
        <v>Bought 5 Shares of State 1 at a cost of -55241.48428Bought 6 Shares of State 2 at a cost of -55241.48428</v>
      </c>
      <c r="AF36" s="7" t="b">
        <f>AF31=AF35</f>
        <v>1</v>
      </c>
    </row>
    <row r="37" spans="3:36" s="7" customFormat="1" ht="19.5" thickBot="1" x14ac:dyDescent="0.35">
      <c r="C37" s="21"/>
      <c r="D37" s="25">
        <v>18</v>
      </c>
      <c r="E37" s="362">
        <v>7</v>
      </c>
      <c r="F37" s="254">
        <v>0.1</v>
      </c>
      <c r="G37" s="253">
        <v>8</v>
      </c>
      <c r="H37" s="363">
        <v>8</v>
      </c>
      <c r="I37" s="372">
        <f t="shared" si="1"/>
        <v>0.15533808190801218</v>
      </c>
      <c r="J37" s="250">
        <f t="shared" si="2"/>
        <v>1.5654745552323878E-4</v>
      </c>
      <c r="K37" s="249">
        <f t="shared" si="3"/>
        <v>0.42225268531823235</v>
      </c>
      <c r="L37" s="373">
        <f t="shared" si="4"/>
        <v>0.42225268531823235</v>
      </c>
      <c r="M37" s="400">
        <f t="shared" si="16"/>
        <v>7.4637422094496912</v>
      </c>
      <c r="N37" s="405">
        <f t="shared" si="17"/>
        <v>144.39769180656111</v>
      </c>
      <c r="O37" s="395">
        <f t="shared" si="5"/>
        <v>42.536257790550309</v>
      </c>
      <c r="P37" s="390">
        <f t="shared" si="6"/>
        <v>110.6023081934389</v>
      </c>
      <c r="Q37" s="362">
        <f t="shared" si="7"/>
        <v>151.8614340160108</v>
      </c>
      <c r="R37" s="254">
        <f t="shared" si="8"/>
        <v>118.06605040288859</v>
      </c>
      <c r="S37" s="253">
        <f t="shared" si="9"/>
        <v>186.93394959711142</v>
      </c>
      <c r="T37" s="363">
        <f t="shared" si="10"/>
        <v>153.13856598398922</v>
      </c>
      <c r="U37" s="386">
        <f t="shared" si="11"/>
        <v>5405.9123318988495</v>
      </c>
      <c r="V37" s="116">
        <f t="shared" si="19"/>
        <v>257.39661577652078</v>
      </c>
      <c r="W37" s="206"/>
      <c r="X37" s="124">
        <f>E37-E36</f>
        <v>1</v>
      </c>
      <c r="Y37" s="105">
        <f>H37-H36</f>
        <v>1</v>
      </c>
      <c r="Z37" s="187">
        <f t="shared" si="12"/>
        <v>257.39661577652078</v>
      </c>
      <c r="AB37" s="7" t="str">
        <f t="shared" si="13"/>
        <v>Bought 1 Shares of State 1 at a cost of 257.39662</v>
      </c>
      <c r="AC37" s="7" t="str">
        <f t="shared" si="14"/>
        <v>Bought 1 Shares of State 2 at a cost of 257.39662</v>
      </c>
      <c r="AD37" s="190" t="str">
        <f t="shared" si="15"/>
        <v>Bought 1 Shares of State 1 at a cost of 257.39662Bought 1 Shares of State 2 at a cost of 257.39662</v>
      </c>
    </row>
    <row r="38" spans="3:36" s="7" customFormat="1" ht="16.5" thickTop="1" thickBot="1" x14ac:dyDescent="0.3">
      <c r="D38" s="25" t="s">
        <v>98</v>
      </c>
      <c r="E38" s="364">
        <f>E37</f>
        <v>7</v>
      </c>
      <c r="F38" s="365">
        <f t="shared" ref="F38:H38" si="20">F37</f>
        <v>0.1</v>
      </c>
      <c r="G38" s="366">
        <f t="shared" si="20"/>
        <v>8</v>
      </c>
      <c r="H38" s="367">
        <f t="shared" si="20"/>
        <v>8</v>
      </c>
      <c r="I38" s="374">
        <f>F41*F42</f>
        <v>0.31927499999999998</v>
      </c>
      <c r="J38" s="375">
        <f>E42*F41</f>
        <v>0.16447500000000001</v>
      </c>
      <c r="K38" s="376">
        <f>E41*F42</f>
        <v>0.34072499999999994</v>
      </c>
      <c r="L38" s="377">
        <f>E41*E42</f>
        <v>0.17552500000000001</v>
      </c>
      <c r="M38" s="401">
        <f t="shared" si="16"/>
        <v>23.22</v>
      </c>
      <c r="N38" s="406">
        <f t="shared" si="17"/>
        <v>165</v>
      </c>
      <c r="O38" s="396">
        <f t="shared" si="5"/>
        <v>26.78</v>
      </c>
      <c r="P38" s="391">
        <f t="shared" si="6"/>
        <v>90</v>
      </c>
      <c r="Q38" s="364">
        <f t="shared" si="7"/>
        <v>188.22</v>
      </c>
      <c r="R38" s="365">
        <f t="shared" si="8"/>
        <v>113.22</v>
      </c>
      <c r="S38" s="366">
        <f t="shared" si="9"/>
        <v>191.78</v>
      </c>
      <c r="T38" s="367">
        <f t="shared" si="10"/>
        <v>116.78</v>
      </c>
      <c r="U38" s="385">
        <f t="shared" si="11"/>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78">
        <f>SUMPRODUCT(E38:H38,Q38:T38)</f>
        <v>3797.3419999999996</v>
      </c>
      <c r="V39" t="s">
        <v>111</v>
      </c>
      <c r="AC39"/>
      <c r="AD39"/>
      <c r="AE39"/>
      <c r="AI39" s="187"/>
    </row>
    <row r="40" spans="3:36" s="7" customFormat="1" ht="15.75" thickBot="1" x14ac:dyDescent="0.3">
      <c r="C40" s="1"/>
      <c r="D40" s="155" t="s">
        <v>189</v>
      </c>
      <c r="E40" s="324" t="s">
        <v>162</v>
      </c>
      <c r="F40" s="269" t="s">
        <v>186</v>
      </c>
      <c r="G40" s="145"/>
      <c r="H40" s="17"/>
      <c r="I40" s="17"/>
      <c r="J40" s="313"/>
      <c r="K40" s="17"/>
      <c r="L40" s="313"/>
      <c r="M40" s="17"/>
      <c r="N40" s="17"/>
      <c r="O40" s="17" t="s">
        <v>137</v>
      </c>
      <c r="P40" s="165">
        <f>SUM(M36:P36)</f>
        <v>305</v>
      </c>
      <c r="Q40" s="235">
        <f>SUM(Q36:T36)</f>
        <v>610</v>
      </c>
      <c r="T40" s="17"/>
      <c r="U40" s="278">
        <f>U38-U39</f>
        <v>1608.5703318988499</v>
      </c>
      <c r="V40" s="7" t="s">
        <v>103</v>
      </c>
    </row>
    <row r="41" spans="3:36" s="7" customFormat="1" ht="15.75" thickBot="1" x14ac:dyDescent="0.3">
      <c r="C41" s="327" t="s">
        <v>187</v>
      </c>
      <c r="D41" s="235">
        <f>O29*1.03</f>
        <v>26.78</v>
      </c>
      <c r="E41" s="17">
        <f>(D41-E5)/E7</f>
        <v>0.51624999999999999</v>
      </c>
      <c r="F41" s="6">
        <f>1-E41</f>
        <v>0.48375000000000001</v>
      </c>
      <c r="H41" s="33"/>
      <c r="I41" s="33"/>
      <c r="J41" s="33"/>
      <c r="K41" s="33"/>
      <c r="L41" s="33"/>
      <c r="M41" s="17"/>
      <c r="N41" s="17"/>
      <c r="O41" s="17"/>
      <c r="P41" s="165">
        <f t="shared" ref="P41:P42" si="21">SUM(M37:P37)</f>
        <v>305</v>
      </c>
      <c r="Q41" s="235">
        <f>SUM(Q37:T37)</f>
        <v>610</v>
      </c>
      <c r="T41" s="17"/>
      <c r="U41" s="281">
        <f>U29-U40</f>
        <v>-762.93077161571659</v>
      </c>
      <c r="V41" s="55" t="s">
        <v>104</v>
      </c>
      <c r="AA41" s="8"/>
      <c r="AB41" s="8"/>
      <c r="AC41" s="8"/>
      <c r="AD41" s="28"/>
      <c r="AE41" s="28"/>
    </row>
    <row r="42" spans="3:36" x14ac:dyDescent="0.25">
      <c r="C42" s="325" t="s">
        <v>188</v>
      </c>
      <c r="D42" s="326">
        <v>90</v>
      </c>
      <c r="E42" s="292">
        <f>(D42-E13)/E15</f>
        <v>0.34</v>
      </c>
      <c r="F42" s="3">
        <f>1-E42</f>
        <v>0.65999999999999992</v>
      </c>
      <c r="P42" s="165">
        <f t="shared" si="21"/>
        <v>305</v>
      </c>
      <c r="Q42" s="235">
        <f>SUM(Q38:T38)</f>
        <v>610</v>
      </c>
      <c r="V42" s="193"/>
      <c r="AJ42" s="353"/>
    </row>
    <row r="44" spans="3:36" x14ac:dyDescent="0.25">
      <c r="R44" s="193"/>
      <c r="S44" s="193"/>
    </row>
    <row r="45" spans="3:36" x14ac:dyDescent="0.25">
      <c r="Q45" s="33" t="s">
        <v>202</v>
      </c>
    </row>
    <row r="46" spans="3:36" x14ac:dyDescent="0.25">
      <c r="Q46" s="355">
        <f t="shared" ref="Q46:Q57" si="22">$Q$40*I29</f>
        <v>152.5</v>
      </c>
      <c r="R46" s="355">
        <f t="shared" ref="R46:R57" si="23">$Q$40*J29</f>
        <v>152.5</v>
      </c>
      <c r="S46" s="355">
        <f t="shared" ref="S46:S57" si="24">$Q$40*K29</f>
        <v>152.5</v>
      </c>
      <c r="T46" s="355">
        <f t="shared" ref="T46:T57" si="25">$Q$40*L29</f>
        <v>152.5</v>
      </c>
      <c r="U46" s="193"/>
    </row>
    <row r="47" spans="3:36" x14ac:dyDescent="0.25">
      <c r="Q47" s="355">
        <f t="shared" si="22"/>
        <v>82.027133517848526</v>
      </c>
      <c r="R47" s="355">
        <f t="shared" si="23"/>
        <v>82.027133517848526</v>
      </c>
      <c r="S47" s="355">
        <f t="shared" si="24"/>
        <v>222.97286648215152</v>
      </c>
      <c r="T47" s="355">
        <f t="shared" si="25"/>
        <v>222.97286648215152</v>
      </c>
      <c r="U47" s="193"/>
    </row>
    <row r="48" spans="3:36" x14ac:dyDescent="0.25">
      <c r="Q48" s="355">
        <f t="shared" si="22"/>
        <v>36.356891216745851</v>
      </c>
      <c r="R48" s="355">
        <f t="shared" si="23"/>
        <v>268.64310878325415</v>
      </c>
      <c r="S48" s="355">
        <f t="shared" si="24"/>
        <v>36.356891216745851</v>
      </c>
      <c r="T48" s="355">
        <f t="shared" si="25"/>
        <v>268.64310878325415</v>
      </c>
      <c r="U48" s="193"/>
    </row>
    <row r="49" spans="17:21" x14ac:dyDescent="0.25">
      <c r="Q49" s="355">
        <f t="shared" si="22"/>
        <v>53.158034432639859</v>
      </c>
      <c r="R49" s="355">
        <f t="shared" si="23"/>
        <v>392.78769853166312</v>
      </c>
      <c r="S49" s="355">
        <f t="shared" si="24"/>
        <v>19.555748000851843</v>
      </c>
      <c r="T49" s="355">
        <f t="shared" si="25"/>
        <v>144.49851903484517</v>
      </c>
      <c r="U49" s="193"/>
    </row>
    <row r="50" spans="17:21" x14ac:dyDescent="0.25">
      <c r="Q50" s="355">
        <f t="shared" si="22"/>
        <v>53.158034432639859</v>
      </c>
      <c r="R50" s="355">
        <f t="shared" si="23"/>
        <v>392.78769853166312</v>
      </c>
      <c r="S50" s="355">
        <f t="shared" si="24"/>
        <v>19.555748000851843</v>
      </c>
      <c r="T50" s="355">
        <f t="shared" si="25"/>
        <v>144.49851903484517</v>
      </c>
      <c r="U50" s="193"/>
    </row>
    <row r="51" spans="17:21" x14ac:dyDescent="0.25">
      <c r="Q51" s="355">
        <f t="shared" si="22"/>
        <v>53.158034432639859</v>
      </c>
      <c r="R51" s="355">
        <f t="shared" si="23"/>
        <v>392.78769853166312</v>
      </c>
      <c r="S51" s="355">
        <f t="shared" si="24"/>
        <v>19.555748000851843</v>
      </c>
      <c r="T51" s="355">
        <f t="shared" si="25"/>
        <v>144.49851903484517</v>
      </c>
    </row>
    <row r="52" spans="17:21" x14ac:dyDescent="0.25">
      <c r="Q52" s="355">
        <f t="shared" si="22"/>
        <v>1.6767588548252311E-40</v>
      </c>
      <c r="R52" s="355">
        <f t="shared" si="23"/>
        <v>610</v>
      </c>
      <c r="S52" s="355">
        <f t="shared" si="24"/>
        <v>1.6767588548252311E-40</v>
      </c>
      <c r="T52" s="355">
        <f t="shared" si="25"/>
        <v>1.6767588548252311E-40</v>
      </c>
      <c r="U52" s="33" t="s">
        <v>203</v>
      </c>
    </row>
    <row r="53" spans="17:21" x14ac:dyDescent="0.25">
      <c r="Q53" s="355">
        <f t="shared" si="22"/>
        <v>53.158034432639859</v>
      </c>
      <c r="R53" s="355">
        <f t="shared" si="23"/>
        <v>392.78769853166312</v>
      </c>
      <c r="S53" s="355">
        <f t="shared" si="24"/>
        <v>19.555748000851843</v>
      </c>
      <c r="T53" s="355">
        <f t="shared" si="25"/>
        <v>144.49851903484517</v>
      </c>
    </row>
    <row r="54" spans="17:21" x14ac:dyDescent="0.25">
      <c r="Q54" s="355">
        <f t="shared" si="22"/>
        <v>94.756229963887435</v>
      </c>
      <c r="R54" s="355">
        <f t="shared" si="23"/>
        <v>9.5493947869175658E-2</v>
      </c>
      <c r="S54" s="355">
        <f t="shared" si="24"/>
        <v>257.57413804412175</v>
      </c>
      <c r="T54" s="355">
        <f t="shared" si="25"/>
        <v>257.57413804412175</v>
      </c>
    </row>
    <row r="55" spans="17:21" x14ac:dyDescent="0.25">
      <c r="Q55" s="355">
        <f t="shared" si="22"/>
        <v>194.75774999999999</v>
      </c>
      <c r="R55" s="355">
        <f t="shared" si="23"/>
        <v>100.32975</v>
      </c>
      <c r="S55" s="355">
        <f t="shared" si="24"/>
        <v>207.84224999999998</v>
      </c>
      <c r="T55" s="355">
        <f t="shared" si="25"/>
        <v>107.07025000000002</v>
      </c>
    </row>
    <row r="56" spans="17:21" x14ac:dyDescent="0.25">
      <c r="Q56" s="33">
        <f t="shared" si="22"/>
        <v>0</v>
      </c>
      <c r="R56" s="33">
        <f t="shared" si="23"/>
        <v>0</v>
      </c>
      <c r="S56" s="33">
        <f t="shared" si="24"/>
        <v>0</v>
      </c>
      <c r="T56" s="33">
        <f t="shared" si="25"/>
        <v>0</v>
      </c>
    </row>
    <row r="57" spans="17:21" x14ac:dyDescent="0.25">
      <c r="Q57" s="33">
        <f t="shared" si="22"/>
        <v>0</v>
      </c>
      <c r="R57" s="33">
        <f t="shared" si="23"/>
        <v>0</v>
      </c>
      <c r="S57" s="33">
        <f t="shared" si="24"/>
        <v>0</v>
      </c>
      <c r="T57" s="33">
        <f t="shared" si="25"/>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L90"/>
  <sheetViews>
    <sheetView tabSelected="1" zoomScaleNormal="100" workbookViewId="0">
      <selection activeCell="B4" sqref="B4"/>
    </sheetView>
  </sheetViews>
  <sheetFormatPr defaultRowHeight="15" x14ac:dyDescent="0.25"/>
  <cols>
    <col min="3" max="3" width="13.28515625" customWidth="1"/>
    <col min="5" max="23" width="11.42578125" style="33" customWidth="1"/>
    <col min="24" max="25" width="12" style="33" customWidth="1"/>
    <col min="26" max="26" width="0" hidden="1" customWidth="1"/>
    <col min="27" max="27" width="9.42578125" hidden="1" customWidth="1"/>
    <col min="28" max="28" width="12.7109375" hidden="1" customWidth="1"/>
    <col min="29" max="29" width="10.28515625" hidden="1" customWidth="1"/>
    <col min="30" max="30" width="10.7109375" hidden="1" customWidth="1"/>
    <col min="31" max="31" width="0" hidden="1" customWidth="1"/>
    <col min="32" max="32" width="9.42578125" hidden="1" customWidth="1"/>
    <col min="34" max="34" width="12.140625" customWidth="1"/>
    <col min="35" max="35" width="10.5703125" customWidth="1"/>
    <col min="38" max="38" width="11.140625" customWidth="1"/>
  </cols>
  <sheetData>
    <row r="2" spans="2:13" ht="31.5" x14ac:dyDescent="0.5">
      <c r="B2" s="191" t="s">
        <v>182</v>
      </c>
      <c r="D2" s="144"/>
    </row>
    <row r="3" spans="2:13" ht="31.5" x14ac:dyDescent="0.5">
      <c r="B3" s="191" t="s">
        <v>233</v>
      </c>
      <c r="D3" s="144"/>
    </row>
    <row r="4" spans="2:13" x14ac:dyDescent="0.25">
      <c r="C4" s="496" t="s">
        <v>172</v>
      </c>
      <c r="D4" s="155" t="s">
        <v>102</v>
      </c>
      <c r="E4" s="155" t="s">
        <v>198</v>
      </c>
      <c r="F4" s="155"/>
      <c r="G4" s="299"/>
      <c r="H4" s="299"/>
      <c r="I4" s="299"/>
      <c r="J4" s="299"/>
      <c r="K4" s="299"/>
      <c r="L4" s="299"/>
      <c r="M4" s="294"/>
    </row>
    <row r="5" spans="2:13" x14ac:dyDescent="0.25">
      <c r="C5" s="497"/>
      <c r="D5" s="17" t="s">
        <v>157</v>
      </c>
      <c r="E5" s="18">
        <v>0</v>
      </c>
      <c r="F5" s="7" t="s">
        <v>158</v>
      </c>
      <c r="G5" s="17"/>
      <c r="H5" s="17"/>
      <c r="I5" s="17"/>
      <c r="J5" s="17"/>
      <c r="K5" s="17"/>
      <c r="L5" s="17"/>
      <c r="M5" s="272"/>
    </row>
    <row r="6" spans="2:13" x14ac:dyDescent="0.25">
      <c r="C6" s="497"/>
      <c r="D6" s="17" t="s">
        <v>160</v>
      </c>
      <c r="E6" s="18">
        <v>1000</v>
      </c>
      <c r="F6" s="7" t="s">
        <v>159</v>
      </c>
      <c r="G6" s="17"/>
      <c r="H6" s="17"/>
      <c r="I6" s="17"/>
      <c r="J6" s="17"/>
      <c r="K6" s="17"/>
      <c r="L6" s="17"/>
      <c r="M6" s="272"/>
    </row>
    <row r="7" spans="2:13" x14ac:dyDescent="0.25">
      <c r="C7" s="497"/>
      <c r="D7" s="145" t="s">
        <v>161</v>
      </c>
      <c r="E7" s="18">
        <f>E6-E5</f>
        <v>1000</v>
      </c>
      <c r="F7" s="7" t="s">
        <v>162</v>
      </c>
      <c r="G7" s="17"/>
      <c r="H7" s="17"/>
      <c r="I7" s="17"/>
      <c r="J7" s="17"/>
      <c r="K7" s="17"/>
      <c r="L7" s="17"/>
      <c r="M7" s="272"/>
    </row>
    <row r="8" spans="2:13" x14ac:dyDescent="0.25">
      <c r="C8" s="497"/>
      <c r="D8" s="145" t="s">
        <v>165</v>
      </c>
      <c r="E8" s="195" t="s">
        <v>180</v>
      </c>
      <c r="F8" s="8" t="s">
        <v>168</v>
      </c>
      <c r="G8" s="17"/>
      <c r="H8" s="17"/>
      <c r="I8" s="17"/>
      <c r="J8" s="17"/>
      <c r="K8" s="17"/>
      <c r="L8" s="17"/>
      <c r="M8" s="272"/>
    </row>
    <row r="9" spans="2:13" x14ac:dyDescent="0.25">
      <c r="C9" s="497"/>
      <c r="D9" s="145" t="s">
        <v>166</v>
      </c>
      <c r="E9" s="195"/>
      <c r="F9" s="8" t="s">
        <v>169</v>
      </c>
      <c r="G9" s="17"/>
      <c r="H9" s="17"/>
      <c r="I9" s="17"/>
      <c r="J9" s="17"/>
      <c r="K9" s="17"/>
      <c r="L9" s="17"/>
      <c r="M9" s="272"/>
    </row>
    <row r="10" spans="2:13" x14ac:dyDescent="0.25">
      <c r="C10" s="498"/>
      <c r="D10" s="300" t="s">
        <v>167</v>
      </c>
      <c r="E10" s="301"/>
      <c r="F10" s="302" t="s">
        <v>170</v>
      </c>
      <c r="G10" s="292"/>
      <c r="H10" s="292"/>
      <c r="I10" s="292"/>
      <c r="J10" s="292"/>
      <c r="K10" s="292"/>
      <c r="L10" s="292"/>
      <c r="M10" s="295"/>
    </row>
    <row r="11" spans="2:13" x14ac:dyDescent="0.25">
      <c r="C11" s="291"/>
      <c r="D11" s="145"/>
      <c r="E11" s="195"/>
      <c r="F11" s="8"/>
      <c r="G11" s="17"/>
      <c r="H11" s="17"/>
      <c r="I11" s="17"/>
      <c r="J11" s="17"/>
      <c r="K11" s="17"/>
      <c r="L11" s="17"/>
    </row>
    <row r="12" spans="2:13" x14ac:dyDescent="0.25">
      <c r="C12" s="496" t="s">
        <v>176</v>
      </c>
      <c r="D12" s="155" t="s">
        <v>4</v>
      </c>
      <c r="E12" s="299" t="s">
        <v>199</v>
      </c>
      <c r="F12" s="155"/>
      <c r="G12" s="299"/>
      <c r="H12" s="306"/>
      <c r="I12" s="299"/>
      <c r="J12" s="294"/>
      <c r="K12" s="17"/>
      <c r="L12" s="17"/>
    </row>
    <row r="13" spans="2:13" x14ac:dyDescent="0.25">
      <c r="C13" s="497"/>
      <c r="D13" s="17" t="s">
        <v>141</v>
      </c>
      <c r="E13" s="17" t="s">
        <v>3</v>
      </c>
      <c r="F13" s="7"/>
      <c r="G13" s="17"/>
      <c r="H13" s="194"/>
      <c r="I13" s="17"/>
      <c r="J13" s="272"/>
      <c r="K13" s="17"/>
      <c r="L13" s="17"/>
    </row>
    <row r="14" spans="2:13" x14ac:dyDescent="0.25">
      <c r="C14" s="498"/>
      <c r="D14" s="292" t="s">
        <v>142</v>
      </c>
      <c r="E14" s="292" t="s">
        <v>2</v>
      </c>
      <c r="F14" s="280"/>
      <c r="G14" s="292"/>
      <c r="H14" s="307"/>
      <c r="I14" s="292"/>
      <c r="J14" s="295"/>
      <c r="K14" s="17"/>
      <c r="L14" s="17"/>
    </row>
    <row r="15" spans="2:13" ht="15.75" thickBot="1" x14ac:dyDescent="0.3">
      <c r="C15" s="291"/>
      <c r="D15" s="145"/>
      <c r="E15" s="195"/>
      <c r="F15" s="8"/>
      <c r="G15" s="17"/>
      <c r="H15" s="17"/>
      <c r="I15" s="17"/>
      <c r="J15" s="17"/>
      <c r="K15" s="17"/>
      <c r="L15" s="17"/>
    </row>
    <row r="16" spans="2:13" x14ac:dyDescent="0.25">
      <c r="C16" s="499" t="s">
        <v>160</v>
      </c>
      <c r="D16" s="308" t="s">
        <v>173</v>
      </c>
      <c r="E16" s="309" t="s">
        <v>177</v>
      </c>
      <c r="F16" s="286" t="s">
        <v>175</v>
      </c>
      <c r="G16" s="286"/>
      <c r="H16" s="286"/>
      <c r="I16" s="284"/>
    </row>
    <row r="17" spans="2:38" x14ac:dyDescent="0.25">
      <c r="C17" s="500"/>
      <c r="D17" s="17" t="s">
        <v>146</v>
      </c>
      <c r="E17" s="289">
        <v>4</v>
      </c>
      <c r="F17" s="17" t="s">
        <v>147</v>
      </c>
      <c r="G17" s="17"/>
      <c r="H17" s="17"/>
      <c r="I17" s="207"/>
    </row>
    <row r="18" spans="2:38" x14ac:dyDescent="0.25">
      <c r="C18" s="500"/>
      <c r="D18" s="17" t="s">
        <v>5</v>
      </c>
      <c r="E18" s="18">
        <v>2</v>
      </c>
      <c r="F18" s="17" t="s">
        <v>150</v>
      </c>
      <c r="G18" s="17"/>
      <c r="H18" s="17"/>
      <c r="I18" s="207"/>
    </row>
    <row r="19" spans="2:38" x14ac:dyDescent="0.25">
      <c r="C19" s="500"/>
      <c r="D19" s="145" t="s">
        <v>163</v>
      </c>
      <c r="E19" s="18">
        <f>(E7+1)*2</f>
        <v>2002</v>
      </c>
      <c r="F19" s="145" t="s">
        <v>206</v>
      </c>
      <c r="G19" s="17"/>
      <c r="H19" s="17"/>
      <c r="I19" s="207"/>
    </row>
    <row r="20" spans="2:38" ht="15.75" thickBot="1" x14ac:dyDescent="0.3">
      <c r="C20" s="501"/>
      <c r="D20" s="171" t="s">
        <v>148</v>
      </c>
      <c r="E20" s="310">
        <f>E18*E19*LN(E17)</f>
        <v>5550.722621924042</v>
      </c>
      <c r="F20" s="171" t="s">
        <v>149</v>
      </c>
      <c r="G20" s="287"/>
      <c r="H20" s="287"/>
      <c r="I20" s="285"/>
    </row>
    <row r="21" spans="2:38" x14ac:dyDescent="0.25">
      <c r="B21" s="7"/>
    </row>
    <row r="22" spans="2:38"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c r="AA22"/>
      <c r="AB22"/>
      <c r="AC22"/>
      <c r="AD22"/>
      <c r="AE22"/>
      <c r="AF22"/>
      <c r="AG22"/>
      <c r="AH22" s="8"/>
    </row>
    <row r="23" spans="2:38" s="7" customFormat="1" ht="24.75" customHeight="1" thickBot="1" x14ac:dyDescent="0.35">
      <c r="D23"/>
      <c r="E23" s="220" t="s">
        <v>12</v>
      </c>
      <c r="F23" s="221"/>
      <c r="G23" s="221"/>
      <c r="H23" s="224"/>
      <c r="I23" s="220" t="s">
        <v>13</v>
      </c>
      <c r="J23" s="221"/>
      <c r="K23" s="221"/>
      <c r="L23" s="224"/>
      <c r="M23" s="220" t="s">
        <v>228</v>
      </c>
      <c r="N23" s="221"/>
      <c r="O23" s="221"/>
      <c r="P23" s="11"/>
      <c r="Q23" s="220" t="s">
        <v>229</v>
      </c>
      <c r="R23" s="221"/>
      <c r="S23" s="221"/>
      <c r="T23" s="10"/>
      <c r="U23" s="220" t="s">
        <v>230</v>
      </c>
      <c r="V23" s="224"/>
      <c r="W23" s="63" t="s">
        <v>36</v>
      </c>
      <c r="X23" s="64" t="s">
        <v>35</v>
      </c>
      <c r="Y23" s="205"/>
      <c r="Z23" s="502" t="s">
        <v>99</v>
      </c>
      <c r="AA23" s="503"/>
      <c r="AB23" s="188" t="s">
        <v>100</v>
      </c>
      <c r="AD23" s="7" t="s">
        <v>101</v>
      </c>
      <c r="AE23" s="20"/>
      <c r="AF23" s="189" t="s">
        <v>101</v>
      </c>
      <c r="AG23" s="20"/>
    </row>
    <row r="24" spans="2:38" s="7" customFormat="1" ht="16.5" thickTop="1" thickBot="1" x14ac:dyDescent="0.3">
      <c r="C24" s="32"/>
      <c r="D24" s="118" t="s">
        <v>45</v>
      </c>
      <c r="E24" s="282" t="str">
        <f>"i="&amp;$E$5&amp;", 0"</f>
        <v>i=0, 0</v>
      </c>
      <c r="F24" s="181" t="str">
        <f>"i="&amp;$E$5&amp;", 1"</f>
        <v>i=0, 1</v>
      </c>
      <c r="G24" s="178" t="str">
        <f>"i="&amp;$E$6&amp;", 0"</f>
        <v>i=1000, 0</v>
      </c>
      <c r="H24" s="357" t="str">
        <f>"i="&amp;$E$6&amp;", 1"</f>
        <v>i=1000, 1</v>
      </c>
      <c r="I24" s="282" t="str">
        <f>"i="&amp;$E$5&amp;", 0"</f>
        <v>i=0, 0</v>
      </c>
      <c r="J24" s="181" t="str">
        <f>"i="&amp;$E$5&amp;", 1"</f>
        <v>i=0, 1</v>
      </c>
      <c r="K24" s="178" t="str">
        <f>"i="&amp;$E$6&amp;", 0"</f>
        <v>i=1000, 0</v>
      </c>
      <c r="L24" s="357" t="str">
        <f>"i="&amp;$E$6&amp;", 1"</f>
        <v>i=1000, 1</v>
      </c>
      <c r="M24" s="282" t="s">
        <v>212</v>
      </c>
      <c r="N24" s="181" t="s">
        <v>210</v>
      </c>
      <c r="O24" s="178" t="s">
        <v>211</v>
      </c>
      <c r="P24" s="357" t="s">
        <v>209</v>
      </c>
      <c r="Q24" s="282" t="str">
        <f>"i="&amp;$E$5&amp;", 0"</f>
        <v>i=0, 0</v>
      </c>
      <c r="R24" s="181" t="str">
        <f>"i="&amp;$E$5&amp;", 1"</f>
        <v>i=0, 1</v>
      </c>
      <c r="S24" s="178" t="str">
        <f>"i="&amp;$E$6&amp;", 0"</f>
        <v>i=1000, 0</v>
      </c>
      <c r="T24" s="268" t="str">
        <f>"i="&amp;$E$6&amp;", 1"</f>
        <v>i=1000, 1</v>
      </c>
      <c r="U24" s="554" t="s">
        <v>231</v>
      </c>
      <c r="V24" s="546" t="s">
        <v>232</v>
      </c>
      <c r="W24" s="332">
        <v>0</v>
      </c>
      <c r="X24" s="43"/>
      <c r="Y24" s="145"/>
      <c r="Z24" s="185" t="str">
        <f>E24</f>
        <v>i=0, 0</v>
      </c>
      <c r="AA24" s="186" t="str">
        <f>H24</f>
        <v>i=1000, 1</v>
      </c>
      <c r="AF24"/>
    </row>
    <row r="25" spans="2:38" s="7" customFormat="1" ht="18" customHeight="1" thickTop="1" x14ac:dyDescent="0.25">
      <c r="D25" s="25">
        <v>1</v>
      </c>
      <c r="E25" s="358">
        <v>0</v>
      </c>
      <c r="F25" s="242">
        <v>0</v>
      </c>
      <c r="G25" s="241">
        <v>0</v>
      </c>
      <c r="H25" s="359">
        <v>0</v>
      </c>
      <c r="I25" s="368">
        <f t="shared" ref="I25:L49" si="0">EXP(E25/$E$18)/(EXP($E25/$E$18)+EXP($F25/$E$18)+EXP($G25/$E$18)+EXP($H25/$E$18))</f>
        <v>0.25</v>
      </c>
      <c r="J25" s="238">
        <f t="shared" si="0"/>
        <v>0.25</v>
      </c>
      <c r="K25" s="237">
        <f t="shared" si="0"/>
        <v>0.25</v>
      </c>
      <c r="L25" s="369">
        <f t="shared" si="0"/>
        <v>0.25</v>
      </c>
      <c r="M25" s="378">
        <f>1-O25</f>
        <v>0.5</v>
      </c>
      <c r="N25" s="266">
        <f>$E$6-P25</f>
        <v>500</v>
      </c>
      <c r="O25" s="265">
        <f t="shared" ref="O25:O49" si="1">SUM(J25,L25)</f>
        <v>0.5</v>
      </c>
      <c r="P25" s="379">
        <f>$E$5+SUM(K25:L25)*$E$7</f>
        <v>500</v>
      </c>
      <c r="Q25" s="378">
        <f t="shared" ref="Q25:Q49" si="2">SUM(M25:N25)</f>
        <v>500.5</v>
      </c>
      <c r="R25" s="266">
        <f t="shared" ref="R25:R49" si="3">SUM(M25,P25)</f>
        <v>500.5</v>
      </c>
      <c r="S25" s="265">
        <f t="shared" ref="S25:S50" si="4">SUM(N25:O25)</f>
        <v>500.5</v>
      </c>
      <c r="T25" s="548">
        <f t="shared" ref="T25:T50" si="5">SUM(O25:P25)</f>
        <v>500.5</v>
      </c>
      <c r="U25" s="555">
        <f>$E$5+(K25/SUM(K25,I25))*$E$7</f>
        <v>500</v>
      </c>
      <c r="V25" s="556">
        <f>$E$5+(L25/SUM(L25,J25))*$E$7</f>
        <v>500</v>
      </c>
      <c r="W25" s="384">
        <f>$E$18*$E$19*LN(EXP($E25/$E$18) + EXP($F25/$E$18) + EXP($G25/$E$18) +EXP($H25/$E$18) )</f>
        <v>5550.722621924042</v>
      </c>
      <c r="X25" s="46">
        <f>(W25-W24)</f>
        <v>5550.722621924042</v>
      </c>
      <c r="Y25" s="206"/>
      <c r="Z25" s="117"/>
      <c r="AA25" s="103"/>
      <c r="AF25"/>
      <c r="AL25" s="192"/>
    </row>
    <row r="26" spans="2:38" s="7" customFormat="1" ht="18.75" x14ac:dyDescent="0.3">
      <c r="D26" s="25">
        <v>2</v>
      </c>
      <c r="E26" s="360">
        <v>1</v>
      </c>
      <c r="F26" s="262">
        <v>1</v>
      </c>
      <c r="G26" s="261">
        <v>1</v>
      </c>
      <c r="H26" s="361">
        <v>1</v>
      </c>
      <c r="I26" s="370">
        <f t="shared" si="0"/>
        <v>0.25</v>
      </c>
      <c r="J26" s="258">
        <f t="shared" si="0"/>
        <v>0.25</v>
      </c>
      <c r="K26" s="257">
        <f t="shared" si="0"/>
        <v>0.25</v>
      </c>
      <c r="L26" s="371">
        <f t="shared" si="0"/>
        <v>0.25</v>
      </c>
      <c r="M26" s="380">
        <f t="shared" ref="M26:M49" si="6">1-O26</f>
        <v>0.5</v>
      </c>
      <c r="N26" s="246">
        <f t="shared" ref="N26:N49" si="7">$E$6-P26</f>
        <v>500</v>
      </c>
      <c r="O26" s="245">
        <f t="shared" si="1"/>
        <v>0.5</v>
      </c>
      <c r="P26" s="381">
        <f t="shared" ref="P25:P49" si="8">$E$5+SUM(K26:L26)*$E$7</f>
        <v>500</v>
      </c>
      <c r="Q26" s="380">
        <f>SUM(M26:N26)</f>
        <v>500.5</v>
      </c>
      <c r="R26" s="246">
        <f>SUM(M26,P26)</f>
        <v>500.5</v>
      </c>
      <c r="S26" s="245">
        <f t="shared" si="4"/>
        <v>500.5</v>
      </c>
      <c r="T26" s="549">
        <f t="shared" si="5"/>
        <v>500.5</v>
      </c>
      <c r="U26" s="552">
        <f>$E$5+(K26/SUM(K26,I26))*$E$7</f>
        <v>500</v>
      </c>
      <c r="V26" s="203">
        <f t="shared" ref="V26:V50" si="9">$E$5+(L26/SUM(L26,J26))*$E$7</f>
        <v>500</v>
      </c>
      <c r="W26" s="385">
        <f t="shared" ref="W26:W50" si="10">$E$18*$E$19*LN(EXP($E26/$E$18) + EXP($F26/$E$18) + EXP($G26/$E$18) +EXP($H26/$E$18) )</f>
        <v>7552.722621924042</v>
      </c>
      <c r="X26" s="49">
        <f t="shared" ref="X26:X27" si="11">(W26-W25)</f>
        <v>2002</v>
      </c>
      <c r="Y26" s="206"/>
      <c r="Z26" s="117">
        <f>E26-E25</f>
        <v>1</v>
      </c>
      <c r="AA26" s="103">
        <f>H26-H25</f>
        <v>1</v>
      </c>
      <c r="AB26" s="187">
        <f t="shared" ref="AB26:AB49" si="12">X26</f>
        <v>2002</v>
      </c>
      <c r="AD26" s="7" t="str">
        <f t="shared" ref="AD26:AD49" si="13">IF(Z26&gt;0,"Bought ",IF(Z26&lt;0,"Sold ",""))&amp;IF(Z26&lt;0,Z26*-1,IF(Z26&gt;0,Z26,""))&amp;IF(Z26&lt;&gt;0," Shares of State 1 at a cost of "&amp;ROUND($AB26,5),"")</f>
        <v>Bought 1 Shares of State 1 at a cost of 2002</v>
      </c>
      <c r="AE26" s="7" t="str">
        <f t="shared" ref="AE26:AE49" si="14">IF(AA26&gt;0,"Bought ",IF(AA26&lt;0,"Sold ",""))&amp;IF(AA26&lt;0,AA26*-1,IF(AA26&gt;0,AA26,""))&amp;IF(AA26&lt;&gt;0," Shares of State 2 at a cost of "&amp;ROUND($AB26,5),"")</f>
        <v>Bought 1 Shares of State 2 at a cost of 2002</v>
      </c>
      <c r="AF26" s="190" t="str">
        <f t="shared" ref="AF26:AF49" si="15">AD26&amp;AE26</f>
        <v>Bought 1 Shares of State 1 at a cost of 2002Bought 1 Shares of State 2 at a cost of 2002</v>
      </c>
    </row>
    <row r="27" spans="2:38" s="7" customFormat="1" ht="18.75" x14ac:dyDescent="0.3">
      <c r="C27" s="21"/>
      <c r="D27" s="25">
        <v>3</v>
      </c>
      <c r="E27" s="360">
        <v>2</v>
      </c>
      <c r="F27" s="262">
        <v>1</v>
      </c>
      <c r="G27" s="261">
        <v>2</v>
      </c>
      <c r="H27" s="361">
        <v>1</v>
      </c>
      <c r="I27" s="370">
        <f t="shared" si="0"/>
        <v>0.31122966560092724</v>
      </c>
      <c r="J27" s="258">
        <f t="shared" si="0"/>
        <v>0.1887703343990727</v>
      </c>
      <c r="K27" s="257">
        <f t="shared" si="0"/>
        <v>0.31122966560092724</v>
      </c>
      <c r="L27" s="371">
        <f t="shared" si="0"/>
        <v>0.1887703343990727</v>
      </c>
      <c r="M27" s="380">
        <f t="shared" si="6"/>
        <v>0.62245933120185459</v>
      </c>
      <c r="N27" s="246">
        <f t="shared" si="7"/>
        <v>500.00000000000006</v>
      </c>
      <c r="O27" s="245">
        <f t="shared" si="1"/>
        <v>0.37754066879814541</v>
      </c>
      <c r="P27" s="381">
        <f t="shared" si="8"/>
        <v>499.99999999999994</v>
      </c>
      <c r="Q27" s="380">
        <f t="shared" si="2"/>
        <v>500.62245933120192</v>
      </c>
      <c r="R27" s="246">
        <f t="shared" si="3"/>
        <v>500.62245933120181</v>
      </c>
      <c r="S27" s="245">
        <f t="shared" si="4"/>
        <v>500.37754066879819</v>
      </c>
      <c r="T27" s="549">
        <f t="shared" si="5"/>
        <v>500.37754066879808</v>
      </c>
      <c r="U27" s="552">
        <f t="shared" ref="U26:U50" si="16">$E$5+(K27/SUM(K27,I27))*$E$7</f>
        <v>500</v>
      </c>
      <c r="V27" s="203">
        <f t="shared" si="9"/>
        <v>500</v>
      </c>
      <c r="W27" s="385">
        <f t="shared" si="10"/>
        <v>8677.5655556191668</v>
      </c>
      <c r="X27" s="49">
        <f t="shared" si="11"/>
        <v>1124.8429336951249</v>
      </c>
      <c r="Y27" s="206"/>
      <c r="Z27" s="117">
        <f>E27-E26</f>
        <v>1</v>
      </c>
      <c r="AA27" s="103">
        <f>H27-H26</f>
        <v>0</v>
      </c>
      <c r="AB27" s="187">
        <f t="shared" si="12"/>
        <v>1124.8429336951249</v>
      </c>
      <c r="AD27" s="7" t="str">
        <f t="shared" si="13"/>
        <v>Bought 1 Shares of State 1 at a cost of 1124.84293</v>
      </c>
      <c r="AE27" s="7" t="str">
        <f t="shared" si="14"/>
        <v/>
      </c>
      <c r="AF27" s="190" t="str">
        <f t="shared" si="15"/>
        <v>Bought 1 Shares of State 1 at a cost of 1124.84293</v>
      </c>
    </row>
    <row r="28" spans="2:38" s="7" customFormat="1" ht="18.75" x14ac:dyDescent="0.3">
      <c r="C28" s="21"/>
      <c r="D28" s="25">
        <v>4</v>
      </c>
      <c r="E28" s="360">
        <v>4</v>
      </c>
      <c r="F28" s="262">
        <v>5</v>
      </c>
      <c r="G28" s="261">
        <v>6</v>
      </c>
      <c r="H28" s="361">
        <v>8</v>
      </c>
      <c r="I28" s="370">
        <f t="shared" si="0"/>
        <v>7.8394117216839712E-2</v>
      </c>
      <c r="J28" s="258">
        <f t="shared" si="0"/>
        <v>0.12925004855316277</v>
      </c>
      <c r="K28" s="257">
        <f t="shared" si="0"/>
        <v>0.21309730428862378</v>
      </c>
      <c r="L28" s="371">
        <f t="shared" si="0"/>
        <v>0.57925852994137372</v>
      </c>
      <c r="M28" s="380">
        <f t="shared" si="6"/>
        <v>0.29149142150546348</v>
      </c>
      <c r="N28" s="246">
        <f>$E$6-P28</f>
        <v>207.64416577000259</v>
      </c>
      <c r="O28" s="245">
        <f t="shared" si="1"/>
        <v>0.70850857849453652</v>
      </c>
      <c r="P28" s="381">
        <f>$E$5+SUM(K28:L28)*$E$7</f>
        <v>792.35583422999741</v>
      </c>
      <c r="Q28" s="380">
        <f t="shared" si="2"/>
        <v>207.93565719150806</v>
      </c>
      <c r="R28" s="246">
        <f t="shared" si="3"/>
        <v>792.64732565150291</v>
      </c>
      <c r="S28" s="245">
        <f>SUM(N28:O28)</f>
        <v>208.35267434849712</v>
      </c>
      <c r="T28" s="549">
        <f>SUM(O28:P28)</f>
        <v>793.06434280849192</v>
      </c>
      <c r="U28" s="552">
        <f t="shared" si="16"/>
        <v>731.05857863000494</v>
      </c>
      <c r="V28" s="203">
        <f t="shared" si="9"/>
        <v>817.5744761936437</v>
      </c>
      <c r="W28" s="385">
        <f t="shared" si="10"/>
        <v>18202.209585322053</v>
      </c>
      <c r="X28" s="49">
        <f>(W28-W27)</f>
        <v>9524.6440297028857</v>
      </c>
      <c r="Y28" s="206"/>
      <c r="Z28" s="117">
        <f>E28-E27</f>
        <v>2</v>
      </c>
      <c r="AA28" s="103">
        <f>H28-H27</f>
        <v>7</v>
      </c>
      <c r="AB28" s="187">
        <f t="shared" si="12"/>
        <v>9524.6440297028857</v>
      </c>
      <c r="AD28" s="7" t="str">
        <f t="shared" si="13"/>
        <v>Bought 2 Shares of State 1 at a cost of 9524.64403</v>
      </c>
      <c r="AE28" s="7" t="str">
        <f t="shared" si="14"/>
        <v>Bought 7 Shares of State 2 at a cost of 9524.64403</v>
      </c>
      <c r="AF28" s="190" t="str">
        <f t="shared" si="15"/>
        <v>Bought 2 Shares of State 1 at a cost of 9524.64403Bought 7 Shares of State 2 at a cost of 9524.64403</v>
      </c>
    </row>
    <row r="29" spans="2:38" s="7" customFormat="1" ht="18.75" x14ac:dyDescent="0.3">
      <c r="C29" s="21"/>
      <c r="D29" s="25">
        <v>5</v>
      </c>
      <c r="E29" s="360">
        <v>5</v>
      </c>
      <c r="F29" s="262">
        <v>7</v>
      </c>
      <c r="G29" s="261">
        <v>6</v>
      </c>
      <c r="H29" s="361">
        <v>9</v>
      </c>
      <c r="I29" s="370">
        <f t="shared" si="0"/>
        <v>7.8394117216839712E-2</v>
      </c>
      <c r="J29" s="258">
        <f t="shared" si="0"/>
        <v>0.21309730428862378</v>
      </c>
      <c r="K29" s="257">
        <f t="shared" si="0"/>
        <v>0.12925004855316277</v>
      </c>
      <c r="L29" s="371">
        <f t="shared" si="0"/>
        <v>0.57925852994137383</v>
      </c>
      <c r="M29" s="380">
        <f t="shared" si="6"/>
        <v>0.20764416577000233</v>
      </c>
      <c r="N29" s="246">
        <f t="shared" si="7"/>
        <v>291.49142150546334</v>
      </c>
      <c r="O29" s="245">
        <f t="shared" si="1"/>
        <v>0.79235583422999767</v>
      </c>
      <c r="P29" s="381">
        <f t="shared" si="8"/>
        <v>708.50857849453666</v>
      </c>
      <c r="Q29" s="380">
        <f t="shared" si="2"/>
        <v>291.69906567123331</v>
      </c>
      <c r="R29" s="246">
        <f t="shared" si="3"/>
        <v>708.7162226603067</v>
      </c>
      <c r="S29" s="245">
        <f>SUM(N29:O29)</f>
        <v>292.28377733969336</v>
      </c>
      <c r="T29" s="549">
        <f t="shared" si="5"/>
        <v>709.30093432876663</v>
      </c>
      <c r="U29" s="552">
        <f t="shared" si="16"/>
        <v>622.45933120185464</v>
      </c>
      <c r="V29" s="203">
        <f t="shared" si="9"/>
        <v>731.05857863000494</v>
      </c>
      <c r="W29" s="385">
        <f t="shared" si="10"/>
        <v>20204.209585322053</v>
      </c>
      <c r="X29" s="49">
        <f t="shared" ref="X29:X49" si="17">(W29-W28)</f>
        <v>2002</v>
      </c>
      <c r="Y29" s="206"/>
      <c r="Z29" s="117">
        <f>E29-E28</f>
        <v>1</v>
      </c>
      <c r="AA29" s="103">
        <f>H29-H28</f>
        <v>1</v>
      </c>
      <c r="AB29" s="187">
        <f t="shared" si="12"/>
        <v>2002</v>
      </c>
      <c r="AD29" s="7" t="str">
        <f t="shared" si="13"/>
        <v>Bought 1 Shares of State 1 at a cost of 2002</v>
      </c>
      <c r="AE29" s="7" t="str">
        <f t="shared" si="14"/>
        <v>Bought 1 Shares of State 2 at a cost of 2002</v>
      </c>
      <c r="AF29" s="190" t="str">
        <f t="shared" si="15"/>
        <v>Bought 1 Shares of State 1 at a cost of 2002Bought 1 Shares of State 2 at a cost of 2002</v>
      </c>
    </row>
    <row r="30" spans="2:38" s="7" customFormat="1" ht="18.75" x14ac:dyDescent="0.3">
      <c r="C30" s="21"/>
      <c r="D30" s="25">
        <v>6</v>
      </c>
      <c r="E30" s="360">
        <v>6</v>
      </c>
      <c r="F30" s="262">
        <v>8</v>
      </c>
      <c r="G30" s="261">
        <v>12</v>
      </c>
      <c r="H30" s="361">
        <v>10</v>
      </c>
      <c r="I30" s="370">
        <f t="shared" si="0"/>
        <v>3.2058603280084988E-2</v>
      </c>
      <c r="J30" s="258">
        <f t="shared" si="0"/>
        <v>8.7144318742032559E-2</v>
      </c>
      <c r="K30" s="257">
        <f t="shared" si="0"/>
        <v>0.64391425988797235</v>
      </c>
      <c r="L30" s="371">
        <f t="shared" si="0"/>
        <v>0.23688281808991013</v>
      </c>
      <c r="M30" s="380">
        <f t="shared" si="6"/>
        <v>0.67597286316805727</v>
      </c>
      <c r="N30" s="246">
        <f t="shared" si="7"/>
        <v>119.2029220221176</v>
      </c>
      <c r="O30" s="245">
        <f t="shared" si="1"/>
        <v>0.32402713683194267</v>
      </c>
      <c r="P30" s="381">
        <f t="shared" si="8"/>
        <v>880.7970779778824</v>
      </c>
      <c r="Q30" s="380">
        <f t="shared" si="2"/>
        <v>119.87889488528566</v>
      </c>
      <c r="R30" s="246">
        <f t="shared" si="3"/>
        <v>881.47305084105051</v>
      </c>
      <c r="S30" s="245">
        <f t="shared" si="4"/>
        <v>119.52694915894955</v>
      </c>
      <c r="T30" s="549">
        <f t="shared" si="5"/>
        <v>881.12110511471428</v>
      </c>
      <c r="U30" s="552">
        <f>$E$5+(K30/SUM(K30,I30))*$E$7</f>
        <v>952.57412682243319</v>
      </c>
      <c r="V30" s="203">
        <f t="shared" si="9"/>
        <v>731.05857863000494</v>
      </c>
      <c r="W30" s="385">
        <f t="shared" si="10"/>
        <v>25786.519553039027</v>
      </c>
      <c r="X30" s="49">
        <f t="shared" si="17"/>
        <v>5582.3099677169739</v>
      </c>
      <c r="Y30" s="206"/>
      <c r="Z30" s="117">
        <f>E30-E27</f>
        <v>4</v>
      </c>
      <c r="AA30" s="103">
        <f>H30-H27</f>
        <v>9</v>
      </c>
      <c r="AB30" s="187">
        <f t="shared" si="12"/>
        <v>5582.3099677169739</v>
      </c>
      <c r="AD30" s="7" t="str">
        <f t="shared" si="13"/>
        <v>Bought 4 Shares of State 1 at a cost of 5582.30997</v>
      </c>
      <c r="AE30" s="7" t="str">
        <f t="shared" si="14"/>
        <v>Bought 9 Shares of State 2 at a cost of 5582.30997</v>
      </c>
      <c r="AF30" s="190" t="str">
        <f t="shared" si="15"/>
        <v>Bought 4 Shares of State 1 at a cost of 5582.30997Bought 9 Shares of State 2 at a cost of 5582.30997</v>
      </c>
    </row>
    <row r="31" spans="2:38" s="7" customFormat="1" ht="18.75" x14ac:dyDescent="0.3">
      <c r="C31" s="21"/>
      <c r="D31" s="25">
        <v>7</v>
      </c>
      <c r="E31" s="360">
        <v>5</v>
      </c>
      <c r="F31" s="262">
        <v>7</v>
      </c>
      <c r="G31" s="261">
        <v>11</v>
      </c>
      <c r="H31" s="361">
        <v>12</v>
      </c>
      <c r="I31" s="370">
        <f t="shared" si="0"/>
        <v>1.7568742317324811E-2</v>
      </c>
      <c r="J31" s="258">
        <f t="shared" si="0"/>
        <v>4.7756792990063489E-2</v>
      </c>
      <c r="K31" s="257">
        <f t="shared" si="0"/>
        <v>0.35287762250859717</v>
      </c>
      <c r="L31" s="371">
        <f t="shared" si="0"/>
        <v>0.58179684218401451</v>
      </c>
      <c r="M31" s="380">
        <f t="shared" si="6"/>
        <v>0.37044636482592197</v>
      </c>
      <c r="N31" s="246">
        <f t="shared" si="7"/>
        <v>65.325535307388236</v>
      </c>
      <c r="O31" s="245">
        <f t="shared" si="1"/>
        <v>0.62955363517407803</v>
      </c>
      <c r="P31" s="381">
        <f t="shared" si="8"/>
        <v>934.67446469261176</v>
      </c>
      <c r="Q31" s="380">
        <f t="shared" si="2"/>
        <v>65.69598167221416</v>
      </c>
      <c r="R31" s="246">
        <f t="shared" si="3"/>
        <v>935.04491105743773</v>
      </c>
      <c r="S31" s="245">
        <f t="shared" si="4"/>
        <v>65.955088942562313</v>
      </c>
      <c r="T31" s="549">
        <f t="shared" si="5"/>
        <v>935.3040183277858</v>
      </c>
      <c r="U31" s="552">
        <f t="shared" si="16"/>
        <v>952.5741268224333</v>
      </c>
      <c r="V31" s="203">
        <f t="shared" si="9"/>
        <v>924.14181997875642</v>
      </c>
      <c r="W31" s="385">
        <f t="shared" si="10"/>
        <v>26192.702378248829</v>
      </c>
      <c r="X31" s="49">
        <f t="shared" si="17"/>
        <v>406.1828252098021</v>
      </c>
      <c r="Y31" s="206"/>
      <c r="Z31" s="117">
        <f>E31-E26</f>
        <v>4</v>
      </c>
      <c r="AA31" s="103">
        <f>H31-H26</f>
        <v>11</v>
      </c>
      <c r="AB31" s="187">
        <f t="shared" si="12"/>
        <v>406.1828252098021</v>
      </c>
      <c r="AD31" s="7" t="str">
        <f t="shared" si="13"/>
        <v>Bought 4 Shares of State 1 at a cost of 406.18283</v>
      </c>
      <c r="AE31" s="7" t="str">
        <f t="shared" si="14"/>
        <v>Bought 11 Shares of State 2 at a cost of 406.18283</v>
      </c>
      <c r="AF31" s="190" t="str">
        <f t="shared" si="15"/>
        <v>Bought 4 Shares of State 1 at a cost of 406.18283Bought 11 Shares of State 2 at a cost of 406.18283</v>
      </c>
    </row>
    <row r="32" spans="2:38" s="7" customFormat="1" ht="18.75" x14ac:dyDescent="0.3">
      <c r="C32" s="21"/>
      <c r="D32" s="25">
        <v>6</v>
      </c>
      <c r="E32" s="360">
        <f t="shared" ref="E31:E49" si="18">E31</f>
        <v>5</v>
      </c>
      <c r="F32" s="262">
        <f t="shared" ref="F31:F49" si="19">F31</f>
        <v>7</v>
      </c>
      <c r="G32" s="261">
        <f t="shared" ref="G31:G49" si="20">G31</f>
        <v>11</v>
      </c>
      <c r="H32" s="361">
        <f t="shared" ref="H31:H49" si="21">H31</f>
        <v>12</v>
      </c>
      <c r="I32" s="370">
        <f t="shared" si="0"/>
        <v>1.7568742317324811E-2</v>
      </c>
      <c r="J32" s="258">
        <f t="shared" si="0"/>
        <v>4.7756792990063489E-2</v>
      </c>
      <c r="K32" s="257">
        <f t="shared" si="0"/>
        <v>0.35287762250859717</v>
      </c>
      <c r="L32" s="371">
        <f t="shared" si="0"/>
        <v>0.58179684218401451</v>
      </c>
      <c r="M32" s="380">
        <f t="shared" si="6"/>
        <v>0.37044636482592197</v>
      </c>
      <c r="N32" s="246">
        <f t="shared" si="7"/>
        <v>65.325535307388236</v>
      </c>
      <c r="O32" s="245">
        <f t="shared" si="1"/>
        <v>0.62955363517407803</v>
      </c>
      <c r="P32" s="381">
        <f t="shared" si="8"/>
        <v>934.67446469261176</v>
      </c>
      <c r="Q32" s="380">
        <f t="shared" si="2"/>
        <v>65.69598167221416</v>
      </c>
      <c r="R32" s="246">
        <f t="shared" si="3"/>
        <v>935.04491105743773</v>
      </c>
      <c r="S32" s="245">
        <f t="shared" si="4"/>
        <v>65.955088942562313</v>
      </c>
      <c r="T32" s="549">
        <f t="shared" si="5"/>
        <v>935.3040183277858</v>
      </c>
      <c r="U32" s="552">
        <f t="shared" si="16"/>
        <v>952.5741268224333</v>
      </c>
      <c r="V32" s="203">
        <f t="shared" si="9"/>
        <v>924.14181997875642</v>
      </c>
      <c r="W32" s="385">
        <f t="shared" si="10"/>
        <v>26192.702378248829</v>
      </c>
      <c r="X32" s="49">
        <f t="shared" si="17"/>
        <v>0</v>
      </c>
      <c r="Y32" s="206"/>
      <c r="Z32" s="117">
        <f>E32-E27</f>
        <v>3</v>
      </c>
      <c r="AA32" s="103">
        <f>H32-H27</f>
        <v>11</v>
      </c>
      <c r="AB32" s="187">
        <f t="shared" si="12"/>
        <v>0</v>
      </c>
      <c r="AD32" s="7" t="str">
        <f t="shared" si="13"/>
        <v>Bought 3 Shares of State 1 at a cost of 0</v>
      </c>
      <c r="AE32" s="7" t="str">
        <f t="shared" si="14"/>
        <v>Bought 11 Shares of State 2 at a cost of 0</v>
      </c>
      <c r="AF32" s="190" t="str">
        <f t="shared" si="15"/>
        <v>Bought 3 Shares of State 1 at a cost of 0Bought 11 Shares of State 2 at a cost of 0</v>
      </c>
    </row>
    <row r="33" spans="3:32" s="7" customFormat="1" ht="18.75" x14ac:dyDescent="0.3">
      <c r="C33" s="21"/>
      <c r="D33" s="25">
        <v>7</v>
      </c>
      <c r="E33" s="360">
        <v>6</v>
      </c>
      <c r="F33" s="262">
        <v>8</v>
      </c>
      <c r="G33" s="261">
        <v>7</v>
      </c>
      <c r="H33" s="361">
        <v>10</v>
      </c>
      <c r="I33" s="370">
        <f t="shared" si="0"/>
        <v>7.8394117216839712E-2</v>
      </c>
      <c r="J33" s="258">
        <f t="shared" si="0"/>
        <v>0.21309730428862378</v>
      </c>
      <c r="K33" s="257">
        <f t="shared" si="0"/>
        <v>0.12925004855316277</v>
      </c>
      <c r="L33" s="371">
        <f t="shared" si="0"/>
        <v>0.57925852994137383</v>
      </c>
      <c r="M33" s="380">
        <f t="shared" si="6"/>
        <v>0.20764416577000233</v>
      </c>
      <c r="N33" s="246">
        <f t="shared" si="7"/>
        <v>291.49142150546334</v>
      </c>
      <c r="O33" s="245">
        <f t="shared" si="1"/>
        <v>0.79235583422999767</v>
      </c>
      <c r="P33" s="381">
        <f t="shared" si="8"/>
        <v>708.50857849453666</v>
      </c>
      <c r="Q33" s="380">
        <f t="shared" si="2"/>
        <v>291.69906567123331</v>
      </c>
      <c r="R33" s="246">
        <f t="shared" si="3"/>
        <v>708.7162226603067</v>
      </c>
      <c r="S33" s="245">
        <f t="shared" si="4"/>
        <v>292.28377733969336</v>
      </c>
      <c r="T33" s="549">
        <f t="shared" si="5"/>
        <v>709.30093432876663</v>
      </c>
      <c r="U33" s="552">
        <f t="shared" si="16"/>
        <v>622.45933120185464</v>
      </c>
      <c r="V33" s="203">
        <f t="shared" si="9"/>
        <v>731.05857863000494</v>
      </c>
      <c r="W33" s="385">
        <f t="shared" si="10"/>
        <v>22206.209585322053</v>
      </c>
      <c r="X33" s="49">
        <f t="shared" si="17"/>
        <v>-3986.492792926776</v>
      </c>
      <c r="Y33" s="206"/>
      <c r="Z33" s="117">
        <f>E33-E26</f>
        <v>5</v>
      </c>
      <c r="AA33" s="103">
        <f>H33-H26</f>
        <v>9</v>
      </c>
      <c r="AB33" s="187">
        <f t="shared" si="12"/>
        <v>-3986.492792926776</v>
      </c>
      <c r="AD33" s="7" t="str">
        <f t="shared" si="13"/>
        <v>Bought 5 Shares of State 1 at a cost of -3986.49279</v>
      </c>
      <c r="AE33" s="7" t="str">
        <f t="shared" si="14"/>
        <v>Bought 9 Shares of State 2 at a cost of -3986.49279</v>
      </c>
      <c r="AF33" s="190" t="str">
        <f t="shared" si="15"/>
        <v>Bought 5 Shares of State 1 at a cost of -3986.49279Bought 9 Shares of State 2 at a cost of -3986.49279</v>
      </c>
    </row>
    <row r="34" spans="3:32" s="7" customFormat="1" ht="18.75" x14ac:dyDescent="0.3">
      <c r="C34" s="21"/>
      <c r="D34" s="25">
        <v>6</v>
      </c>
      <c r="E34" s="360">
        <v>7</v>
      </c>
      <c r="F34" s="262">
        <v>9</v>
      </c>
      <c r="G34" s="261">
        <v>13</v>
      </c>
      <c r="H34" s="361">
        <v>11</v>
      </c>
      <c r="I34" s="370">
        <f t="shared" si="0"/>
        <v>3.2058603280084988E-2</v>
      </c>
      <c r="J34" s="258">
        <f t="shared" si="0"/>
        <v>8.7144318742032559E-2</v>
      </c>
      <c r="K34" s="257">
        <f t="shared" si="0"/>
        <v>0.64391425988797224</v>
      </c>
      <c r="L34" s="371">
        <f t="shared" si="0"/>
        <v>0.23688281808991013</v>
      </c>
      <c r="M34" s="380">
        <f t="shared" si="6"/>
        <v>0.67597286316805727</v>
      </c>
      <c r="N34" s="246">
        <f t="shared" si="7"/>
        <v>119.2029220221176</v>
      </c>
      <c r="O34" s="245">
        <f t="shared" si="1"/>
        <v>0.32402713683194267</v>
      </c>
      <c r="P34" s="381">
        <f t="shared" si="8"/>
        <v>880.7970779778824</v>
      </c>
      <c r="Q34" s="380">
        <f t="shared" si="2"/>
        <v>119.87889488528566</v>
      </c>
      <c r="R34" s="246">
        <f t="shared" si="3"/>
        <v>881.47305084105051</v>
      </c>
      <c r="S34" s="245">
        <f t="shared" si="4"/>
        <v>119.52694915894955</v>
      </c>
      <c r="T34" s="549">
        <f t="shared" si="5"/>
        <v>881.12110511471428</v>
      </c>
      <c r="U34" s="552">
        <f t="shared" si="16"/>
        <v>952.57412682243319</v>
      </c>
      <c r="V34" s="203">
        <f t="shared" si="9"/>
        <v>731.05857863000494</v>
      </c>
      <c r="W34" s="385">
        <f t="shared" si="10"/>
        <v>27788.519553039027</v>
      </c>
      <c r="X34" s="49">
        <f t="shared" si="17"/>
        <v>5582.3099677169739</v>
      </c>
      <c r="Y34" s="206"/>
      <c r="Z34" s="117">
        <f>E34-E29</f>
        <v>2</v>
      </c>
      <c r="AA34" s="103">
        <f>H34-H29</f>
        <v>2</v>
      </c>
      <c r="AB34" s="187">
        <f t="shared" si="12"/>
        <v>5582.3099677169739</v>
      </c>
      <c r="AD34" s="7" t="str">
        <f t="shared" si="13"/>
        <v>Bought 2 Shares of State 1 at a cost of 5582.30997</v>
      </c>
      <c r="AE34" s="7" t="str">
        <f t="shared" si="14"/>
        <v>Bought 2 Shares of State 2 at a cost of 5582.30997</v>
      </c>
      <c r="AF34" s="190" t="str">
        <f t="shared" si="15"/>
        <v>Bought 2 Shares of State 1 at a cost of 5582.30997Bought 2 Shares of State 2 at a cost of 5582.30997</v>
      </c>
    </row>
    <row r="35" spans="3:32" s="7" customFormat="1" ht="18.75" x14ac:dyDescent="0.3">
      <c r="C35" s="21"/>
      <c r="D35" s="25">
        <v>7</v>
      </c>
      <c r="E35" s="360">
        <v>6</v>
      </c>
      <c r="F35" s="262">
        <v>8</v>
      </c>
      <c r="G35" s="261">
        <v>14</v>
      </c>
      <c r="H35" s="361">
        <v>13</v>
      </c>
      <c r="I35" s="370">
        <f t="shared" si="0"/>
        <v>1.0937103756556583E-2</v>
      </c>
      <c r="J35" s="258">
        <f t="shared" si="0"/>
        <v>2.9730130397418918E-2</v>
      </c>
      <c r="K35" s="257">
        <f t="shared" si="0"/>
        <v>0.59714563182854175</v>
      </c>
      <c r="L35" s="371">
        <f t="shared" si="0"/>
        <v>0.3621871340174827</v>
      </c>
      <c r="M35" s="380">
        <f t="shared" si="6"/>
        <v>0.6080827355850984</v>
      </c>
      <c r="N35" s="246">
        <f t="shared" si="7"/>
        <v>40.667234153975528</v>
      </c>
      <c r="O35" s="245">
        <f t="shared" si="1"/>
        <v>0.3919172644149016</v>
      </c>
      <c r="P35" s="381">
        <f t="shared" si="8"/>
        <v>959.33276584602447</v>
      </c>
      <c r="Q35" s="380">
        <f t="shared" si="2"/>
        <v>41.275316889560628</v>
      </c>
      <c r="R35" s="246">
        <f t="shared" si="3"/>
        <v>959.94084858160954</v>
      </c>
      <c r="S35" s="245">
        <f t="shared" si="4"/>
        <v>41.059151418390428</v>
      </c>
      <c r="T35" s="549">
        <f t="shared" si="5"/>
        <v>959.7246831104394</v>
      </c>
      <c r="U35" s="552">
        <f t="shared" si="16"/>
        <v>982.01379003790851</v>
      </c>
      <c r="V35" s="203">
        <f t="shared" si="9"/>
        <v>924.14181997875642</v>
      </c>
      <c r="W35" s="385">
        <f t="shared" si="10"/>
        <v>30092.4394007302</v>
      </c>
      <c r="X35" s="49">
        <f t="shared" si="17"/>
        <v>2303.9198476911733</v>
      </c>
      <c r="Y35" s="206"/>
      <c r="Z35" s="117">
        <f>E35-E28</f>
        <v>2</v>
      </c>
      <c r="AA35" s="103">
        <f>H35-H28</f>
        <v>5</v>
      </c>
      <c r="AB35" s="187">
        <f t="shared" si="12"/>
        <v>2303.9198476911733</v>
      </c>
      <c r="AD35" s="7" t="str">
        <f t="shared" si="13"/>
        <v>Bought 2 Shares of State 1 at a cost of 2303.91985</v>
      </c>
      <c r="AE35" s="7" t="str">
        <f t="shared" si="14"/>
        <v>Bought 5 Shares of State 2 at a cost of 2303.91985</v>
      </c>
      <c r="AF35" s="190" t="str">
        <f t="shared" si="15"/>
        <v>Bought 2 Shares of State 1 at a cost of 2303.91985Bought 5 Shares of State 2 at a cost of 2303.91985</v>
      </c>
    </row>
    <row r="36" spans="3:32" s="7" customFormat="1" ht="18.75" x14ac:dyDescent="0.3">
      <c r="C36" s="21"/>
      <c r="D36" s="25">
        <v>8</v>
      </c>
      <c r="E36" s="360">
        <v>6</v>
      </c>
      <c r="F36" s="262">
        <v>8</v>
      </c>
      <c r="G36" s="261">
        <v>15</v>
      </c>
      <c r="H36" s="361">
        <v>13</v>
      </c>
      <c r="I36" s="370">
        <f t="shared" si="0"/>
        <v>7.8832730017950482E-3</v>
      </c>
      <c r="J36" s="258">
        <f t="shared" si="0"/>
        <v>2.1428957749561269E-2</v>
      </c>
      <c r="K36" s="257">
        <f t="shared" si="0"/>
        <v>0.70962962088044368</v>
      </c>
      <c r="L36" s="371">
        <f t="shared" si="0"/>
        <v>0.26105814836820007</v>
      </c>
      <c r="M36" s="380">
        <f t="shared" si="6"/>
        <v>0.7175128938822386</v>
      </c>
      <c r="N36" s="246">
        <f t="shared" si="7"/>
        <v>29.312230751356196</v>
      </c>
      <c r="O36" s="245">
        <f t="shared" si="1"/>
        <v>0.28248710611776134</v>
      </c>
      <c r="P36" s="381">
        <f t="shared" si="8"/>
        <v>970.6877692486438</v>
      </c>
      <c r="Q36" s="380">
        <f t="shared" si="2"/>
        <v>30.029743645238433</v>
      </c>
      <c r="R36" s="246">
        <f t="shared" si="3"/>
        <v>971.40528214252606</v>
      </c>
      <c r="S36" s="245">
        <f t="shared" si="4"/>
        <v>29.594717857473956</v>
      </c>
      <c r="T36" s="549">
        <f t="shared" si="5"/>
        <v>970.97025635476155</v>
      </c>
      <c r="U36" s="552">
        <f t="shared" si="16"/>
        <v>989.01305736940685</v>
      </c>
      <c r="V36" s="203">
        <f t="shared" si="9"/>
        <v>924.14181997875642</v>
      </c>
      <c r="W36" s="385">
        <f t="shared" si="10"/>
        <v>31403.420471586538</v>
      </c>
      <c r="X36" s="49">
        <f t="shared" si="17"/>
        <v>1310.9810708563382</v>
      </c>
      <c r="Y36" s="206"/>
      <c r="Z36" s="117">
        <f>E36-E27</f>
        <v>4</v>
      </c>
      <c r="AA36" s="103">
        <f>H36-H27</f>
        <v>12</v>
      </c>
      <c r="AB36" s="187">
        <f t="shared" si="12"/>
        <v>1310.9810708563382</v>
      </c>
      <c r="AD36" s="7" t="str">
        <f t="shared" si="13"/>
        <v>Bought 4 Shares of State 1 at a cost of 1310.98107</v>
      </c>
      <c r="AE36" s="7" t="str">
        <f t="shared" si="14"/>
        <v>Bought 12 Shares of State 2 at a cost of 1310.98107</v>
      </c>
      <c r="AF36" s="190" t="str">
        <f t="shared" si="15"/>
        <v>Bought 4 Shares of State 1 at a cost of 1310.98107Bought 12 Shares of State 2 at a cost of 1310.98107</v>
      </c>
    </row>
    <row r="37" spans="3:32" s="7" customFormat="1" ht="18.75" x14ac:dyDescent="0.3">
      <c r="C37" s="21"/>
      <c r="D37" s="25">
        <v>9</v>
      </c>
      <c r="E37" s="360">
        <v>8</v>
      </c>
      <c r="F37" s="262">
        <v>9</v>
      </c>
      <c r="G37" s="261">
        <v>16</v>
      </c>
      <c r="H37" s="361">
        <v>11</v>
      </c>
      <c r="I37" s="370">
        <f t="shared" si="0"/>
        <v>1.6199956615515747E-2</v>
      </c>
      <c r="J37" s="258">
        <f t="shared" si="0"/>
        <v>2.6709213056420072E-2</v>
      </c>
      <c r="K37" s="257">
        <f t="shared" si="0"/>
        <v>0.88448766182435645</v>
      </c>
      <c r="L37" s="371">
        <f t="shared" si="0"/>
        <v>7.2603168503707752E-2</v>
      </c>
      <c r="M37" s="380">
        <f t="shared" si="6"/>
        <v>0.90068761843987222</v>
      </c>
      <c r="N37" s="246">
        <f t="shared" si="7"/>
        <v>42.909169671935842</v>
      </c>
      <c r="O37" s="245">
        <f t="shared" si="1"/>
        <v>9.9312381560127824E-2</v>
      </c>
      <c r="P37" s="381">
        <f t="shared" si="8"/>
        <v>957.09083032806416</v>
      </c>
      <c r="Q37" s="380">
        <f t="shared" si="2"/>
        <v>43.809857290375717</v>
      </c>
      <c r="R37" s="246">
        <f t="shared" si="3"/>
        <v>957.99151794650402</v>
      </c>
      <c r="S37" s="245">
        <f t="shared" si="4"/>
        <v>43.008482053495968</v>
      </c>
      <c r="T37" s="549">
        <f t="shared" si="5"/>
        <v>957.1901427096243</v>
      </c>
      <c r="U37" s="552">
        <f t="shared" si="16"/>
        <v>982.01379003790851</v>
      </c>
      <c r="V37" s="203">
        <f t="shared" si="9"/>
        <v>731.05857863000494</v>
      </c>
      <c r="W37" s="385">
        <f t="shared" si="10"/>
        <v>32523.477846067079</v>
      </c>
      <c r="X37" s="49">
        <f t="shared" si="17"/>
        <v>1120.0573744805406</v>
      </c>
      <c r="Y37" s="206"/>
      <c r="Z37" s="117">
        <f>E37-E29</f>
        <v>3</v>
      </c>
      <c r="AA37" s="103">
        <f>H37-H29</f>
        <v>2</v>
      </c>
      <c r="AB37" s="187">
        <f t="shared" si="12"/>
        <v>1120.0573744805406</v>
      </c>
      <c r="AD37" s="7" t="str">
        <f t="shared" si="13"/>
        <v>Bought 3 Shares of State 1 at a cost of 1120.05737</v>
      </c>
      <c r="AE37" s="7" t="str">
        <f t="shared" si="14"/>
        <v>Bought 2 Shares of State 2 at a cost of 1120.05737</v>
      </c>
      <c r="AF37" s="190" t="str">
        <f t="shared" si="15"/>
        <v>Bought 3 Shares of State 1 at a cost of 1120.05737Bought 2 Shares of State 2 at a cost of 1120.05737</v>
      </c>
    </row>
    <row r="38" spans="3:32" s="7" customFormat="1" ht="18.75" x14ac:dyDescent="0.3">
      <c r="C38" s="21"/>
      <c r="D38" s="25">
        <v>10</v>
      </c>
      <c r="E38" s="360">
        <v>8</v>
      </c>
      <c r="F38" s="262">
        <v>8</v>
      </c>
      <c r="G38" s="261">
        <v>18</v>
      </c>
      <c r="H38" s="361">
        <v>12</v>
      </c>
      <c r="I38" s="370">
        <f t="shared" si="0"/>
        <v>6.3370466550361102E-3</v>
      </c>
      <c r="J38" s="258">
        <f t="shared" si="0"/>
        <v>6.3370466550361102E-3</v>
      </c>
      <c r="K38" s="257">
        <f t="shared" si="0"/>
        <v>0.94050111345432519</v>
      </c>
      <c r="L38" s="371">
        <f t="shared" si="0"/>
        <v>4.6824793235602645E-2</v>
      </c>
      <c r="M38" s="380">
        <f t="shared" si="6"/>
        <v>0.94683816010936128</v>
      </c>
      <c r="N38" s="246">
        <f t="shared" si="7"/>
        <v>12.67409331007218</v>
      </c>
      <c r="O38" s="245">
        <f t="shared" si="1"/>
        <v>5.3161839890638753E-2</v>
      </c>
      <c r="P38" s="381">
        <f t="shared" si="8"/>
        <v>987.32590668992782</v>
      </c>
      <c r="Q38" s="380">
        <f t="shared" si="2"/>
        <v>13.620931470181542</v>
      </c>
      <c r="R38" s="246">
        <f t="shared" si="3"/>
        <v>988.27274485003716</v>
      </c>
      <c r="S38" s="245">
        <f t="shared" si="4"/>
        <v>12.727255149962819</v>
      </c>
      <c r="T38" s="549">
        <f t="shared" si="5"/>
        <v>987.37906852981848</v>
      </c>
      <c r="U38" s="552">
        <f t="shared" si="16"/>
        <v>993.30714907571519</v>
      </c>
      <c r="V38" s="203">
        <f t="shared" si="9"/>
        <v>880.79707797788251</v>
      </c>
      <c r="W38" s="385">
        <f t="shared" si="10"/>
        <v>36281.615155167812</v>
      </c>
      <c r="X38" s="49">
        <f t="shared" si="17"/>
        <v>3758.1373091007335</v>
      </c>
      <c r="Y38" s="206"/>
      <c r="Z38" s="117">
        <f>E38-E28</f>
        <v>4</v>
      </c>
      <c r="AA38" s="103">
        <f>H38-H28</f>
        <v>4</v>
      </c>
      <c r="AB38" s="187">
        <f t="shared" si="12"/>
        <v>3758.1373091007335</v>
      </c>
      <c r="AD38" s="7" t="str">
        <f t="shared" si="13"/>
        <v>Bought 4 Shares of State 1 at a cost of 3758.13731</v>
      </c>
      <c r="AE38" s="7" t="str">
        <f t="shared" si="14"/>
        <v>Bought 4 Shares of State 2 at a cost of 3758.13731</v>
      </c>
      <c r="AF38" s="190" t="str">
        <f t="shared" si="15"/>
        <v>Bought 4 Shares of State 1 at a cost of 3758.13731Bought 4 Shares of State 2 at a cost of 3758.13731</v>
      </c>
    </row>
    <row r="39" spans="3:32" s="7" customFormat="1" ht="18.75" x14ac:dyDescent="0.3">
      <c r="C39" s="21"/>
      <c r="D39" s="25">
        <v>11</v>
      </c>
      <c r="E39" s="360">
        <v>7</v>
      </c>
      <c r="F39" s="262">
        <v>9</v>
      </c>
      <c r="G39" s="261">
        <v>20</v>
      </c>
      <c r="H39" s="361">
        <v>14</v>
      </c>
      <c r="I39" s="370">
        <f t="shared" si="0"/>
        <v>1.4245514119871072E-3</v>
      </c>
      <c r="J39" s="258">
        <f t="shared" si="0"/>
        <v>3.872332216910229E-3</v>
      </c>
      <c r="K39" s="257">
        <f t="shared" si="0"/>
        <v>0.94752845252475615</v>
      </c>
      <c r="L39" s="371">
        <f t="shared" si="0"/>
        <v>4.7174663846346353E-2</v>
      </c>
      <c r="M39" s="380">
        <f t="shared" si="6"/>
        <v>0.94895300393674342</v>
      </c>
      <c r="N39" s="246">
        <f t="shared" si="7"/>
        <v>5.2968836288974899</v>
      </c>
      <c r="O39" s="245">
        <f t="shared" si="1"/>
        <v>5.1046996063256585E-2</v>
      </c>
      <c r="P39" s="381">
        <f t="shared" si="8"/>
        <v>994.70311637110251</v>
      </c>
      <c r="Q39" s="380">
        <f t="shared" si="2"/>
        <v>6.2458366328342336</v>
      </c>
      <c r="R39" s="246">
        <f t="shared" si="3"/>
        <v>995.65206937503922</v>
      </c>
      <c r="S39" s="245">
        <f t="shared" si="4"/>
        <v>5.3479306249607461</v>
      </c>
      <c r="T39" s="549">
        <f t="shared" si="5"/>
        <v>994.7541633671658</v>
      </c>
      <c r="U39" s="552">
        <f t="shared" si="16"/>
        <v>998.49881774326298</v>
      </c>
      <c r="V39" s="203">
        <f t="shared" si="9"/>
        <v>924.14181997875642</v>
      </c>
      <c r="W39" s="385">
        <f t="shared" si="10"/>
        <v>40255.808846959881</v>
      </c>
      <c r="X39" s="49">
        <f t="shared" si="17"/>
        <v>3974.1936917920684</v>
      </c>
      <c r="Y39" s="206"/>
      <c r="Z39" s="117">
        <f>E39-E27</f>
        <v>5</v>
      </c>
      <c r="AA39" s="103">
        <f>H39-H27</f>
        <v>13</v>
      </c>
      <c r="AB39" s="187">
        <f t="shared" si="12"/>
        <v>3974.1936917920684</v>
      </c>
      <c r="AD39" s="7" t="str">
        <f t="shared" si="13"/>
        <v>Bought 5 Shares of State 1 at a cost of 3974.19369</v>
      </c>
      <c r="AE39" s="7" t="str">
        <f t="shared" si="14"/>
        <v>Bought 13 Shares of State 2 at a cost of 3974.19369</v>
      </c>
      <c r="AF39" s="190" t="str">
        <f t="shared" si="15"/>
        <v>Bought 5 Shares of State 1 at a cost of 3974.19369Bought 13 Shares of State 2 at a cost of 3974.19369</v>
      </c>
    </row>
    <row r="40" spans="3:32" s="7" customFormat="1" ht="18.75" x14ac:dyDescent="0.3">
      <c r="C40" s="21"/>
      <c r="D40" s="25">
        <v>9</v>
      </c>
      <c r="E40" s="360">
        <v>7</v>
      </c>
      <c r="F40" s="262">
        <v>9</v>
      </c>
      <c r="G40" s="261">
        <v>25</v>
      </c>
      <c r="H40" s="361">
        <v>8</v>
      </c>
      <c r="I40" s="370">
        <f t="shared" si="0"/>
        <v>1.2332811884166014E-4</v>
      </c>
      <c r="J40" s="258">
        <f t="shared" si="0"/>
        <v>3.3524058438532241E-4</v>
      </c>
      <c r="K40" s="257">
        <f t="shared" si="0"/>
        <v>0.99933809760396342</v>
      </c>
      <c r="L40" s="371">
        <f t="shared" si="0"/>
        <v>2.0333369280967835E-4</v>
      </c>
      <c r="M40" s="380">
        <f t="shared" si="6"/>
        <v>0.99946142572280505</v>
      </c>
      <c r="N40" s="246">
        <f t="shared" si="7"/>
        <v>0.45856870322688792</v>
      </c>
      <c r="O40" s="245">
        <f t="shared" si="1"/>
        <v>5.3857427719500078E-4</v>
      </c>
      <c r="P40" s="381">
        <f t="shared" si="8"/>
        <v>999.54143129677311</v>
      </c>
      <c r="Q40" s="380">
        <f t="shared" si="2"/>
        <v>1.4580301289496931</v>
      </c>
      <c r="R40" s="246">
        <f t="shared" si="3"/>
        <v>1000.5408927224959</v>
      </c>
      <c r="S40" s="245">
        <f t="shared" si="4"/>
        <v>0.45910727750408292</v>
      </c>
      <c r="T40" s="549">
        <f t="shared" si="5"/>
        <v>999.54196987105036</v>
      </c>
      <c r="U40" s="552">
        <f t="shared" si="16"/>
        <v>999.87660542401375</v>
      </c>
      <c r="V40" s="203">
        <f t="shared" si="9"/>
        <v>377.54066879814542</v>
      </c>
      <c r="W40" s="385">
        <f t="shared" si="10"/>
        <v>50052.651134686756</v>
      </c>
      <c r="X40" s="49">
        <f t="shared" si="17"/>
        <v>9796.8422877268749</v>
      </c>
      <c r="Y40" s="206"/>
      <c r="Z40" s="117">
        <f>E40-E36</f>
        <v>1</v>
      </c>
      <c r="AA40" s="103">
        <f>H40-H36</f>
        <v>-5</v>
      </c>
      <c r="AB40" s="187">
        <f t="shared" si="12"/>
        <v>9796.8422877268749</v>
      </c>
      <c r="AD40" s="7" t="str">
        <f t="shared" si="13"/>
        <v>Bought 1 Shares of State 1 at a cost of 9796.84229</v>
      </c>
      <c r="AE40" s="7" t="str">
        <f t="shared" si="14"/>
        <v>Sold 5 Shares of State 2 at a cost of 9796.84229</v>
      </c>
      <c r="AF40" s="190" t="str">
        <f t="shared" si="15"/>
        <v>Bought 1 Shares of State 1 at a cost of 9796.84229Sold 5 Shares of State 2 at a cost of 9796.84229</v>
      </c>
    </row>
    <row r="41" spans="3:32" s="7" customFormat="1" ht="18.75" x14ac:dyDescent="0.3">
      <c r="C41" s="21"/>
      <c r="D41" s="25">
        <v>10</v>
      </c>
      <c r="E41" s="360">
        <v>8</v>
      </c>
      <c r="F41" s="262">
        <v>10</v>
      </c>
      <c r="G41" s="261">
        <v>30</v>
      </c>
      <c r="H41" s="361">
        <v>12</v>
      </c>
      <c r="I41" s="370">
        <f t="shared" si="0"/>
        <v>1.6698603008445089E-5</v>
      </c>
      <c r="J41" s="258">
        <f t="shared" si="0"/>
        <v>4.5391509118507829E-5</v>
      </c>
      <c r="K41" s="257">
        <f t="shared" si="0"/>
        <v>0.99981452297346984</v>
      </c>
      <c r="L41" s="371">
        <f t="shared" si="0"/>
        <v>1.2338691440317288E-4</v>
      </c>
      <c r="M41" s="380">
        <f t="shared" si="6"/>
        <v>0.9998312215764783</v>
      </c>
      <c r="N41" s="246">
        <f t="shared" si="7"/>
        <v>6.209011212695259E-2</v>
      </c>
      <c r="O41" s="245">
        <f t="shared" si="1"/>
        <v>1.6877842352168071E-4</v>
      </c>
      <c r="P41" s="381">
        <f t="shared" si="8"/>
        <v>999.93790988787305</v>
      </c>
      <c r="Q41" s="380">
        <f t="shared" si="2"/>
        <v>1.061921333703431</v>
      </c>
      <c r="R41" s="246">
        <f t="shared" si="3"/>
        <v>1000.9377411094496</v>
      </c>
      <c r="S41" s="245">
        <f t="shared" si="4"/>
        <v>6.2258890550474268E-2</v>
      </c>
      <c r="T41" s="549">
        <f t="shared" si="5"/>
        <v>999.93807866629652</v>
      </c>
      <c r="U41" s="552">
        <f t="shared" si="16"/>
        <v>999.9832985781519</v>
      </c>
      <c r="V41" s="203">
        <f t="shared" si="9"/>
        <v>731.05857863000483</v>
      </c>
      <c r="W41" s="385">
        <f t="shared" si="10"/>
        <v>60060.742718895002</v>
      </c>
      <c r="X41" s="49">
        <f t="shared" si="17"/>
        <v>10008.091584208247</v>
      </c>
      <c r="Y41" s="206"/>
      <c r="Z41" s="117">
        <f>E41-E35</f>
        <v>2</v>
      </c>
      <c r="AA41" s="103">
        <f>H41-H35</f>
        <v>-1</v>
      </c>
      <c r="AB41" s="187">
        <f t="shared" si="12"/>
        <v>10008.091584208247</v>
      </c>
      <c r="AD41" s="7" t="str">
        <f t="shared" si="13"/>
        <v>Bought 2 Shares of State 1 at a cost of 10008.09158</v>
      </c>
      <c r="AE41" s="7" t="str">
        <f t="shared" si="14"/>
        <v>Sold 1 Shares of State 2 at a cost of 10008.09158</v>
      </c>
      <c r="AF41" s="190" t="str">
        <f t="shared" si="15"/>
        <v>Bought 2 Shares of State 1 at a cost of 10008.09158Sold 1 Shares of State 2 at a cost of 10008.09158</v>
      </c>
    </row>
    <row r="42" spans="3:32" s="7" customFormat="1" ht="18.75" x14ac:dyDescent="0.3">
      <c r="C42" s="21"/>
      <c r="D42" s="25">
        <v>11</v>
      </c>
      <c r="E42" s="360">
        <f t="shared" si="18"/>
        <v>8</v>
      </c>
      <c r="F42" s="262">
        <f t="shared" si="19"/>
        <v>10</v>
      </c>
      <c r="G42" s="261">
        <v>31</v>
      </c>
      <c r="H42" s="361">
        <f t="shared" si="21"/>
        <v>12</v>
      </c>
      <c r="I42" s="370">
        <f t="shared" si="0"/>
        <v>1.0128953905218765E-5</v>
      </c>
      <c r="J42" s="258">
        <f t="shared" si="0"/>
        <v>2.7533351341855449E-5</v>
      </c>
      <c r="K42" s="257">
        <f t="shared" si="0"/>
        <v>0.99988749428612378</v>
      </c>
      <c r="L42" s="371">
        <f t="shared" si="0"/>
        <v>7.4843408629144141E-5</v>
      </c>
      <c r="M42" s="380">
        <f t="shared" si="6"/>
        <v>0.99989762324002895</v>
      </c>
      <c r="N42" s="246">
        <f t="shared" si="7"/>
        <v>3.7662305247067707E-2</v>
      </c>
      <c r="O42" s="245">
        <f t="shared" si="1"/>
        <v>1.0237675997099959E-4</v>
      </c>
      <c r="P42" s="381">
        <f t="shared" si="8"/>
        <v>999.96233769475293</v>
      </c>
      <c r="Q42" s="380">
        <f t="shared" si="2"/>
        <v>1.0375599284870967</v>
      </c>
      <c r="R42" s="246">
        <f t="shared" si="3"/>
        <v>1000.962235317993</v>
      </c>
      <c r="S42" s="245">
        <f t="shared" si="4"/>
        <v>3.7764682007038704E-2</v>
      </c>
      <c r="T42" s="549">
        <f t="shared" si="5"/>
        <v>999.9624400715129</v>
      </c>
      <c r="U42" s="552">
        <f t="shared" si="16"/>
        <v>999.98987000901923</v>
      </c>
      <c r="V42" s="203">
        <f t="shared" si="9"/>
        <v>731.05857863000494</v>
      </c>
      <c r="W42" s="385">
        <f t="shared" si="10"/>
        <v>62062.450498220649</v>
      </c>
      <c r="X42" s="49">
        <f t="shared" si="17"/>
        <v>2001.7077793256467</v>
      </c>
      <c r="Y42" s="206"/>
      <c r="Z42" s="117">
        <f>E42-E34</f>
        <v>1</v>
      </c>
      <c r="AA42" s="103">
        <f>H42-H34</f>
        <v>1</v>
      </c>
      <c r="AB42" s="187">
        <f t="shared" si="12"/>
        <v>2001.7077793256467</v>
      </c>
      <c r="AD42" s="7" t="str">
        <f t="shared" si="13"/>
        <v>Bought 1 Shares of State 1 at a cost of 2001.70778</v>
      </c>
      <c r="AE42" s="7" t="str">
        <f t="shared" si="14"/>
        <v>Bought 1 Shares of State 2 at a cost of 2001.70778</v>
      </c>
      <c r="AF42" s="190" t="str">
        <f t="shared" si="15"/>
        <v>Bought 1 Shares of State 1 at a cost of 2001.70778Bought 1 Shares of State 2 at a cost of 2001.70778</v>
      </c>
    </row>
    <row r="43" spans="3:32" s="7" customFormat="1" ht="18.75" x14ac:dyDescent="0.3">
      <c r="C43" s="21"/>
      <c r="D43" s="25">
        <v>12</v>
      </c>
      <c r="E43" s="360">
        <f t="shared" si="18"/>
        <v>8</v>
      </c>
      <c r="F43" s="262">
        <f t="shared" si="19"/>
        <v>10</v>
      </c>
      <c r="G43" s="261">
        <v>32</v>
      </c>
      <c r="H43" s="361">
        <f t="shared" si="21"/>
        <v>12</v>
      </c>
      <c r="I43" s="370">
        <f t="shared" si="0"/>
        <v>6.1437930649918482E-6</v>
      </c>
      <c r="J43" s="258">
        <f t="shared" si="0"/>
        <v>1.6700561046380045E-5</v>
      </c>
      <c r="K43" s="257">
        <f t="shared" si="0"/>
        <v>0.9999317588142711</v>
      </c>
      <c r="L43" s="371">
        <f t="shared" si="0"/>
        <v>4.539683161744585E-5</v>
      </c>
      <c r="M43" s="380">
        <f t="shared" si="6"/>
        <v>0.99993790260733617</v>
      </c>
      <c r="N43" s="246">
        <f t="shared" si="7"/>
        <v>2.2844354111498433E-2</v>
      </c>
      <c r="O43" s="245">
        <f t="shared" si="1"/>
        <v>6.2097392663825891E-5</v>
      </c>
      <c r="P43" s="381">
        <f t="shared" si="8"/>
        <v>999.9771556458885</v>
      </c>
      <c r="Q43" s="380">
        <f t="shared" si="2"/>
        <v>1.0227822567188345</v>
      </c>
      <c r="R43" s="246">
        <f t="shared" si="3"/>
        <v>1000.9770935484959</v>
      </c>
      <c r="S43" s="245">
        <f t="shared" si="4"/>
        <v>2.2906451504162258E-2</v>
      </c>
      <c r="T43" s="549">
        <f t="shared" si="5"/>
        <v>999.97721774328113</v>
      </c>
      <c r="U43" s="552">
        <f t="shared" si="16"/>
        <v>999.99385582539776</v>
      </c>
      <c r="V43" s="203">
        <f t="shared" si="9"/>
        <v>731.05857863000494</v>
      </c>
      <c r="W43" s="385">
        <f t="shared" si="10"/>
        <v>64064.273247031109</v>
      </c>
      <c r="X43" s="49">
        <f t="shared" si="17"/>
        <v>2001.8227488104603</v>
      </c>
      <c r="Y43" s="206"/>
      <c r="Z43" s="117">
        <f>E43-E42</f>
        <v>0</v>
      </c>
      <c r="AA43" s="103">
        <f>H43-H42</f>
        <v>0</v>
      </c>
      <c r="AB43" s="187">
        <f t="shared" si="12"/>
        <v>2001.8227488104603</v>
      </c>
      <c r="AD43" s="7" t="str">
        <f t="shared" si="13"/>
        <v/>
      </c>
      <c r="AE43" s="7" t="str">
        <f t="shared" si="14"/>
        <v/>
      </c>
      <c r="AF43" s="190" t="str">
        <f t="shared" si="15"/>
        <v/>
      </c>
    </row>
    <row r="44" spans="3:32" s="7" customFormat="1" ht="18.75" x14ac:dyDescent="0.3">
      <c r="C44" s="21"/>
      <c r="D44" s="25">
        <v>13</v>
      </c>
      <c r="E44" s="360">
        <f t="shared" si="18"/>
        <v>8</v>
      </c>
      <c r="F44" s="262">
        <f t="shared" si="19"/>
        <v>10</v>
      </c>
      <c r="G44" s="261">
        <v>33</v>
      </c>
      <c r="H44" s="361">
        <f t="shared" si="21"/>
        <v>12</v>
      </c>
      <c r="I44" s="370">
        <f t="shared" si="0"/>
        <v>3.7264989203780165E-6</v>
      </c>
      <c r="J44" s="258">
        <f t="shared" si="0"/>
        <v>1.0129674299035813E-5</v>
      </c>
      <c r="K44" s="257">
        <f t="shared" si="0"/>
        <v>0.99995860851720519</v>
      </c>
      <c r="L44" s="371">
        <f t="shared" si="0"/>
        <v>2.7535309575277668E-5</v>
      </c>
      <c r="M44" s="380">
        <f t="shared" si="6"/>
        <v>0.99996233501612564</v>
      </c>
      <c r="N44" s="246">
        <f t="shared" si="7"/>
        <v>1.3856173219437551E-2</v>
      </c>
      <c r="O44" s="245">
        <f t="shared" si="1"/>
        <v>3.7664983874313479E-5</v>
      </c>
      <c r="P44" s="381">
        <f t="shared" si="8"/>
        <v>999.98614382678056</v>
      </c>
      <c r="Q44" s="380">
        <f t="shared" si="2"/>
        <v>1.0138185082355631</v>
      </c>
      <c r="R44" s="246">
        <f t="shared" si="3"/>
        <v>1000.9861061617967</v>
      </c>
      <c r="S44" s="245">
        <f t="shared" si="4"/>
        <v>1.3893838203311864E-2</v>
      </c>
      <c r="T44" s="549">
        <f t="shared" si="5"/>
        <v>999.98618149176446</v>
      </c>
      <c r="U44" s="552">
        <f t="shared" si="16"/>
        <v>999.9962733607158</v>
      </c>
      <c r="V44" s="203">
        <f t="shared" si="9"/>
        <v>731.05857863000494</v>
      </c>
      <c r="W44" s="385">
        <f t="shared" si="10"/>
        <v>66066.165734927141</v>
      </c>
      <c r="X44" s="49">
        <f t="shared" si="17"/>
        <v>2001.8924878960315</v>
      </c>
      <c r="Y44" s="206"/>
      <c r="Z44" s="117">
        <f>E44-E43</f>
        <v>0</v>
      </c>
      <c r="AA44" s="103">
        <f>H44-H43</f>
        <v>0</v>
      </c>
      <c r="AB44" s="187">
        <f t="shared" si="12"/>
        <v>2001.8924878960315</v>
      </c>
      <c r="AD44" s="7" t="str">
        <f t="shared" si="13"/>
        <v/>
      </c>
      <c r="AE44" s="7" t="str">
        <f t="shared" si="14"/>
        <v/>
      </c>
      <c r="AF44" s="190" t="str">
        <f t="shared" si="15"/>
        <v/>
      </c>
    </row>
    <row r="45" spans="3:32" s="7" customFormat="1" ht="18.75" x14ac:dyDescent="0.3">
      <c r="C45" s="21"/>
      <c r="D45" s="25">
        <v>14</v>
      </c>
      <c r="E45" s="360">
        <f t="shared" si="18"/>
        <v>8</v>
      </c>
      <c r="F45" s="262">
        <f t="shared" si="19"/>
        <v>10</v>
      </c>
      <c r="G45" s="261">
        <v>34</v>
      </c>
      <c r="H45" s="361">
        <f t="shared" si="21"/>
        <v>12</v>
      </c>
      <c r="I45" s="370">
        <f t="shared" si="0"/>
        <v>2.2602726600274211E-6</v>
      </c>
      <c r="J45" s="258">
        <f t="shared" si="0"/>
        <v>6.1440580991153285E-6</v>
      </c>
      <c r="K45" s="257">
        <f t="shared" si="0"/>
        <v>0.999974894387757</v>
      </c>
      <c r="L45" s="371">
        <f t="shared" si="0"/>
        <v>1.6701281483821821E-5</v>
      </c>
      <c r="M45" s="380">
        <f t="shared" si="6"/>
        <v>0.99997715466041703</v>
      </c>
      <c r="N45" s="246">
        <f t="shared" si="7"/>
        <v>8.4043307591628036E-3</v>
      </c>
      <c r="O45" s="245">
        <f t="shared" si="1"/>
        <v>2.2845339582937151E-5</v>
      </c>
      <c r="P45" s="381">
        <f t="shared" si="8"/>
        <v>999.99159566924084</v>
      </c>
      <c r="Q45" s="380">
        <f t="shared" si="2"/>
        <v>1.0083814854195798</v>
      </c>
      <c r="R45" s="246">
        <f t="shared" si="3"/>
        <v>1000.9915728239013</v>
      </c>
      <c r="S45" s="245">
        <f t="shared" si="4"/>
        <v>8.4271760987457405E-3</v>
      </c>
      <c r="T45" s="549">
        <f t="shared" si="5"/>
        <v>999.99161851458041</v>
      </c>
      <c r="U45" s="552">
        <f t="shared" si="16"/>
        <v>999.99773967570206</v>
      </c>
      <c r="V45" s="203">
        <f t="shared" si="9"/>
        <v>731.05857863000494</v>
      </c>
      <c r="W45" s="385">
        <f t="shared" si="10"/>
        <v>68068.10052413329</v>
      </c>
      <c r="X45" s="49">
        <f t="shared" si="17"/>
        <v>2001.9347892061487</v>
      </c>
      <c r="Y45" s="206"/>
      <c r="Z45" s="117">
        <f>E45-E42</f>
        <v>0</v>
      </c>
      <c r="AA45" s="103">
        <f>H45-H42</f>
        <v>0</v>
      </c>
      <c r="AB45" s="187">
        <f t="shared" si="12"/>
        <v>2001.9347892061487</v>
      </c>
      <c r="AD45" s="7" t="str">
        <f t="shared" si="13"/>
        <v/>
      </c>
      <c r="AE45" s="7" t="str">
        <f t="shared" si="14"/>
        <v/>
      </c>
      <c r="AF45" s="190" t="str">
        <f t="shared" si="15"/>
        <v/>
      </c>
    </row>
    <row r="46" spans="3:32" s="7" customFormat="1" ht="18.75" x14ac:dyDescent="0.3">
      <c r="C46" s="21"/>
      <c r="D46" s="25">
        <v>15</v>
      </c>
      <c r="E46" s="360">
        <f t="shared" si="18"/>
        <v>8</v>
      </c>
      <c r="F46" s="262">
        <f t="shared" si="19"/>
        <v>10</v>
      </c>
      <c r="G46" s="261">
        <f t="shared" si="20"/>
        <v>34</v>
      </c>
      <c r="H46" s="361">
        <f t="shared" si="21"/>
        <v>12</v>
      </c>
      <c r="I46" s="370">
        <f t="shared" si="0"/>
        <v>2.2602726600274211E-6</v>
      </c>
      <c r="J46" s="258">
        <f t="shared" si="0"/>
        <v>6.1440580991153285E-6</v>
      </c>
      <c r="K46" s="257">
        <f t="shared" si="0"/>
        <v>0.999974894387757</v>
      </c>
      <c r="L46" s="371">
        <f t="shared" si="0"/>
        <v>1.6701281483821821E-5</v>
      </c>
      <c r="M46" s="380">
        <f t="shared" si="6"/>
        <v>0.99997715466041703</v>
      </c>
      <c r="N46" s="246">
        <f t="shared" si="7"/>
        <v>8.4043307591628036E-3</v>
      </c>
      <c r="O46" s="245">
        <f t="shared" si="1"/>
        <v>2.2845339582937151E-5</v>
      </c>
      <c r="P46" s="381">
        <f t="shared" si="8"/>
        <v>999.99159566924084</v>
      </c>
      <c r="Q46" s="380">
        <f t="shared" si="2"/>
        <v>1.0083814854195798</v>
      </c>
      <c r="R46" s="246">
        <f t="shared" si="3"/>
        <v>1000.9915728239013</v>
      </c>
      <c r="S46" s="245">
        <f t="shared" si="4"/>
        <v>8.4271760987457405E-3</v>
      </c>
      <c r="T46" s="549">
        <f t="shared" si="5"/>
        <v>999.99161851458041</v>
      </c>
      <c r="U46" s="552">
        <f t="shared" si="16"/>
        <v>999.99773967570206</v>
      </c>
      <c r="V46" s="203">
        <f t="shared" si="9"/>
        <v>731.05857863000494</v>
      </c>
      <c r="W46" s="385">
        <f t="shared" si="10"/>
        <v>68068.10052413329</v>
      </c>
      <c r="X46" s="49">
        <f t="shared" si="17"/>
        <v>0</v>
      </c>
      <c r="Y46" s="206"/>
      <c r="Z46" s="117">
        <f>E46-E45</f>
        <v>0</v>
      </c>
      <c r="AA46" s="103">
        <f>H46-H45</f>
        <v>0</v>
      </c>
      <c r="AB46" s="187">
        <f t="shared" si="12"/>
        <v>0</v>
      </c>
      <c r="AD46" s="7" t="str">
        <f t="shared" si="13"/>
        <v/>
      </c>
      <c r="AE46" s="7" t="str">
        <f t="shared" si="14"/>
        <v/>
      </c>
      <c r="AF46" s="190" t="str">
        <f t="shared" si="15"/>
        <v/>
      </c>
    </row>
    <row r="47" spans="3:32" s="7" customFormat="1" ht="18.75" x14ac:dyDescent="0.3">
      <c r="C47" s="21"/>
      <c r="D47" s="25">
        <v>16</v>
      </c>
      <c r="E47" s="360">
        <f t="shared" si="18"/>
        <v>8</v>
      </c>
      <c r="F47" s="262">
        <f t="shared" si="19"/>
        <v>10</v>
      </c>
      <c r="G47" s="261">
        <f t="shared" si="20"/>
        <v>34</v>
      </c>
      <c r="H47" s="361">
        <f t="shared" si="21"/>
        <v>12</v>
      </c>
      <c r="I47" s="370">
        <f t="shared" si="0"/>
        <v>2.2602726600274211E-6</v>
      </c>
      <c r="J47" s="258">
        <f t="shared" si="0"/>
        <v>6.1440580991153285E-6</v>
      </c>
      <c r="K47" s="257">
        <f t="shared" si="0"/>
        <v>0.999974894387757</v>
      </c>
      <c r="L47" s="371">
        <f t="shared" si="0"/>
        <v>1.6701281483821821E-5</v>
      </c>
      <c r="M47" s="380">
        <f t="shared" si="6"/>
        <v>0.99997715466041703</v>
      </c>
      <c r="N47" s="246">
        <f t="shared" si="7"/>
        <v>8.4043307591628036E-3</v>
      </c>
      <c r="O47" s="245">
        <f t="shared" si="1"/>
        <v>2.2845339582937151E-5</v>
      </c>
      <c r="P47" s="381">
        <f t="shared" si="8"/>
        <v>999.99159566924084</v>
      </c>
      <c r="Q47" s="380">
        <f t="shared" si="2"/>
        <v>1.0083814854195798</v>
      </c>
      <c r="R47" s="246">
        <f t="shared" si="3"/>
        <v>1000.9915728239013</v>
      </c>
      <c r="S47" s="245">
        <f t="shared" si="4"/>
        <v>8.4271760987457405E-3</v>
      </c>
      <c r="T47" s="549">
        <f t="shared" si="5"/>
        <v>999.99161851458041</v>
      </c>
      <c r="U47" s="552">
        <f t="shared" si="16"/>
        <v>999.99773967570206</v>
      </c>
      <c r="V47" s="203">
        <f t="shared" si="9"/>
        <v>731.05857863000494</v>
      </c>
      <c r="W47" s="385">
        <f t="shared" si="10"/>
        <v>68068.10052413329</v>
      </c>
      <c r="X47" s="49">
        <f t="shared" si="17"/>
        <v>0</v>
      </c>
      <c r="Y47" s="206"/>
      <c r="Z47" s="117">
        <f>E47-E42</f>
        <v>0</v>
      </c>
      <c r="AA47" s="103">
        <f>H47-H42</f>
        <v>0</v>
      </c>
      <c r="AB47" s="187">
        <f t="shared" si="12"/>
        <v>0</v>
      </c>
      <c r="AD47" s="7" t="str">
        <f t="shared" si="13"/>
        <v/>
      </c>
      <c r="AE47" s="7" t="str">
        <f t="shared" si="14"/>
        <v/>
      </c>
      <c r="AF47" s="190" t="str">
        <f t="shared" si="15"/>
        <v/>
      </c>
    </row>
    <row r="48" spans="3:32" s="7" customFormat="1" ht="18.75" x14ac:dyDescent="0.3">
      <c r="C48" s="21"/>
      <c r="D48" s="25">
        <v>17</v>
      </c>
      <c r="E48" s="360">
        <f t="shared" si="18"/>
        <v>8</v>
      </c>
      <c r="F48" s="262">
        <f t="shared" si="19"/>
        <v>10</v>
      </c>
      <c r="G48" s="261">
        <f t="shared" si="20"/>
        <v>34</v>
      </c>
      <c r="H48" s="361">
        <f t="shared" si="21"/>
        <v>12</v>
      </c>
      <c r="I48" s="370">
        <f t="shared" si="0"/>
        <v>2.2602726600274211E-6</v>
      </c>
      <c r="J48" s="258">
        <f t="shared" si="0"/>
        <v>6.1440580991153285E-6</v>
      </c>
      <c r="K48" s="257">
        <f t="shared" si="0"/>
        <v>0.999974894387757</v>
      </c>
      <c r="L48" s="371">
        <f t="shared" si="0"/>
        <v>1.6701281483821821E-5</v>
      </c>
      <c r="M48" s="380">
        <f t="shared" si="6"/>
        <v>0.99997715466041703</v>
      </c>
      <c r="N48" s="246">
        <f t="shared" si="7"/>
        <v>8.4043307591628036E-3</v>
      </c>
      <c r="O48" s="245">
        <f t="shared" si="1"/>
        <v>2.2845339582937151E-5</v>
      </c>
      <c r="P48" s="381">
        <f t="shared" si="8"/>
        <v>999.99159566924084</v>
      </c>
      <c r="Q48" s="380">
        <f t="shared" si="2"/>
        <v>1.0083814854195798</v>
      </c>
      <c r="R48" s="246">
        <f t="shared" si="3"/>
        <v>1000.9915728239013</v>
      </c>
      <c r="S48" s="245">
        <f t="shared" si="4"/>
        <v>8.4271760987457405E-3</v>
      </c>
      <c r="T48" s="549">
        <f t="shared" si="5"/>
        <v>999.99161851458041</v>
      </c>
      <c r="U48" s="552">
        <f t="shared" si="16"/>
        <v>999.99773967570206</v>
      </c>
      <c r="V48" s="203">
        <f t="shared" si="9"/>
        <v>731.05857863000494</v>
      </c>
      <c r="W48" s="385">
        <f t="shared" si="10"/>
        <v>68068.10052413329</v>
      </c>
      <c r="X48" s="49">
        <f t="shared" si="17"/>
        <v>0</v>
      </c>
      <c r="Y48" s="206"/>
      <c r="Z48" s="117">
        <f>E48-E47</f>
        <v>0</v>
      </c>
      <c r="AA48" s="103">
        <f>H48-H47</f>
        <v>0</v>
      </c>
      <c r="AB48" s="187">
        <f t="shared" si="12"/>
        <v>0</v>
      </c>
      <c r="AD48" s="7" t="str">
        <f t="shared" si="13"/>
        <v/>
      </c>
      <c r="AE48" s="7" t="str">
        <f t="shared" si="14"/>
        <v/>
      </c>
      <c r="AF48" s="190" t="str">
        <f t="shared" si="15"/>
        <v/>
      </c>
    </row>
    <row r="49" spans="2:33" s="7" customFormat="1" ht="19.5" thickBot="1" x14ac:dyDescent="0.35">
      <c r="C49" s="21"/>
      <c r="D49" s="25">
        <v>18</v>
      </c>
      <c r="E49" s="362">
        <f t="shared" si="18"/>
        <v>8</v>
      </c>
      <c r="F49" s="254">
        <f t="shared" si="19"/>
        <v>10</v>
      </c>
      <c r="G49" s="253">
        <f t="shared" si="20"/>
        <v>34</v>
      </c>
      <c r="H49" s="363">
        <f t="shared" si="21"/>
        <v>12</v>
      </c>
      <c r="I49" s="372">
        <f t="shared" si="0"/>
        <v>2.2602726600274211E-6</v>
      </c>
      <c r="J49" s="250">
        <f t="shared" si="0"/>
        <v>6.1440580991153285E-6</v>
      </c>
      <c r="K49" s="249">
        <f t="shared" si="0"/>
        <v>0.999974894387757</v>
      </c>
      <c r="L49" s="373">
        <f t="shared" si="0"/>
        <v>1.6701281483821821E-5</v>
      </c>
      <c r="M49" s="382">
        <f t="shared" si="6"/>
        <v>0.99997715466041703</v>
      </c>
      <c r="N49" s="319">
        <f t="shared" si="7"/>
        <v>8.4043307591628036E-3</v>
      </c>
      <c r="O49" s="320">
        <f t="shared" si="1"/>
        <v>2.2845339582937151E-5</v>
      </c>
      <c r="P49" s="383">
        <f t="shared" si="8"/>
        <v>999.99159566924084</v>
      </c>
      <c r="Q49" s="382">
        <f t="shared" si="2"/>
        <v>1.0083814854195798</v>
      </c>
      <c r="R49" s="319">
        <f t="shared" si="3"/>
        <v>1000.9915728239013</v>
      </c>
      <c r="S49" s="320">
        <f t="shared" si="4"/>
        <v>8.4271760987457405E-3</v>
      </c>
      <c r="T49" s="550">
        <f t="shared" si="5"/>
        <v>999.99161851458041</v>
      </c>
      <c r="U49" s="553">
        <f>$E$5+(K49/SUM(K49,I49))*$E$7</f>
        <v>999.99773967570206</v>
      </c>
      <c r="V49" s="204">
        <f t="shared" si="9"/>
        <v>731.05857863000494</v>
      </c>
      <c r="W49" s="386">
        <f t="shared" si="10"/>
        <v>68068.10052413329</v>
      </c>
      <c r="X49" s="116">
        <f t="shared" si="17"/>
        <v>0</v>
      </c>
      <c r="Y49" s="206"/>
      <c r="Z49" s="124">
        <f>E49-E48</f>
        <v>0</v>
      </c>
      <c r="AA49" s="105">
        <f>H49-H48</f>
        <v>0</v>
      </c>
      <c r="AB49" s="187">
        <f t="shared" si="12"/>
        <v>0</v>
      </c>
      <c r="AD49" s="7" t="str">
        <f t="shared" si="13"/>
        <v/>
      </c>
      <c r="AE49" s="7" t="str">
        <f t="shared" si="14"/>
        <v/>
      </c>
      <c r="AF49" s="190" t="str">
        <f t="shared" si="15"/>
        <v/>
      </c>
    </row>
    <row r="50" spans="2:33" s="7" customFormat="1" ht="16.5" thickTop="1" thickBot="1" x14ac:dyDescent="0.3">
      <c r="D50" s="25" t="s">
        <v>98</v>
      </c>
      <c r="E50" s="364">
        <f>E49</f>
        <v>8</v>
      </c>
      <c r="F50" s="365">
        <f t="shared" ref="F50:H50" si="22">F49</f>
        <v>10</v>
      </c>
      <c r="G50" s="366">
        <f t="shared" si="22"/>
        <v>34</v>
      </c>
      <c r="H50" s="367">
        <f t="shared" si="22"/>
        <v>12</v>
      </c>
      <c r="I50" s="374">
        <f>F54*F53</f>
        <v>0.25</v>
      </c>
      <c r="J50" s="375">
        <f>F53*E54</f>
        <v>0</v>
      </c>
      <c r="K50" s="376">
        <f>E53*F54</f>
        <v>0.75</v>
      </c>
      <c r="L50" s="377">
        <f>E53*E54</f>
        <v>0</v>
      </c>
      <c r="M50" s="314">
        <f>1-O50</f>
        <v>1</v>
      </c>
      <c r="N50" s="315">
        <f>$E$6-P50</f>
        <v>250</v>
      </c>
      <c r="O50" s="316">
        <f>SUM(J50,L50)</f>
        <v>0</v>
      </c>
      <c r="P50" s="317">
        <f>$E$5+SUM(K50:L50)*$E$7</f>
        <v>750</v>
      </c>
      <c r="Q50" s="314">
        <f>SUM(M50:N50)</f>
        <v>251</v>
      </c>
      <c r="R50" s="315">
        <f>SUM(M50,P50)</f>
        <v>751</v>
      </c>
      <c r="S50" s="316">
        <f t="shared" si="4"/>
        <v>250</v>
      </c>
      <c r="T50" s="551">
        <f t="shared" si="5"/>
        <v>750</v>
      </c>
      <c r="U50" s="557">
        <f>IF(I50*K50=0,0,$E$5+(K50/SUM(K50,I50))*$E$7)</f>
        <v>750</v>
      </c>
      <c r="V50" s="547" t="e">
        <f t="shared" si="9"/>
        <v>#DIV/0!</v>
      </c>
      <c r="W50" s="385">
        <f t="shared" si="10"/>
        <v>68068.10052413329</v>
      </c>
      <c r="X50" s="8" t="s">
        <v>110</v>
      </c>
      <c r="AE50" s="8"/>
      <c r="AF50" s="8"/>
      <c r="AG50" s="8"/>
    </row>
    <row r="51" spans="2:33" s="7" customFormat="1" ht="15.75" thickBot="1" x14ac:dyDescent="0.3">
      <c r="C51"/>
      <c r="D51"/>
      <c r="E51" s="33"/>
      <c r="F51" s="33"/>
      <c r="G51" s="33"/>
      <c r="H51" s="33"/>
      <c r="I51" s="33"/>
      <c r="J51" s="33"/>
      <c r="K51" s="33"/>
      <c r="L51" s="33"/>
      <c r="M51" s="33"/>
      <c r="N51" s="33"/>
      <c r="O51" s="33"/>
      <c r="P51" s="33"/>
      <c r="Q51" s="33"/>
      <c r="R51" s="33"/>
      <c r="S51" s="33"/>
      <c r="T51" s="33"/>
      <c r="U51" s="33"/>
      <c r="V51" s="33"/>
      <c r="W51" s="278">
        <f>SUMPRODUCT(E50:H50,Q50:T50)</f>
        <v>27018</v>
      </c>
      <c r="X51" t="s">
        <v>111</v>
      </c>
      <c r="AE51"/>
      <c r="AF51"/>
      <c r="AG51"/>
    </row>
    <row r="52" spans="2:33" s="7" customFormat="1" ht="15.75" thickBot="1" x14ac:dyDescent="0.3">
      <c r="C52" s="1"/>
      <c r="D52" s="155" t="s">
        <v>189</v>
      </c>
      <c r="E52" s="324" t="s">
        <v>162</v>
      </c>
      <c r="F52" s="269" t="s">
        <v>186</v>
      </c>
      <c r="G52" s="145"/>
      <c r="H52" s="17"/>
      <c r="I52" s="17"/>
      <c r="J52" s="17"/>
      <c r="K52" s="17"/>
      <c r="L52" s="17"/>
      <c r="M52" s="17"/>
      <c r="N52" s="17"/>
      <c r="Q52" s="17"/>
      <c r="R52" s="17" t="s">
        <v>137</v>
      </c>
      <c r="S52" s="235">
        <f>SUM(Q48:T48)</f>
        <v>2002</v>
      </c>
      <c r="T52" s="17"/>
      <c r="U52" s="17"/>
      <c r="V52" s="17"/>
      <c r="W52" s="278">
        <f>W50-W51</f>
        <v>41050.10052413329</v>
      </c>
      <c r="X52" s="7" t="s">
        <v>103</v>
      </c>
    </row>
    <row r="53" spans="2:33" s="7" customFormat="1" ht="15.75" thickBot="1" x14ac:dyDescent="0.3">
      <c r="C53" s="5" t="s">
        <v>187</v>
      </c>
      <c r="D53" s="145">
        <v>750</v>
      </c>
      <c r="E53" s="7">
        <f>(D53-E5)/(E6-E5)</f>
        <v>0.75</v>
      </c>
      <c r="F53" s="6">
        <f>1-E53</f>
        <v>0.25</v>
      </c>
      <c r="H53" s="33"/>
      <c r="J53" s="33"/>
      <c r="K53" s="33"/>
      <c r="L53" s="33"/>
      <c r="M53" s="17"/>
      <c r="N53" s="17"/>
      <c r="Q53" s="17"/>
      <c r="R53" s="17"/>
      <c r="S53" s="235">
        <f>SUM(Q49:T49)</f>
        <v>2002</v>
      </c>
      <c r="T53" s="17"/>
      <c r="U53" s="17"/>
      <c r="V53" s="17"/>
      <c r="W53" s="281">
        <f>W25-W52</f>
        <v>-35499.377902209249</v>
      </c>
      <c r="X53" s="55" t="s">
        <v>104</v>
      </c>
      <c r="AC53" s="8"/>
      <c r="AD53" s="8"/>
      <c r="AE53" s="8"/>
      <c r="AF53" s="28"/>
      <c r="AG53" s="28"/>
    </row>
    <row r="54" spans="2:33" x14ac:dyDescent="0.25">
      <c r="C54" s="325" t="s">
        <v>188</v>
      </c>
      <c r="D54" s="326">
        <v>0</v>
      </c>
      <c r="E54" s="326">
        <f>D54</f>
        <v>0</v>
      </c>
      <c r="F54" s="558">
        <f>1-E54</f>
        <v>1</v>
      </c>
      <c r="G54" s="17"/>
      <c r="S54" s="235">
        <f>SUM(Q50:T50)</f>
        <v>2002</v>
      </c>
      <c r="X54" s="193"/>
    </row>
    <row r="55" spans="2:33" x14ac:dyDescent="0.25">
      <c r="C55" s="17"/>
      <c r="D55" s="235"/>
      <c r="E55" s="17"/>
      <c r="F55" s="7"/>
      <c r="G55" s="17"/>
      <c r="Q55" s="193"/>
    </row>
    <row r="56" spans="2:33" x14ac:dyDescent="0.25">
      <c r="G56" s="193"/>
      <c r="H56" s="193"/>
      <c r="J56" s="462"/>
      <c r="L56" s="462"/>
      <c r="N56" s="462"/>
      <c r="P56" s="462"/>
      <c r="R56" s="193"/>
    </row>
    <row r="57" spans="2:33" ht="15.75" thickBot="1" x14ac:dyDescent="0.3">
      <c r="D57" t="s">
        <v>12</v>
      </c>
      <c r="G57" s="193"/>
      <c r="H57" s="33" t="s">
        <v>222</v>
      </c>
      <c r="K57" s="33" t="s">
        <v>223</v>
      </c>
      <c r="M57" s="94">
        <f>K58/SUM(K58:L58)</f>
        <v>0.5</v>
      </c>
      <c r="P57" s="538" t="s">
        <v>226</v>
      </c>
      <c r="Z57" s="33"/>
    </row>
    <row r="58" spans="2:33" s="8" customFormat="1" x14ac:dyDescent="0.25">
      <c r="B58" s="8">
        <v>1</v>
      </c>
      <c r="D58" s="466">
        <v>1</v>
      </c>
      <c r="E58" s="467">
        <v>1</v>
      </c>
      <c r="F58" s="28">
        <f>SUM(D58:E58)</f>
        <v>2</v>
      </c>
      <c r="H58" s="466">
        <f>EXP(D58)</f>
        <v>2.7182818284590451</v>
      </c>
      <c r="I58" s="467">
        <f>EXP(E58)</f>
        <v>2.7182818284590451</v>
      </c>
      <c r="J58" s="145"/>
      <c r="K58" s="470">
        <f>EXP(D58/$E$18)/(EXP($D58/$E$18)+EXP($E58/$E$18)+EXP($D59/$E$18)+EXP($E59/$E$18))</f>
        <v>0.25</v>
      </c>
      <c r="L58" s="471">
        <f>EXP(E58/$E$18)/(EXP($D58/$E$18)+EXP($E58/$E$18)+EXP($D59/$E$18)+EXP($E59/$E$18))</f>
        <v>0.25</v>
      </c>
      <c r="M58" s="472">
        <f>SUM(K58:L58)</f>
        <v>0.5</v>
      </c>
      <c r="O58" s="145"/>
      <c r="P58" s="539"/>
      <c r="Z58" s="145"/>
    </row>
    <row r="59" spans="2:33" s="8" customFormat="1" ht="15.75" thickBot="1" x14ac:dyDescent="0.3">
      <c r="D59" s="468">
        <v>1</v>
      </c>
      <c r="E59" s="367">
        <v>1</v>
      </c>
      <c r="F59" s="469">
        <f>SUM(D59:E59)</f>
        <v>2</v>
      </c>
      <c r="H59" s="468">
        <f>EXP(D59)</f>
        <v>2.7182818284590451</v>
      </c>
      <c r="I59" s="367">
        <f>EXP(E59)</f>
        <v>2.7182818284590451</v>
      </c>
      <c r="J59" s="145"/>
      <c r="K59" s="473">
        <f>EXP(D59/$E$18)/(EXP($D58/$E$18)+EXP($E58/$E$18)+EXP($D59/$E$18)+EXP($E59/$E$18))</f>
        <v>0.25</v>
      </c>
      <c r="L59" s="474">
        <f>EXP(E59/$E$18)/(EXP($D58/$E$18)+EXP($E58/$E$18)+EXP($D59/$E$18)+EXP($E59/$E$18))</f>
        <v>0.25</v>
      </c>
      <c r="M59" s="475">
        <f>SUM(K59:L59)</f>
        <v>0.5</v>
      </c>
      <c r="N59" s="464"/>
      <c r="O59" s="145"/>
      <c r="P59" s="539"/>
      <c r="Z59" s="145"/>
    </row>
    <row r="60" spans="2:33" s="8" customFormat="1" x14ac:dyDescent="0.25">
      <c r="D60" s="463">
        <f>SUM(D58:D59)</f>
        <v>2</v>
      </c>
      <c r="E60" s="463">
        <f>SUM(E58:E59)</f>
        <v>2</v>
      </c>
      <c r="F60" s="463"/>
      <c r="H60" s="465"/>
      <c r="I60" s="145"/>
      <c r="J60" s="145"/>
      <c r="K60" s="476">
        <f>SUM(K58:K59)</f>
        <v>0.5</v>
      </c>
      <c r="L60" s="476">
        <f>SUM(L58:L59)</f>
        <v>0.5</v>
      </c>
      <c r="M60" s="476"/>
      <c r="N60" s="464"/>
      <c r="O60" s="145"/>
      <c r="P60" s="540"/>
      <c r="Z60" s="145"/>
    </row>
    <row r="61" spans="2:33" s="8" customFormat="1" x14ac:dyDescent="0.25">
      <c r="D61" s="463"/>
      <c r="E61" s="463"/>
      <c r="F61" s="463"/>
      <c r="H61" s="465"/>
      <c r="I61" s="145"/>
      <c r="J61" s="145"/>
      <c r="K61" s="464"/>
      <c r="L61" s="464"/>
      <c r="M61" s="464"/>
      <c r="N61" s="464"/>
      <c r="O61" s="145"/>
      <c r="Z61" s="145"/>
    </row>
    <row r="62" spans="2:33" ht="15.75" thickBot="1" x14ac:dyDescent="0.3">
      <c r="D62" s="33"/>
      <c r="M62" s="94">
        <f>K63/SUM(K63:L63)</f>
        <v>0.5</v>
      </c>
      <c r="N62" s="33" t="b">
        <f>M62=M57</f>
        <v>1</v>
      </c>
      <c r="P62" s="538" t="s">
        <v>224</v>
      </c>
      <c r="Z62" s="482" t="s">
        <v>219</v>
      </c>
    </row>
    <row r="63" spans="2:33" x14ac:dyDescent="0.25">
      <c r="B63" s="8">
        <v>2</v>
      </c>
      <c r="C63" s="8"/>
      <c r="D63" s="466">
        <f>D58</f>
        <v>1</v>
      </c>
      <c r="E63" s="467">
        <f t="shared" ref="E63:E64" si="23">E58</f>
        <v>1</v>
      </c>
      <c r="F63" s="28">
        <f>SUM(D63:E63)</f>
        <v>2</v>
      </c>
      <c r="H63" s="466">
        <f>EXP(D63)</f>
        <v>2.7182818284590451</v>
      </c>
      <c r="I63" s="467">
        <f>EXP(E63)</f>
        <v>2.7182818284590451</v>
      </c>
      <c r="K63" s="492">
        <f>K58+(K58/SUM(K58:L58))*O63</f>
        <v>0.27500000000000002</v>
      </c>
      <c r="L63" s="493">
        <f>L58+(L58/SUM(K58:L58))*O63</f>
        <v>0.27500000000000002</v>
      </c>
      <c r="M63" s="481">
        <v>0.55000000000000004</v>
      </c>
      <c r="N63" s="8" t="b">
        <f>SUM(K63:L63)=M63</f>
        <v>1</v>
      </c>
      <c r="O63" s="94">
        <f>M63-M58</f>
        <v>5.0000000000000044E-2</v>
      </c>
      <c r="P63" s="539"/>
      <c r="Z63" s="33"/>
    </row>
    <row r="64" spans="2:33" ht="15.75" thickBot="1" x14ac:dyDescent="0.3">
      <c r="B64" s="8"/>
      <c r="C64" s="8"/>
      <c r="D64" s="468">
        <f t="shared" ref="D64" si="24">D59</f>
        <v>1</v>
      </c>
      <c r="E64" s="367">
        <f t="shared" si="23"/>
        <v>1</v>
      </c>
      <c r="F64" s="469">
        <f>SUM(D64:E64)</f>
        <v>2</v>
      </c>
      <c r="H64" s="468">
        <f>EXP(D64)</f>
        <v>2.7182818284590451</v>
      </c>
      <c r="I64" s="367">
        <f>EXP(E64)</f>
        <v>2.7182818284590451</v>
      </c>
      <c r="K64" s="494">
        <f>K59+(K59/SUM(K59:L59))*O64</f>
        <v>0.22499999999999998</v>
      </c>
      <c r="L64" s="495">
        <f>L59+(L59/SUM(K59:L59))*O64</f>
        <v>0.22499999999999998</v>
      </c>
      <c r="M64" s="472">
        <f>M59+O64</f>
        <v>0.44999999999999996</v>
      </c>
      <c r="N64" s="8" t="b">
        <f>SUM(K64:L64)=M64</f>
        <v>1</v>
      </c>
      <c r="O64" s="94">
        <f>-1*O63</f>
        <v>-5.0000000000000044E-2</v>
      </c>
      <c r="P64" s="539"/>
      <c r="Z64" s="33"/>
    </row>
    <row r="65" spans="2:26" x14ac:dyDescent="0.25">
      <c r="B65" s="8"/>
      <c r="C65" s="8"/>
      <c r="D65" s="463">
        <f>SUM(D63:D64)</f>
        <v>2</v>
      </c>
      <c r="E65" s="463">
        <f>SUM(E63:E64)</f>
        <v>2</v>
      </c>
      <c r="F65" s="463"/>
      <c r="K65" s="476">
        <f>SUM(K63:K64)</f>
        <v>0.5</v>
      </c>
      <c r="L65" s="476">
        <f>SUM(L63:L64)</f>
        <v>0.5</v>
      </c>
      <c r="M65" s="476"/>
      <c r="N65" s="464" t="b">
        <f>K65=K60</f>
        <v>1</v>
      </c>
      <c r="P65" s="540"/>
      <c r="Z65" s="33"/>
    </row>
    <row r="66" spans="2:26" x14ac:dyDescent="0.25">
      <c r="D66" s="33"/>
      <c r="Z66" s="33"/>
    </row>
    <row r="67" spans="2:26" ht="15.75" thickBot="1" x14ac:dyDescent="0.3">
      <c r="D67" s="33"/>
      <c r="M67" s="94">
        <f>K68/SUM(K68:L68)</f>
        <v>0.5</v>
      </c>
      <c r="N67" s="490">
        <f>M62/M67</f>
        <v>1</v>
      </c>
      <c r="P67" s="538" t="s">
        <v>225</v>
      </c>
      <c r="Z67" s="33"/>
    </row>
    <row r="68" spans="2:26" x14ac:dyDescent="0.25">
      <c r="B68" s="8">
        <v>3</v>
      </c>
      <c r="C68" s="8"/>
      <c r="D68" s="483">
        <v>1.4013357524397883</v>
      </c>
      <c r="E68" s="487">
        <v>1.4013357524397883</v>
      </c>
      <c r="F68" s="28">
        <f>SUM(D68:E68)</f>
        <v>2.8026715048795765</v>
      </c>
      <c r="H68" s="466">
        <f>EXP(D68)</f>
        <v>4.0606203294195504</v>
      </c>
      <c r="I68" s="467">
        <f>EXP(E68)</f>
        <v>4.0606203294195504</v>
      </c>
      <c r="K68" s="470">
        <f>EXP(D68/$E$18)/(EXP($D68/$E$18)+EXP($E68/$E$18)+EXP($D69/$E$18)+EXP($E69/$E$18))</f>
        <v>0.27499964865177878</v>
      </c>
      <c r="L68" s="471">
        <f>EXP(E68/$E$18)/(EXP($D68/$E$18)+EXP($E68/$E$18)+EXP($D69/$E$18)+EXP($E69/$E$18))</f>
        <v>0.27499964865177878</v>
      </c>
      <c r="M68" s="472">
        <f>SUM(K68:L68)</f>
        <v>0.54999929730355757</v>
      </c>
      <c r="N68" s="490">
        <f>M63/M68</f>
        <v>1.0000012776315277</v>
      </c>
      <c r="P68" s="539"/>
      <c r="Z68" s="33"/>
    </row>
    <row r="69" spans="2:26" ht="15.75" thickBot="1" x14ac:dyDescent="0.3">
      <c r="B69" s="8"/>
      <c r="C69" s="8"/>
      <c r="D69" s="488">
        <v>1.0000000797395387</v>
      </c>
      <c r="E69" s="489">
        <v>1</v>
      </c>
      <c r="F69" s="469">
        <f>SUM(D69:E69)</f>
        <v>2.0000000797395385</v>
      </c>
      <c r="H69" s="468">
        <f>EXP(D69)</f>
        <v>2.7182820452135932</v>
      </c>
      <c r="I69" s="367">
        <f>EXP(E69)</f>
        <v>2.7182818284590451</v>
      </c>
      <c r="K69" s="473">
        <f>EXP(D69/$E$18)/(EXP($D68/$E$18)+EXP($E68/$E$18)+EXP($D69/$E$18)+EXP($E69/$E$18))</f>
        <v>0.22500035583357725</v>
      </c>
      <c r="L69" s="474">
        <f>EXP(E69/$E$18)/(EXP($D68/$E$18)+EXP($E68/$E$18)+EXP($D69/$E$18)+EXP($E69/$E$18))</f>
        <v>0.22500034686286513</v>
      </c>
      <c r="M69" s="475">
        <f>SUM(K69:L69)</f>
        <v>0.45000070269644238</v>
      </c>
      <c r="N69" s="490">
        <f>M64/M69</f>
        <v>0.99999843845478864</v>
      </c>
      <c r="P69" s="539"/>
      <c r="Z69" s="33"/>
    </row>
    <row r="70" spans="2:26" x14ac:dyDescent="0.25">
      <c r="B70" s="8"/>
      <c r="C70" s="8"/>
      <c r="D70" s="463">
        <f>SUM(D68:D69)</f>
        <v>2.4013358321793268</v>
      </c>
      <c r="E70" s="463">
        <f>SUM(E68:E69)</f>
        <v>2.4013357524397883</v>
      </c>
      <c r="F70" s="463"/>
      <c r="K70" s="476">
        <f>SUM(K68:K69)</f>
        <v>0.50000000448535609</v>
      </c>
      <c r="L70" s="476">
        <f>SUM(L68:L69)</f>
        <v>0.49999999551464391</v>
      </c>
      <c r="M70" s="476"/>
      <c r="N70" s="491">
        <f>K70/K65</f>
        <v>1.0000000089707122</v>
      </c>
      <c r="P70" s="540"/>
      <c r="Z70" s="33"/>
    </row>
    <row r="71" spans="2:26" x14ac:dyDescent="0.25">
      <c r="Z71" s="33"/>
    </row>
    <row r="72" spans="2:26" ht="15.75" thickBot="1" x14ac:dyDescent="0.3"/>
    <row r="73" spans="2:26" ht="15.75" thickBot="1" x14ac:dyDescent="0.3">
      <c r="J73" s="484" t="s">
        <v>36</v>
      </c>
      <c r="K73" s="485" t="s">
        <v>194</v>
      </c>
    </row>
    <row r="74" spans="2:26" ht="15.75" thickTop="1" x14ac:dyDescent="0.25">
      <c r="I74" s="33">
        <v>2</v>
      </c>
      <c r="J74" s="83">
        <f>$E$18*$E$7*LN(EXP($D63/$E$18) + EXP($E63/$E$18) + EXP($D64/$E$18) +EXP($E64/$E$18) )</f>
        <v>3772.588722239781</v>
      </c>
      <c r="K74" s="230" t="s">
        <v>220</v>
      </c>
    </row>
    <row r="75" spans="2:26" ht="15.75" thickBot="1" x14ac:dyDescent="0.3">
      <c r="D75" s="477"/>
      <c r="E75" s="478"/>
      <c r="I75" s="33">
        <v>3</v>
      </c>
      <c r="J75" s="84">
        <f>$E$18*$E$7*LN(EXP($D68/$E$18) + EXP($E68/$E$18) + EXP($D69/$E$18) +EXP($E69/$E$18) )</f>
        <v>3983.3066703323429</v>
      </c>
      <c r="K75" s="486">
        <f>J75-J74</f>
        <v>210.71794809256198</v>
      </c>
      <c r="M75" s="33" t="s">
        <v>221</v>
      </c>
    </row>
    <row r="76" spans="2:26" x14ac:dyDescent="0.25">
      <c r="M76" s="33" t="s">
        <v>227</v>
      </c>
    </row>
    <row r="83" spans="4:5" x14ac:dyDescent="0.25">
      <c r="D83" s="33"/>
    </row>
    <row r="84" spans="4:5" x14ac:dyDescent="0.25">
      <c r="D84" s="462"/>
      <c r="E84" s="477"/>
    </row>
    <row r="85" spans="4:5" x14ac:dyDescent="0.25">
      <c r="D85" s="33"/>
      <c r="E85" s="479"/>
    </row>
    <row r="86" spans="4:5" x14ac:dyDescent="0.25">
      <c r="D86" s="33"/>
    </row>
    <row r="87" spans="4:5" x14ac:dyDescent="0.25">
      <c r="D87" s="94"/>
      <c r="E87" s="480"/>
    </row>
    <row r="88" spans="4:5" x14ac:dyDescent="0.25">
      <c r="D88" s="33"/>
    </row>
    <row r="89" spans="4:5" x14ac:dyDescent="0.25">
      <c r="D89" s="33"/>
    </row>
    <row r="90" spans="4:5" x14ac:dyDescent="0.25">
      <c r="D90" s="193"/>
    </row>
  </sheetData>
  <dataConsolidate/>
  <mergeCells count="7">
    <mergeCell ref="Z23:AA23"/>
    <mergeCell ref="P62:P65"/>
    <mergeCell ref="P67:P70"/>
    <mergeCell ref="P57:P60"/>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4"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6" t="s">
        <v>5</v>
      </c>
      <c r="D8" s="118" t="s">
        <v>34</v>
      </c>
      <c r="E8" s="39" t="s">
        <v>6</v>
      </c>
      <c r="F8" s="56" t="s">
        <v>7</v>
      </c>
      <c r="G8" s="40" t="s">
        <v>8</v>
      </c>
      <c r="H8" s="57" t="s">
        <v>9</v>
      </c>
      <c r="I8" s="65" t="s">
        <v>6</v>
      </c>
      <c r="J8" s="66" t="s">
        <v>7</v>
      </c>
      <c r="K8" s="67" t="s">
        <v>8</v>
      </c>
      <c r="L8" s="68" t="s">
        <v>9</v>
      </c>
      <c r="M8" s="332">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7">
        <v>2</v>
      </c>
      <c r="D9">
        <v>1</v>
      </c>
      <c r="E9" s="44">
        <v>0</v>
      </c>
      <c r="F9" s="58">
        <v>0</v>
      </c>
      <c r="G9" s="45">
        <v>0</v>
      </c>
      <c r="H9" s="59">
        <v>0</v>
      </c>
      <c r="I9" s="69">
        <f>EXP(E9/$C9)/(EXP($E9/$C9)+EXP($F9/$C9)+EXP($G9/$C9)+EXP($H9/$C9))</f>
        <v>0.25</v>
      </c>
      <c r="J9" s="70">
        <f t="shared" ref="J9:J14" si="0">EXP(F9/$C9)/(EXP($E9/$C9)+EXP($F9/$C9)+EXP($G9/$C9)+EXP($H9/$C9))</f>
        <v>0.25</v>
      </c>
      <c r="K9" s="71">
        <f t="shared" ref="K9:K15" si="1">EXP(G9/$C9)/(EXP($E9/$C9)+EXP($F9/$C9)+EXP($G9/$C9)+EXP($H9/$C9))</f>
        <v>0.25</v>
      </c>
      <c r="L9" s="340">
        <f t="shared" ref="L9:L15" si="2">EXP(H9/$C9)/(EXP($E9/$C9)+EXP($F9/$C9)+EXP($G9/$C9)+EXP($H9/$C9))</f>
        <v>0.25</v>
      </c>
      <c r="M9" s="82">
        <f>$C9*LN(EXP($E9/$C9)+EXP($F9/$C9)+EXP($G9/$C9)+EXP($H9/$C9))</f>
        <v>2.7725887222397811</v>
      </c>
      <c r="N9" s="75">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7">
        <v>2</v>
      </c>
      <c r="D10" s="7">
        <v>2</v>
      </c>
      <c r="E10" s="47">
        <v>0</v>
      </c>
      <c r="F10" s="60">
        <v>1</v>
      </c>
      <c r="G10" s="41">
        <v>2</v>
      </c>
      <c r="H10" s="61">
        <v>0</v>
      </c>
      <c r="I10" s="72">
        <f t="shared" ref="I10:I15" si="3">EXP(E10/$C10)/(EXP($E10/$C10)+EXP($F10/$C10)+EXP($G10/$C10)+EXP($H10/$C10))</f>
        <v>0.1570597633495828</v>
      </c>
      <c r="J10" s="73">
        <f t="shared" si="0"/>
        <v>0.25894777260558555</v>
      </c>
      <c r="K10" s="74">
        <f t="shared" si="1"/>
        <v>0.4269327006952488</v>
      </c>
      <c r="L10" s="341">
        <f t="shared" si="2"/>
        <v>0.1570597633495828</v>
      </c>
      <c r="M10" s="83">
        <f t="shared" ref="M10" si="4">$C10*LN(EXP($E10/$C10)+EXP($F10/$C10)+EXP($G10/$C10)+EXP($H10/$C10))</f>
        <v>3.7022577755764261</v>
      </c>
      <c r="N10" s="76">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7">
        <v>2</v>
      </c>
      <c r="D11" s="17">
        <v>3</v>
      </c>
      <c r="E11" s="47">
        <v>1</v>
      </c>
      <c r="F11" s="60">
        <v>1</v>
      </c>
      <c r="G11" s="41">
        <v>2</v>
      </c>
      <c r="H11" s="61">
        <v>0</v>
      </c>
      <c r="I11" s="72">
        <f t="shared" si="3"/>
        <v>0.23500371220159452</v>
      </c>
      <c r="J11" s="73">
        <f t="shared" si="0"/>
        <v>0.23500371220159452</v>
      </c>
      <c r="K11" s="74">
        <f t="shared" si="1"/>
        <v>0.3874556190002601</v>
      </c>
      <c r="L11" s="341">
        <f t="shared" si="2"/>
        <v>0.14253695659655097</v>
      </c>
      <c r="M11" s="83">
        <f t="shared" ref="M11:M16" si="6">$C11*LN(EXP($E11/$C11)+EXP($F11/$C11)+EXP($G11/$C11)+EXP($H11/$C11))</f>
        <v>3.8963079367204267</v>
      </c>
      <c r="N11" s="76">
        <f t="shared" si="5"/>
        <v>0.19405016114400064</v>
      </c>
      <c r="O11" s="7"/>
      <c r="Q11" s="1"/>
      <c r="R11" s="154" t="s">
        <v>64</v>
      </c>
      <c r="S11" s="155"/>
      <c r="T11" s="155"/>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5" t="s">
        <v>63</v>
      </c>
      <c r="C12" s="158">
        <v>2</v>
      </c>
      <c r="D12" s="7">
        <v>4</v>
      </c>
      <c r="E12" s="47">
        <v>2</v>
      </c>
      <c r="F12" s="60">
        <v>0</v>
      </c>
      <c r="G12" s="41">
        <v>7</v>
      </c>
      <c r="H12" s="61">
        <f>E12</f>
        <v>2</v>
      </c>
      <c r="I12" s="72">
        <f t="shared" si="3"/>
        <v>6.8726758577284552E-2</v>
      </c>
      <c r="J12" s="73">
        <f t="shared" si="0"/>
        <v>2.5283161538936071E-2</v>
      </c>
      <c r="K12" s="74">
        <f t="shared" si="1"/>
        <v>0.83726332130649472</v>
      </c>
      <c r="L12" s="341">
        <f t="shared" si="2"/>
        <v>6.8726758577284552E-2</v>
      </c>
      <c r="M12" s="83">
        <f t="shared" si="6"/>
        <v>7.3552333132946082</v>
      </c>
      <c r="N12" s="76">
        <f>(M12-M11)</f>
        <v>3.4589253765741814</v>
      </c>
      <c r="O12" s="7"/>
      <c r="Q12" s="5"/>
      <c r="R12" s="153"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5" t="s">
        <v>62</v>
      </c>
      <c r="C13" s="158">
        <v>5</v>
      </c>
      <c r="D13" s="7">
        <v>5</v>
      </c>
      <c r="E13" s="47">
        <f>E12</f>
        <v>2</v>
      </c>
      <c r="F13" s="60">
        <f t="shared" ref="F13:G13" si="7">F12</f>
        <v>0</v>
      </c>
      <c r="G13" s="41">
        <f t="shared" si="7"/>
        <v>7</v>
      </c>
      <c r="H13" s="61">
        <v>2</v>
      </c>
      <c r="I13" s="72">
        <f t="shared" si="3"/>
        <v>0.18557689420946036</v>
      </c>
      <c r="J13" s="73">
        <f>EXP(F13/$C13)/(EXP($E13/$C13)+EXP($F13/$C13)+EXP($G13/$C13)+EXP($H13/$C13))</f>
        <v>0.12439591226963644</v>
      </c>
      <c r="K13" s="74">
        <f t="shared" si="1"/>
        <v>0.5044502993114427</v>
      </c>
      <c r="L13" s="341">
        <f t="shared" si="2"/>
        <v>0.18557689420946036</v>
      </c>
      <c r="M13" s="83">
        <f>$C13*LN(EXP($E13/$C13)+EXP($F13/$C13)+EXP($G13/$C13)+EXP($H13/$C13))</f>
        <v>10.421429793928922</v>
      </c>
      <c r="N13" s="76">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5" t="s">
        <v>62</v>
      </c>
      <c r="C14" s="158">
        <v>5</v>
      </c>
      <c r="D14" s="7">
        <v>6</v>
      </c>
      <c r="E14" s="47">
        <v>7</v>
      </c>
      <c r="F14" s="60">
        <v>12</v>
      </c>
      <c r="G14" s="41">
        <v>2</v>
      </c>
      <c r="H14" s="61">
        <v>3.5</v>
      </c>
      <c r="I14" s="72">
        <f>EXP(E14/$C14)/(EXP($E14/$C14)+EXP($F14/$C14)+EXP($G14/$C14)+EXP($H14/$C14))</f>
        <v>0.21820975346958987</v>
      </c>
      <c r="J14" s="73">
        <f t="shared" si="0"/>
        <v>0.59315560764891428</v>
      </c>
      <c r="K14" s="74">
        <f t="shared" si="1"/>
        <v>8.027488216455092E-2</v>
      </c>
      <c r="L14" s="341">
        <f t="shared" si="2"/>
        <v>0.10835975671694488</v>
      </c>
      <c r="M14" s="83">
        <f t="shared" si="6"/>
        <v>14.611492534524269</v>
      </c>
      <c r="N14" s="76">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5" t="s">
        <v>62</v>
      </c>
      <c r="C15" s="158">
        <v>5</v>
      </c>
      <c r="D15" s="7">
        <v>7</v>
      </c>
      <c r="E15" s="39">
        <v>0</v>
      </c>
      <c r="F15" s="56">
        <v>12</v>
      </c>
      <c r="G15" s="40">
        <v>0</v>
      </c>
      <c r="H15" s="57">
        <v>0</v>
      </c>
      <c r="I15" s="65">
        <f t="shared" si="3"/>
        <v>7.1310520017451792E-2</v>
      </c>
      <c r="J15" s="66">
        <f>EXP(F15/$C15)/(EXP($E15/$C15)+EXP($F15/$C15)+EXP($G15/$C15)+EXP($H15/$C15))</f>
        <v>0.78606843994764464</v>
      </c>
      <c r="K15" s="67">
        <f t="shared" si="1"/>
        <v>7.1310520017451792E-2</v>
      </c>
      <c r="L15" s="342">
        <f t="shared" si="2"/>
        <v>7.1310520017451792E-2</v>
      </c>
      <c r="M15" s="115">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5" t="s">
        <v>62</v>
      </c>
      <c r="C16" s="158">
        <v>5</v>
      </c>
      <c r="D16" s="7">
        <v>8</v>
      </c>
      <c r="E16" s="44">
        <f>E15</f>
        <v>0</v>
      </c>
      <c r="F16" s="58">
        <v>12</v>
      </c>
      <c r="G16" s="45">
        <f>G15</f>
        <v>0</v>
      </c>
      <c r="H16" s="338">
        <f>H15</f>
        <v>0</v>
      </c>
      <c r="I16" s="339">
        <f>EXP(E16)/(EXP($E16)+EXP($F16)+EXP($G16)+EXP($H16))</f>
        <v>6.1440991013794134E-6</v>
      </c>
      <c r="J16" s="70">
        <f>EXP(F16)/(EXP($E16)+EXP($F16)+EXP($G16)+EXP($H16))</f>
        <v>0.99998156770269586</v>
      </c>
      <c r="K16" s="71">
        <f t="shared" ref="K16" si="8">EXP(G16)/(EXP($E16)+EXP($F16)+EXP($G16)+EXP($H16))</f>
        <v>6.1440991013794134E-6</v>
      </c>
      <c r="L16" s="340">
        <f>EXP(H16)/(EXP($E16)+EXP($F16)+EXP($G16)+EXP($H16))</f>
        <v>6.1440991013794134E-6</v>
      </c>
      <c r="M16" s="84">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78">
        <f>(SUMPRODUCT(I16:L16,E16:H16))</f>
        <v>11.99977881243235</v>
      </c>
      <c r="N17" s="343"/>
    </row>
    <row r="18" spans="1:18" ht="15.75" thickBot="1" x14ac:dyDescent="0.3">
      <c r="B18" s="7"/>
      <c r="C18" s="7"/>
      <c r="D18" s="7"/>
      <c r="M18" s="84">
        <f>M16-M17</f>
        <v>1.2037782706620916</v>
      </c>
      <c r="N18" s="8"/>
    </row>
    <row r="19" spans="1:18" x14ac:dyDescent="0.25">
      <c r="B19" s="7"/>
      <c r="C19" s="7"/>
      <c r="D19" s="7"/>
    </row>
    <row r="20" spans="1:18" x14ac:dyDescent="0.25">
      <c r="A20" s="7"/>
      <c r="B20" s="7"/>
      <c r="C20" s="7"/>
      <c r="D20" s="7"/>
      <c r="E20" s="17"/>
      <c r="F20" s="17"/>
      <c r="G20" s="145"/>
      <c r="H20" s="145"/>
      <c r="I20" s="148"/>
      <c r="J20" s="148"/>
      <c r="K20" s="8"/>
      <c r="L20" s="8"/>
      <c r="M20" s="8"/>
      <c r="N20" s="8"/>
      <c r="O20" s="8"/>
      <c r="P20" s="8"/>
      <c r="Q20" s="8"/>
      <c r="R20" s="8"/>
    </row>
    <row r="21" spans="1:18" x14ac:dyDescent="0.25">
      <c r="A21" s="117"/>
      <c r="B21" s="17" t="s">
        <v>117</v>
      </c>
      <c r="C21" s="17"/>
      <c r="D21" s="17"/>
      <c r="E21" s="17"/>
      <c r="F21" s="17"/>
      <c r="G21" s="146"/>
      <c r="H21" s="145"/>
      <c r="I21" s="148"/>
      <c r="J21" s="148"/>
      <c r="K21" s="8"/>
      <c r="L21" s="8"/>
      <c r="M21" s="8"/>
      <c r="N21" s="8"/>
      <c r="O21" s="8"/>
      <c r="P21" s="8"/>
      <c r="Q21" s="8"/>
      <c r="R21" s="8"/>
    </row>
    <row r="22" spans="1:18" x14ac:dyDescent="0.25">
      <c r="A22" s="7"/>
      <c r="B22" s="7">
        <f>$N$13</f>
        <v>3.0661964806343143</v>
      </c>
      <c r="C22" s="7" t="s">
        <v>118</v>
      </c>
      <c r="D22" s="7"/>
      <c r="E22" s="17"/>
      <c r="F22" s="17"/>
      <c r="G22" s="147"/>
      <c r="H22" s="148"/>
      <c r="I22" s="149"/>
      <c r="J22" s="149"/>
      <c r="K22" s="150"/>
      <c r="L22" s="8"/>
      <c r="M22" s="151"/>
      <c r="N22" s="8"/>
      <c r="O22" s="8"/>
      <c r="P22" s="8"/>
      <c r="Q22" s="8"/>
      <c r="R22" s="8"/>
    </row>
    <row r="23" spans="1:18" x14ac:dyDescent="0.25">
      <c r="B23" s="7"/>
      <c r="C23" s="7"/>
      <c r="D23" s="7"/>
      <c r="E23" s="17"/>
      <c r="F23" s="17"/>
      <c r="G23" s="147"/>
      <c r="H23" s="148"/>
      <c r="I23" s="149"/>
      <c r="J23" s="149"/>
      <c r="K23" s="150"/>
      <c r="L23" s="8"/>
      <c r="M23" s="8"/>
      <c r="N23" s="8"/>
      <c r="O23" s="8"/>
      <c r="P23" s="8"/>
      <c r="Q23" s="8"/>
      <c r="R23" s="8"/>
    </row>
    <row r="24" spans="1:18" x14ac:dyDescent="0.25">
      <c r="B24" s="7" t="s">
        <v>119</v>
      </c>
      <c r="C24" s="7"/>
      <c r="D24" s="7"/>
      <c r="E24" s="17"/>
      <c r="F24" s="17"/>
      <c r="G24" s="145"/>
      <c r="H24" s="145"/>
      <c r="I24" s="152"/>
      <c r="J24" s="152"/>
      <c r="K24" s="150"/>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9" t="s">
        <v>5</v>
      </c>
      <c r="R5" s="10"/>
      <c r="S5" s="10"/>
      <c r="T5" s="170">
        <v>1</v>
      </c>
    </row>
    <row r="6" spans="2:20" ht="21" x14ac:dyDescent="0.35">
      <c r="D6" s="144"/>
      <c r="E6" s="33"/>
      <c r="F6" s="33"/>
      <c r="G6" s="33"/>
      <c r="H6" s="33"/>
      <c r="I6" s="33"/>
      <c r="J6" s="33"/>
      <c r="K6" t="s">
        <v>44</v>
      </c>
      <c r="Q6" s="117"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7"/>
      <c r="R7" s="7"/>
      <c r="S7" s="172">
        <v>0.04</v>
      </c>
      <c r="T7" s="173">
        <f>1-S7</f>
        <v>0.96</v>
      </c>
    </row>
    <row r="8" spans="2:20" x14ac:dyDescent="0.25">
      <c r="B8" s="7"/>
      <c r="D8" s="7"/>
      <c r="E8" s="17"/>
      <c r="F8" s="17"/>
      <c r="G8" s="33"/>
      <c r="H8" s="33"/>
      <c r="I8" s="33"/>
      <c r="J8" s="33"/>
      <c r="P8" s="7"/>
      <c r="Q8" s="117" t="s">
        <v>72</v>
      </c>
      <c r="R8" s="7"/>
      <c r="S8" s="7">
        <v>500</v>
      </c>
      <c r="T8" s="103"/>
    </row>
    <row r="9" spans="2:20" ht="15.75" thickBot="1" x14ac:dyDescent="0.3">
      <c r="B9" s="7"/>
      <c r="E9" s="33"/>
      <c r="F9" s="33"/>
      <c r="G9" s="33"/>
      <c r="H9" s="33"/>
      <c r="I9" s="33"/>
      <c r="J9" s="33"/>
      <c r="Q9" s="124" t="s">
        <v>71</v>
      </c>
      <c r="R9" s="171"/>
      <c r="S9" s="171">
        <v>5000</v>
      </c>
      <c r="T9" s="105"/>
    </row>
    <row r="10" spans="2:20" x14ac:dyDescent="0.25">
      <c r="B10" s="7"/>
      <c r="C10" s="7"/>
      <c r="E10" s="62" t="s">
        <v>12</v>
      </c>
      <c r="F10" s="63"/>
      <c r="G10" s="63" t="s">
        <v>13</v>
      </c>
      <c r="H10" s="64"/>
      <c r="I10" s="62" t="s">
        <v>36</v>
      </c>
      <c r="J10" s="64" t="s">
        <v>35</v>
      </c>
      <c r="K10" s="20"/>
      <c r="L10" s="7"/>
      <c r="M10" s="7"/>
      <c r="N10" s="7"/>
      <c r="O10" s="7"/>
      <c r="P10" s="7"/>
      <c r="Q10" s="20"/>
    </row>
    <row r="11" spans="2:20" ht="15.75" thickBot="1" x14ac:dyDescent="0.3">
      <c r="B11" s="7"/>
      <c r="C11" s="32"/>
      <c r="D11" s="34" t="s">
        <v>34</v>
      </c>
      <c r="E11" s="39" t="s">
        <v>6</v>
      </c>
      <c r="F11" s="40" t="s">
        <v>7</v>
      </c>
      <c r="G11" s="77" t="s">
        <v>6</v>
      </c>
      <c r="H11" s="78"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9">
        <f t="shared" si="0"/>
        <v>0.5</v>
      </c>
      <c r="I12" s="82">
        <f t="shared" ref="I12:I31" si="1">$T$5*LN(EXP($F12/$T$5)+EXP($E12/$T$5))</f>
        <v>0.69314718055994529</v>
      </c>
      <c r="J12" s="159">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80">
        <f t="shared" si="0"/>
        <v>0.47502081252105999</v>
      </c>
      <c r="I13" s="83">
        <f t="shared" si="1"/>
        <v>0.74439666007357097</v>
      </c>
      <c r="J13" s="160">
        <f>(I13-I12)</f>
        <v>5.1249479513625684E-2</v>
      </c>
      <c r="K13" s="7"/>
      <c r="L13" s="7" t="s">
        <v>73</v>
      </c>
      <c r="M13" s="7" t="s">
        <v>74</v>
      </c>
      <c r="N13" s="174">
        <f>IF(D13="Buyer",J13,"")</f>
        <v>5.1249479513625684E-2</v>
      </c>
      <c r="P13" s="7"/>
      <c r="Q13" s="7"/>
    </row>
    <row r="14" spans="2:20" x14ac:dyDescent="0.25">
      <c r="B14" s="7"/>
      <c r="C14" s="7">
        <v>1</v>
      </c>
      <c r="D14" s="25" t="s">
        <v>76</v>
      </c>
      <c r="E14" s="47">
        <f>IF(MOD(ROW(A14),2)=1,E13+E12,E13)</f>
        <v>0.1</v>
      </c>
      <c r="F14" s="164">
        <f>IF(MOD(ROW(A14),2)=0,L14,F13)</f>
        <v>3.2780538303479458</v>
      </c>
      <c r="G14" s="48">
        <f t="shared" si="0"/>
        <v>3.9999999999999994E-2</v>
      </c>
      <c r="H14" s="80">
        <f t="shared" si="0"/>
        <v>0.96000000000000008</v>
      </c>
      <c r="I14" s="83">
        <f t="shared" si="1"/>
        <v>3.3188758248682011</v>
      </c>
      <c r="J14" s="160">
        <f>(I14-I13)</f>
        <v>2.5744791647946301</v>
      </c>
      <c r="K14" s="7"/>
      <c r="L14" s="125">
        <f>$T$5*LN($T$7/$S$7)+E14</f>
        <v>3.2780538303479458</v>
      </c>
      <c r="M14" s="125">
        <f>IF( D14="Seller",((F14-F13)-J14)*$T$7,"")</f>
        <v>0.67543167893118305</v>
      </c>
      <c r="N14" t="str">
        <f>IF(D14="Buyer",J14,"")</f>
        <v/>
      </c>
      <c r="P14" s="165"/>
      <c r="Q14" s="7"/>
      <c r="R14" s="167"/>
    </row>
    <row r="15" spans="2:20" x14ac:dyDescent="0.25">
      <c r="B15" s="7"/>
      <c r="C15" s="7"/>
      <c r="D15" s="25" t="s">
        <v>75</v>
      </c>
      <c r="E15" s="47">
        <f>IF(MOD(ROW(A15),2)=1,E14+$E$13,E14)</f>
        <v>0.2</v>
      </c>
      <c r="F15" s="164">
        <f>IF(MOD(ROW(A15),2)=0,L15,F14)</f>
        <v>3.2780538303479458</v>
      </c>
      <c r="G15" s="48">
        <f t="shared" si="0"/>
        <v>4.4021644850859298E-2</v>
      </c>
      <c r="H15" s="80">
        <f t="shared" si="0"/>
        <v>0.95597835514914065</v>
      </c>
      <c r="I15" s="83">
        <f t="shared" si="1"/>
        <v>3.3230738375923785</v>
      </c>
      <c r="J15" s="160">
        <f>(I15-I14)</f>
        <v>4.1980127241774134E-3</v>
      </c>
      <c r="K15" s="7"/>
      <c r="L15" s="125">
        <f>$T$5*LN($T$7/$S$7)+E15</f>
        <v>3.3780538303479459</v>
      </c>
      <c r="M15" s="125"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4">
        <f>IF(MOD(ROW(A16),2)=0,L16,F15)</f>
        <v>3.3780538303479459</v>
      </c>
      <c r="G16" s="48">
        <f t="shared" ref="G16:G30" si="4">EXP(E16/$T$5)/(EXP($F16/$T$5)+EXP($E16/$T$5))</f>
        <v>3.9999999999999987E-2</v>
      </c>
      <c r="H16" s="80">
        <f t="shared" ref="H16:H30" si="5">EXP(F16/$T$5)/(EXP($F16/$T$5)+EXP($E16/$T$5))</f>
        <v>0.96</v>
      </c>
      <c r="I16" s="83">
        <f t="shared" si="1"/>
        <v>3.4188758248682012</v>
      </c>
      <c r="J16" s="160">
        <f t="shared" ref="J16:J30" si="6">(I16-I15)</f>
        <v>9.5801987275822675E-2</v>
      </c>
      <c r="K16" s="7"/>
      <c r="L16" s="125">
        <f t="shared" ref="L16:L29" si="7">$T$5*LN($T$7/$S$7)+E16</f>
        <v>3.3780538303479459</v>
      </c>
      <c r="M16" s="125">
        <f>IF( D16="Seller",((F16-F15)-J16)*$T$7,"")</f>
        <v>4.0300922152103165E-3</v>
      </c>
      <c r="N16" t="str">
        <f t="shared" ref="N16:N30" si="8">IF(D16="Buyer",J16,"")</f>
        <v/>
      </c>
      <c r="O16" s="7"/>
      <c r="P16" s="7"/>
      <c r="Q16" s="7"/>
    </row>
    <row r="17" spans="2:17" x14ac:dyDescent="0.25">
      <c r="B17" s="7"/>
      <c r="D17" s="25" t="s">
        <v>75</v>
      </c>
      <c r="E17" s="47">
        <f t="shared" si="3"/>
        <v>0.30000000000000004</v>
      </c>
      <c r="F17" s="164">
        <f t="shared" ref="F17:F20" si="9">IF(MOD(ROW(A17),2)=0,L17,F16)</f>
        <v>3.3780538303479459</v>
      </c>
      <c r="G17" s="48">
        <f t="shared" si="4"/>
        <v>4.4021644850859298E-2</v>
      </c>
      <c r="H17" s="80">
        <f t="shared" si="5"/>
        <v>0.95597835514914076</v>
      </c>
      <c r="I17" s="83">
        <f t="shared" si="1"/>
        <v>3.4230738375923786</v>
      </c>
      <c r="J17" s="160">
        <f t="shared" si="6"/>
        <v>4.1980127241774134E-3</v>
      </c>
      <c r="K17" s="7"/>
      <c r="L17" s="125">
        <f t="shared" si="7"/>
        <v>3.478053830347946</v>
      </c>
      <c r="M17" s="125" t="str">
        <f t="shared" si="2"/>
        <v/>
      </c>
      <c r="N17">
        <f t="shared" si="8"/>
        <v>4.1980127241774134E-3</v>
      </c>
      <c r="O17" s="7"/>
      <c r="P17" s="7"/>
      <c r="Q17" s="7"/>
    </row>
    <row r="18" spans="2:17" x14ac:dyDescent="0.25">
      <c r="B18" s="7"/>
      <c r="C18">
        <v>3</v>
      </c>
      <c r="D18" s="25" t="s">
        <v>76</v>
      </c>
      <c r="E18" s="47">
        <f t="shared" si="3"/>
        <v>0.30000000000000004</v>
      </c>
      <c r="F18" s="164">
        <f t="shared" si="9"/>
        <v>3.478053830347946</v>
      </c>
      <c r="G18" s="48">
        <f t="shared" si="4"/>
        <v>3.9999999999999987E-2</v>
      </c>
      <c r="H18" s="80">
        <f t="shared" si="5"/>
        <v>0.96</v>
      </c>
      <c r="I18" s="83">
        <f t="shared" si="1"/>
        <v>3.5188758248682013</v>
      </c>
      <c r="J18" s="160">
        <f t="shared" si="6"/>
        <v>9.5801987275822675E-2</v>
      </c>
      <c r="K18" s="7"/>
      <c r="L18" s="125">
        <f t="shared" si="7"/>
        <v>3.478053830347946</v>
      </c>
      <c r="M18" s="125">
        <f>IF( D18="Seller",((F18-F17)-J18)*$T$7,"")</f>
        <v>4.0300922152103165E-3</v>
      </c>
      <c r="N18" t="str">
        <f t="shared" si="8"/>
        <v/>
      </c>
      <c r="O18" s="7"/>
      <c r="P18" s="7"/>
      <c r="Q18" s="7"/>
    </row>
    <row r="19" spans="2:17" x14ac:dyDescent="0.25">
      <c r="B19" s="7"/>
      <c r="C19" s="7"/>
      <c r="D19" s="25" t="s">
        <v>75</v>
      </c>
      <c r="E19" s="47">
        <f t="shared" si="3"/>
        <v>0.4</v>
      </c>
      <c r="F19" s="164">
        <f t="shared" si="9"/>
        <v>3.478053830347946</v>
      </c>
      <c r="G19" s="48">
        <f t="shared" si="4"/>
        <v>4.4021644850859291E-2</v>
      </c>
      <c r="H19" s="80">
        <f t="shared" si="5"/>
        <v>0.95597835514914076</v>
      </c>
      <c r="I19" s="83">
        <f t="shared" si="1"/>
        <v>3.5230738375923787</v>
      </c>
      <c r="J19" s="160">
        <f t="shared" si="6"/>
        <v>4.1980127241774134E-3</v>
      </c>
      <c r="K19" s="7"/>
      <c r="L19" s="125">
        <f t="shared" si="7"/>
        <v>3.5780538303479457</v>
      </c>
      <c r="M19" s="125" t="str">
        <f t="shared" si="2"/>
        <v/>
      </c>
      <c r="N19">
        <f t="shared" si="8"/>
        <v>4.1980127241774134E-3</v>
      </c>
      <c r="O19" s="7"/>
      <c r="P19" s="7"/>
      <c r="Q19" s="7"/>
    </row>
    <row r="20" spans="2:17" x14ac:dyDescent="0.25">
      <c r="B20" s="7"/>
      <c r="C20" s="7">
        <v>4</v>
      </c>
      <c r="D20" s="25" t="s">
        <v>76</v>
      </c>
      <c r="E20" s="47">
        <f t="shared" si="3"/>
        <v>0.4</v>
      </c>
      <c r="F20" s="164">
        <f t="shared" si="9"/>
        <v>3.5780538303479457</v>
      </c>
      <c r="G20" s="48">
        <f t="shared" si="4"/>
        <v>0.04</v>
      </c>
      <c r="H20" s="80">
        <f t="shared" si="5"/>
        <v>0.96</v>
      </c>
      <c r="I20" s="83">
        <f t="shared" si="1"/>
        <v>3.6188758248682009</v>
      </c>
      <c r="J20" s="160">
        <f t="shared" si="6"/>
        <v>9.5801987275822231E-2</v>
      </c>
      <c r="K20" s="7"/>
      <c r="L20" s="125">
        <f t="shared" si="7"/>
        <v>3.5780538303479457</v>
      </c>
      <c r="M20" s="125">
        <f>IF( D20="Seller",((F20-F19)-J20)*$T$7,"")</f>
        <v>4.0300922152103165E-3</v>
      </c>
      <c r="N20" t="str">
        <f t="shared" si="8"/>
        <v/>
      </c>
      <c r="O20" s="7"/>
      <c r="P20" s="7"/>
      <c r="Q20" s="7"/>
    </row>
    <row r="21" spans="2:17" x14ac:dyDescent="0.25">
      <c r="B21" s="7"/>
      <c r="C21" s="7"/>
      <c r="D21" s="25" t="s">
        <v>75</v>
      </c>
      <c r="E21" s="47">
        <f t="shared" si="3"/>
        <v>0.5</v>
      </c>
      <c r="F21" s="164">
        <f t="shared" ref="F21:F29" si="10">IF(MOD(ROW(A21),2)=0,L21,F20)</f>
        <v>3.5780538303479457</v>
      </c>
      <c r="G21" s="48">
        <f t="shared" si="4"/>
        <v>4.4021644850859305E-2</v>
      </c>
      <c r="H21" s="80">
        <f t="shared" si="5"/>
        <v>0.95597835514914065</v>
      </c>
      <c r="I21" s="83">
        <f t="shared" si="1"/>
        <v>3.6230738375923783</v>
      </c>
      <c r="J21" s="160">
        <f t="shared" si="6"/>
        <v>4.1980127241774134E-3</v>
      </c>
      <c r="K21" s="7"/>
      <c r="L21" s="125">
        <f t="shared" si="7"/>
        <v>3.6780538303479458</v>
      </c>
      <c r="M21" s="125" t="str">
        <f t="shared" si="2"/>
        <v/>
      </c>
      <c r="N21">
        <f t="shared" si="8"/>
        <v>4.1980127241774134E-3</v>
      </c>
      <c r="O21" s="7"/>
      <c r="P21" s="7"/>
      <c r="Q21" s="7"/>
    </row>
    <row r="22" spans="2:17" x14ac:dyDescent="0.25">
      <c r="B22" s="7"/>
      <c r="C22" s="7">
        <v>5</v>
      </c>
      <c r="D22" s="25" t="s">
        <v>76</v>
      </c>
      <c r="E22" s="47">
        <f t="shared" si="3"/>
        <v>0.5</v>
      </c>
      <c r="F22" s="164">
        <f t="shared" si="10"/>
        <v>3.6780538303479458</v>
      </c>
      <c r="G22" s="48">
        <f t="shared" si="4"/>
        <v>3.9999999999999994E-2</v>
      </c>
      <c r="H22" s="80">
        <f t="shared" si="5"/>
        <v>0.96</v>
      </c>
      <c r="I22" s="83">
        <f t="shared" si="1"/>
        <v>3.718875824868201</v>
      </c>
      <c r="J22" s="160">
        <f>(I22-I21)</f>
        <v>9.5801987275822675E-2</v>
      </c>
      <c r="K22" s="7"/>
      <c r="L22" s="125">
        <f>$T$5*LN($T$7/$S$7)+E22</f>
        <v>3.6780538303479458</v>
      </c>
      <c r="M22" s="125">
        <f t="shared" si="2"/>
        <v>4.0300922152103165E-3</v>
      </c>
      <c r="N22" t="str">
        <f t="shared" si="8"/>
        <v/>
      </c>
      <c r="O22" s="7"/>
      <c r="P22" s="7"/>
      <c r="Q22" s="7"/>
    </row>
    <row r="23" spans="2:17" x14ac:dyDescent="0.25">
      <c r="B23" s="7"/>
      <c r="C23" s="7"/>
      <c r="D23" s="25" t="s">
        <v>75</v>
      </c>
      <c r="E23" s="47">
        <f t="shared" si="3"/>
        <v>0.6</v>
      </c>
      <c r="F23" s="164">
        <f t="shared" si="10"/>
        <v>3.6780538303479458</v>
      </c>
      <c r="G23" s="48">
        <f t="shared" si="4"/>
        <v>4.4021644850859298E-2</v>
      </c>
      <c r="H23" s="80">
        <f t="shared" si="5"/>
        <v>0.95597835514914076</v>
      </c>
      <c r="I23" s="83">
        <f t="shared" si="1"/>
        <v>3.7230738375923784</v>
      </c>
      <c r="J23" s="160">
        <f t="shared" si="6"/>
        <v>4.1980127241774134E-3</v>
      </c>
      <c r="K23" s="7"/>
      <c r="L23" s="125">
        <f t="shared" si="7"/>
        <v>3.7780538303479458</v>
      </c>
      <c r="M23" s="125" t="str">
        <f t="shared" si="2"/>
        <v/>
      </c>
      <c r="N23">
        <f>IF(D23="Buyer",J23,"")</f>
        <v>4.1980127241774134E-3</v>
      </c>
      <c r="O23" s="7"/>
      <c r="P23" s="7"/>
      <c r="Q23" s="7"/>
    </row>
    <row r="24" spans="2:17" x14ac:dyDescent="0.25">
      <c r="B24" s="7"/>
      <c r="C24">
        <v>6</v>
      </c>
      <c r="D24" s="25" t="s">
        <v>76</v>
      </c>
      <c r="E24" s="47">
        <f t="shared" si="3"/>
        <v>0.6</v>
      </c>
      <c r="F24" s="164">
        <f t="shared" si="10"/>
        <v>3.7780538303479458</v>
      </c>
      <c r="G24" s="48">
        <f t="shared" si="4"/>
        <v>3.9999999999999994E-2</v>
      </c>
      <c r="H24" s="80">
        <f t="shared" si="5"/>
        <v>0.96000000000000008</v>
      </c>
      <c r="I24" s="83">
        <f t="shared" si="1"/>
        <v>3.8188758248682011</v>
      </c>
      <c r="J24" s="160">
        <f t="shared" si="6"/>
        <v>9.5801987275822675E-2</v>
      </c>
      <c r="K24" s="7"/>
      <c r="L24" s="125">
        <f t="shared" si="7"/>
        <v>3.7780538303479458</v>
      </c>
      <c r="M24" s="125">
        <f t="shared" si="2"/>
        <v>4.0300922152103165E-3</v>
      </c>
      <c r="N24" t="str">
        <f>IF(D24="Buyer",J24,"")</f>
        <v/>
      </c>
      <c r="O24" s="7"/>
      <c r="P24" s="7"/>
      <c r="Q24" s="7"/>
    </row>
    <row r="25" spans="2:17" x14ac:dyDescent="0.25">
      <c r="B25" s="7"/>
      <c r="C25" s="7"/>
      <c r="D25" s="25" t="s">
        <v>75</v>
      </c>
      <c r="E25" s="47">
        <f t="shared" si="3"/>
        <v>0.7</v>
      </c>
      <c r="F25" s="164">
        <f t="shared" si="10"/>
        <v>3.7780538303479458</v>
      </c>
      <c r="G25" s="48">
        <f t="shared" si="4"/>
        <v>4.4021644850859298E-2</v>
      </c>
      <c r="H25" s="80">
        <f t="shared" si="5"/>
        <v>0.95597835514914076</v>
      </c>
      <c r="I25" s="83">
        <f t="shared" si="1"/>
        <v>3.8230738375923785</v>
      </c>
      <c r="J25" s="160">
        <f t="shared" si="6"/>
        <v>4.1980127241774134E-3</v>
      </c>
      <c r="K25" s="7"/>
      <c r="L25" s="125">
        <f t="shared" si="7"/>
        <v>3.8780538303479455</v>
      </c>
      <c r="M25" s="125" t="str">
        <f t="shared" si="2"/>
        <v/>
      </c>
      <c r="N25">
        <f t="shared" si="8"/>
        <v>4.1980127241774134E-3</v>
      </c>
      <c r="O25" s="7"/>
      <c r="P25" s="7"/>
      <c r="Q25" s="7"/>
    </row>
    <row r="26" spans="2:17" x14ac:dyDescent="0.25">
      <c r="B26" s="7"/>
      <c r="C26" s="7">
        <v>7</v>
      </c>
      <c r="D26" s="25" t="s">
        <v>76</v>
      </c>
      <c r="E26" s="47">
        <f t="shared" si="3"/>
        <v>0.7</v>
      </c>
      <c r="F26" s="164">
        <f t="shared" si="10"/>
        <v>3.8780538303479455</v>
      </c>
      <c r="G26" s="48">
        <f t="shared" si="4"/>
        <v>4.0000000000000008E-2</v>
      </c>
      <c r="H26" s="80">
        <f t="shared" si="5"/>
        <v>0.96000000000000008</v>
      </c>
      <c r="I26" s="83">
        <f t="shared" si="1"/>
        <v>3.9188758248682007</v>
      </c>
      <c r="J26" s="160">
        <f>(I26-I25)</f>
        <v>9.5801987275822231E-2</v>
      </c>
      <c r="K26" s="7"/>
      <c r="L26" s="125">
        <f t="shared" si="7"/>
        <v>3.8780538303479455</v>
      </c>
      <c r="M26" s="125">
        <f t="shared" si="2"/>
        <v>4.0300922152103165E-3</v>
      </c>
      <c r="N26" t="str">
        <f t="shared" si="8"/>
        <v/>
      </c>
      <c r="O26" s="7"/>
      <c r="P26" s="7"/>
      <c r="Q26" s="7"/>
    </row>
    <row r="27" spans="2:17" x14ac:dyDescent="0.25">
      <c r="B27" s="7"/>
      <c r="C27" s="7"/>
      <c r="D27" s="25" t="s">
        <v>75</v>
      </c>
      <c r="E27" s="47">
        <f t="shared" si="3"/>
        <v>0.79999999999999993</v>
      </c>
      <c r="F27" s="164">
        <f t="shared" si="10"/>
        <v>3.8780538303479455</v>
      </c>
      <c r="G27" s="48">
        <f t="shared" si="4"/>
        <v>4.4021644850859305E-2</v>
      </c>
      <c r="H27" s="80">
        <f t="shared" si="5"/>
        <v>0.95597835514914065</v>
      </c>
      <c r="I27" s="83">
        <f t="shared" si="1"/>
        <v>3.9230738375923782</v>
      </c>
      <c r="J27" s="160">
        <f t="shared" si="6"/>
        <v>4.1980127241774134E-3</v>
      </c>
      <c r="K27" s="7"/>
      <c r="L27" s="125">
        <f t="shared" si="7"/>
        <v>3.9780538303479456</v>
      </c>
      <c r="M27" s="125" t="str">
        <f t="shared" si="2"/>
        <v/>
      </c>
      <c r="N27">
        <f t="shared" si="8"/>
        <v>4.1980127241774134E-3</v>
      </c>
      <c r="O27" s="7"/>
      <c r="P27" s="7"/>
      <c r="Q27" s="7"/>
    </row>
    <row r="28" spans="2:17" x14ac:dyDescent="0.25">
      <c r="B28" s="7"/>
      <c r="C28" s="7">
        <v>8</v>
      </c>
      <c r="D28" s="25" t="s">
        <v>76</v>
      </c>
      <c r="E28" s="47">
        <f t="shared" si="3"/>
        <v>0.79999999999999993</v>
      </c>
      <c r="F28" s="164">
        <f t="shared" si="10"/>
        <v>3.9780538303479456</v>
      </c>
      <c r="G28" s="48">
        <f t="shared" si="4"/>
        <v>0.04</v>
      </c>
      <c r="H28" s="80">
        <f t="shared" si="5"/>
        <v>0.96000000000000008</v>
      </c>
      <c r="I28" s="83">
        <f t="shared" si="1"/>
        <v>4.0188758248682008</v>
      </c>
      <c r="J28" s="160">
        <f t="shared" si="6"/>
        <v>9.5801987275822675E-2</v>
      </c>
      <c r="K28" s="7"/>
      <c r="L28" s="125">
        <f t="shared" si="7"/>
        <v>3.9780538303479456</v>
      </c>
      <c r="M28" s="125">
        <f>IF( D28="Seller",((F28-F27)-J28)*$T$7,"")</f>
        <v>4.0300922152103165E-3</v>
      </c>
      <c r="N28" t="str">
        <f t="shared" si="8"/>
        <v/>
      </c>
      <c r="O28" s="7"/>
      <c r="P28" s="7"/>
      <c r="Q28" s="7"/>
    </row>
    <row r="29" spans="2:17" x14ac:dyDescent="0.25">
      <c r="B29" s="7"/>
      <c r="D29" s="21" t="s">
        <v>77</v>
      </c>
      <c r="E29" s="47">
        <f t="shared" si="3"/>
        <v>0.89999999999999991</v>
      </c>
      <c r="F29" s="164">
        <f t="shared" si="10"/>
        <v>3.9780538303479456</v>
      </c>
      <c r="G29" s="48">
        <f t="shared" si="4"/>
        <v>4.4021644850859305E-2</v>
      </c>
      <c r="H29" s="80">
        <f t="shared" si="5"/>
        <v>0.95597835514914065</v>
      </c>
      <c r="I29" s="83">
        <f t="shared" si="1"/>
        <v>4.0230738375923778</v>
      </c>
      <c r="J29" s="160">
        <f t="shared" si="6"/>
        <v>4.1980127241769694E-3</v>
      </c>
      <c r="K29" s="7"/>
      <c r="L29" s="125">
        <f t="shared" si="7"/>
        <v>4.0780538303479457</v>
      </c>
      <c r="M29" s="125" t="str">
        <f t="shared" si="2"/>
        <v/>
      </c>
      <c r="N29" t="str">
        <f t="shared" si="8"/>
        <v/>
      </c>
      <c r="O29" s="7"/>
      <c r="P29" s="7"/>
      <c r="Q29" s="7"/>
    </row>
    <row r="30" spans="2:17" ht="15.75" thickBot="1" x14ac:dyDescent="0.3">
      <c r="B30" s="7"/>
      <c r="C30" s="7"/>
      <c r="D30" s="25" t="s">
        <v>38</v>
      </c>
      <c r="E30" s="47">
        <v>0</v>
      </c>
      <c r="F30" s="166">
        <f t="shared" ref="F30" si="11">F29</f>
        <v>3.9780538303479456</v>
      </c>
      <c r="G30" s="48">
        <f t="shared" si="4"/>
        <v>1.8377967132622502E-2</v>
      </c>
      <c r="H30" s="80">
        <f t="shared" si="5"/>
        <v>0.98162203286737748</v>
      </c>
      <c r="I30" s="115">
        <f t="shared" si="1"/>
        <v>3.9966027703138742</v>
      </c>
      <c r="J30" s="161">
        <f t="shared" si="6"/>
        <v>-2.6471067278503568E-2</v>
      </c>
      <c r="K30" s="7"/>
      <c r="L30" s="125">
        <f>$T$5*LN($T$7/$S$7)+E30</f>
        <v>3.1780538303479458</v>
      </c>
      <c r="M30" s="125" t="str">
        <f t="shared" si="2"/>
        <v/>
      </c>
      <c r="N30" t="str">
        <f t="shared" si="8"/>
        <v/>
      </c>
      <c r="O30" s="7"/>
      <c r="P30" s="7"/>
      <c r="Q30" s="7"/>
    </row>
    <row r="31" spans="2:17" ht="16.5" thickTop="1" thickBot="1" x14ac:dyDescent="0.3">
      <c r="B31" s="7"/>
      <c r="C31" s="7"/>
      <c r="D31" s="25" t="s">
        <v>0</v>
      </c>
      <c r="E31" s="51">
        <f>E30</f>
        <v>0</v>
      </c>
      <c r="F31" s="168">
        <f>F30</f>
        <v>3.9780538303479456</v>
      </c>
      <c r="G31" s="53">
        <f>EXP(E31)/(EXP($F31)+EXP($E31))</f>
        <v>1.8377967132622502E-2</v>
      </c>
      <c r="H31" s="81">
        <f>EXP(F31)/(EXP($F31)+EXP($E31))</f>
        <v>0.98162203286737748</v>
      </c>
      <c r="I31" s="84">
        <f t="shared" si="1"/>
        <v>3.9966027703138742</v>
      </c>
      <c r="J31" s="162">
        <f>SUM(J12:J30)</f>
        <v>3.9966027703138742</v>
      </c>
      <c r="K31" s="8" t="s">
        <v>43</v>
      </c>
      <c r="L31" s="7"/>
      <c r="M31" s="7"/>
      <c r="N31" s="7"/>
      <c r="O31" s="7"/>
      <c r="P31" s="7"/>
      <c r="Q31" s="8"/>
    </row>
    <row r="32" spans="2:17" ht="15.75" thickBot="1" x14ac:dyDescent="0.3">
      <c r="B32" s="7"/>
      <c r="E32" s="33"/>
      <c r="F32" s="33"/>
      <c r="G32" s="33"/>
      <c r="H32" s="33"/>
      <c r="I32" s="114">
        <v>0</v>
      </c>
      <c r="J32" s="163">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6">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9" t="s">
        <v>5</v>
      </c>
      <c r="R52" s="10"/>
      <c r="S52" s="10"/>
      <c r="T52" s="170">
        <v>1</v>
      </c>
    </row>
    <row r="53" spans="3:20" ht="21" x14ac:dyDescent="0.35">
      <c r="D53" s="144"/>
      <c r="E53" s="33"/>
      <c r="F53" s="33"/>
      <c r="G53" s="33"/>
      <c r="H53" s="33"/>
      <c r="I53" s="33"/>
      <c r="J53" s="33"/>
      <c r="K53" t="s">
        <v>44</v>
      </c>
      <c r="Q53" s="117"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7"/>
      <c r="R54" s="7"/>
      <c r="S54" s="172">
        <v>0.04</v>
      </c>
      <c r="T54" s="173">
        <f>1-S54</f>
        <v>0.96</v>
      </c>
    </row>
    <row r="55" spans="3:20" x14ac:dyDescent="0.25">
      <c r="D55" s="7"/>
      <c r="E55" s="17"/>
      <c r="F55" s="17"/>
      <c r="G55" s="33"/>
      <c r="H55" s="33"/>
      <c r="I55" s="33"/>
      <c r="J55" s="33"/>
      <c r="P55" s="7"/>
      <c r="Q55" s="117" t="s">
        <v>72</v>
      </c>
      <c r="R55" s="7"/>
      <c r="S55" s="7">
        <v>500</v>
      </c>
      <c r="T55" s="103"/>
    </row>
    <row r="56" spans="3:20" ht="15.75" thickBot="1" x14ac:dyDescent="0.3">
      <c r="E56" s="33"/>
      <c r="F56" s="33"/>
      <c r="G56" s="33"/>
      <c r="H56" s="33"/>
      <c r="I56" s="33"/>
      <c r="J56" s="33"/>
      <c r="Q56" s="124" t="s">
        <v>71</v>
      </c>
      <c r="R56" s="171"/>
      <c r="S56" s="171">
        <v>5000</v>
      </c>
      <c r="T56" s="105"/>
    </row>
    <row r="57" spans="3:20" x14ac:dyDescent="0.25">
      <c r="E57" s="62" t="s">
        <v>12</v>
      </c>
      <c r="F57" s="63"/>
      <c r="G57" s="63" t="s">
        <v>13</v>
      </c>
      <c r="H57" s="64"/>
      <c r="I57" s="62" t="s">
        <v>36</v>
      </c>
      <c r="J57" s="64" t="s">
        <v>35</v>
      </c>
      <c r="K57" s="20"/>
      <c r="L57" s="7"/>
      <c r="M57" s="7"/>
      <c r="N57" s="7"/>
      <c r="O57" s="7"/>
      <c r="P57" s="7"/>
      <c r="Q57" s="20"/>
    </row>
    <row r="58" spans="3:20" ht="15.75" thickBot="1" x14ac:dyDescent="0.3">
      <c r="D58" s="34" t="s">
        <v>34</v>
      </c>
      <c r="E58" s="39" t="s">
        <v>6</v>
      </c>
      <c r="F58" s="40" t="s">
        <v>7</v>
      </c>
      <c r="G58" s="77" t="s">
        <v>6</v>
      </c>
      <c r="H58" s="78" t="s">
        <v>7</v>
      </c>
      <c r="I58" s="42">
        <v>0</v>
      </c>
      <c r="J58" s="43"/>
      <c r="K58" s="7"/>
      <c r="L58" s="7"/>
      <c r="M58" s="7"/>
      <c r="N58" s="7" t="s">
        <v>78</v>
      </c>
      <c r="O58" s="7"/>
      <c r="P58" s="7"/>
      <c r="Q58" s="175"/>
    </row>
    <row r="59" spans="3:20" ht="15.75" thickTop="1" x14ac:dyDescent="0.25">
      <c r="D59" s="25" t="s">
        <v>39</v>
      </c>
      <c r="E59" s="44">
        <v>0</v>
      </c>
      <c r="F59" s="45">
        <v>0</v>
      </c>
      <c r="G59" s="50">
        <f t="shared" ref="G59:H62" si="12">EXP(E59/$T$5)/(EXP($F59/$T$5)+EXP($E59/$T$5))</f>
        <v>0.5</v>
      </c>
      <c r="H59" s="79">
        <f t="shared" si="12"/>
        <v>0.5</v>
      </c>
      <c r="I59" s="82">
        <f t="shared" ref="I59:I78" si="13">$T$5*LN(EXP($F59/$T$5)+EXP($E59/$T$5))</f>
        <v>0.69314718055994529</v>
      </c>
      <c r="J59" s="159">
        <f>(I59-I58)</f>
        <v>0.69314718055994529</v>
      </c>
      <c r="K59" s="7"/>
      <c r="L59" s="7"/>
      <c r="M59" s="7"/>
      <c r="N59" t="str">
        <f>IF(D59="Buyer",J59,"")</f>
        <v/>
      </c>
      <c r="P59" s="7"/>
      <c r="Q59" s="7"/>
    </row>
    <row r="60" spans="3:20" x14ac:dyDescent="0.25">
      <c r="D60" s="25" t="s">
        <v>75</v>
      </c>
      <c r="E60" s="47">
        <v>500</v>
      </c>
      <c r="F60" s="41">
        <v>503.18</v>
      </c>
      <c r="G60" s="48">
        <f t="shared" si="12"/>
        <v>3.992533395281353E-2</v>
      </c>
      <c r="H60" s="80">
        <f t="shared" si="12"/>
        <v>0.96007466604718639</v>
      </c>
      <c r="I60" s="83">
        <f t="shared" si="13"/>
        <v>503.22074422041226</v>
      </c>
      <c r="J60" s="160">
        <f>(I60-I59)</f>
        <v>502.52759703985231</v>
      </c>
      <c r="K60" s="7"/>
      <c r="L60" s="7" t="s">
        <v>73</v>
      </c>
      <c r="M60" s="7" t="s">
        <v>74</v>
      </c>
      <c r="N60" s="174">
        <f>IF(D60="Buyer",J60,"")</f>
        <v>502.52759703985231</v>
      </c>
      <c r="P60" s="7"/>
      <c r="Q60" s="7"/>
    </row>
    <row r="61" spans="3:20" x14ac:dyDescent="0.25">
      <c r="D61" s="25" t="s">
        <v>76</v>
      </c>
      <c r="E61" s="47">
        <f>IF(MOD(ROW(A61),2)=1,E60+E59,E60)</f>
        <v>500</v>
      </c>
      <c r="F61" s="41">
        <v>503.18</v>
      </c>
      <c r="G61" s="48">
        <f t="shared" si="12"/>
        <v>3.992533395281353E-2</v>
      </c>
      <c r="H61" s="80">
        <f t="shared" si="12"/>
        <v>0.96007466604718639</v>
      </c>
      <c r="I61" s="83">
        <f t="shared" si="13"/>
        <v>503.22074422041226</v>
      </c>
      <c r="J61" s="160">
        <f>(I61-I60)</f>
        <v>0</v>
      </c>
      <c r="K61" s="7"/>
      <c r="L61" s="125">
        <f>$T$5*LN($T$7/$S$7)+E61</f>
        <v>503.17805383034795</v>
      </c>
      <c r="M61" s="125">
        <f>IF( D61="Seller",((F61-F60)-J61)*$T$7,"")</f>
        <v>0</v>
      </c>
      <c r="N61" t="str">
        <f>IF(D61="Buyer",J61,"")</f>
        <v/>
      </c>
      <c r="P61" s="165"/>
      <c r="Q61" s="7" t="s">
        <v>87</v>
      </c>
      <c r="R61" s="167"/>
    </row>
    <row r="62" spans="3:20" x14ac:dyDescent="0.25">
      <c r="C62" t="s">
        <v>86</v>
      </c>
      <c r="D62" s="25" t="s">
        <v>75</v>
      </c>
      <c r="E62" s="47">
        <v>510</v>
      </c>
      <c r="F62" s="164">
        <f>F61</f>
        <v>503.18</v>
      </c>
      <c r="G62" s="48">
        <f t="shared" si="12"/>
        <v>0.99890946963253902</v>
      </c>
      <c r="H62" s="80">
        <f t="shared" si="12"/>
        <v>1.0905303674609804E-3</v>
      </c>
      <c r="I62" s="83">
        <f t="shared" si="13"/>
        <v>510.00109112542839</v>
      </c>
      <c r="J62" s="160">
        <f t="shared" ref="J62:J77" si="14">(I62-I61)</f>
        <v>6.7803469050161311</v>
      </c>
      <c r="K62" s="7"/>
      <c r="L62" s="125">
        <f>$T$5*LN($T$7/$S$7)+E62</f>
        <v>513.17805383034795</v>
      </c>
      <c r="M62" s="125" t="str">
        <f t="shared" ref="M62" si="15">IF( D62="Seller",((F62-F61)-J62)*$T$7,"")</f>
        <v/>
      </c>
      <c r="N62">
        <f>IF(D62="Buyer",J62,"")</f>
        <v>6.7803469050161311</v>
      </c>
      <c r="P62" s="7"/>
      <c r="Q62" s="7"/>
    </row>
    <row r="63" spans="3:20" x14ac:dyDescent="0.25">
      <c r="D63" s="25" t="s">
        <v>76</v>
      </c>
      <c r="E63" s="47">
        <v>510</v>
      </c>
      <c r="F63" s="164">
        <v>0</v>
      </c>
      <c r="G63" s="48">
        <f t="shared" ref="G63:G77" si="16">EXP(E63/$T$5)/(EXP($F63/$T$5)+EXP($E63/$T$5))</f>
        <v>1</v>
      </c>
      <c r="H63" s="80">
        <f t="shared" ref="H63:H77" si="17">EXP(F63/$T$5)/(EXP($F63/$T$5)+EXP($E63/$T$5))</f>
        <v>3.2345526845351109E-222</v>
      </c>
      <c r="I63" s="83">
        <f t="shared" si="13"/>
        <v>510</v>
      </c>
      <c r="J63" s="160">
        <f>(I63-I62)</f>
        <v>-1.0911254283882954E-3</v>
      </c>
      <c r="K63" s="7"/>
      <c r="L63" s="125">
        <f t="shared" ref="L63:L76" si="18">$T$5*LN($T$7/$S$7)+E63</f>
        <v>513.17805383034795</v>
      </c>
      <c r="M63" s="125">
        <f>IF( D63="Seller",((F63-F62)-J63)*$T$7,"")</f>
        <v>-483.05175251958872</v>
      </c>
      <c r="N63" t="str">
        <f t="shared" ref="N63:N69" si="19">IF(D63="Buyer",J63,"")</f>
        <v/>
      </c>
      <c r="O63" s="7"/>
      <c r="P63" s="7"/>
      <c r="Q63" s="7" t="s">
        <v>96</v>
      </c>
    </row>
    <row r="64" spans="3:20" x14ac:dyDescent="0.25">
      <c r="D64" s="25" t="s">
        <v>75</v>
      </c>
      <c r="E64" s="47"/>
      <c r="F64" s="164"/>
      <c r="G64" s="48">
        <f t="shared" si="16"/>
        <v>0.5</v>
      </c>
      <c r="H64" s="80">
        <f t="shared" si="17"/>
        <v>0.5</v>
      </c>
      <c r="I64" s="83">
        <f t="shared" si="13"/>
        <v>0.69314718055994529</v>
      </c>
      <c r="J64" s="160">
        <f t="shared" si="14"/>
        <v>-509.30685281944005</v>
      </c>
      <c r="K64" s="7"/>
      <c r="L64" s="125">
        <f t="shared" si="18"/>
        <v>3.1780538303479458</v>
      </c>
      <c r="M64" s="125" t="str">
        <f t="shared" ref="M64" si="20">IF( D64="Seller",((F64-F63)-J64)*$T$7,"")</f>
        <v/>
      </c>
      <c r="N64">
        <f t="shared" si="19"/>
        <v>-509.30685281944005</v>
      </c>
      <c r="O64" s="7"/>
      <c r="P64" s="7"/>
      <c r="Q64" s="7"/>
    </row>
    <row r="65" spans="4:17" x14ac:dyDescent="0.25">
      <c r="D65" s="25" t="s">
        <v>76</v>
      </c>
      <c r="E65" s="47"/>
      <c r="F65" s="164"/>
      <c r="G65" s="48">
        <f t="shared" si="16"/>
        <v>0.5</v>
      </c>
      <c r="H65" s="80">
        <f t="shared" si="17"/>
        <v>0.5</v>
      </c>
      <c r="I65" s="83">
        <f t="shared" si="13"/>
        <v>0.69314718055994529</v>
      </c>
      <c r="J65" s="160">
        <f t="shared" si="14"/>
        <v>0</v>
      </c>
      <c r="K65" s="7"/>
      <c r="L65" s="125">
        <f t="shared" si="18"/>
        <v>3.1780538303479458</v>
      </c>
      <c r="M65" s="125">
        <f>IF( D65="Seller",((F65-F64)-J65)*$T$7,"")</f>
        <v>0</v>
      </c>
      <c r="N65" t="str">
        <f t="shared" si="19"/>
        <v/>
      </c>
      <c r="O65" s="7"/>
      <c r="P65" s="7"/>
      <c r="Q65" s="7" t="s">
        <v>94</v>
      </c>
    </row>
    <row r="66" spans="4:17" x14ac:dyDescent="0.25">
      <c r="D66" s="25" t="s">
        <v>75</v>
      </c>
      <c r="E66" s="47"/>
      <c r="F66" s="164"/>
      <c r="G66" s="48">
        <f t="shared" si="16"/>
        <v>0.5</v>
      </c>
      <c r="H66" s="80">
        <f t="shared" si="17"/>
        <v>0.5</v>
      </c>
      <c r="I66" s="83">
        <f t="shared" si="13"/>
        <v>0.69314718055994529</v>
      </c>
      <c r="J66" s="160">
        <f t="shared" si="14"/>
        <v>0</v>
      </c>
      <c r="K66" s="7"/>
      <c r="L66" s="125">
        <f t="shared" si="18"/>
        <v>3.1780538303479458</v>
      </c>
      <c r="M66" s="125" t="str">
        <f t="shared" ref="M66" si="21">IF( D66="Seller",((F66-F65)-J66)*$T$7,"")</f>
        <v/>
      </c>
      <c r="N66">
        <f t="shared" si="19"/>
        <v>0</v>
      </c>
      <c r="O66" s="7"/>
      <c r="P66" s="7"/>
      <c r="Q66" s="8" t="s">
        <v>95</v>
      </c>
    </row>
    <row r="67" spans="4:17" x14ac:dyDescent="0.25">
      <c r="D67" s="25" t="s">
        <v>76</v>
      </c>
      <c r="E67" s="47"/>
      <c r="F67" s="164"/>
      <c r="G67" s="48">
        <f t="shared" si="16"/>
        <v>0.5</v>
      </c>
      <c r="H67" s="80">
        <f t="shared" si="17"/>
        <v>0.5</v>
      </c>
      <c r="I67" s="83">
        <f t="shared" si="13"/>
        <v>0.69314718055994529</v>
      </c>
      <c r="J67" s="160">
        <f t="shared" si="14"/>
        <v>0</v>
      </c>
      <c r="K67" s="7"/>
      <c r="L67" s="125">
        <f t="shared" si="18"/>
        <v>3.1780538303479458</v>
      </c>
      <c r="M67" s="125">
        <f>IF( D67="Seller",((F67-F66)-J67)*$T$7,"")</f>
        <v>0</v>
      </c>
      <c r="N67" t="str">
        <f t="shared" si="19"/>
        <v/>
      </c>
      <c r="O67" s="7"/>
      <c r="P67" s="7"/>
      <c r="Q67" s="8" t="s">
        <v>92</v>
      </c>
    </row>
    <row r="68" spans="4:17" x14ac:dyDescent="0.25">
      <c r="D68" s="25" t="s">
        <v>75</v>
      </c>
      <c r="E68" s="47"/>
      <c r="F68" s="164"/>
      <c r="G68" s="48">
        <f t="shared" si="16"/>
        <v>0.5</v>
      </c>
      <c r="H68" s="80">
        <f t="shared" si="17"/>
        <v>0.5</v>
      </c>
      <c r="I68" s="83">
        <f t="shared" si="13"/>
        <v>0.69314718055994529</v>
      </c>
      <c r="J68" s="160">
        <f t="shared" si="14"/>
        <v>0</v>
      </c>
      <c r="K68" s="7"/>
      <c r="L68" s="125">
        <f t="shared" si="18"/>
        <v>3.1780538303479458</v>
      </c>
      <c r="M68" s="125" t="str">
        <f t="shared" ref="M68:M74" si="22">IF( D68="Seller",((F68-F67)-J68)*$T$7,"")</f>
        <v/>
      </c>
      <c r="N68">
        <f t="shared" si="19"/>
        <v>0</v>
      </c>
      <c r="O68" s="7"/>
      <c r="P68" s="7"/>
      <c r="Q68" s="8" t="s">
        <v>93</v>
      </c>
    </row>
    <row r="69" spans="4:17" x14ac:dyDescent="0.25">
      <c r="D69" s="25" t="s">
        <v>76</v>
      </c>
      <c r="E69" s="47"/>
      <c r="F69" s="164"/>
      <c r="G69" s="48">
        <f t="shared" si="16"/>
        <v>0.5</v>
      </c>
      <c r="H69" s="80">
        <f t="shared" si="17"/>
        <v>0.5</v>
      </c>
      <c r="I69" s="83">
        <f t="shared" si="13"/>
        <v>0.69314718055994529</v>
      </c>
      <c r="J69" s="160">
        <f t="shared" si="14"/>
        <v>0</v>
      </c>
      <c r="K69" s="7"/>
      <c r="L69" s="125">
        <f t="shared" si="18"/>
        <v>3.1780538303479458</v>
      </c>
      <c r="M69" s="125">
        <f t="shared" si="22"/>
        <v>0</v>
      </c>
      <c r="N69" t="str">
        <f t="shared" si="19"/>
        <v/>
      </c>
      <c r="O69" s="7"/>
      <c r="P69" s="7"/>
      <c r="Q69" s="7"/>
    </row>
    <row r="70" spans="4:17" x14ac:dyDescent="0.25">
      <c r="D70" s="25" t="s">
        <v>75</v>
      </c>
      <c r="E70" s="47"/>
      <c r="F70" s="164"/>
      <c r="G70" s="48">
        <f t="shared" si="16"/>
        <v>0.5</v>
      </c>
      <c r="H70" s="80">
        <f t="shared" si="17"/>
        <v>0.5</v>
      </c>
      <c r="I70" s="83">
        <f t="shared" si="13"/>
        <v>0.69314718055994529</v>
      </c>
      <c r="J70" s="160">
        <f t="shared" si="14"/>
        <v>0</v>
      </c>
      <c r="K70" s="7"/>
      <c r="L70" s="125">
        <f t="shared" si="18"/>
        <v>3.1780538303479458</v>
      </c>
      <c r="M70" s="125" t="str">
        <f t="shared" si="22"/>
        <v/>
      </c>
      <c r="N70">
        <f>IF(D70="Buyer",J70,"")</f>
        <v>0</v>
      </c>
      <c r="O70" s="7"/>
      <c r="P70" s="7"/>
      <c r="Q70" s="7"/>
    </row>
    <row r="71" spans="4:17" x14ac:dyDescent="0.25">
      <c r="D71" s="25" t="s">
        <v>76</v>
      </c>
      <c r="E71" s="47"/>
      <c r="F71" s="164"/>
      <c r="G71" s="48">
        <f t="shared" si="16"/>
        <v>0.5</v>
      </c>
      <c r="H71" s="80">
        <f t="shared" si="17"/>
        <v>0.5</v>
      </c>
      <c r="I71" s="83">
        <f t="shared" si="13"/>
        <v>0.69314718055994529</v>
      </c>
      <c r="J71" s="160">
        <f t="shared" si="14"/>
        <v>0</v>
      </c>
      <c r="K71" s="7"/>
      <c r="L71" s="125">
        <f t="shared" si="18"/>
        <v>3.1780538303479458</v>
      </c>
      <c r="M71" s="125">
        <f t="shared" si="22"/>
        <v>0</v>
      </c>
      <c r="N71" t="str">
        <f>IF(D71="Buyer",J71,"")</f>
        <v/>
      </c>
      <c r="O71" s="7"/>
      <c r="P71" s="7"/>
      <c r="Q71" s="7"/>
    </row>
    <row r="72" spans="4:17" x14ac:dyDescent="0.25">
      <c r="D72" s="25" t="s">
        <v>75</v>
      </c>
      <c r="E72" s="47"/>
      <c r="F72" s="164"/>
      <c r="G72" s="48">
        <f t="shared" si="16"/>
        <v>0.5</v>
      </c>
      <c r="H72" s="80">
        <f t="shared" si="17"/>
        <v>0.5</v>
      </c>
      <c r="I72" s="83">
        <f t="shared" si="13"/>
        <v>0.69314718055994529</v>
      </c>
      <c r="J72" s="160">
        <f t="shared" si="14"/>
        <v>0</v>
      </c>
      <c r="K72" s="7"/>
      <c r="L72" s="125">
        <f t="shared" si="18"/>
        <v>3.1780538303479458</v>
      </c>
      <c r="M72" s="125" t="str">
        <f t="shared" si="22"/>
        <v/>
      </c>
      <c r="N72">
        <f t="shared" ref="N72:N77" si="23">IF(D72="Buyer",J72,"")</f>
        <v>0</v>
      </c>
      <c r="O72" s="7"/>
      <c r="P72" s="7"/>
      <c r="Q72" s="7"/>
    </row>
    <row r="73" spans="4:17" x14ac:dyDescent="0.25">
      <c r="D73" s="25" t="s">
        <v>76</v>
      </c>
      <c r="E73" s="47"/>
      <c r="F73" s="164"/>
      <c r="G73" s="48">
        <f t="shared" si="16"/>
        <v>0.5</v>
      </c>
      <c r="H73" s="80">
        <f t="shared" si="17"/>
        <v>0.5</v>
      </c>
      <c r="I73" s="83">
        <f t="shared" si="13"/>
        <v>0.69314718055994529</v>
      </c>
      <c r="J73" s="160">
        <f t="shared" si="14"/>
        <v>0</v>
      </c>
      <c r="K73" s="7"/>
      <c r="L73" s="125">
        <f t="shared" si="18"/>
        <v>3.1780538303479458</v>
      </c>
      <c r="M73" s="125">
        <f t="shared" si="22"/>
        <v>0</v>
      </c>
      <c r="N73" t="str">
        <f t="shared" si="23"/>
        <v/>
      </c>
      <c r="O73" s="7"/>
      <c r="P73" s="7"/>
      <c r="Q73" s="7"/>
    </row>
    <row r="74" spans="4:17" x14ac:dyDescent="0.25">
      <c r="D74" s="25" t="s">
        <v>75</v>
      </c>
      <c r="E74" s="47"/>
      <c r="F74" s="164"/>
      <c r="G74" s="48">
        <f t="shared" si="16"/>
        <v>0.5</v>
      </c>
      <c r="H74" s="80">
        <f t="shared" si="17"/>
        <v>0.5</v>
      </c>
      <c r="I74" s="83">
        <f t="shared" si="13"/>
        <v>0.69314718055994529</v>
      </c>
      <c r="J74" s="160">
        <f t="shared" si="14"/>
        <v>0</v>
      </c>
      <c r="K74" s="7"/>
      <c r="L74" s="125">
        <f t="shared" si="18"/>
        <v>3.1780538303479458</v>
      </c>
      <c r="M74" s="125" t="str">
        <f t="shared" si="22"/>
        <v/>
      </c>
      <c r="N74">
        <f t="shared" si="23"/>
        <v>0</v>
      </c>
      <c r="O74" s="7"/>
      <c r="P74" s="7"/>
      <c r="Q74" s="7"/>
    </row>
    <row r="75" spans="4:17" x14ac:dyDescent="0.25">
      <c r="D75" s="25" t="s">
        <v>76</v>
      </c>
      <c r="E75" s="47"/>
      <c r="F75" s="164"/>
      <c r="G75" s="48">
        <f t="shared" si="16"/>
        <v>0.5</v>
      </c>
      <c r="H75" s="80">
        <f t="shared" si="17"/>
        <v>0.5</v>
      </c>
      <c r="I75" s="83">
        <f t="shared" si="13"/>
        <v>0.69314718055994529</v>
      </c>
      <c r="J75" s="160">
        <f t="shared" si="14"/>
        <v>0</v>
      </c>
      <c r="K75" s="7"/>
      <c r="L75" s="125">
        <f t="shared" si="18"/>
        <v>3.1780538303479458</v>
      </c>
      <c r="M75" s="125">
        <f>IF( D75="Seller",((F75-F74)-J75)*$T$7,"")</f>
        <v>0</v>
      </c>
      <c r="N75" t="str">
        <f t="shared" si="23"/>
        <v/>
      </c>
      <c r="O75" s="7"/>
      <c r="P75" s="7"/>
      <c r="Q75" s="7"/>
    </row>
    <row r="76" spans="4:17" x14ac:dyDescent="0.25">
      <c r="D76" s="21" t="s">
        <v>77</v>
      </c>
      <c r="E76" s="47"/>
      <c r="F76" s="164"/>
      <c r="G76" s="48">
        <f t="shared" si="16"/>
        <v>0.5</v>
      </c>
      <c r="H76" s="80">
        <f t="shared" si="17"/>
        <v>0.5</v>
      </c>
      <c r="I76" s="83">
        <f t="shared" si="13"/>
        <v>0.69314718055994529</v>
      </c>
      <c r="J76" s="160">
        <f t="shared" si="14"/>
        <v>0</v>
      </c>
      <c r="K76" s="7"/>
      <c r="L76" s="125">
        <f t="shared" si="18"/>
        <v>3.1780538303479458</v>
      </c>
      <c r="M76" s="125" t="str">
        <f t="shared" ref="M76:M77" si="24">IF( D76="Seller",((F76-F75)-J76)*$T$7,"")</f>
        <v/>
      </c>
      <c r="N76" t="str">
        <f t="shared" si="23"/>
        <v/>
      </c>
      <c r="O76" s="7"/>
      <c r="P76" s="7"/>
      <c r="Q76" s="7"/>
    </row>
    <row r="77" spans="4:17" ht="15.75" thickBot="1" x14ac:dyDescent="0.3">
      <c r="D77" s="25" t="s">
        <v>38</v>
      </c>
      <c r="E77" s="47"/>
      <c r="F77" s="166"/>
      <c r="G77" s="48">
        <f t="shared" si="16"/>
        <v>0.5</v>
      </c>
      <c r="H77" s="80">
        <f t="shared" si="17"/>
        <v>0.5</v>
      </c>
      <c r="I77" s="115">
        <f t="shared" si="13"/>
        <v>0.69314718055994529</v>
      </c>
      <c r="J77" s="161">
        <f t="shared" si="14"/>
        <v>0</v>
      </c>
      <c r="K77" s="7"/>
      <c r="L77" s="125">
        <f>$T$5*LN($T$7/$S$7)+E77</f>
        <v>3.1780538303479458</v>
      </c>
      <c r="M77" s="125" t="str">
        <f t="shared" si="24"/>
        <v/>
      </c>
      <c r="N77" t="str">
        <f t="shared" si="23"/>
        <v/>
      </c>
      <c r="O77" s="7"/>
      <c r="P77" s="7"/>
      <c r="Q77" s="7"/>
    </row>
    <row r="78" spans="4:17" ht="16.5" thickTop="1" thickBot="1" x14ac:dyDescent="0.3">
      <c r="D78" s="25" t="s">
        <v>0</v>
      </c>
      <c r="E78" s="51">
        <f>E77</f>
        <v>0</v>
      </c>
      <c r="F78" s="168">
        <f>F77</f>
        <v>0</v>
      </c>
      <c r="G78" s="53">
        <f>EXP(E78)/(EXP($F78)+EXP($E78))</f>
        <v>0.5</v>
      </c>
      <c r="H78" s="81">
        <f>EXP(F78)/(EXP($F78)+EXP($E78))</f>
        <v>0.5</v>
      </c>
      <c r="I78" s="84">
        <f t="shared" si="13"/>
        <v>0.69314718055994529</v>
      </c>
      <c r="J78" s="162">
        <f>SUM(J59:J77)</f>
        <v>0.69314718055994717</v>
      </c>
      <c r="K78" s="8" t="s">
        <v>43</v>
      </c>
      <c r="L78" s="7"/>
      <c r="M78" s="7"/>
      <c r="N78" s="7"/>
      <c r="O78" s="7"/>
      <c r="P78" s="7"/>
      <c r="Q78" s="8"/>
    </row>
    <row r="79" spans="4:17" ht="15.75" thickBot="1" x14ac:dyDescent="0.3">
      <c r="E79" s="33"/>
      <c r="F79" s="33"/>
      <c r="G79" s="33"/>
      <c r="H79" s="33"/>
      <c r="I79" s="114">
        <v>0</v>
      </c>
      <c r="J79" s="163">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7" t="s">
        <v>5</v>
      </c>
      <c r="G3" s="98">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9">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9">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9">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9">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100">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100">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100">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100">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1">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2">
        <f t="shared" si="7"/>
        <v>0</v>
      </c>
      <c r="O20" s="103"/>
    </row>
    <row r="21" spans="2:15" x14ac:dyDescent="0.25">
      <c r="B21">
        <v>4</v>
      </c>
      <c r="C21">
        <v>0</v>
      </c>
      <c r="D21">
        <v>0</v>
      </c>
      <c r="E21">
        <v>0</v>
      </c>
      <c r="F21">
        <v>0</v>
      </c>
      <c r="H21">
        <f t="shared" si="5"/>
        <v>0.25</v>
      </c>
      <c r="I21">
        <f t="shared" si="4"/>
        <v>0.25</v>
      </c>
      <c r="J21">
        <f t="shared" si="4"/>
        <v>0.25</v>
      </c>
      <c r="K21">
        <f t="shared" si="4"/>
        <v>0.25</v>
      </c>
      <c r="M21">
        <f t="shared" si="6"/>
        <v>1.3862943611198906</v>
      </c>
      <c r="N21" s="102">
        <f>IFERROR(M21-M20,M21)</f>
        <v>0</v>
      </c>
      <c r="O21" s="103"/>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4">
        <f>IFERROR(M22-M21,M22)</f>
        <v>4.7588993621274769</v>
      </c>
      <c r="O22" s="105">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6">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7">
        <f>IFERROR(M24-M23,M24)</f>
        <v>0</v>
      </c>
      <c r="O24" s="103"/>
    </row>
    <row r="25" spans="2:15" x14ac:dyDescent="0.25">
      <c r="B25">
        <v>8</v>
      </c>
      <c r="C25">
        <v>0</v>
      </c>
      <c r="D25">
        <v>0</v>
      </c>
      <c r="E25">
        <v>0</v>
      </c>
      <c r="F25">
        <v>0</v>
      </c>
      <c r="H25">
        <f t="shared" si="5"/>
        <v>0.25</v>
      </c>
      <c r="I25">
        <f t="shared" si="4"/>
        <v>0.25</v>
      </c>
      <c r="J25">
        <f t="shared" si="4"/>
        <v>0.25</v>
      </c>
      <c r="K25">
        <f t="shared" si="4"/>
        <v>0.25</v>
      </c>
      <c r="M25">
        <f t="shared" si="6"/>
        <v>1.3862943611198906</v>
      </c>
      <c r="N25" s="107">
        <f t="shared" si="7"/>
        <v>0</v>
      </c>
      <c r="O25" s="103"/>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8">
        <f t="shared" si="7"/>
        <v>21.213708007591752</v>
      </c>
      <c r="O26" s="105">
        <f>SUM(N23:N26)</f>
        <v>16.454808645464276</v>
      </c>
    </row>
    <row r="29" spans="2:15" ht="15.75" thickBot="1" x14ac:dyDescent="0.3"/>
    <row r="30" spans="2:15" ht="15.75" thickBot="1" x14ac:dyDescent="0.3">
      <c r="F30" s="97" t="s">
        <v>5</v>
      </c>
      <c r="G30" s="98">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9">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9">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9">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9">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100">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100">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100">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100">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9">
        <v>11</v>
      </c>
      <c r="C43" s="110">
        <v>30</v>
      </c>
      <c r="D43" s="110">
        <v>0</v>
      </c>
      <c r="E43" s="110">
        <v>0</v>
      </c>
      <c r="F43" s="110">
        <v>0</v>
      </c>
      <c r="G43" s="111"/>
      <c r="H43" s="111">
        <f t="shared" si="9"/>
        <v>0.9926186332070156</v>
      </c>
      <c r="I43" s="111">
        <f t="shared" si="8"/>
        <v>2.4604555976614757E-3</v>
      </c>
      <c r="J43" s="111">
        <f t="shared" si="8"/>
        <v>2.4604555976614757E-3</v>
      </c>
      <c r="K43" s="111">
        <f t="shared" si="8"/>
        <v>2.4604555976614757E-3</v>
      </c>
      <c r="L43" s="111"/>
      <c r="M43" s="111">
        <f t="shared" si="10"/>
        <v>6.007408743884282</v>
      </c>
      <c r="N43" s="112">
        <f t="shared" si="11"/>
        <v>-0.12240619627777782</v>
      </c>
      <c r="O43" s="98"/>
      <c r="Q43" s="109">
        <f>SUM($N$33:N43)</f>
        <v>30.037043719421405</v>
      </c>
      <c r="R43" s="109">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3">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3">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3">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3">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3">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3">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3">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3">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3">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3">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3">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3">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3">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3">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3">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3">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3">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3">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3">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3">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3">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3">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3">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3">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3">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3">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3">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3">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3">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3">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Sztorc, Paul</cp:lastModifiedBy>
  <dcterms:created xsi:type="dcterms:W3CDTF">2013-11-06T14:19:02Z</dcterms:created>
  <dcterms:modified xsi:type="dcterms:W3CDTF">2014-05-16T21:11:47Z</dcterms:modified>
</cp:coreProperties>
</file>