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975"/>
  </bookViews>
  <sheets>
    <sheet name="HLMSR" sheetId="6" r:id="rId1"/>
    <sheet name="2x2 (Pr)" sheetId="5" r:id="rId2"/>
  </sheets>
  <calcPr calcId="145621"/>
</workbook>
</file>

<file path=xl/calcChain.xml><?xml version="1.0" encoding="utf-8"?>
<calcChain xmlns="http://schemas.openxmlformats.org/spreadsheetml/2006/main">
  <c r="M26" i="6" l="1"/>
  <c r="K21" i="6"/>
  <c r="M27" i="6"/>
  <c r="P28" i="6"/>
  <c r="E28" i="6" s="1"/>
  <c r="L10" i="6"/>
  <c r="E10" i="6" s="1"/>
  <c r="I8" i="6"/>
  <c r="K3" i="6" s="1"/>
  <c r="G8" i="6"/>
  <c r="I14" i="6"/>
  <c r="I13" i="6"/>
  <c r="J14" i="6" l="1"/>
  <c r="I12" i="6"/>
  <c r="H14" i="6"/>
  <c r="G14" i="6"/>
  <c r="H13" i="6"/>
  <c r="G13" i="6"/>
  <c r="H12" i="6"/>
  <c r="G12" i="6"/>
  <c r="I11" i="6"/>
  <c r="H11" i="6"/>
  <c r="G11" i="6"/>
  <c r="I10" i="6"/>
  <c r="H10" i="6"/>
  <c r="G10" i="6"/>
  <c r="N10" i="6" s="1"/>
  <c r="I9" i="6"/>
  <c r="J9" i="6" s="1"/>
  <c r="H9" i="6"/>
  <c r="G9" i="6"/>
  <c r="I3" i="6"/>
  <c r="J8" i="6"/>
  <c r="H8" i="6"/>
  <c r="I26" i="6"/>
  <c r="F15" i="6"/>
  <c r="E15" i="6"/>
  <c r="H33" i="6"/>
  <c r="G33" i="6"/>
  <c r="F33" i="6"/>
  <c r="E33" i="6"/>
  <c r="M32" i="6"/>
  <c r="L32" i="6"/>
  <c r="K32" i="6"/>
  <c r="J32" i="6"/>
  <c r="I32" i="6"/>
  <c r="M31" i="6"/>
  <c r="L31" i="6"/>
  <c r="K31" i="6"/>
  <c r="J31" i="6"/>
  <c r="I31" i="6"/>
  <c r="M30" i="6"/>
  <c r="L30" i="6"/>
  <c r="K30" i="6"/>
  <c r="J30" i="6"/>
  <c r="I30" i="6"/>
  <c r="M29" i="6"/>
  <c r="L29" i="6"/>
  <c r="K29" i="6"/>
  <c r="J29" i="6"/>
  <c r="I29" i="6"/>
  <c r="M28" i="6"/>
  <c r="L28" i="6"/>
  <c r="K28" i="6"/>
  <c r="J28" i="6"/>
  <c r="I28" i="6"/>
  <c r="R28" i="6" s="1"/>
  <c r="L27" i="6"/>
  <c r="K27" i="6"/>
  <c r="J27" i="6"/>
  <c r="I27" i="6"/>
  <c r="N26" i="6"/>
  <c r="L26" i="6"/>
  <c r="K26" i="6"/>
  <c r="J26" i="6"/>
  <c r="I21" i="6"/>
  <c r="V9" i="5"/>
  <c r="V8" i="5"/>
  <c r="V6" i="5"/>
  <c r="O25" i="5"/>
  <c r="O26" i="5"/>
  <c r="R19" i="5"/>
  <c r="N31" i="6" l="1"/>
  <c r="H15" i="6"/>
  <c r="I15" i="6"/>
  <c r="M33" i="6"/>
  <c r="J11" i="6"/>
  <c r="J12" i="6"/>
  <c r="J10" i="6"/>
  <c r="G15" i="6"/>
  <c r="J13" i="6"/>
  <c r="J33" i="6"/>
  <c r="N27" i="6"/>
  <c r="K33" i="6"/>
  <c r="N29" i="6"/>
  <c r="N32" i="6"/>
  <c r="L33" i="6"/>
  <c r="N28" i="6"/>
  <c r="N30" i="6"/>
  <c r="I33" i="6"/>
  <c r="N33" i="6" l="1"/>
  <c r="N34" i="6" s="1"/>
  <c r="J15" i="6"/>
  <c r="J16" i="6" s="1"/>
  <c r="F20" i="5"/>
  <c r="G17" i="5"/>
  <c r="S15" i="5"/>
  <c r="J15" i="5"/>
  <c r="H15" i="5"/>
  <c r="F15" i="5"/>
  <c r="S14" i="5"/>
  <c r="J14" i="5"/>
  <c r="H14" i="5"/>
  <c r="F14" i="5"/>
  <c r="S13" i="5"/>
  <c r="J13" i="5"/>
  <c r="H13" i="5"/>
  <c r="F13" i="5"/>
  <c r="S12" i="5"/>
  <c r="J12" i="5"/>
  <c r="H12" i="5"/>
  <c r="F12" i="5"/>
  <c r="C12" i="5"/>
  <c r="S11" i="5"/>
  <c r="J11" i="5"/>
  <c r="H11" i="5"/>
  <c r="F11" i="5"/>
  <c r="C11" i="5"/>
  <c r="S10" i="5"/>
  <c r="J10" i="5"/>
  <c r="H10" i="5"/>
  <c r="F10" i="5"/>
  <c r="C10" i="5"/>
  <c r="S9" i="5"/>
  <c r="J9" i="5"/>
  <c r="H9" i="5"/>
  <c r="F9" i="5"/>
  <c r="C9" i="5"/>
  <c r="S8" i="5"/>
  <c r="J8" i="5"/>
  <c r="H8" i="5"/>
  <c r="F8" i="5"/>
  <c r="S7" i="5"/>
  <c r="J7" i="5"/>
  <c r="H7" i="5"/>
  <c r="F7" i="5"/>
  <c r="S6" i="5"/>
  <c r="J6" i="5"/>
  <c r="H6" i="5"/>
  <c r="I6" i="5" s="1"/>
  <c r="F6" i="5"/>
  <c r="AF31" i="5"/>
  <c r="AJ31" i="5"/>
  <c r="I31" i="5"/>
  <c r="H31" i="5"/>
  <c r="AG31" i="5"/>
  <c r="AF30" i="5"/>
  <c r="J30" i="5"/>
  <c r="N30" i="5" s="1"/>
  <c r="AI30" i="5"/>
  <c r="AH30" i="5"/>
  <c r="G30" i="5"/>
  <c r="AF29" i="5"/>
  <c r="J29" i="5"/>
  <c r="I29" i="5"/>
  <c r="H29" i="5"/>
  <c r="AG29" i="5"/>
  <c r="AF28" i="5"/>
  <c r="AJ28" i="5"/>
  <c r="AI28" i="5"/>
  <c r="H28" i="5"/>
  <c r="G28" i="5"/>
  <c r="AF27" i="5"/>
  <c r="J27" i="5"/>
  <c r="I27" i="5"/>
  <c r="AH27" i="5"/>
  <c r="AG27" i="5"/>
  <c r="AF26" i="5"/>
  <c r="AI26" i="5"/>
  <c r="H26" i="5"/>
  <c r="G26" i="5"/>
  <c r="AF25" i="5"/>
  <c r="J25" i="5"/>
  <c r="N25" i="5" s="1"/>
  <c r="I25" i="5"/>
  <c r="M25" i="5" s="1"/>
  <c r="AH25" i="5"/>
  <c r="AG25" i="5"/>
  <c r="AJ24" i="5"/>
  <c r="AI24" i="5"/>
  <c r="AH24" i="5"/>
  <c r="AG24" i="5"/>
  <c r="AG23" i="5"/>
  <c r="AG30" i="5" l="1"/>
  <c r="I12" i="5"/>
  <c r="K12" i="5" s="1"/>
  <c r="AJ25" i="5"/>
  <c r="AJ27" i="5"/>
  <c r="AI29" i="5"/>
  <c r="AI31" i="5"/>
  <c r="AH26" i="5"/>
  <c r="AH28" i="5"/>
  <c r="C17" i="5"/>
  <c r="F17" i="5"/>
  <c r="K6" i="5"/>
  <c r="L6" i="5" s="1"/>
  <c r="C15" i="5"/>
  <c r="I8" i="5"/>
  <c r="K8" i="5" s="1"/>
  <c r="L8" i="5" s="1"/>
  <c r="O8" i="5" s="1"/>
  <c r="I9" i="5"/>
  <c r="K9" i="5" s="1"/>
  <c r="I10" i="5"/>
  <c r="K10" i="5" s="1"/>
  <c r="I11" i="5"/>
  <c r="K11" i="5" s="1"/>
  <c r="C13" i="5"/>
  <c r="D13" i="5" s="1"/>
  <c r="C14" i="5"/>
  <c r="D14" i="5" s="1"/>
  <c r="I7" i="5"/>
  <c r="K7" i="5" s="1"/>
  <c r="L7" i="5" s="1"/>
  <c r="O7" i="5" s="1"/>
  <c r="H25" i="5"/>
  <c r="L25" i="5" s="1"/>
  <c r="AJ26" i="5"/>
  <c r="J26" i="5"/>
  <c r="N26" i="5" s="1"/>
  <c r="L29" i="5"/>
  <c r="H27" i="5"/>
  <c r="L27" i="5" s="1"/>
  <c r="J28" i="5"/>
  <c r="N28" i="5" s="1"/>
  <c r="G25" i="5"/>
  <c r="K25" i="5" s="1"/>
  <c r="AI25" i="5"/>
  <c r="I26" i="5"/>
  <c r="M26" i="5" s="1"/>
  <c r="AG26" i="5"/>
  <c r="G27" i="5"/>
  <c r="K27" i="5" s="1"/>
  <c r="AI27" i="5"/>
  <c r="I28" i="5"/>
  <c r="M28" i="5" s="1"/>
  <c r="AG28" i="5"/>
  <c r="G29" i="5"/>
  <c r="K29" i="5" s="1"/>
  <c r="AH29" i="5"/>
  <c r="H30" i="5"/>
  <c r="L30" i="5" s="1"/>
  <c r="AJ30" i="5"/>
  <c r="J31" i="5"/>
  <c r="N31" i="5" s="1"/>
  <c r="AH31" i="5"/>
  <c r="AJ29" i="5"/>
  <c r="I30" i="5"/>
  <c r="M30" i="5" s="1"/>
  <c r="G31" i="5"/>
  <c r="K31" i="5" s="1"/>
  <c r="N29" i="5" l="1"/>
  <c r="S25" i="5"/>
  <c r="L26" i="5"/>
  <c r="M31" i="5"/>
  <c r="K28" i="5"/>
  <c r="L12" i="5"/>
  <c r="O12" i="5" s="1"/>
  <c r="L11" i="5"/>
  <c r="O11" i="5" s="1"/>
  <c r="O6" i="5"/>
  <c r="L10" i="5"/>
  <c r="L9" i="5"/>
  <c r="I14" i="5"/>
  <c r="K14" i="5" s="1"/>
  <c r="I15" i="5"/>
  <c r="K15" i="5" s="1"/>
  <c r="I13" i="5"/>
  <c r="K13" i="5" s="1"/>
  <c r="D15" i="5"/>
  <c r="L28" i="5"/>
  <c r="K30" i="5"/>
  <c r="O30" i="5" s="1"/>
  <c r="K26" i="5"/>
  <c r="P26" i="5" s="1"/>
  <c r="M27" i="5"/>
  <c r="N27" i="5"/>
  <c r="M29" i="5"/>
  <c r="L31" i="5"/>
  <c r="O29" i="5" l="1"/>
  <c r="R29" i="5" s="1"/>
  <c r="AD29" i="5" s="1"/>
  <c r="R25" i="5"/>
  <c r="P25" i="5"/>
  <c r="Q25" i="5"/>
  <c r="O31" i="5"/>
  <c r="P31" i="5" s="1"/>
  <c r="AB31" i="5" s="1"/>
  <c r="Q26" i="5"/>
  <c r="AC26" i="5" s="1"/>
  <c r="O28" i="5"/>
  <c r="Q28" i="5" s="1"/>
  <c r="AC28" i="5" s="1"/>
  <c r="O27" i="5"/>
  <c r="S27" i="5" s="1"/>
  <c r="AE27" i="5" s="1"/>
  <c r="M14" i="5"/>
  <c r="P14" i="5" s="1"/>
  <c r="O10" i="5"/>
  <c r="L15" i="5"/>
  <c r="O15" i="5" s="1"/>
  <c r="M13" i="5"/>
  <c r="D12" i="5"/>
  <c r="E12" i="5" s="1"/>
  <c r="N12" i="5" s="1"/>
  <c r="Q12" i="5" s="1"/>
  <c r="D11" i="5"/>
  <c r="D10" i="5"/>
  <c r="E10" i="5" s="1"/>
  <c r="D9" i="5"/>
  <c r="E9" i="5" s="1"/>
  <c r="M15" i="5"/>
  <c r="P15" i="5" s="1"/>
  <c r="O9" i="5"/>
  <c r="L14" i="5"/>
  <c r="O14" i="5" s="1"/>
  <c r="L13" i="5"/>
  <c r="O13" i="5" s="1"/>
  <c r="L17" i="5"/>
  <c r="S30" i="5"/>
  <c r="AE30" i="5" s="1"/>
  <c r="Q30" i="5"/>
  <c r="AC30" i="5" s="1"/>
  <c r="R30" i="5"/>
  <c r="AD30" i="5" s="1"/>
  <c r="P30" i="5"/>
  <c r="AB30" i="5" s="1"/>
  <c r="Q29" i="5" l="1"/>
  <c r="AC29" i="5" s="1"/>
  <c r="S29" i="5"/>
  <c r="AE29" i="5" s="1"/>
  <c r="P29" i="5"/>
  <c r="AB29" i="5" s="1"/>
  <c r="R28" i="5"/>
  <c r="AD28" i="5" s="1"/>
  <c r="S28" i="5"/>
  <c r="AE28" i="5" s="1"/>
  <c r="P28" i="5"/>
  <c r="AB28" i="5" s="1"/>
  <c r="R31" i="5"/>
  <c r="AD31" i="5" s="1"/>
  <c r="Q31" i="5"/>
  <c r="AC31" i="5" s="1"/>
  <c r="S26" i="5"/>
  <c r="AE26" i="5" s="1"/>
  <c r="S31" i="5"/>
  <c r="AE31" i="5" s="1"/>
  <c r="O32" i="5"/>
  <c r="P27" i="5"/>
  <c r="AB27" i="5" s="1"/>
  <c r="R26" i="5"/>
  <c r="AD26" i="5" s="1"/>
  <c r="R27" i="5"/>
  <c r="AD27" i="5" s="1"/>
  <c r="AB26" i="5"/>
  <c r="Q27" i="5"/>
  <c r="AC27" i="5" s="1"/>
  <c r="P13" i="5"/>
  <c r="M12" i="5"/>
  <c r="P12" i="5" s="1"/>
  <c r="R12" i="5" s="1"/>
  <c r="U19" i="5" s="1"/>
  <c r="M11" i="5"/>
  <c r="M10" i="5"/>
  <c r="P10" i="5" s="1"/>
  <c r="M9" i="5"/>
  <c r="E11" i="5"/>
  <c r="D8" i="5"/>
  <c r="E15" i="5"/>
  <c r="N10" i="5"/>
  <c r="O17" i="5"/>
  <c r="D6" i="5"/>
  <c r="D7" i="5"/>
  <c r="D17" i="5"/>
  <c r="S32" i="5" l="1"/>
  <c r="W32" i="5" s="1"/>
  <c r="P32" i="5"/>
  <c r="T32" i="5" s="1"/>
  <c r="R32" i="5"/>
  <c r="V32" i="5" s="1"/>
  <c r="Q32" i="5"/>
  <c r="U32" i="5" s="1"/>
  <c r="M6" i="5"/>
  <c r="P6" i="5" s="1"/>
  <c r="M17" i="5"/>
  <c r="M7" i="5"/>
  <c r="P7" i="5" s="1"/>
  <c r="P9" i="5"/>
  <c r="P11" i="5"/>
  <c r="M8" i="5"/>
  <c r="P8" i="5" s="1"/>
  <c r="E7" i="5"/>
  <c r="E17" i="5"/>
  <c r="E14" i="5"/>
  <c r="E13" i="5"/>
  <c r="N9" i="5"/>
  <c r="E6" i="5"/>
  <c r="N15" i="5"/>
  <c r="Q15" i="5" s="1"/>
  <c r="R15" i="5" s="1"/>
  <c r="Q10" i="5"/>
  <c r="R10" i="5" s="1"/>
  <c r="S19" i="5" s="1"/>
  <c r="N11" i="5"/>
  <c r="E8" i="5"/>
  <c r="R6" i="5" l="1"/>
  <c r="W29" i="5"/>
  <c r="X25" i="5" s="1"/>
  <c r="N8" i="5"/>
  <c r="Q8" i="5" s="1"/>
  <c r="R8" i="5" s="1"/>
  <c r="Q11" i="5"/>
  <c r="R11" i="5" s="1"/>
  <c r="T19" i="5" s="1"/>
  <c r="N17" i="5"/>
  <c r="N7" i="5"/>
  <c r="Q7" i="5" s="1"/>
  <c r="R7" i="5" s="1"/>
  <c r="N6" i="5"/>
  <c r="Q6" i="5" s="1"/>
  <c r="N14" i="5"/>
  <c r="Q14" i="5" s="1"/>
  <c r="R14" i="5" s="1"/>
  <c r="N13" i="5"/>
  <c r="Q13" i="5" s="1"/>
  <c r="R13" i="5" s="1"/>
  <c r="Q9" i="5"/>
  <c r="P17" i="5"/>
  <c r="AA25" i="5" l="1"/>
  <c r="AA26" i="5" s="1"/>
  <c r="AA27" i="5" s="1"/>
  <c r="AA28" i="5" s="1"/>
  <c r="AA29" i="5" s="1"/>
  <c r="AA30" i="5" s="1"/>
  <c r="AA31" i="5" s="1"/>
  <c r="AA32" i="5" s="1"/>
  <c r="Z25" i="5"/>
  <c r="Z26" i="5" s="1"/>
  <c r="Z27" i="5" s="1"/>
  <c r="Z28" i="5" s="1"/>
  <c r="Z29" i="5" s="1"/>
  <c r="Z30" i="5" s="1"/>
  <c r="Z31" i="5" s="1"/>
  <c r="Z32" i="5" s="1"/>
  <c r="Y25" i="5"/>
  <c r="Y26" i="5" s="1"/>
  <c r="Y27" i="5" s="1"/>
  <c r="Y28" i="5" s="1"/>
  <c r="Y29" i="5" s="1"/>
  <c r="Y30" i="5" s="1"/>
  <c r="Y31" i="5" s="1"/>
  <c r="Y32" i="5" s="1"/>
  <c r="H21" i="5"/>
  <c r="I21" i="5"/>
  <c r="Q17" i="5"/>
  <c r="R9" i="5"/>
  <c r="X26" i="5"/>
  <c r="X27" i="5" s="1"/>
  <c r="X28" i="5" s="1"/>
  <c r="X29" i="5" s="1"/>
  <c r="X30" i="5" s="1"/>
  <c r="X31" i="5" s="1"/>
  <c r="X32" i="5" s="1"/>
</calcChain>
</file>

<file path=xl/sharedStrings.xml><?xml version="1.0" encoding="utf-8"?>
<sst xmlns="http://schemas.openxmlformats.org/spreadsheetml/2006/main" count="147" uniqueCount="73">
  <si>
    <t>Final</t>
  </si>
  <si>
    <t>Calculator</t>
  </si>
  <si>
    <t>Accounting</t>
  </si>
  <si>
    <t>Prior</t>
  </si>
  <si>
    <t>S</t>
  </si>
  <si>
    <t>Update Cost</t>
  </si>
  <si>
    <t>Max Shortfall</t>
  </si>
  <si>
    <t>Author (cumulative)</t>
  </si>
  <si>
    <t>Trader (one per line)</t>
  </si>
  <si>
    <t>Univariate</t>
  </si>
  <si>
    <t>Multivariate</t>
  </si>
  <si>
    <t>Yes</t>
  </si>
  <si>
    <t>No</t>
  </si>
  <si>
    <t>a</t>
  </si>
  <si>
    <t>b</t>
  </si>
  <si>
    <t>i=0,0</t>
  </si>
  <si>
    <t>i=0,1</t>
  </si>
  <si>
    <t>i=1,0</t>
  </si>
  <si>
    <t>i=1,1</t>
  </si>
  <si>
    <t>a=Yes</t>
  </si>
  <si>
    <t>a=No</t>
  </si>
  <si>
    <t>Shares</t>
  </si>
  <si>
    <t>Probability</t>
  </si>
  <si>
    <t>Required
Escrow</t>
  </si>
  <si>
    <t>Max(Ui)</t>
  </si>
  <si>
    <t>Ex Post
Payout</t>
  </si>
  <si>
    <t>Potential
Shortfall</t>
  </si>
  <si>
    <t>Trader 1</t>
  </si>
  <si>
    <t>Trader 2</t>
  </si>
  <si>
    <t>Trader 3</t>
  </si>
  <si>
    <t>Trader 4</t>
  </si>
  <si>
    <t>Trader 5</t>
  </si>
  <si>
    <t>Trader 6</t>
  </si>
  <si>
    <t>Final Account Balance (Payout net of funds escrowed)</t>
  </si>
  <si>
    <t>Capital</t>
  </si>
  <si>
    <t>per contract</t>
  </si>
  <si>
    <t>b|a</t>
  </si>
  <si>
    <t>a|b</t>
  </si>
  <si>
    <t>b|~a</t>
  </si>
  <si>
    <t>a|~b</t>
  </si>
  <si>
    <t>4 cases</t>
  </si>
  <si>
    <t>Side 1</t>
  </si>
  <si>
    <t>Side 2</t>
  </si>
  <si>
    <t>a &amp; b</t>
  </si>
  <si>
    <t>a &amp; ~b</t>
  </si>
  <si>
    <t>~a &amp; b</t>
  </si>
  <si>
    <t>~a &amp; ~b</t>
  </si>
  <si>
    <t>Side 3</t>
  </si>
  <si>
    <t>Old</t>
  </si>
  <si>
    <t>New</t>
  </si>
  <si>
    <t>Edit</t>
  </si>
  <si>
    <t>Net Total Adjustment</t>
  </si>
  <si>
    <t>Adj Edit</t>
  </si>
  <si>
    <t>Cat Change</t>
  </si>
  <si>
    <t>Changed</t>
  </si>
  <si>
    <t>Cat Prob</t>
  </si>
  <si>
    <t>Desc</t>
  </si>
  <si>
    <t xml:space="preserve">Update Cost
</t>
  </si>
  <si>
    <t>…in practice</t>
  </si>
  <si>
    <t>LMSR</t>
  </si>
  <si>
    <t>trading begins</t>
  </si>
  <si>
    <t>losers sell</t>
  </si>
  <si>
    <t>Prior (uniform)</t>
  </si>
  <si>
    <t>trading continues</t>
  </si>
  <si>
    <t>sale to recover funds today</t>
  </si>
  <si>
    <t>state 0,0 seems likely</t>
  </si>
  <si>
    <t>outcome (0,0) known</t>
  </si>
  <si>
    <t>Left over (theoretically zero)</t>
  </si>
  <si>
    <t># States</t>
  </si>
  <si>
    <t>Escrow Account Balance: enough to pay off the shareholders at p=$1</t>
  </si>
  <si>
    <t>&lt;- Liquidity Parameter</t>
  </si>
  <si>
    <t>Initial Capital Required to 'Make Market'</t>
  </si>
  <si>
    <t>Targeting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</si>
</sst>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%"/>
    <numFmt numFmtId="167" formatCode="0.0"/>
    <numFmt numFmtId="170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165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5" fontId="0" fillId="0" borderId="5" xfId="0" applyNumberFormat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3" xfId="0" applyFill="1" applyBorder="1"/>
    <xf numFmtId="0" fontId="0" fillId="0" borderId="4" xfId="0" applyFill="1" applyBorder="1"/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0" xfId="0" applyFill="1" applyBorder="1"/>
    <xf numFmtId="0" fontId="0" fillId="0" borderId="7" xfId="0" applyFill="1" applyBorder="1"/>
    <xf numFmtId="0" fontId="0" fillId="0" borderId="0" xfId="0" applyBorder="1" applyAlignment="1"/>
    <xf numFmtId="0" fontId="0" fillId="0" borderId="22" xfId="0" applyBorder="1"/>
    <xf numFmtId="0" fontId="0" fillId="0" borderId="2" xfId="0" applyBorder="1" applyAlignment="1">
      <alignment horizontal="right"/>
    </xf>
    <xf numFmtId="0" fontId="0" fillId="0" borderId="5" xfId="0" applyFill="1" applyBorder="1"/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3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24" xfId="1" applyNumberFormat="1" applyFont="1" applyBorder="1" applyAlignment="1">
      <alignment horizontal="center"/>
    </xf>
    <xf numFmtId="166" fontId="0" fillId="0" borderId="18" xfId="1" applyNumberFormat="1" applyFont="1" applyBorder="1" applyAlignment="1">
      <alignment horizontal="center"/>
    </xf>
    <xf numFmtId="166" fontId="0" fillId="0" borderId="25" xfId="1" applyNumberFormat="1" applyFont="1" applyBorder="1" applyAlignment="1">
      <alignment horizontal="center"/>
    </xf>
    <xf numFmtId="166" fontId="0" fillId="0" borderId="19" xfId="1" applyNumberFormat="1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16" xfId="0" applyBorder="1"/>
    <xf numFmtId="0" fontId="0" fillId="0" borderId="15" xfId="0" applyBorder="1" applyAlignment="1">
      <alignment horizontal="center"/>
    </xf>
    <xf numFmtId="165" fontId="0" fillId="0" borderId="16" xfId="0" applyNumberFormat="1" applyBorder="1"/>
    <xf numFmtId="165" fontId="0" fillId="0" borderId="17" xfId="0" applyNumberFormat="1" applyBorder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right"/>
    </xf>
    <xf numFmtId="2" fontId="0" fillId="0" borderId="0" xfId="0" applyNumberFormat="1"/>
    <xf numFmtId="165" fontId="0" fillId="0" borderId="26" xfId="0" applyNumberFormat="1" applyBorder="1"/>
    <xf numFmtId="165" fontId="0" fillId="0" borderId="15" xfId="0" applyNumberFormat="1" applyBorder="1"/>
    <xf numFmtId="0" fontId="0" fillId="0" borderId="0" xfId="0" applyAlignment="1">
      <alignment horizontal="left"/>
    </xf>
    <xf numFmtId="165" fontId="0" fillId="0" borderId="23" xfId="0" applyNumberFormat="1" applyBorder="1"/>
    <xf numFmtId="165" fontId="0" fillId="0" borderId="18" xfId="0" applyNumberFormat="1" applyBorder="1"/>
    <xf numFmtId="165" fontId="0" fillId="0" borderId="27" xfId="0" applyNumberFormat="1" applyBorder="1"/>
    <xf numFmtId="165" fontId="0" fillId="0" borderId="28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0" xfId="0" applyNumberFormat="1" applyFill="1" applyBorder="1"/>
    <xf numFmtId="2" fontId="0" fillId="0" borderId="6" xfId="0" applyNumberFormat="1" applyFill="1" applyBorder="1"/>
    <xf numFmtId="2" fontId="0" fillId="0" borderId="21" xfId="0" applyNumberFormat="1" applyBorder="1"/>
    <xf numFmtId="2" fontId="0" fillId="0" borderId="8" xfId="0" applyNumberFormat="1" applyFill="1" applyBorder="1"/>
    <xf numFmtId="2" fontId="0" fillId="0" borderId="14" xfId="0" applyNumberFormat="1" applyFill="1" applyBorder="1"/>
    <xf numFmtId="2" fontId="0" fillId="0" borderId="13" xfId="0" applyNumberFormat="1" applyFill="1" applyBorder="1"/>
    <xf numFmtId="167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/>
    <xf numFmtId="0" fontId="0" fillId="0" borderId="14" xfId="0" applyFont="1" applyBorder="1" applyAlignment="1">
      <alignment horizontal="right"/>
    </xf>
    <xf numFmtId="0" fontId="0" fillId="7" borderId="14" xfId="0" applyFill="1" applyBorder="1"/>
    <xf numFmtId="0" fontId="0" fillId="8" borderId="1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5" borderId="13" xfId="0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2" borderId="5" xfId="0" applyFill="1" applyBorder="1" applyAlignment="1"/>
    <xf numFmtId="0" fontId="0" fillId="7" borderId="14" xfId="0" applyFill="1" applyBorder="1" applyAlignment="1"/>
    <xf numFmtId="0" fontId="0" fillId="5" borderId="3" xfId="0" applyFill="1" applyBorder="1" applyAlignment="1"/>
    <xf numFmtId="0" fontId="0" fillId="3" borderId="7" xfId="0" applyFill="1" applyBorder="1" applyAlignment="1"/>
    <xf numFmtId="164" fontId="0" fillId="7" borderId="4" xfId="0" applyNumberFormat="1" applyFill="1" applyBorder="1" applyAlignment="1"/>
    <xf numFmtId="0" fontId="0" fillId="5" borderId="5" xfId="0" applyFill="1" applyBorder="1" applyAlignment="1"/>
    <xf numFmtId="166" fontId="0" fillId="5" borderId="23" xfId="1" applyNumberFormat="1" applyFont="1" applyFill="1" applyBorder="1" applyAlignment="1"/>
    <xf numFmtId="164" fontId="0" fillId="7" borderId="6" xfId="0" applyNumberFormat="1" applyFill="1" applyBorder="1" applyAlignment="1"/>
    <xf numFmtId="166" fontId="0" fillId="5" borderId="29" xfId="1" applyNumberFormat="1" applyFont="1" applyFill="1" applyBorder="1" applyAlignment="1"/>
    <xf numFmtId="164" fontId="0" fillId="7" borderId="31" xfId="0" applyNumberFormat="1" applyFill="1" applyBorder="1" applyAlignment="1"/>
    <xf numFmtId="0" fontId="0" fillId="5" borderId="18" xfId="0" applyFill="1" applyBorder="1" applyAlignment="1"/>
    <xf numFmtId="0" fontId="0" fillId="3" borderId="25" xfId="0" applyFill="1" applyBorder="1" applyAlignment="1"/>
    <xf numFmtId="166" fontId="0" fillId="5" borderId="18" xfId="1" applyNumberFormat="1" applyFont="1" applyFill="1" applyBorder="1" applyAlignment="1"/>
    <xf numFmtId="164" fontId="0" fillId="7" borderId="14" xfId="0" applyNumberFormat="1" applyFill="1" applyBorder="1" applyAlignment="1"/>
    <xf numFmtId="164" fontId="0" fillId="7" borderId="17" xfId="0" applyNumberFormat="1" applyFill="1" applyBorder="1" applyAlignment="1"/>
    <xf numFmtId="9" fontId="1" fillId="0" borderId="0" xfId="1" applyNumberFormat="1" applyFont="1" applyBorder="1" applyAlignment="1"/>
    <xf numFmtId="9" fontId="0" fillId="0" borderId="0" xfId="1" applyNumberFormat="1" applyFont="1" applyBorder="1" applyAlignment="1"/>
    <xf numFmtId="0" fontId="0" fillId="4" borderId="8" xfId="0" applyFill="1" applyBorder="1" applyAlignment="1"/>
    <xf numFmtId="0" fontId="0" fillId="6" borderId="14" xfId="0" applyFill="1" applyBorder="1" applyAlignment="1"/>
    <xf numFmtId="0" fontId="0" fillId="4" borderId="7" xfId="0" applyFill="1" applyBorder="1" applyAlignment="1"/>
    <xf numFmtId="0" fontId="0" fillId="6" borderId="4" xfId="0" applyFill="1" applyBorder="1" applyAlignment="1"/>
    <xf numFmtId="0" fontId="0" fillId="4" borderId="0" xfId="0" applyFill="1" applyBorder="1" applyAlignment="1"/>
    <xf numFmtId="0" fontId="0" fillId="6" borderId="6" xfId="0" applyFill="1" applyBorder="1" applyAlignment="1"/>
    <xf numFmtId="0" fontId="0" fillId="4" borderId="25" xfId="0" applyFill="1" applyBorder="1" applyAlignment="1"/>
    <xf numFmtId="0" fontId="0" fillId="6" borderId="19" xfId="0" applyFill="1" applyBorder="1" applyAlignment="1"/>
    <xf numFmtId="0" fontId="3" fillId="8" borderId="1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9" fontId="0" fillId="5" borderId="13" xfId="1" applyNumberFormat="1" applyFont="1" applyFill="1" applyBorder="1" applyAlignment="1"/>
    <xf numFmtId="9" fontId="0" fillId="4" borderId="8" xfId="1" applyNumberFormat="1" applyFont="1" applyFill="1" applyBorder="1" applyAlignment="1"/>
    <xf numFmtId="9" fontId="0" fillId="3" borderId="8" xfId="1" applyNumberFormat="1" applyFont="1" applyFill="1" applyBorder="1" applyAlignment="1"/>
    <xf numFmtId="9" fontId="0" fillId="6" borderId="14" xfId="1" applyNumberFormat="1" applyFont="1" applyFill="1" applyBorder="1" applyAlignment="1"/>
    <xf numFmtId="9" fontId="0" fillId="5" borderId="3" xfId="1" applyNumberFormat="1" applyFont="1" applyFill="1" applyBorder="1" applyAlignment="1"/>
    <xf numFmtId="9" fontId="0" fillId="4" borderId="7" xfId="1" applyNumberFormat="1" applyFont="1" applyFill="1" applyBorder="1" applyAlignment="1"/>
    <xf numFmtId="9" fontId="0" fillId="3" borderId="7" xfId="1" applyNumberFormat="1" applyFont="1" applyFill="1" applyBorder="1" applyAlignment="1"/>
    <xf numFmtId="9" fontId="0" fillId="6" borderId="4" xfId="1" applyNumberFormat="1" applyFont="1" applyFill="1" applyBorder="1" applyAlignment="1"/>
    <xf numFmtId="9" fontId="0" fillId="5" borderId="5" xfId="1" applyNumberFormat="1" applyFont="1" applyFill="1" applyBorder="1" applyAlignment="1"/>
    <xf numFmtId="9" fontId="0" fillId="4" borderId="0" xfId="1" applyNumberFormat="1" applyFont="1" applyFill="1" applyBorder="1" applyAlignment="1"/>
    <xf numFmtId="9" fontId="0" fillId="3" borderId="0" xfId="1" applyNumberFormat="1" applyFont="1" applyFill="1" applyBorder="1" applyAlignment="1"/>
    <xf numFmtId="9" fontId="0" fillId="6" borderId="6" xfId="1" applyNumberFormat="1" applyFont="1" applyFill="1" applyBorder="1" applyAlignment="1"/>
    <xf numFmtId="9" fontId="0" fillId="5" borderId="18" xfId="1" applyNumberFormat="1" applyFont="1" applyFill="1" applyBorder="1" applyAlignment="1"/>
    <xf numFmtId="9" fontId="0" fillId="4" borderId="25" xfId="1" applyNumberFormat="1" applyFont="1" applyFill="1" applyBorder="1" applyAlignment="1"/>
    <xf numFmtId="9" fontId="0" fillId="3" borderId="25" xfId="1" applyNumberFormat="1" applyFont="1" applyFill="1" applyBorder="1" applyAlignment="1"/>
    <xf numFmtId="9" fontId="0" fillId="6" borderId="19" xfId="1" applyNumberFormat="1" applyFont="1" applyFill="1" applyBorder="1" applyAlignment="1"/>
    <xf numFmtId="0" fontId="0" fillId="7" borderId="4" xfId="0" applyFill="1" applyBorder="1"/>
    <xf numFmtId="0" fontId="0" fillId="7" borderId="6" xfId="0" applyFill="1" applyBorder="1"/>
    <xf numFmtId="0" fontId="0" fillId="7" borderId="30" xfId="0" applyFill="1" applyBorder="1"/>
    <xf numFmtId="0" fontId="0" fillId="7" borderId="17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5" xfId="0" applyFill="1" applyBorder="1"/>
    <xf numFmtId="0" fontId="0" fillId="0" borderId="17" xfId="0" applyBorder="1" applyAlignment="1">
      <alignment horizontal="center"/>
    </xf>
    <xf numFmtId="0" fontId="0" fillId="5" borderId="8" xfId="0" applyFill="1" applyBorder="1" applyAlignment="1"/>
    <xf numFmtId="0" fontId="0" fillId="3" borderId="14" xfId="0" applyFill="1" applyBorder="1" applyAlignment="1"/>
    <xf numFmtId="166" fontId="0" fillId="3" borderId="7" xfId="1" applyNumberFormat="1" applyFont="1" applyFill="1" applyBorder="1" applyAlignment="1"/>
    <xf numFmtId="166" fontId="0" fillId="3" borderId="0" xfId="1" applyNumberFormat="1" applyFont="1" applyFill="1" applyBorder="1" applyAlignment="1"/>
    <xf numFmtId="166" fontId="0" fillId="3" borderId="25" xfId="1" applyNumberFormat="1" applyFont="1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33" xfId="0" applyFill="1" applyBorder="1" applyAlignment="1"/>
    <xf numFmtId="0" fontId="0" fillId="2" borderId="17" xfId="0" applyFill="1" applyBorder="1" applyAlignment="1"/>
    <xf numFmtId="166" fontId="0" fillId="5" borderId="32" xfId="1" applyNumberFormat="1" applyFont="1" applyFill="1" applyBorder="1" applyAlignment="1"/>
    <xf numFmtId="9" fontId="0" fillId="0" borderId="32" xfId="0" applyNumberFormat="1" applyBorder="1"/>
    <xf numFmtId="170" fontId="0" fillId="0" borderId="32" xfId="0" applyNumberFormat="1" applyBorder="1"/>
    <xf numFmtId="170" fontId="0" fillId="5" borderId="32" xfId="0" applyNumberForma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HLMSR!$AM$25</c:f>
              <c:strCache>
                <c:ptCount val="1"/>
              </c:strCache>
            </c:strRef>
          </c:tx>
          <c:val>
            <c:numRef>
              <c:f>HLMSR!$AM$26:$AM$32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HLMSR!$AN$25</c:f>
              <c:strCache>
                <c:ptCount val="1"/>
              </c:strCache>
            </c:strRef>
          </c:tx>
          <c:val>
            <c:numRef>
              <c:f>HLMSR!$AN$26:$AN$32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HLMSR!$AO$25</c:f>
              <c:strCache>
                <c:ptCount val="1"/>
              </c:strCache>
            </c:strRef>
          </c:tx>
          <c:val>
            <c:numRef>
              <c:f>HLMSR!$AO$26:$AO$32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3"/>
          <c:order val="3"/>
          <c:tx>
            <c:strRef>
              <c:f>HLMSR!$AP$25</c:f>
              <c:strCache>
                <c:ptCount val="1"/>
              </c:strCache>
            </c:strRef>
          </c:tx>
          <c:val>
            <c:numRef>
              <c:f>HLMSR!$AP$26:$AP$32</c:f>
              <c:numCache>
                <c:formatCode>0.0%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02016"/>
        <c:axId val="69362816"/>
      </c:lineChart>
      <c:catAx>
        <c:axId val="11170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69362816"/>
        <c:crosses val="autoZero"/>
        <c:auto val="1"/>
        <c:lblAlgn val="ctr"/>
        <c:lblOffset val="100"/>
        <c:noMultiLvlLbl val="0"/>
      </c:catAx>
      <c:valAx>
        <c:axId val="6936281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1170201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'2x2 (Pr)'!$AG$24</c:f>
              <c:strCache>
                <c:ptCount val="1"/>
                <c:pt idx="0">
                  <c:v>i=0,0</c:v>
                </c:pt>
              </c:strCache>
            </c:strRef>
          </c:tx>
          <c:val>
            <c:numRef>
              <c:f>'2x2 (Pr)'!$AG$25:$AG$31</c:f>
              <c:numCache>
                <c:formatCode>0.0%</c:formatCode>
                <c:ptCount val="7"/>
                <c:pt idx="0">
                  <c:v>0.21</c:v>
                </c:pt>
                <c:pt idx="1">
                  <c:v>9.0000000000000024E-2</c:v>
                </c:pt>
                <c:pt idx="2">
                  <c:v>0.21000000000000002</c:v>
                </c:pt>
                <c:pt idx="3">
                  <c:v>0.17012658227848101</c:v>
                </c:pt>
                <c:pt idx="4">
                  <c:v>0.12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'2x2 (Pr)'!$AH$24</c:f>
              <c:strCache>
                <c:ptCount val="1"/>
                <c:pt idx="0">
                  <c:v>i=0,1</c:v>
                </c:pt>
              </c:strCache>
            </c:strRef>
          </c:tx>
          <c:val>
            <c:numRef>
              <c:f>'2x2 (Pr)'!$AH$25:$AH$31</c:f>
              <c:numCache>
                <c:formatCode>0.0%</c:formatCode>
                <c:ptCount val="7"/>
                <c:pt idx="0">
                  <c:v>9.0000000000000011E-2</c:v>
                </c:pt>
                <c:pt idx="1">
                  <c:v>1.0000000000000009E-2</c:v>
                </c:pt>
                <c:pt idx="2">
                  <c:v>9.0000000000000024E-2</c:v>
                </c:pt>
                <c:pt idx="3">
                  <c:v>7.2911392405063294E-2</c:v>
                </c:pt>
                <c:pt idx="4">
                  <c:v>0.08</c:v>
                </c:pt>
                <c:pt idx="5">
                  <c:v>0.1</c:v>
                </c:pt>
                <c:pt idx="6">
                  <c:v>0.04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'2x2 (Pr)'!$AI$24</c:f>
              <c:strCache>
                <c:ptCount val="1"/>
                <c:pt idx="0">
                  <c:v>i=1,0</c:v>
                </c:pt>
              </c:strCache>
            </c:strRef>
          </c:tx>
          <c:val>
            <c:numRef>
              <c:f>'2x2 (Pr)'!$AI$25:$AI$31</c:f>
              <c:numCache>
                <c:formatCode>0.0%</c:formatCode>
                <c:ptCount val="7"/>
                <c:pt idx="0">
                  <c:v>0.21</c:v>
                </c:pt>
                <c:pt idx="1">
                  <c:v>9.0000000000000024E-2</c:v>
                </c:pt>
                <c:pt idx="2">
                  <c:v>0.21000000000000002</c:v>
                </c:pt>
                <c:pt idx="3">
                  <c:v>0.36</c:v>
                </c:pt>
                <c:pt idx="4">
                  <c:v>0.62</c:v>
                </c:pt>
                <c:pt idx="5">
                  <c:v>0.71</c:v>
                </c:pt>
                <c:pt idx="6">
                  <c:v>0.81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'2x2 (Pr)'!$AJ$24</c:f>
              <c:strCache>
                <c:ptCount val="1"/>
                <c:pt idx="0">
                  <c:v>i=1,1</c:v>
                </c:pt>
              </c:strCache>
            </c:strRef>
          </c:tx>
          <c:val>
            <c:numRef>
              <c:f>'2x2 (Pr)'!$AJ$25:$AJ$31</c:f>
              <c:numCache>
                <c:formatCode>0.0%</c:formatCode>
                <c:ptCount val="7"/>
                <c:pt idx="0">
                  <c:v>0.48999999999999994</c:v>
                </c:pt>
                <c:pt idx="1">
                  <c:v>0.80999999999999983</c:v>
                </c:pt>
                <c:pt idx="2">
                  <c:v>0.49</c:v>
                </c:pt>
                <c:pt idx="3">
                  <c:v>0.39696202531645564</c:v>
                </c:pt>
                <c:pt idx="4">
                  <c:v>0.12</c:v>
                </c:pt>
                <c:pt idx="5">
                  <c:v>0.09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9312"/>
        <c:axId val="69365696"/>
      </c:lineChart>
      <c:catAx>
        <c:axId val="4186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69365696"/>
        <c:crosses val="autoZero"/>
        <c:auto val="1"/>
        <c:lblAlgn val="ctr"/>
        <c:lblOffset val="100"/>
        <c:noMultiLvlLbl val="0"/>
      </c:catAx>
      <c:valAx>
        <c:axId val="6936569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186931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285750</xdr:colOff>
      <xdr:row>22</xdr:row>
      <xdr:rowOff>190500</xdr:rowOff>
    </xdr:from>
    <xdr:to>
      <xdr:col>49</xdr:col>
      <xdr:colOff>590550</xdr:colOff>
      <xdr:row>36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33</xdr:row>
      <xdr:rowOff>104775</xdr:rowOff>
    </xdr:from>
    <xdr:to>
      <xdr:col>11</xdr:col>
      <xdr:colOff>352425</xdr:colOff>
      <xdr:row>47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34"/>
  <sheetViews>
    <sheetView tabSelected="1" zoomScale="70" zoomScaleNormal="70" workbookViewId="0">
      <selection activeCell="T10" sqref="T10"/>
    </sheetView>
  </sheetViews>
  <sheetFormatPr defaultRowHeight="15" x14ac:dyDescent="0.25"/>
  <cols>
    <col min="5" max="10" width="11.42578125" style="76" customWidth="1"/>
    <col min="13" max="13" width="9.42578125" customWidth="1"/>
    <col min="15" max="15" width="10.28515625" customWidth="1"/>
    <col min="16" max="16" width="10.7109375" customWidth="1"/>
    <col min="18" max="18" width="9.42578125" customWidth="1"/>
    <col min="20" max="20" width="12.140625" customWidth="1"/>
    <col min="21" max="21" width="10.5703125" customWidth="1"/>
    <col min="24" max="24" width="11.140625" customWidth="1"/>
  </cols>
  <sheetData>
    <row r="2" spans="3:20" ht="15.75" thickBot="1" x14ac:dyDescent="0.3">
      <c r="D2" t="s">
        <v>9</v>
      </c>
      <c r="K2" t="s">
        <v>71</v>
      </c>
    </row>
    <row r="3" spans="3:20" x14ac:dyDescent="0.25">
      <c r="D3" t="s">
        <v>13</v>
      </c>
      <c r="E3" s="76" t="s">
        <v>19</v>
      </c>
      <c r="F3" s="76" t="s">
        <v>20</v>
      </c>
      <c r="H3" s="76" t="s">
        <v>68</v>
      </c>
      <c r="I3" s="76">
        <f>COUNTA(E7:F7)</f>
        <v>2</v>
      </c>
      <c r="K3">
        <f>I8</f>
        <v>0.69314718055994529</v>
      </c>
      <c r="N3" s="46" t="s">
        <v>14</v>
      </c>
    </row>
    <row r="4" spans="3:20" s="8" customFormat="1" ht="15.75" thickBot="1" x14ac:dyDescent="0.3">
      <c r="C4"/>
      <c r="E4" s="30"/>
      <c r="F4" s="30"/>
      <c r="G4" s="76"/>
      <c r="H4" s="76"/>
      <c r="I4" s="76"/>
      <c r="J4" s="76"/>
      <c r="K4"/>
      <c r="L4"/>
      <c r="M4"/>
      <c r="N4" s="137">
        <v>1</v>
      </c>
      <c r="O4" t="s">
        <v>70</v>
      </c>
      <c r="Q4"/>
      <c r="R4"/>
      <c r="S4"/>
      <c r="T4" s="9"/>
    </row>
    <row r="5" spans="3:20" s="8" customFormat="1" x14ac:dyDescent="0.25">
      <c r="C5"/>
      <c r="D5"/>
      <c r="E5" s="76"/>
      <c r="F5" s="76"/>
      <c r="G5" s="76"/>
      <c r="H5" s="76"/>
      <c r="I5" s="76"/>
      <c r="J5" s="76"/>
      <c r="K5"/>
      <c r="L5"/>
      <c r="M5"/>
      <c r="N5"/>
      <c r="O5"/>
      <c r="P5"/>
      <c r="Q5"/>
      <c r="R5"/>
      <c r="S5"/>
      <c r="T5" s="9"/>
    </row>
    <row r="6" spans="3:20" s="8" customFormat="1" x14ac:dyDescent="0.25">
      <c r="D6"/>
      <c r="E6" s="110" t="s">
        <v>21</v>
      </c>
      <c r="F6" s="111"/>
      <c r="G6" s="111" t="s">
        <v>22</v>
      </c>
      <c r="H6" s="112"/>
      <c r="I6" s="110" t="s">
        <v>59</v>
      </c>
      <c r="J6" s="112" t="s">
        <v>57</v>
      </c>
      <c r="K6" s="43"/>
      <c r="Q6" s="43"/>
      <c r="R6"/>
      <c r="S6" s="43"/>
    </row>
    <row r="7" spans="3:20" s="8" customFormat="1" ht="15.75" thickBot="1" x14ac:dyDescent="0.3">
      <c r="C7" s="74"/>
      <c r="D7" s="77" t="s">
        <v>56</v>
      </c>
      <c r="E7" s="82" t="s">
        <v>15</v>
      </c>
      <c r="F7" s="83" t="s">
        <v>16</v>
      </c>
      <c r="G7" s="138" t="s">
        <v>15</v>
      </c>
      <c r="H7" s="139" t="s">
        <v>16</v>
      </c>
      <c r="I7" s="85"/>
      <c r="J7" s="86"/>
      <c r="R7"/>
    </row>
    <row r="8" spans="3:20" s="8" customFormat="1" ht="18" customHeight="1" thickTop="1" x14ac:dyDescent="0.25">
      <c r="D8" s="53" t="s">
        <v>62</v>
      </c>
      <c r="E8" s="87">
        <v>0</v>
      </c>
      <c r="F8" s="88">
        <v>0</v>
      </c>
      <c r="G8" s="93">
        <f>EXP(E8/$N$4)/(EXP($F8/$N$4)+EXP($E8/$N$4))</f>
        <v>0.5</v>
      </c>
      <c r="H8" s="140">
        <f t="shared" ref="G8:H15" si="0">EXP(F8/$N$4)/(EXP($F8/$N$4)+EXP($E8/$N$4))</f>
        <v>0.5</v>
      </c>
      <c r="I8" s="143">
        <f>$N$4*LN(EXP($F8/$N$4)+EXP($E8/$N$4))</f>
        <v>0.69314718055994529</v>
      </c>
      <c r="J8" s="89">
        <f>(I8-0)</f>
        <v>0.69314718055994529</v>
      </c>
      <c r="R8"/>
    </row>
    <row r="9" spans="3:20" s="8" customFormat="1" ht="15.75" thickBot="1" x14ac:dyDescent="0.3">
      <c r="D9" s="53" t="s">
        <v>60</v>
      </c>
      <c r="E9" s="90">
        <v>1</v>
      </c>
      <c r="F9" s="84">
        <v>0</v>
      </c>
      <c r="G9" s="91">
        <f t="shared" si="0"/>
        <v>0.7310585786300049</v>
      </c>
      <c r="H9" s="141">
        <f t="shared" si="0"/>
        <v>0.2689414213699951</v>
      </c>
      <c r="I9" s="144">
        <f t="shared" ref="I9:I12" si="1">$N$4*LN(EXP($F9/$N$4)+EXP($E9/$N$4))</f>
        <v>1.3132616875182228</v>
      </c>
      <c r="J9" s="92">
        <f>(I9-I8)</f>
        <v>0.62011450695827752</v>
      </c>
      <c r="L9" s="8" t="s">
        <v>72</v>
      </c>
      <c r="R9"/>
    </row>
    <row r="10" spans="3:20" s="8" customFormat="1" ht="15.75" thickBot="1" x14ac:dyDescent="0.3">
      <c r="D10" s="53" t="s">
        <v>63</v>
      </c>
      <c r="E10" s="150">
        <f>L10</f>
        <v>1.0986122886681098</v>
      </c>
      <c r="F10" s="84">
        <v>0</v>
      </c>
      <c r="G10" s="147">
        <f t="shared" si="0"/>
        <v>0.75000000000000011</v>
      </c>
      <c r="H10" s="141">
        <f t="shared" si="0"/>
        <v>0.25</v>
      </c>
      <c r="I10" s="144">
        <f t="shared" si="1"/>
        <v>1.3862943611198906</v>
      </c>
      <c r="J10" s="92">
        <f t="shared" ref="J10:J13" si="2">(I10-I9)</f>
        <v>7.3032673601667764E-2</v>
      </c>
      <c r="L10" s="149">
        <f>N4*LN(M10/(1-M10))+F10</f>
        <v>1.0986122886681098</v>
      </c>
      <c r="M10" s="148">
        <v>0.75</v>
      </c>
      <c r="N10" s="8" t="b">
        <f>M10=G10</f>
        <v>1</v>
      </c>
      <c r="R10"/>
    </row>
    <row r="11" spans="3:20" s="8" customFormat="1" x14ac:dyDescent="0.25">
      <c r="D11" s="53" t="s">
        <v>64</v>
      </c>
      <c r="E11" s="90">
        <v>2.2000000000000002</v>
      </c>
      <c r="F11" s="84">
        <v>1</v>
      </c>
      <c r="G11" s="91">
        <f t="shared" si="0"/>
        <v>0.76852478349901765</v>
      </c>
      <c r="H11" s="141">
        <f t="shared" si="0"/>
        <v>0.23147521650098232</v>
      </c>
      <c r="I11" s="144">
        <f t="shared" si="1"/>
        <v>2.4632824673380314</v>
      </c>
      <c r="J11" s="92">
        <f t="shared" si="2"/>
        <v>1.0769881062181408</v>
      </c>
      <c r="R11"/>
    </row>
    <row r="12" spans="3:20" s="8" customFormat="1" x14ac:dyDescent="0.25">
      <c r="D12" s="53" t="s">
        <v>65</v>
      </c>
      <c r="E12" s="90">
        <v>5.0999999999999996</v>
      </c>
      <c r="F12" s="84">
        <v>4</v>
      </c>
      <c r="G12" s="91">
        <f t="shared" si="0"/>
        <v>0.75026010559511758</v>
      </c>
      <c r="H12" s="141">
        <f t="shared" si="0"/>
        <v>0.24973989440488245</v>
      </c>
      <c r="I12" s="144">
        <f t="shared" si="1"/>
        <v>5.3873353251154308</v>
      </c>
      <c r="J12" s="92">
        <f t="shared" si="2"/>
        <v>2.9240528577773994</v>
      </c>
      <c r="R12"/>
    </row>
    <row r="13" spans="3:20" s="8" customFormat="1" x14ac:dyDescent="0.25">
      <c r="C13"/>
      <c r="D13" s="44" t="s">
        <v>66</v>
      </c>
      <c r="E13" s="90">
        <v>11</v>
      </c>
      <c r="F13" s="84">
        <v>1</v>
      </c>
      <c r="G13" s="91">
        <f t="shared" si="0"/>
        <v>0.99995460213129761</v>
      </c>
      <c r="H13" s="141">
        <f t="shared" si="0"/>
        <v>4.5397868702434395E-5</v>
      </c>
      <c r="I13" s="144">
        <f>$N$4*LN(EXP($F13/$N$4)+EXP($E13/$N$4))</f>
        <v>11.000045398899216</v>
      </c>
      <c r="J13" s="92">
        <f t="shared" si="2"/>
        <v>5.6127100737837852</v>
      </c>
      <c r="R13"/>
    </row>
    <row r="14" spans="3:20" s="8" customFormat="1" ht="15.75" thickBot="1" x14ac:dyDescent="0.3">
      <c r="D14" s="53" t="s">
        <v>61</v>
      </c>
      <c r="E14" s="82">
        <v>10</v>
      </c>
      <c r="F14" s="83">
        <v>0</v>
      </c>
      <c r="G14" s="93">
        <f t="shared" si="0"/>
        <v>0.99995460213129761</v>
      </c>
      <c r="H14" s="140">
        <f t="shared" si="0"/>
        <v>4.5397868702434395E-5</v>
      </c>
      <c r="I14" s="145">
        <f>$N$4*LN(EXP($F14/$N$4)+EXP($E14/$N$4))</f>
        <v>10.000045398899218</v>
      </c>
      <c r="J14" s="94">
        <f>(I14-I13)</f>
        <v>-0.99999999999999822</v>
      </c>
      <c r="R14"/>
    </row>
    <row r="15" spans="3:20" s="8" customFormat="1" ht="16.5" thickTop="1" thickBot="1" x14ac:dyDescent="0.3">
      <c r="D15" s="53" t="s">
        <v>0</v>
      </c>
      <c r="E15" s="95">
        <f>E14</f>
        <v>10</v>
      </c>
      <c r="F15" s="96">
        <f t="shared" ref="F15" si="3">F14</f>
        <v>0</v>
      </c>
      <c r="G15" s="97">
        <f t="shared" si="0"/>
        <v>0.99995460213129761</v>
      </c>
      <c r="H15" s="142">
        <f t="shared" si="0"/>
        <v>4.5397868702434395E-5</v>
      </c>
      <c r="I15" s="146">
        <f>$N$4*LN(EXP($F15/$N$4)+EXP($E15/$N$4))</f>
        <v>10.000045398899218</v>
      </c>
      <c r="J15" s="98">
        <f>SUM(J8:J14)</f>
        <v>10.000045398899218</v>
      </c>
      <c r="K15" s="9" t="s">
        <v>69</v>
      </c>
      <c r="Q15" s="9"/>
      <c r="R15"/>
      <c r="S15" s="9"/>
    </row>
    <row r="16" spans="3:20" s="8" customFormat="1" ht="15.75" thickBot="1" x14ac:dyDescent="0.3">
      <c r="C16" t="s">
        <v>58</v>
      </c>
      <c r="D16"/>
      <c r="E16" s="76"/>
      <c r="F16" s="76"/>
      <c r="G16" s="76"/>
      <c r="H16" s="76"/>
      <c r="I16" s="76"/>
      <c r="J16" s="99">
        <f>J15-(SUMPRODUCT(G15:H15,E15:F15))</f>
        <v>4.9937758624096773E-4</v>
      </c>
      <c r="K16" t="s">
        <v>67</v>
      </c>
      <c r="Q16"/>
      <c r="R16"/>
      <c r="S16"/>
    </row>
    <row r="17" spans="3:42" s="8" customFormat="1" x14ac:dyDescent="0.25">
      <c r="E17" s="30"/>
      <c r="F17" s="30"/>
      <c r="G17" s="30"/>
      <c r="H17" s="30"/>
      <c r="I17" s="100"/>
      <c r="J17" s="101"/>
    </row>
    <row r="18" spans="3:42" s="8" customFormat="1" x14ac:dyDescent="0.25">
      <c r="E18" s="30"/>
      <c r="F18" s="30"/>
      <c r="G18" s="30"/>
      <c r="H18" s="30"/>
      <c r="I18" s="100"/>
      <c r="J18" s="101"/>
      <c r="O18" s="9"/>
      <c r="P18" s="9"/>
      <c r="Q18" s="9"/>
      <c r="R18" s="65"/>
      <c r="S18" s="65"/>
    </row>
    <row r="19" spans="3:42" s="8" customFormat="1" x14ac:dyDescent="0.25">
      <c r="E19" s="30"/>
      <c r="F19" s="30"/>
      <c r="G19" s="30"/>
      <c r="H19" s="30"/>
      <c r="I19" s="30"/>
      <c r="J19" s="30"/>
    </row>
    <row r="20" spans="3:42" ht="15.75" thickBot="1" x14ac:dyDescent="0.3">
      <c r="D20" t="s">
        <v>10</v>
      </c>
      <c r="K20" t="s">
        <v>71</v>
      </c>
    </row>
    <row r="21" spans="3:42" x14ac:dyDescent="0.25">
      <c r="D21" t="s">
        <v>13</v>
      </c>
      <c r="E21" s="76" t="s">
        <v>19</v>
      </c>
      <c r="F21" s="76" t="s">
        <v>20</v>
      </c>
      <c r="H21" s="76" t="s">
        <v>68</v>
      </c>
      <c r="I21" s="76">
        <f>COUNTA(E25:H25)</f>
        <v>4</v>
      </c>
      <c r="K21">
        <f>M26</f>
        <v>4.8520302639196169</v>
      </c>
      <c r="N21" s="46" t="s">
        <v>14</v>
      </c>
    </row>
    <row r="22" spans="3:42" ht="15.75" thickBot="1" x14ac:dyDescent="0.3">
      <c r="D22" t="s">
        <v>14</v>
      </c>
      <c r="E22" s="76" t="s">
        <v>11</v>
      </c>
      <c r="F22" s="76" t="s">
        <v>12</v>
      </c>
      <c r="N22" s="137">
        <v>3.5</v>
      </c>
      <c r="O22" t="s">
        <v>70</v>
      </c>
    </row>
    <row r="24" spans="3:42" ht="45" x14ac:dyDescent="0.25">
      <c r="C24" s="8"/>
      <c r="E24" s="79" t="s">
        <v>21</v>
      </c>
      <c r="F24" s="80"/>
      <c r="G24" s="80"/>
      <c r="H24" s="81"/>
      <c r="I24" s="26" t="s">
        <v>22</v>
      </c>
      <c r="J24" s="26"/>
      <c r="K24" s="26"/>
      <c r="L24" s="26"/>
      <c r="M24" s="23" t="s">
        <v>59</v>
      </c>
      <c r="N24" s="75" t="s">
        <v>57</v>
      </c>
      <c r="O24" s="43"/>
      <c r="P24" s="43"/>
      <c r="R24" s="43"/>
      <c r="S24" s="43"/>
      <c r="T24" s="43"/>
      <c r="U24" s="72"/>
      <c r="V24" s="73"/>
      <c r="W24" s="8"/>
      <c r="X24" s="8"/>
      <c r="Y24" s="8"/>
      <c r="Z24" s="7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3:42" ht="15.75" thickBot="1" x14ac:dyDescent="0.3">
      <c r="C25" s="74"/>
      <c r="D25" s="77" t="s">
        <v>56</v>
      </c>
      <c r="E25" s="82" t="s">
        <v>15</v>
      </c>
      <c r="F25" s="102" t="s">
        <v>16</v>
      </c>
      <c r="G25" s="83" t="s">
        <v>17</v>
      </c>
      <c r="H25" s="103" t="s">
        <v>18</v>
      </c>
      <c r="I25" s="113" t="s">
        <v>15</v>
      </c>
      <c r="J25" s="114" t="s">
        <v>16</v>
      </c>
      <c r="K25" s="115" t="s">
        <v>17</v>
      </c>
      <c r="L25" s="116" t="s">
        <v>18</v>
      </c>
      <c r="M25" s="136"/>
      <c r="N25" s="7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35"/>
      <c r="AN25" s="35"/>
      <c r="AO25" s="35"/>
      <c r="AP25" s="35"/>
    </row>
    <row r="26" spans="3:42" ht="15.75" thickTop="1" x14ac:dyDescent="0.25">
      <c r="C26" s="8"/>
      <c r="D26" s="53" t="s">
        <v>62</v>
      </c>
      <c r="E26" s="87">
        <v>0</v>
      </c>
      <c r="F26" s="104">
        <v>0</v>
      </c>
      <c r="G26" s="88">
        <v>0</v>
      </c>
      <c r="H26" s="105">
        <v>0</v>
      </c>
      <c r="I26" s="117">
        <f>EXP(E26/$N$22)/(EXP($E26/$N$22)+EXP($F26/$N$22)+EXP($G26/$N$22)+EXP($H26/$N$22))</f>
        <v>0.25</v>
      </c>
      <c r="J26" s="118">
        <f t="shared" ref="J26:L33" si="4">EXP(F26/$N$22)/(EXP($E26/$N$22)+EXP($F26/$N$22)+EXP($G26/$N$22)+EXP($H26/$N$22))</f>
        <v>0.25</v>
      </c>
      <c r="K26" s="119">
        <f t="shared" si="4"/>
        <v>0.25</v>
      </c>
      <c r="L26" s="120">
        <f t="shared" si="4"/>
        <v>0.25</v>
      </c>
      <c r="M26" s="133">
        <f>$N$22*LN(EXP($E26/$N$22)+EXP($F26/$N$22)+EXP($G26/$N$22)+EXP($H26/$N$22))</f>
        <v>4.8520302639196169</v>
      </c>
      <c r="N26" s="129">
        <f>(M26-0)</f>
        <v>4.8520302639196169</v>
      </c>
      <c r="O26" s="8"/>
      <c r="P26" s="8"/>
      <c r="R26" s="8"/>
      <c r="S26" s="8"/>
      <c r="T26" s="8"/>
      <c r="U26" s="8"/>
      <c r="V26" s="9"/>
      <c r="W26" s="9"/>
      <c r="X26" s="9"/>
      <c r="Y26" s="9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38"/>
      <c r="AN26" s="38"/>
      <c r="AO26" s="38"/>
      <c r="AP26" s="38"/>
    </row>
    <row r="27" spans="3:42" ht="15.75" thickBot="1" x14ac:dyDescent="0.3">
      <c r="C27" s="8"/>
      <c r="D27" s="53" t="s">
        <v>60</v>
      </c>
      <c r="E27" s="90">
        <v>1</v>
      </c>
      <c r="F27" s="106">
        <v>0</v>
      </c>
      <c r="G27" s="84">
        <v>0</v>
      </c>
      <c r="H27" s="107">
        <v>0</v>
      </c>
      <c r="I27" s="121">
        <f t="shared" ref="I27:I31" si="5">EXP(E27/$N$22)/(EXP($E27/$N$22)+EXP($F27/$N$22)+EXP($G27/$N$22)+EXP($H27/$N$22))</f>
        <v>0.30727329288510813</v>
      </c>
      <c r="J27" s="122">
        <f t="shared" si="4"/>
        <v>0.23090890237163061</v>
      </c>
      <c r="K27" s="123">
        <f t="shared" si="4"/>
        <v>0.23090890237163061</v>
      </c>
      <c r="L27" s="124">
        <f t="shared" si="4"/>
        <v>0.23090890237163061</v>
      </c>
      <c r="M27" s="134">
        <f>$N$22*LN(EXP($E27/$N$22)+EXP($F27/$N$22)+EXP($G27/$N$22)+EXP($H27/$N$22))</f>
        <v>5.1300620289417482</v>
      </c>
      <c r="N27" s="130">
        <f t="shared" ref="N27:N32" si="6">(M27-M26)</f>
        <v>0.27803176502213134</v>
      </c>
      <c r="O27" s="8"/>
      <c r="P27" s="8" t="s">
        <v>72</v>
      </c>
      <c r="Q27" s="8"/>
      <c r="R27" s="8"/>
      <c r="S27" s="8"/>
      <c r="T27" s="8"/>
      <c r="U27" s="8"/>
      <c r="V27" s="71"/>
      <c r="W27" s="71"/>
      <c r="X27" s="71"/>
      <c r="Y27" s="71"/>
      <c r="Z27" s="8"/>
      <c r="AA27" s="8"/>
      <c r="AB27" s="8"/>
      <c r="AC27" s="8"/>
      <c r="AD27" s="8"/>
      <c r="AE27" s="8"/>
      <c r="AF27" s="8"/>
      <c r="AG27" s="8"/>
      <c r="AH27" s="9"/>
      <c r="AI27" s="9"/>
      <c r="AJ27" s="9"/>
      <c r="AK27" s="9"/>
      <c r="AL27" s="8"/>
      <c r="AM27" s="38"/>
      <c r="AN27" s="38"/>
      <c r="AO27" s="38"/>
      <c r="AP27" s="38"/>
    </row>
    <row r="28" spans="3:42" ht="15.75" thickBot="1" x14ac:dyDescent="0.3">
      <c r="C28" s="8"/>
      <c r="D28" s="53" t="s">
        <v>63</v>
      </c>
      <c r="E28" s="150">
        <f>P28</f>
        <v>1.678505780916602</v>
      </c>
      <c r="F28" s="106">
        <v>0</v>
      </c>
      <c r="G28" s="84">
        <v>0</v>
      </c>
      <c r="H28" s="107">
        <v>0</v>
      </c>
      <c r="I28" s="121">
        <f t="shared" si="5"/>
        <v>0.35000000000000003</v>
      </c>
      <c r="J28" s="122">
        <f t="shared" si="4"/>
        <v>0.21666666666666667</v>
      </c>
      <c r="K28" s="123">
        <f t="shared" si="4"/>
        <v>0.21666666666666667</v>
      </c>
      <c r="L28" s="124">
        <f t="shared" si="4"/>
        <v>0.21666666666666667</v>
      </c>
      <c r="M28" s="134">
        <f>$N$22*LN(EXP($E28/$N$22)+EXP($F28/$N$22)+EXP($G28/$N$22)+EXP($H28/$N$22))</f>
        <v>5.352883216661974</v>
      </c>
      <c r="N28" s="130">
        <f t="shared" si="6"/>
        <v>0.22282118772022574</v>
      </c>
      <c r="O28" s="8"/>
      <c r="P28" s="149">
        <f>N22*LN(Q28/(1-Q28))+N22*LN((SUM((EXP(F28/N22)+EXP(G28/N22)+EXP(H28/N22)))))</f>
        <v>1.678505780916602</v>
      </c>
      <c r="Q28" s="148">
        <v>0.35</v>
      </c>
      <c r="R28" s="8" t="b">
        <f>Q28=I28</f>
        <v>1</v>
      </c>
      <c r="S28" s="8"/>
      <c r="T28" s="8"/>
      <c r="U28" s="8"/>
      <c r="V28" s="71"/>
      <c r="W28" s="71"/>
      <c r="X28" s="71"/>
      <c r="Y28" s="71"/>
      <c r="Z28" s="8"/>
      <c r="AA28" s="8"/>
      <c r="AB28" s="8"/>
      <c r="AC28" s="8"/>
      <c r="AD28" s="8"/>
      <c r="AE28" s="8"/>
      <c r="AF28" s="8"/>
      <c r="AG28" s="8"/>
      <c r="AH28" s="9"/>
      <c r="AI28" s="9"/>
      <c r="AJ28" s="9"/>
      <c r="AK28" s="9"/>
      <c r="AL28" s="8"/>
      <c r="AM28" s="38"/>
      <c r="AN28" s="38"/>
      <c r="AO28" s="38"/>
      <c r="AP28" s="38"/>
    </row>
    <row r="29" spans="3:42" x14ac:dyDescent="0.25">
      <c r="C29" s="8"/>
      <c r="D29" s="53" t="s">
        <v>64</v>
      </c>
      <c r="E29" s="90">
        <v>2.2000000000000002</v>
      </c>
      <c r="F29" s="106">
        <v>1</v>
      </c>
      <c r="G29" s="84">
        <v>2</v>
      </c>
      <c r="H29" s="107">
        <v>1</v>
      </c>
      <c r="I29" s="121">
        <f t="shared" si="5"/>
        <v>0.29727061033357988</v>
      </c>
      <c r="J29" s="122">
        <f t="shared" si="4"/>
        <v>0.21098472278841449</v>
      </c>
      <c r="K29" s="123">
        <f t="shared" si="4"/>
        <v>0.28075994408959104</v>
      </c>
      <c r="L29" s="124">
        <f t="shared" si="4"/>
        <v>0.21098472278841449</v>
      </c>
      <c r="M29" s="134">
        <f t="shared" ref="M29:M32" si="7">$N$22*LN(EXP($E29/$N$22)+EXP($F29/$N$22)+EXP($G29/$N$22)+EXP($H29/$N$22))</f>
        <v>6.445893431908063</v>
      </c>
      <c r="N29" s="130">
        <f t="shared" si="6"/>
        <v>1.093010215246089</v>
      </c>
      <c r="O29" s="8"/>
      <c r="P29" s="8"/>
      <c r="R29" s="8"/>
      <c r="S29" s="8"/>
      <c r="T29" s="8"/>
      <c r="U29" s="8"/>
      <c r="V29" s="71"/>
      <c r="W29" s="71"/>
      <c r="X29" s="71"/>
      <c r="Y29" s="71"/>
      <c r="Z29" s="8"/>
      <c r="AA29" s="8"/>
      <c r="AB29" s="8"/>
      <c r="AC29" s="44"/>
      <c r="AD29" s="8"/>
      <c r="AE29" s="8"/>
      <c r="AF29" s="8"/>
      <c r="AG29" s="8"/>
      <c r="AH29" s="9"/>
      <c r="AI29" s="9"/>
      <c r="AJ29" s="9"/>
      <c r="AK29" s="9"/>
      <c r="AL29" s="8"/>
      <c r="AM29" s="38"/>
      <c r="AN29" s="38"/>
      <c r="AO29" s="38"/>
      <c r="AP29" s="38"/>
    </row>
    <row r="30" spans="3:42" x14ac:dyDescent="0.25">
      <c r="C30" s="8"/>
      <c r="D30" s="53" t="s">
        <v>65</v>
      </c>
      <c r="E30" s="90">
        <v>5.0999999999999996</v>
      </c>
      <c r="F30" s="106">
        <v>4</v>
      </c>
      <c r="G30" s="84">
        <v>2.2000000000000002</v>
      </c>
      <c r="H30" s="107">
        <v>3.1</v>
      </c>
      <c r="I30" s="121">
        <f t="shared" si="5"/>
        <v>0.36607225912727431</v>
      </c>
      <c r="J30" s="122">
        <f t="shared" si="4"/>
        <v>0.2673463553876782</v>
      </c>
      <c r="K30" s="123">
        <f t="shared" si="4"/>
        <v>0.15985374679155517</v>
      </c>
      <c r="L30" s="124">
        <f t="shared" si="4"/>
        <v>0.20672763869349214</v>
      </c>
      <c r="M30" s="134">
        <f t="shared" si="7"/>
        <v>8.6172358751525788</v>
      </c>
      <c r="N30" s="130">
        <f t="shared" si="6"/>
        <v>2.1713424432445159</v>
      </c>
      <c r="O30" s="8"/>
      <c r="P30" s="8"/>
      <c r="R30" s="8"/>
      <c r="S30" s="8"/>
      <c r="T30" s="8"/>
      <c r="U30" s="8"/>
      <c r="V30" s="71"/>
      <c r="W30" s="71"/>
      <c r="X30" s="71"/>
      <c r="Y30" s="71"/>
      <c r="Z30" s="8"/>
      <c r="AA30" s="8"/>
      <c r="AB30" s="8"/>
      <c r="AC30" s="8"/>
      <c r="AD30" s="8"/>
      <c r="AE30" s="8"/>
      <c r="AF30" s="8"/>
      <c r="AG30" s="8"/>
      <c r="AH30" s="9"/>
      <c r="AI30" s="9"/>
      <c r="AJ30" s="9"/>
      <c r="AK30" s="9"/>
      <c r="AL30" s="8"/>
      <c r="AM30" s="38"/>
      <c r="AN30" s="38"/>
      <c r="AO30" s="38"/>
      <c r="AP30" s="38"/>
    </row>
    <row r="31" spans="3:42" x14ac:dyDescent="0.25">
      <c r="D31" s="44" t="s">
        <v>66</v>
      </c>
      <c r="E31" s="90">
        <v>11</v>
      </c>
      <c r="F31" s="106">
        <v>1</v>
      </c>
      <c r="G31" s="84">
        <v>3</v>
      </c>
      <c r="H31" s="107">
        <v>1.2</v>
      </c>
      <c r="I31" s="121">
        <f t="shared" si="5"/>
        <v>0.8197097073143913</v>
      </c>
      <c r="J31" s="122">
        <f t="shared" si="4"/>
        <v>4.7078075530157491E-2</v>
      </c>
      <c r="K31" s="123">
        <f t="shared" si="4"/>
        <v>8.3365618519163867E-2</v>
      </c>
      <c r="L31" s="124">
        <f t="shared" si="4"/>
        <v>4.9846598636287223E-2</v>
      </c>
      <c r="M31" s="134">
        <f t="shared" si="7"/>
        <v>11.695817559053268</v>
      </c>
      <c r="N31" s="130">
        <f t="shared" si="6"/>
        <v>3.0785816839006888</v>
      </c>
      <c r="O31" s="8"/>
      <c r="P31" s="8"/>
      <c r="R31" s="8"/>
      <c r="S31" s="8"/>
      <c r="T31" s="8"/>
      <c r="U31" s="8"/>
      <c r="V31" s="71"/>
      <c r="W31" s="71"/>
      <c r="X31" s="71"/>
      <c r="Y31" s="71"/>
      <c r="Z31" s="8"/>
      <c r="AA31" s="8"/>
      <c r="AB31" s="8"/>
      <c r="AC31" s="8"/>
      <c r="AD31" s="8"/>
      <c r="AE31" s="8"/>
      <c r="AF31" s="8"/>
      <c r="AG31" s="8"/>
      <c r="AH31" s="9"/>
      <c r="AI31" s="9"/>
      <c r="AJ31" s="9"/>
      <c r="AK31" s="9"/>
      <c r="AL31" s="8"/>
      <c r="AM31" s="38"/>
      <c r="AN31" s="38"/>
      <c r="AO31" s="38"/>
      <c r="AP31" s="38"/>
    </row>
    <row r="32" spans="3:42" ht="15.75" thickBot="1" x14ac:dyDescent="0.3">
      <c r="C32" s="8"/>
      <c r="D32" s="53" t="s">
        <v>61</v>
      </c>
      <c r="E32" s="82">
        <v>10</v>
      </c>
      <c r="F32" s="102">
        <v>0</v>
      </c>
      <c r="G32" s="83">
        <v>0</v>
      </c>
      <c r="H32" s="103">
        <v>0</v>
      </c>
      <c r="I32" s="113">
        <f t="shared" ref="I32:K33" si="8">EXP(E32/$N$22)/(EXP($E32/$N$22)+EXP($F32/$N$22)+EXP($G32/$N$22)+EXP($H32/$N$22))</f>
        <v>0.85302552874593096</v>
      </c>
      <c r="J32" s="114">
        <f t="shared" si="8"/>
        <v>4.8991490418023025E-2</v>
      </c>
      <c r="K32" s="115">
        <f t="shared" si="8"/>
        <v>4.8991490418023025E-2</v>
      </c>
      <c r="L32" s="116">
        <f t="shared" si="4"/>
        <v>4.8991490418023025E-2</v>
      </c>
      <c r="M32" s="134">
        <f t="shared" si="7"/>
        <v>10.556380313119611</v>
      </c>
      <c r="N32" s="78">
        <f t="shared" si="6"/>
        <v>-1.1394372459336566</v>
      </c>
      <c r="O32" s="8"/>
      <c r="P32" s="8"/>
      <c r="R32" s="8"/>
      <c r="S32" s="8"/>
      <c r="T32" s="8"/>
      <c r="U32" s="8"/>
      <c r="V32" s="71"/>
      <c r="W32" s="71"/>
      <c r="X32" s="71"/>
      <c r="Y32" s="71"/>
      <c r="Z32" s="8"/>
      <c r="AA32" s="8"/>
      <c r="AB32" s="8"/>
      <c r="AC32" s="8"/>
      <c r="AD32" s="8"/>
      <c r="AE32" s="8"/>
      <c r="AF32" s="8"/>
      <c r="AG32" s="8"/>
      <c r="AH32" s="71"/>
      <c r="AI32" s="9"/>
      <c r="AJ32" s="9"/>
      <c r="AK32" s="9"/>
      <c r="AL32" s="8"/>
      <c r="AM32" s="38"/>
      <c r="AN32" s="38"/>
      <c r="AO32" s="38"/>
      <c r="AP32" s="38"/>
    </row>
    <row r="33" spans="3:42" ht="16.5" thickTop="1" thickBot="1" x14ac:dyDescent="0.3">
      <c r="C33" s="8"/>
      <c r="D33" s="53" t="s">
        <v>0</v>
      </c>
      <c r="E33" s="95">
        <f>E32</f>
        <v>10</v>
      </c>
      <c r="F33" s="108">
        <f t="shared" ref="F33:H33" si="9">F32</f>
        <v>0</v>
      </c>
      <c r="G33" s="96">
        <f t="shared" si="9"/>
        <v>0</v>
      </c>
      <c r="H33" s="109">
        <f t="shared" si="9"/>
        <v>0</v>
      </c>
      <c r="I33" s="125">
        <f t="shared" si="8"/>
        <v>0.85302552874593096</v>
      </c>
      <c r="J33" s="126">
        <f t="shared" si="8"/>
        <v>4.8991490418023025E-2</v>
      </c>
      <c r="K33" s="127">
        <f t="shared" si="8"/>
        <v>4.8991490418023025E-2</v>
      </c>
      <c r="L33" s="128">
        <f t="shared" si="4"/>
        <v>4.8991490418023025E-2</v>
      </c>
      <c r="M33" s="135">
        <f>$N$22*LN(EXP($E33/$N$22)+EXP($F33/$N$22)+EXP($G33/$N$22)+EXP($H33/$N$22))</f>
        <v>10.556380313119611</v>
      </c>
      <c r="N33" s="131">
        <f>SUM(N26:N32)</f>
        <v>10.556380313119611</v>
      </c>
      <c r="O33" s="9" t="s">
        <v>69</v>
      </c>
      <c r="P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3:42" ht="15.75" thickBot="1" x14ac:dyDescent="0.3">
      <c r="C34" t="s">
        <v>58</v>
      </c>
      <c r="N34" s="132">
        <f>N33-(SUMPRODUCT(I33:L33,E33:H33))</f>
        <v>2.0261250256603009</v>
      </c>
      <c r="O34" t="s">
        <v>67</v>
      </c>
    </row>
  </sheetData>
  <conditionalFormatting sqref="AM26:AP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{E3C78D6C-521B-4AFC-91DA-2EC28C87A421}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78D6C-521B-4AFC-91DA-2EC28C87A4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AM26:AP32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workbookViewId="0">
      <selection activeCell="C39" sqref="C39"/>
    </sheetView>
  </sheetViews>
  <sheetFormatPr defaultRowHeight="15" x14ac:dyDescent="0.25"/>
  <cols>
    <col min="9" max="9" width="10.28515625" customWidth="1"/>
    <col min="14" max="14" width="13.85546875" customWidth="1"/>
    <col min="15" max="15" width="10.5703125" customWidth="1"/>
  </cols>
  <sheetData>
    <row r="1" spans="2:22" s="8" customFormat="1" x14ac:dyDescent="0.25"/>
    <row r="2" spans="2:22" s="8" customFormat="1" x14ac:dyDescent="0.25">
      <c r="B2" t="s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2:22" s="8" customFormat="1" x14ac:dyDescent="0.25">
      <c r="B3" t="s">
        <v>40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2:22" s="8" customFormat="1" x14ac:dyDescent="0.25">
      <c r="B4"/>
      <c r="C4" t="s">
        <v>48</v>
      </c>
      <c r="D4"/>
      <c r="E4"/>
      <c r="F4"/>
      <c r="G4" t="s">
        <v>50</v>
      </c>
      <c r="H4" t="s">
        <v>54</v>
      </c>
      <c r="I4" t="s">
        <v>55</v>
      </c>
      <c r="J4" t="s">
        <v>53</v>
      </c>
      <c r="K4" t="s">
        <v>52</v>
      </c>
      <c r="L4"/>
      <c r="M4"/>
      <c r="N4"/>
      <c r="O4"/>
      <c r="P4"/>
      <c r="Q4"/>
      <c r="R4" t="s">
        <v>49</v>
      </c>
      <c r="S4"/>
      <c r="T4"/>
      <c r="U4"/>
    </row>
    <row r="5" spans="2:22" s="8" customFormat="1" ht="15.75" thickBot="1" x14ac:dyDescent="0.3">
      <c r="B5"/>
      <c r="C5" t="s">
        <v>41</v>
      </c>
      <c r="D5" t="s">
        <v>42</v>
      </c>
      <c r="E5" t="s">
        <v>47</v>
      </c>
      <c r="F5"/>
      <c r="G5"/>
      <c r="H5"/>
      <c r="I5"/>
      <c r="J5"/>
      <c r="K5"/>
      <c r="L5" t="s">
        <v>41</v>
      </c>
      <c r="M5" t="s">
        <v>42</v>
      </c>
      <c r="N5" t="s">
        <v>47</v>
      </c>
      <c r="O5" t="s">
        <v>51</v>
      </c>
      <c r="P5"/>
      <c r="Q5"/>
      <c r="R5"/>
      <c r="S5"/>
      <c r="T5"/>
      <c r="U5"/>
    </row>
    <row r="6" spans="2:22" s="8" customFormat="1" x14ac:dyDescent="0.25">
      <c r="B6" s="44" t="s">
        <v>13</v>
      </c>
      <c r="C6" s="50">
        <v>0.3</v>
      </c>
      <c r="D6">
        <f>SUM(D9:D10)</f>
        <v>0.30000000000000004</v>
      </c>
      <c r="E6">
        <f>SUM(E9:E10)</f>
        <v>0.30000000000000004</v>
      </c>
      <c r="F6" s="53" t="str">
        <f t="shared" ref="F6:F15" si="0">B6</f>
        <v>a</v>
      </c>
      <c r="G6" s="16">
        <v>0</v>
      </c>
      <c r="H6" s="8">
        <f t="shared" ref="H6:H15" si="1">IF(G6=0,0,1)</f>
        <v>0</v>
      </c>
      <c r="I6" s="8">
        <f>1-SUMPRODUCT($H$6:$H$8,$C$6:$C$8)</f>
        <v>0.30000000000000004</v>
      </c>
      <c r="J6">
        <f>IF(SUM($G$6:$G$8)=0,0,SUM($G$6:$G$8))</f>
        <v>0.2</v>
      </c>
      <c r="K6" s="5">
        <f t="shared" ref="K6:K15" si="2">IF(G6&lt;&gt;0,G6,(G6-J6)*(C6/I6))</f>
        <v>-0.19999999999999996</v>
      </c>
      <c r="L6" s="55">
        <f>C6+K6</f>
        <v>0.10000000000000003</v>
      </c>
      <c r="M6" s="8">
        <f>SUM(M9:M10)</f>
        <v>0.30000000000000004</v>
      </c>
      <c r="N6" s="8">
        <f>SUM(N9:N10)</f>
        <v>0.30000000000000004</v>
      </c>
      <c r="O6" s="56">
        <f>L6-$C6</f>
        <v>-0.19999999999999996</v>
      </c>
      <c r="P6" s="56">
        <f>M6-$C6</f>
        <v>0</v>
      </c>
      <c r="Q6" s="56">
        <f>N6-$C6</f>
        <v>0</v>
      </c>
      <c r="R6" s="5">
        <f t="shared" ref="R6:R15" si="3">C6+SUM(O6:Q6)</f>
        <v>0.10000000000000003</v>
      </c>
      <c r="S6" s="57" t="str">
        <f t="shared" ref="S6:S15" si="4">B6</f>
        <v>a</v>
      </c>
      <c r="T6"/>
      <c r="U6"/>
      <c r="V6" s="8">
        <f>13/23</f>
        <v>0.56521739130434778</v>
      </c>
    </row>
    <row r="7" spans="2:22" s="8" customFormat="1" x14ac:dyDescent="0.25">
      <c r="B7" s="44" t="s">
        <v>36</v>
      </c>
      <c r="C7" s="51">
        <v>0.7</v>
      </c>
      <c r="D7">
        <f>D9/(D9+D10)</f>
        <v>0.69999999999999984</v>
      </c>
      <c r="E7">
        <f>E9/(E9+E10)</f>
        <v>0.69999999999999984</v>
      </c>
      <c r="F7" s="53" t="str">
        <f t="shared" si="0"/>
        <v>b|a</v>
      </c>
      <c r="G7" s="45">
        <v>0.2</v>
      </c>
      <c r="H7" s="8">
        <f t="shared" si="1"/>
        <v>1</v>
      </c>
      <c r="I7" s="8">
        <f>1-SUMPRODUCT($H$6:$H$8,$C$6:$C$8)</f>
        <v>0.30000000000000004</v>
      </c>
      <c r="J7">
        <f>IF(SUM($G$6:$G$8)=0,0,SUM($G$6:$G$8))</f>
        <v>0.2</v>
      </c>
      <c r="K7" s="5">
        <f t="shared" si="2"/>
        <v>0.2</v>
      </c>
      <c r="L7" s="51">
        <f>C7+K7</f>
        <v>0.89999999999999991</v>
      </c>
      <c r="M7" s="8">
        <f>M9/(M9+M10)</f>
        <v>0.69999999999999984</v>
      </c>
      <c r="N7" s="8">
        <f>N9/(N9+N10)</f>
        <v>0.69999999999999984</v>
      </c>
      <c r="O7" s="47">
        <f t="shared" ref="O7:O15" si="5">L7-C7</f>
        <v>0.19999999999999996</v>
      </c>
      <c r="P7" s="47">
        <f t="shared" ref="P7:P15" si="6">M7-D7</f>
        <v>0</v>
      </c>
      <c r="Q7" s="47">
        <f t="shared" ref="Q7:Q15" si="7">N7-E7</f>
        <v>0</v>
      </c>
      <c r="R7" s="5">
        <f t="shared" si="3"/>
        <v>0.89999999999999991</v>
      </c>
      <c r="S7" s="57" t="str">
        <f t="shared" si="4"/>
        <v>b|a</v>
      </c>
      <c r="T7"/>
      <c r="U7"/>
    </row>
    <row r="8" spans="2:22" s="8" customFormat="1" x14ac:dyDescent="0.25">
      <c r="B8" s="44" t="s">
        <v>38</v>
      </c>
      <c r="C8" s="52">
        <v>0.3</v>
      </c>
      <c r="D8">
        <f>D11/(D11+D12)</f>
        <v>0.29999999999999993</v>
      </c>
      <c r="E8">
        <f>E11/(E11+E12)</f>
        <v>0.29999999999999993</v>
      </c>
      <c r="F8" s="53" t="str">
        <f t="shared" si="0"/>
        <v>b|~a</v>
      </c>
      <c r="G8" s="45">
        <v>0</v>
      </c>
      <c r="H8" s="8">
        <f t="shared" si="1"/>
        <v>0</v>
      </c>
      <c r="I8" s="8">
        <f>1-SUMPRODUCT($H$6:$H$8,$C$6:$C$8)</f>
        <v>0.30000000000000004</v>
      </c>
      <c r="J8">
        <f>IF(SUM($G$6:$G$8)=0,0,SUM($G$6:$G$8))</f>
        <v>0.2</v>
      </c>
      <c r="K8" s="5">
        <f t="shared" si="2"/>
        <v>-0.19999999999999996</v>
      </c>
      <c r="L8" s="52">
        <f>C8+K8</f>
        <v>0.10000000000000003</v>
      </c>
      <c r="M8" s="8">
        <f>M11/(M11+M12)</f>
        <v>0.29999999999999993</v>
      </c>
      <c r="N8" s="8">
        <f>N11/(N11+N12)</f>
        <v>0.29999999999999993</v>
      </c>
      <c r="O8" s="47">
        <f t="shared" si="5"/>
        <v>-0.19999999999999996</v>
      </c>
      <c r="P8" s="47">
        <f t="shared" si="6"/>
        <v>0</v>
      </c>
      <c r="Q8" s="47">
        <f t="shared" si="7"/>
        <v>0</v>
      </c>
      <c r="R8" s="5">
        <f t="shared" si="3"/>
        <v>0.10000000000000003</v>
      </c>
      <c r="S8" s="57" t="str">
        <f t="shared" si="4"/>
        <v>b|~a</v>
      </c>
      <c r="T8"/>
      <c r="U8"/>
      <c r="V8" s="8">
        <f>21/(21+17)</f>
        <v>0.55263157894736847</v>
      </c>
    </row>
    <row r="9" spans="2:22" s="8" customFormat="1" x14ac:dyDescent="0.25">
      <c r="B9" s="44" t="s">
        <v>43</v>
      </c>
      <c r="C9" s="8">
        <f>C6*C7</f>
        <v>0.21</v>
      </c>
      <c r="D9">
        <f>D13*D14</f>
        <v>0.21</v>
      </c>
      <c r="E9" s="50">
        <f>D9</f>
        <v>0.21</v>
      </c>
      <c r="F9" s="53" t="str">
        <f t="shared" si="0"/>
        <v>a &amp; b</v>
      </c>
      <c r="G9" s="45">
        <v>0</v>
      </c>
      <c r="H9" s="8">
        <f t="shared" si="1"/>
        <v>0</v>
      </c>
      <c r="I9" s="8">
        <f>1-SUMPRODUCT($H$9:$H$12,$C$9:$C$12)</f>
        <v>1</v>
      </c>
      <c r="J9">
        <f>IF(SUM($G$9:$G$12)=0,0,SUM($G$9:$G$12))</f>
        <v>0</v>
      </c>
      <c r="K9">
        <f t="shared" si="2"/>
        <v>0</v>
      </c>
      <c r="L9" s="8">
        <f>L6*L7</f>
        <v>9.0000000000000024E-2</v>
      </c>
      <c r="M9" s="8">
        <f>M13*M14</f>
        <v>0.21</v>
      </c>
      <c r="N9" s="1">
        <f>E9+K9</f>
        <v>0.21</v>
      </c>
      <c r="O9" s="47">
        <f t="shared" si="5"/>
        <v>-0.11999999999999997</v>
      </c>
      <c r="P9" s="47">
        <f t="shared" si="6"/>
        <v>0</v>
      </c>
      <c r="Q9" s="58">
        <f t="shared" si="7"/>
        <v>0</v>
      </c>
      <c r="R9" s="55">
        <f t="shared" si="3"/>
        <v>9.0000000000000024E-2</v>
      </c>
      <c r="S9" s="57" t="str">
        <f t="shared" si="4"/>
        <v>a &amp; b</v>
      </c>
      <c r="T9"/>
      <c r="U9"/>
      <c r="V9" s="8">
        <f>1003/2003</f>
        <v>0.50074887668497259</v>
      </c>
    </row>
    <row r="10" spans="2:22" s="8" customFormat="1" x14ac:dyDescent="0.25">
      <c r="B10" s="44" t="s">
        <v>44</v>
      </c>
      <c r="C10" s="8">
        <f>C6*(1-C7)</f>
        <v>9.0000000000000011E-2</v>
      </c>
      <c r="D10">
        <f>(1-D13)*D15</f>
        <v>9.0000000000000024E-2</v>
      </c>
      <c r="E10" s="51">
        <f>D10</f>
        <v>9.0000000000000024E-2</v>
      </c>
      <c r="F10" s="53" t="str">
        <f t="shared" si="0"/>
        <v>a &amp; ~b</v>
      </c>
      <c r="G10" s="45">
        <v>0</v>
      </c>
      <c r="H10" s="8">
        <f t="shared" si="1"/>
        <v>0</v>
      </c>
      <c r="I10" s="8">
        <f>1-SUMPRODUCT($H$9:$H$12,$C$9:$C$12)</f>
        <v>1</v>
      </c>
      <c r="J10">
        <f>IF(SUM($G$9:$G$12)=0,0,SUM($G$9:$G$12))</f>
        <v>0</v>
      </c>
      <c r="K10">
        <f t="shared" si="2"/>
        <v>0</v>
      </c>
      <c r="L10" s="8">
        <f>L6*(1-L7)</f>
        <v>1.0000000000000012E-2</v>
      </c>
      <c r="M10" s="8">
        <f>(1-M13)*M15</f>
        <v>9.0000000000000024E-2</v>
      </c>
      <c r="N10" s="6">
        <f>E10+K10</f>
        <v>9.0000000000000024E-2</v>
      </c>
      <c r="O10" s="47">
        <f t="shared" si="5"/>
        <v>-0.08</v>
      </c>
      <c r="P10" s="47">
        <f t="shared" si="6"/>
        <v>0</v>
      </c>
      <c r="Q10" s="58">
        <f t="shared" si="7"/>
        <v>0</v>
      </c>
      <c r="R10" s="60">
        <f t="shared" si="3"/>
        <v>1.0000000000000009E-2</v>
      </c>
      <c r="S10" s="57" t="str">
        <f t="shared" si="4"/>
        <v>a &amp; ~b</v>
      </c>
      <c r="T10"/>
      <c r="U10"/>
    </row>
    <row r="11" spans="2:22" s="8" customFormat="1" x14ac:dyDescent="0.25">
      <c r="B11" s="44" t="s">
        <v>45</v>
      </c>
      <c r="C11" s="8">
        <f>(1-C6)*C8</f>
        <v>0.21</v>
      </c>
      <c r="D11">
        <f>D13*(1-D14)</f>
        <v>0.21</v>
      </c>
      <c r="E11" s="51">
        <f>D11</f>
        <v>0.21</v>
      </c>
      <c r="F11" s="53" t="str">
        <f t="shared" si="0"/>
        <v>~a &amp; b</v>
      </c>
      <c r="G11" s="45">
        <v>0</v>
      </c>
      <c r="H11" s="8">
        <f t="shared" si="1"/>
        <v>0</v>
      </c>
      <c r="I11" s="8">
        <f>1-SUMPRODUCT($H$9:$H$12,$C$9:$C$12)</f>
        <v>1</v>
      </c>
      <c r="J11">
        <f>IF(SUM($G$9:$G$12)=0,0,SUM($G$9:$G$12))</f>
        <v>0</v>
      </c>
      <c r="K11">
        <f t="shared" si="2"/>
        <v>0</v>
      </c>
      <c r="L11" s="8">
        <f>(1-L6)*L8</f>
        <v>9.0000000000000024E-2</v>
      </c>
      <c r="M11" s="8">
        <f>M13*(1-M14)</f>
        <v>0.21</v>
      </c>
      <c r="N11" s="6">
        <f>E11+K11</f>
        <v>0.21</v>
      </c>
      <c r="O11" s="47">
        <f t="shared" si="5"/>
        <v>-0.11999999999999997</v>
      </c>
      <c r="P11" s="47">
        <f t="shared" si="6"/>
        <v>0</v>
      </c>
      <c r="Q11" s="58">
        <f t="shared" si="7"/>
        <v>0</v>
      </c>
      <c r="R11" s="60">
        <f t="shared" si="3"/>
        <v>9.0000000000000024E-2</v>
      </c>
      <c r="S11" s="57" t="str">
        <f t="shared" si="4"/>
        <v>~a &amp; b</v>
      </c>
      <c r="T11"/>
      <c r="U11"/>
    </row>
    <row r="12" spans="2:22" s="8" customFormat="1" x14ac:dyDescent="0.25">
      <c r="B12" s="44" t="s">
        <v>46</v>
      </c>
      <c r="C12" s="8">
        <f>(1-C6)*(1-C8)</f>
        <v>0.48999999999999994</v>
      </c>
      <c r="D12">
        <f>(1-D13)*(1-D15)</f>
        <v>0.49000000000000005</v>
      </c>
      <c r="E12" s="52">
        <f>D12</f>
        <v>0.49000000000000005</v>
      </c>
      <c r="F12" s="53" t="str">
        <f t="shared" si="0"/>
        <v>~a &amp; ~b</v>
      </c>
      <c r="G12" s="45">
        <v>0</v>
      </c>
      <c r="H12" s="8">
        <f t="shared" si="1"/>
        <v>0</v>
      </c>
      <c r="I12" s="8">
        <f>1-SUMPRODUCT($H$9:$H$12,$C$9:$C$12)</f>
        <v>1</v>
      </c>
      <c r="J12">
        <f>IF(SUM($G$9:$G$12)=0,0,SUM($G$9:$G$12))</f>
        <v>0</v>
      </c>
      <c r="K12">
        <f t="shared" si="2"/>
        <v>0</v>
      </c>
      <c r="L12" s="8">
        <f>(1-L6)*(1-L8)</f>
        <v>0.80999999999999983</v>
      </c>
      <c r="M12" s="8">
        <f>(1-M13)*(1-M15)</f>
        <v>0.49000000000000005</v>
      </c>
      <c r="N12" s="2">
        <f>E12+K12</f>
        <v>0.49000000000000005</v>
      </c>
      <c r="O12" s="47">
        <f t="shared" si="5"/>
        <v>0.3199999999999999</v>
      </c>
      <c r="P12" s="47">
        <f t="shared" si="6"/>
        <v>0</v>
      </c>
      <c r="Q12" s="58">
        <f t="shared" si="7"/>
        <v>0</v>
      </c>
      <c r="R12" s="61">
        <f t="shared" si="3"/>
        <v>0.80999999999999983</v>
      </c>
      <c r="S12" s="57" t="str">
        <f t="shared" si="4"/>
        <v>~a &amp; ~b</v>
      </c>
      <c r="T12"/>
      <c r="U12"/>
    </row>
    <row r="13" spans="2:22" s="8" customFormat="1" ht="18" customHeight="1" x14ac:dyDescent="0.25">
      <c r="B13" s="53" t="s">
        <v>14</v>
      </c>
      <c r="C13">
        <f>C9+C11</f>
        <v>0.42</v>
      </c>
      <c r="D13" s="50">
        <f>C13</f>
        <v>0.42</v>
      </c>
      <c r="E13">
        <f>E9+E11</f>
        <v>0.42</v>
      </c>
      <c r="F13" s="53" t="str">
        <f t="shared" si="0"/>
        <v>b</v>
      </c>
      <c r="G13" s="45">
        <v>0</v>
      </c>
      <c r="H13" s="8">
        <f t="shared" si="1"/>
        <v>0</v>
      </c>
      <c r="I13" s="8">
        <f>1-SUMPRODUCT($H$13:$H$15,$C$13:$C$15)</f>
        <v>1</v>
      </c>
      <c r="J13">
        <f>IF(SUM($G$13:$G$15)=0,0,SUM($G$13:$G$15))</f>
        <v>0</v>
      </c>
      <c r="K13">
        <f t="shared" si="2"/>
        <v>0</v>
      </c>
      <c r="L13" s="8">
        <f>L9+L11</f>
        <v>0.18000000000000005</v>
      </c>
      <c r="M13" s="50">
        <f>D13+K13</f>
        <v>0.42</v>
      </c>
      <c r="N13" s="8">
        <f>N9+N11</f>
        <v>0.42</v>
      </c>
      <c r="O13" s="47">
        <f t="shared" si="5"/>
        <v>-0.23999999999999994</v>
      </c>
      <c r="P13" s="47">
        <f t="shared" si="6"/>
        <v>0</v>
      </c>
      <c r="Q13" s="58">
        <f t="shared" si="7"/>
        <v>0</v>
      </c>
      <c r="R13" s="15">
        <f t="shared" si="3"/>
        <v>0.18000000000000005</v>
      </c>
      <c r="S13" s="57" t="str">
        <f t="shared" si="4"/>
        <v>b</v>
      </c>
      <c r="T13"/>
      <c r="U13"/>
    </row>
    <row r="14" spans="2:22" s="8" customFormat="1" x14ac:dyDescent="0.25">
      <c r="B14" s="53" t="s">
        <v>37</v>
      </c>
      <c r="C14">
        <f>C9/(C9+C11)</f>
        <v>0.5</v>
      </c>
      <c r="D14" s="51">
        <f>C14</f>
        <v>0.5</v>
      </c>
      <c r="E14">
        <f>E9/(E9+E11)</f>
        <v>0.5</v>
      </c>
      <c r="F14" s="53" t="str">
        <f t="shared" si="0"/>
        <v>a|b</v>
      </c>
      <c r="G14" s="45">
        <v>0</v>
      </c>
      <c r="H14" s="8">
        <f t="shared" si="1"/>
        <v>0</v>
      </c>
      <c r="I14" s="8">
        <f>1-SUMPRODUCT($H$13:$H$15,$C$13:$C$15)</f>
        <v>1</v>
      </c>
      <c r="J14">
        <f>IF(SUM($G$13:$G$15)=0,0,SUM($G$13:$G$15))</f>
        <v>0</v>
      </c>
      <c r="K14">
        <f t="shared" si="2"/>
        <v>0</v>
      </c>
      <c r="L14" s="8">
        <f>L9/(L9+L11)</f>
        <v>0.5</v>
      </c>
      <c r="M14" s="51">
        <f>D14+K14</f>
        <v>0.5</v>
      </c>
      <c r="N14" s="8">
        <f>N9/(N9+N11)</f>
        <v>0.5</v>
      </c>
      <c r="O14" s="47">
        <f t="shared" si="5"/>
        <v>0</v>
      </c>
      <c r="P14" s="47">
        <f t="shared" si="6"/>
        <v>0</v>
      </c>
      <c r="Q14" s="58">
        <f t="shared" si="7"/>
        <v>0</v>
      </c>
      <c r="R14" s="15">
        <f t="shared" si="3"/>
        <v>0.5</v>
      </c>
      <c r="S14" s="57" t="str">
        <f t="shared" si="4"/>
        <v>a|b</v>
      </c>
      <c r="T14"/>
      <c r="U14"/>
    </row>
    <row r="15" spans="2:22" s="8" customFormat="1" ht="15.75" thickBot="1" x14ac:dyDescent="0.3">
      <c r="B15" s="53" t="s">
        <v>39</v>
      </c>
      <c r="C15">
        <f>C10/(C10+C12)</f>
        <v>0.15517241379310348</v>
      </c>
      <c r="D15" s="52">
        <f>C15</f>
        <v>0.15517241379310348</v>
      </c>
      <c r="E15">
        <f>E10/(E10+E12)</f>
        <v>0.15517241379310348</v>
      </c>
      <c r="F15" s="53" t="str">
        <f t="shared" si="0"/>
        <v>a|~b</v>
      </c>
      <c r="G15" s="49">
        <v>0</v>
      </c>
      <c r="H15" s="8">
        <f t="shared" si="1"/>
        <v>0</v>
      </c>
      <c r="I15" s="8">
        <f>1-SUMPRODUCT($H$13:$H$15,$C$13:$C$15)</f>
        <v>1</v>
      </c>
      <c r="J15">
        <f>IF(SUM($G$13:$G$15)=0,0,SUM($G$13:$G$15))</f>
        <v>0</v>
      </c>
      <c r="K15">
        <f t="shared" si="2"/>
        <v>0</v>
      </c>
      <c r="L15" s="8">
        <f>L10/(L10+L12)</f>
        <v>1.219512195121953E-2</v>
      </c>
      <c r="M15" s="52">
        <f>D15+K15</f>
        <v>0.15517241379310348</v>
      </c>
      <c r="N15" s="8">
        <f>N10/(N10+N12)</f>
        <v>0.15517241379310348</v>
      </c>
      <c r="O15" s="48">
        <f t="shared" si="5"/>
        <v>-0.14297729184188396</v>
      </c>
      <c r="P15" s="48">
        <f t="shared" si="6"/>
        <v>0</v>
      </c>
      <c r="Q15" s="59">
        <f t="shared" si="7"/>
        <v>0</v>
      </c>
      <c r="R15" s="15">
        <f t="shared" si="3"/>
        <v>1.2195121951219523E-2</v>
      </c>
      <c r="S15" s="57" t="str">
        <f t="shared" si="4"/>
        <v>a|~b</v>
      </c>
      <c r="T15"/>
      <c r="U15"/>
    </row>
    <row r="16" spans="2:22" s="8" customFormat="1" x14ac:dyDescent="0.25">
      <c r="B16"/>
      <c r="C16"/>
      <c r="D16"/>
      <c r="E16"/>
      <c r="F16"/>
      <c r="G16"/>
      <c r="H16"/>
      <c r="I16"/>
      <c r="J16"/>
      <c r="K16"/>
      <c r="O16"/>
      <c r="P16"/>
      <c r="Q16"/>
      <c r="R16" s="6"/>
      <c r="S16"/>
      <c r="T16"/>
      <c r="U16"/>
    </row>
    <row r="17" spans="1:36" s="8" customFormat="1" x14ac:dyDescent="0.25">
      <c r="B17"/>
      <c r="C17">
        <f>SUM(C9:C12)</f>
        <v>1</v>
      </c>
      <c r="D17">
        <f>SUM(D9:D12)</f>
        <v>1</v>
      </c>
      <c r="E17">
        <f>SUM(E9:E12)</f>
        <v>1</v>
      </c>
      <c r="F17">
        <f>SUM(F9:F12)</f>
        <v>0</v>
      </c>
      <c r="G17">
        <f>SUM(G9:G12)</f>
        <v>0</v>
      </c>
      <c r="H17"/>
      <c r="I17"/>
      <c r="J17"/>
      <c r="K17"/>
      <c r="L17">
        <f t="shared" ref="L17:Q17" si="8">SUM(L9:L12)</f>
        <v>0.99999999999999989</v>
      </c>
      <c r="M17">
        <f t="shared" si="8"/>
        <v>1</v>
      </c>
      <c r="N17">
        <f t="shared" si="8"/>
        <v>1</v>
      </c>
      <c r="O17">
        <f t="shared" si="8"/>
        <v>0</v>
      </c>
      <c r="P17">
        <f t="shared" si="8"/>
        <v>0</v>
      </c>
      <c r="Q17">
        <f t="shared" si="8"/>
        <v>0</v>
      </c>
      <c r="R17" s="6"/>
      <c r="S17"/>
      <c r="T17"/>
      <c r="U17"/>
    </row>
    <row r="18" spans="1:36" s="8" customFormat="1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6"/>
      <c r="S18"/>
      <c r="T18"/>
      <c r="U18"/>
    </row>
    <row r="19" spans="1:36" x14ac:dyDescent="0.25">
      <c r="R19" s="2">
        <f>INDEX($R$9:$R$12,COLUMN(Q19)-COLUMN($P$19))</f>
        <v>9.0000000000000024E-2</v>
      </c>
      <c r="S19" s="22">
        <f>INDEX($R$9:$R$12,COLUMN(R19)-COLUMN($P$19))</f>
        <v>1.0000000000000009E-2</v>
      </c>
      <c r="T19" s="22">
        <f>INDEX($R$9:$R$12,COLUMN(S19)-COLUMN($P$19))</f>
        <v>9.0000000000000024E-2</v>
      </c>
      <c r="U19" s="22">
        <f>INDEX($R$9:$R$12,COLUMN(T19)-COLUMN($P$19))</f>
        <v>0.80999999999999983</v>
      </c>
    </row>
    <row r="20" spans="1:36" x14ac:dyDescent="0.25">
      <c r="B20" t="s">
        <v>13</v>
      </c>
      <c r="C20" t="s">
        <v>19</v>
      </c>
      <c r="D20" t="s">
        <v>20</v>
      </c>
      <c r="F20">
        <f>2^2</f>
        <v>4</v>
      </c>
      <c r="H20" t="s">
        <v>34</v>
      </c>
      <c r="I20" t="s">
        <v>35</v>
      </c>
    </row>
    <row r="21" spans="1:36" x14ac:dyDescent="0.25">
      <c r="B21" t="s">
        <v>14</v>
      </c>
      <c r="C21" t="s">
        <v>11</v>
      </c>
      <c r="D21" t="s">
        <v>12</v>
      </c>
      <c r="H21">
        <f>X25</f>
        <v>2.4079456086518718</v>
      </c>
      <c r="I21">
        <f>X25/F20</f>
        <v>0.60198640216296795</v>
      </c>
    </row>
    <row r="22" spans="1:36" ht="15.75" thickBot="1" x14ac:dyDescent="0.3">
      <c r="X22" t="s">
        <v>2</v>
      </c>
      <c r="AB22" t="s">
        <v>33</v>
      </c>
    </row>
    <row r="23" spans="1:36" ht="27.75" customHeight="1" x14ac:dyDescent="0.25">
      <c r="A23" s="43"/>
      <c r="B23" s="43"/>
      <c r="C23" s="26" t="s">
        <v>22</v>
      </c>
      <c r="D23" s="26"/>
      <c r="E23" s="26"/>
      <c r="F23" s="26"/>
      <c r="G23" s="23" t="s">
        <v>4</v>
      </c>
      <c r="H23" s="24"/>
      <c r="I23" s="24"/>
      <c r="J23" s="25"/>
      <c r="K23" s="26" t="s">
        <v>5</v>
      </c>
      <c r="L23" s="26"/>
      <c r="M23" s="26"/>
      <c r="N23" s="26"/>
      <c r="O23" s="27" t="s">
        <v>23</v>
      </c>
      <c r="P23" s="4" t="s">
        <v>25</v>
      </c>
      <c r="S23" s="7"/>
      <c r="T23" s="4" t="s">
        <v>26</v>
      </c>
      <c r="X23" t="s">
        <v>7</v>
      </c>
      <c r="AB23" t="s">
        <v>8</v>
      </c>
      <c r="AG23" s="12" t="str">
        <f>C23</f>
        <v>Probability</v>
      </c>
      <c r="AH23" s="13"/>
      <c r="AI23" s="13"/>
      <c r="AJ23" s="14"/>
    </row>
    <row r="24" spans="1:36" ht="15.75" thickBot="1" x14ac:dyDescent="0.3">
      <c r="A24" s="8"/>
      <c r="B24" s="8"/>
      <c r="C24" s="21" t="s">
        <v>15</v>
      </c>
      <c r="D24" s="21" t="s">
        <v>16</v>
      </c>
      <c r="E24" s="21" t="s">
        <v>17</v>
      </c>
      <c r="F24" s="21" t="s">
        <v>18</v>
      </c>
      <c r="G24" s="17" t="s">
        <v>15</v>
      </c>
      <c r="H24" s="21" t="s">
        <v>16</v>
      </c>
      <c r="I24" s="21" t="s">
        <v>17</v>
      </c>
      <c r="J24" s="18" t="s">
        <v>18</v>
      </c>
      <c r="K24" s="21" t="s">
        <v>15</v>
      </c>
      <c r="L24" s="21" t="s">
        <v>16</v>
      </c>
      <c r="M24" s="21" t="s">
        <v>17</v>
      </c>
      <c r="N24" s="21" t="s">
        <v>18</v>
      </c>
      <c r="O24" s="18" t="s">
        <v>24</v>
      </c>
      <c r="P24" s="21" t="s">
        <v>15</v>
      </c>
      <c r="Q24" s="21" t="s">
        <v>16</v>
      </c>
      <c r="R24" s="21" t="s">
        <v>17</v>
      </c>
      <c r="S24" s="18" t="s">
        <v>18</v>
      </c>
      <c r="T24" s="21" t="s">
        <v>15</v>
      </c>
      <c r="U24" s="21" t="s">
        <v>16</v>
      </c>
      <c r="V24" s="21" t="s">
        <v>17</v>
      </c>
      <c r="W24" s="18" t="s">
        <v>18</v>
      </c>
      <c r="X24" s="21" t="s">
        <v>15</v>
      </c>
      <c r="Y24" s="21" t="s">
        <v>16</v>
      </c>
      <c r="Z24" s="21" t="s">
        <v>17</v>
      </c>
      <c r="AA24" s="18" t="s">
        <v>18</v>
      </c>
      <c r="AB24" s="21" t="s">
        <v>15</v>
      </c>
      <c r="AC24" s="21" t="s">
        <v>16</v>
      </c>
      <c r="AD24" s="21" t="s">
        <v>17</v>
      </c>
      <c r="AE24" s="18" t="s">
        <v>18</v>
      </c>
      <c r="AG24" s="34" t="str">
        <f>C24</f>
        <v>i=0,0</v>
      </c>
      <c r="AH24" s="35" t="str">
        <f>D24</f>
        <v>i=0,1</v>
      </c>
      <c r="AI24" s="35" t="str">
        <f>E24</f>
        <v>i=1,0</v>
      </c>
      <c r="AJ24" s="36" t="str">
        <f>F24</f>
        <v>i=1,1</v>
      </c>
    </row>
    <row r="25" spans="1:36" ht="15.75" thickTop="1" x14ac:dyDescent="0.25">
      <c r="A25" s="8"/>
      <c r="B25" t="s">
        <v>3</v>
      </c>
      <c r="C25" s="22">
        <v>0.21</v>
      </c>
      <c r="D25" s="22">
        <v>9.0000000000000011E-2</v>
      </c>
      <c r="E25" s="22">
        <v>0.21</v>
      </c>
      <c r="F25" s="22">
        <v>0.48999999999999994</v>
      </c>
      <c r="G25" s="2">
        <f>-LN(C25)</f>
        <v>1.5606477482646683</v>
      </c>
      <c r="H25" s="22">
        <f>-LN(D25)</f>
        <v>2.4079456086518718</v>
      </c>
      <c r="I25" s="22">
        <f t="shared" ref="H25:J31" si="9">-LN(E25)</f>
        <v>1.5606477482646683</v>
      </c>
      <c r="J25" s="3">
        <f t="shared" si="9"/>
        <v>0.71334988787746489</v>
      </c>
      <c r="K25" s="22">
        <f>G25-0</f>
        <v>1.5606477482646683</v>
      </c>
      <c r="L25" s="22">
        <f t="shared" ref="L25:N25" si="10">H25-0</f>
        <v>2.4079456086518718</v>
      </c>
      <c r="M25" s="22">
        <f t="shared" si="10"/>
        <v>1.5606477482646683</v>
      </c>
      <c r="N25" s="31">
        <f t="shared" si="10"/>
        <v>0.71334988787746489</v>
      </c>
      <c r="O25" s="3">
        <f>MAX(K25:N25)</f>
        <v>2.4079456086518718</v>
      </c>
      <c r="P25" s="29">
        <f>$O25-K25</f>
        <v>0.84729786038720345</v>
      </c>
      <c r="Q25" s="29">
        <f t="shared" ref="Q25:S31" si="11">$O25-L25</f>
        <v>0</v>
      </c>
      <c r="R25" s="29">
        <f t="shared" si="11"/>
        <v>0.84729786038720345</v>
      </c>
      <c r="S25" s="20">
        <f t="shared" si="11"/>
        <v>1.6945957207744069</v>
      </c>
      <c r="T25" s="22"/>
      <c r="U25" s="22"/>
      <c r="V25" s="22"/>
      <c r="W25" s="22"/>
      <c r="X25" s="22">
        <f>$W$29+$O25</f>
        <v>2.4079456086518718</v>
      </c>
      <c r="Y25" s="22">
        <f t="shared" ref="Y25:AA25" si="12">$W$29+$O25</f>
        <v>2.4079456086518718</v>
      </c>
      <c r="Z25" s="22">
        <f t="shared" si="12"/>
        <v>2.4079456086518718</v>
      </c>
      <c r="AA25" s="3">
        <f t="shared" si="12"/>
        <v>2.4079456086518718</v>
      </c>
      <c r="AB25" s="22"/>
      <c r="AC25" s="22"/>
      <c r="AD25" s="22"/>
      <c r="AE25" s="3"/>
      <c r="AF25" t="str">
        <f t="shared" ref="AF25:AF31" si="13">B25</f>
        <v>Prior</v>
      </c>
      <c r="AG25" s="37">
        <f t="shared" ref="AG25:AJ31" si="14">C25</f>
        <v>0.21</v>
      </c>
      <c r="AH25" s="38">
        <f t="shared" si="14"/>
        <v>9.0000000000000011E-2</v>
      </c>
      <c r="AI25" s="38">
        <f t="shared" si="14"/>
        <v>0.21</v>
      </c>
      <c r="AJ25" s="39">
        <f t="shared" si="14"/>
        <v>0.48999999999999994</v>
      </c>
    </row>
    <row r="26" spans="1:36" x14ac:dyDescent="0.25">
      <c r="A26" s="8"/>
      <c r="B26" t="s">
        <v>27</v>
      </c>
      <c r="C26">
        <v>9.0000000000000024E-2</v>
      </c>
      <c r="D26">
        <v>1.0000000000000009E-2</v>
      </c>
      <c r="E26">
        <v>9.0000000000000024E-2</v>
      </c>
      <c r="F26">
        <v>0.80999999999999983</v>
      </c>
      <c r="G26" s="6">
        <f>-LN(C26)</f>
        <v>2.4079456086518718</v>
      </c>
      <c r="H26">
        <f t="shared" si="9"/>
        <v>4.6051701859880909</v>
      </c>
      <c r="I26">
        <f t="shared" si="9"/>
        <v>2.4079456086518718</v>
      </c>
      <c r="J26" s="7">
        <f t="shared" si="9"/>
        <v>0.21072103131565281</v>
      </c>
      <c r="K26">
        <f>G26-G25</f>
        <v>0.84729786038720345</v>
      </c>
      <c r="L26">
        <f t="shared" ref="L26:N31" si="15">H26-H25</f>
        <v>2.1972245773362191</v>
      </c>
      <c r="M26">
        <f t="shared" si="15"/>
        <v>0.84729786038720345</v>
      </c>
      <c r="N26" s="7">
        <f t="shared" si="15"/>
        <v>-0.50262885656181211</v>
      </c>
      <c r="O26" s="7">
        <f>MAX(K26:N26)</f>
        <v>2.1972245773362191</v>
      </c>
      <c r="P26" s="9">
        <f>$O26-K26</f>
        <v>1.3499267169490157</v>
      </c>
      <c r="Q26" s="9">
        <f t="shared" si="11"/>
        <v>0</v>
      </c>
      <c r="R26" s="9">
        <f>$O26-M26</f>
        <v>1.3499267169490157</v>
      </c>
      <c r="S26" s="10">
        <f>$O26-N26</f>
        <v>2.6998534338980313</v>
      </c>
      <c r="X26">
        <f>X25+$O26</f>
        <v>4.6051701859880909</v>
      </c>
      <c r="Y26">
        <f t="shared" ref="Y26:AA31" si="16">Y25+$O26</f>
        <v>4.6051701859880909</v>
      </c>
      <c r="Z26">
        <f t="shared" si="16"/>
        <v>4.6051701859880909</v>
      </c>
      <c r="AA26" s="7">
        <f t="shared" si="16"/>
        <v>4.6051701859880909</v>
      </c>
      <c r="AB26" s="9">
        <f>P26-$O26</f>
        <v>-0.84729786038720345</v>
      </c>
      <c r="AC26" s="9">
        <f t="shared" ref="AC26:AE31" si="17">Q26-$O26</f>
        <v>-2.1972245773362191</v>
      </c>
      <c r="AD26" s="9">
        <f t="shared" si="17"/>
        <v>-0.84729786038720345</v>
      </c>
      <c r="AE26" s="10">
        <f>S26-$O26</f>
        <v>0.50262885656181222</v>
      </c>
      <c r="AF26" t="str">
        <f t="shared" si="13"/>
        <v>Trader 1</v>
      </c>
      <c r="AG26" s="37">
        <f t="shared" si="14"/>
        <v>9.0000000000000024E-2</v>
      </c>
      <c r="AH26" s="38">
        <f t="shared" si="14"/>
        <v>1.0000000000000009E-2</v>
      </c>
      <c r="AI26" s="38">
        <f t="shared" si="14"/>
        <v>9.0000000000000024E-2</v>
      </c>
      <c r="AJ26" s="39">
        <f t="shared" si="14"/>
        <v>0.80999999999999983</v>
      </c>
    </row>
    <row r="27" spans="1:36" x14ac:dyDescent="0.25">
      <c r="A27" s="8"/>
      <c r="B27" t="s">
        <v>28</v>
      </c>
      <c r="C27">
        <v>0.21000000000000002</v>
      </c>
      <c r="D27">
        <v>9.0000000000000024E-2</v>
      </c>
      <c r="E27">
        <v>0.21000000000000002</v>
      </c>
      <c r="F27">
        <v>0.49</v>
      </c>
      <c r="G27" s="6">
        <f t="shared" ref="G27:G31" si="18">-LN(C27)</f>
        <v>1.5606477482646683</v>
      </c>
      <c r="H27">
        <f t="shared" si="9"/>
        <v>2.4079456086518718</v>
      </c>
      <c r="I27">
        <f t="shared" si="9"/>
        <v>1.5606477482646683</v>
      </c>
      <c r="J27" s="7">
        <f t="shared" si="9"/>
        <v>0.71334988787746478</v>
      </c>
      <c r="K27">
        <f t="shared" ref="K27:K31" si="19">G27-G26</f>
        <v>-0.84729786038720345</v>
      </c>
      <c r="L27">
        <f t="shared" si="15"/>
        <v>-2.1972245773362191</v>
      </c>
      <c r="M27">
        <f t="shared" si="15"/>
        <v>-0.84729786038720345</v>
      </c>
      <c r="N27" s="7">
        <f t="shared" si="15"/>
        <v>0.502628856561812</v>
      </c>
      <c r="O27" s="7">
        <f t="shared" ref="O27:O28" si="20">MAX(K27:N27)</f>
        <v>0.502628856561812</v>
      </c>
      <c r="P27" s="9">
        <f t="shared" ref="P27:P31" si="21">$O27-K27</f>
        <v>1.3499267169490154</v>
      </c>
      <c r="Q27" s="9">
        <f t="shared" si="11"/>
        <v>2.6998534338980313</v>
      </c>
      <c r="R27" s="9">
        <f t="shared" si="11"/>
        <v>1.3499267169490154</v>
      </c>
      <c r="S27" s="10">
        <f t="shared" si="11"/>
        <v>0</v>
      </c>
      <c r="X27">
        <f t="shared" ref="X27:X30" si="22">X26+$O27</f>
        <v>5.1077990425499031</v>
      </c>
      <c r="Y27">
        <f t="shared" si="16"/>
        <v>5.1077990425499031</v>
      </c>
      <c r="Z27">
        <f t="shared" si="16"/>
        <v>5.1077990425499031</v>
      </c>
      <c r="AA27" s="7">
        <f t="shared" si="16"/>
        <v>5.1077990425499031</v>
      </c>
      <c r="AB27" s="9">
        <f>P27-$O27</f>
        <v>0.84729786038720345</v>
      </c>
      <c r="AC27" s="9">
        <f t="shared" si="17"/>
        <v>2.1972245773362191</v>
      </c>
      <c r="AD27" s="9">
        <f t="shared" si="17"/>
        <v>0.84729786038720345</v>
      </c>
      <c r="AE27" s="10">
        <f>S27-$O27</f>
        <v>-0.502628856561812</v>
      </c>
      <c r="AF27" t="str">
        <f t="shared" si="13"/>
        <v>Trader 2</v>
      </c>
      <c r="AG27" s="37">
        <f t="shared" si="14"/>
        <v>0.21000000000000002</v>
      </c>
      <c r="AH27" s="38">
        <f t="shared" si="14"/>
        <v>9.0000000000000024E-2</v>
      </c>
      <c r="AI27" s="38">
        <f t="shared" si="14"/>
        <v>0.21000000000000002</v>
      </c>
      <c r="AJ27" s="39">
        <f t="shared" si="14"/>
        <v>0.49</v>
      </c>
    </row>
    <row r="28" spans="1:36" x14ac:dyDescent="0.25">
      <c r="A28" s="9"/>
      <c r="B28" t="s">
        <v>29</v>
      </c>
      <c r="C28" s="54">
        <v>0.17012658227848101</v>
      </c>
      <c r="D28" s="54">
        <v>7.2911392405063294E-2</v>
      </c>
      <c r="E28" s="54">
        <v>0.36</v>
      </c>
      <c r="F28" s="54">
        <v>0.39696202531645564</v>
      </c>
      <c r="G28" s="6">
        <f t="shared" si="18"/>
        <v>1.7712125173720179</v>
      </c>
      <c r="H28">
        <f t="shared" si="9"/>
        <v>2.6185103777592218</v>
      </c>
      <c r="I28">
        <f t="shared" si="9"/>
        <v>1.0216512475319814</v>
      </c>
      <c r="J28" s="7">
        <f t="shared" si="9"/>
        <v>0.92391465698481456</v>
      </c>
      <c r="K28">
        <f t="shared" si="19"/>
        <v>0.21056476910734956</v>
      </c>
      <c r="L28">
        <f t="shared" si="15"/>
        <v>0.21056476910735</v>
      </c>
      <c r="M28">
        <f t="shared" si="15"/>
        <v>-0.5389965007326869</v>
      </c>
      <c r="N28" s="7">
        <f t="shared" si="15"/>
        <v>0.21056476910734978</v>
      </c>
      <c r="O28" s="7">
        <f t="shared" si="20"/>
        <v>0.21056476910735</v>
      </c>
      <c r="P28" s="9">
        <f>$O28-K28</f>
        <v>4.4408920985006262E-16</v>
      </c>
      <c r="Q28" s="9">
        <f>$O28-L28</f>
        <v>0</v>
      </c>
      <c r="R28" s="9">
        <f t="shared" si="11"/>
        <v>0.7495612698400369</v>
      </c>
      <c r="S28" s="10">
        <f t="shared" si="11"/>
        <v>2.2204460492503131E-16</v>
      </c>
      <c r="V28" s="11"/>
      <c r="W28" s="32" t="s">
        <v>6</v>
      </c>
      <c r="X28">
        <f t="shared" si="22"/>
        <v>5.3183638116572531</v>
      </c>
      <c r="Y28">
        <f t="shared" si="16"/>
        <v>5.3183638116572531</v>
      </c>
      <c r="Z28">
        <f t="shared" si="16"/>
        <v>5.3183638116572531</v>
      </c>
      <c r="AA28" s="7">
        <f t="shared" si="16"/>
        <v>5.3183638116572531</v>
      </c>
      <c r="AB28" s="9">
        <f>P28-$O28</f>
        <v>-0.21056476910734956</v>
      </c>
      <c r="AC28" s="9">
        <f t="shared" si="17"/>
        <v>-0.21056476910735</v>
      </c>
      <c r="AD28" s="9">
        <f t="shared" si="17"/>
        <v>0.5389965007326869</v>
      </c>
      <c r="AE28" s="10">
        <f t="shared" si="17"/>
        <v>-0.21056476910734978</v>
      </c>
      <c r="AF28" t="str">
        <f t="shared" si="13"/>
        <v>Trader 3</v>
      </c>
      <c r="AG28" s="37">
        <f t="shared" si="14"/>
        <v>0.17012658227848101</v>
      </c>
      <c r="AH28" s="38">
        <f t="shared" si="14"/>
        <v>7.2911392405063294E-2</v>
      </c>
      <c r="AI28" s="38">
        <f t="shared" si="14"/>
        <v>0.36</v>
      </c>
      <c r="AJ28" s="39">
        <f t="shared" si="14"/>
        <v>0.39696202531645564</v>
      </c>
    </row>
    <row r="29" spans="1:36" x14ac:dyDescent="0.25">
      <c r="A29" s="9"/>
      <c r="B29" t="s">
        <v>30</v>
      </c>
      <c r="C29" s="54">
        <v>0.12</v>
      </c>
      <c r="D29" s="54">
        <v>0.08</v>
      </c>
      <c r="E29" s="54">
        <v>0.62</v>
      </c>
      <c r="F29" s="54">
        <v>0.12</v>
      </c>
      <c r="G29" s="6">
        <f t="shared" si="18"/>
        <v>2.120263536200091</v>
      </c>
      <c r="H29">
        <f t="shared" si="9"/>
        <v>2.5257286443082556</v>
      </c>
      <c r="I29">
        <f t="shared" si="9"/>
        <v>0.4780358009429998</v>
      </c>
      <c r="J29" s="7">
        <f t="shared" si="9"/>
        <v>2.120263536200091</v>
      </c>
      <c r="K29" s="54">
        <f t="shared" si="19"/>
        <v>0.3490510188280731</v>
      </c>
      <c r="L29" s="54">
        <f t="shared" si="15"/>
        <v>-9.2781733450966186E-2</v>
      </c>
      <c r="M29" s="54">
        <f t="shared" si="15"/>
        <v>-0.54361544658898164</v>
      </c>
      <c r="N29" s="62">
        <f>J29-J28</f>
        <v>1.1963488792152766</v>
      </c>
      <c r="O29" s="62">
        <f>MAX(K29:N29)</f>
        <v>1.1963488792152766</v>
      </c>
      <c r="P29" s="65">
        <f t="shared" si="21"/>
        <v>0.84729786038720345</v>
      </c>
      <c r="Q29" s="65">
        <f t="shared" si="11"/>
        <v>1.2891306126662427</v>
      </c>
      <c r="R29" s="65">
        <f t="shared" si="11"/>
        <v>1.7399643258042583</v>
      </c>
      <c r="S29" s="66">
        <f t="shared" si="11"/>
        <v>0</v>
      </c>
      <c r="W29" s="7">
        <f>MAX(T32:W32,0)</f>
        <v>0</v>
      </c>
      <c r="X29">
        <f t="shared" si="22"/>
        <v>6.5147126908725301</v>
      </c>
      <c r="Y29">
        <f>Y28+$O29</f>
        <v>6.5147126908725301</v>
      </c>
      <c r="Z29">
        <f t="shared" si="16"/>
        <v>6.5147126908725301</v>
      </c>
      <c r="AA29" s="7">
        <f t="shared" si="16"/>
        <v>6.5147126908725301</v>
      </c>
      <c r="AB29" s="65">
        <f t="shared" ref="AB29:AB31" si="23">P29-$O29</f>
        <v>-0.3490510188280731</v>
      </c>
      <c r="AC29" s="65">
        <f t="shared" si="17"/>
        <v>9.2781733450966186E-2</v>
      </c>
      <c r="AD29" s="65">
        <f t="shared" si="17"/>
        <v>0.54361544658898175</v>
      </c>
      <c r="AE29" s="66">
        <f t="shared" si="17"/>
        <v>-1.1963488792152766</v>
      </c>
      <c r="AF29" t="str">
        <f t="shared" si="13"/>
        <v>Trader 4</v>
      </c>
      <c r="AG29" s="37">
        <f t="shared" si="14"/>
        <v>0.12</v>
      </c>
      <c r="AH29" s="38">
        <f t="shared" si="14"/>
        <v>0.08</v>
      </c>
      <c r="AI29" s="38">
        <f t="shared" si="14"/>
        <v>0.62</v>
      </c>
      <c r="AJ29" s="39">
        <f t="shared" si="14"/>
        <v>0.12</v>
      </c>
    </row>
    <row r="30" spans="1:36" x14ac:dyDescent="0.25">
      <c r="A30" s="9"/>
      <c r="B30" t="s">
        <v>31</v>
      </c>
      <c r="C30" s="54">
        <v>0.1</v>
      </c>
      <c r="D30" s="54">
        <v>0.1</v>
      </c>
      <c r="E30" s="54">
        <v>0.71</v>
      </c>
      <c r="F30" s="54">
        <v>0.09</v>
      </c>
      <c r="G30" s="6">
        <f t="shared" si="18"/>
        <v>2.3025850929940455</v>
      </c>
      <c r="H30">
        <f t="shared" si="9"/>
        <v>2.3025850929940455</v>
      </c>
      <c r="I30">
        <f t="shared" si="9"/>
        <v>0.34249030894677601</v>
      </c>
      <c r="J30" s="7">
        <f t="shared" si="9"/>
        <v>2.4079456086518722</v>
      </c>
      <c r="K30" s="54">
        <f t="shared" si="19"/>
        <v>0.18232155679395445</v>
      </c>
      <c r="L30" s="54">
        <f t="shared" si="15"/>
        <v>-0.22314355131421015</v>
      </c>
      <c r="M30" s="54">
        <f t="shared" si="15"/>
        <v>-0.13554549199622379</v>
      </c>
      <c r="N30" s="62">
        <f>J30-J29</f>
        <v>0.28768207245178123</v>
      </c>
      <c r="O30" s="62">
        <f>MAX(K30:N30)</f>
        <v>0.28768207245178123</v>
      </c>
      <c r="P30" s="65">
        <f t="shared" si="21"/>
        <v>0.10536051565782678</v>
      </c>
      <c r="Q30" s="65">
        <f t="shared" si="11"/>
        <v>0.51082562376599139</v>
      </c>
      <c r="R30" s="65">
        <f t="shared" si="11"/>
        <v>0.42322756444800502</v>
      </c>
      <c r="S30" s="66">
        <f t="shared" si="11"/>
        <v>0</v>
      </c>
      <c r="W30" s="7"/>
      <c r="X30">
        <f t="shared" si="22"/>
        <v>6.8023947633243118</v>
      </c>
      <c r="Y30">
        <f t="shared" si="16"/>
        <v>6.8023947633243118</v>
      </c>
      <c r="Z30">
        <f t="shared" si="16"/>
        <v>6.8023947633243118</v>
      </c>
      <c r="AA30" s="7">
        <f t="shared" si="16"/>
        <v>6.8023947633243118</v>
      </c>
      <c r="AB30" s="65">
        <f t="shared" si="23"/>
        <v>-0.18232155679395445</v>
      </c>
      <c r="AC30" s="65">
        <f t="shared" si="17"/>
        <v>0.22314355131421015</v>
      </c>
      <c r="AD30" s="65">
        <f t="shared" si="17"/>
        <v>0.13554549199622379</v>
      </c>
      <c r="AE30" s="66">
        <f t="shared" si="17"/>
        <v>-0.28768207245178123</v>
      </c>
      <c r="AF30" t="str">
        <f t="shared" si="13"/>
        <v>Trader 5</v>
      </c>
      <c r="AG30" s="37">
        <f t="shared" si="14"/>
        <v>0.1</v>
      </c>
      <c r="AH30" s="38">
        <f t="shared" si="14"/>
        <v>0.1</v>
      </c>
      <c r="AI30" s="38">
        <f t="shared" si="14"/>
        <v>0.71</v>
      </c>
      <c r="AJ30" s="39">
        <f t="shared" si="14"/>
        <v>0.09</v>
      </c>
    </row>
    <row r="31" spans="1:36" ht="15.75" thickBot="1" x14ac:dyDescent="0.3">
      <c r="A31" s="8"/>
      <c r="B31" t="s">
        <v>32</v>
      </c>
      <c r="C31" s="54">
        <v>0.06</v>
      </c>
      <c r="D31" s="54">
        <v>0.04</v>
      </c>
      <c r="E31" s="54">
        <v>0.81</v>
      </c>
      <c r="F31" s="54">
        <v>0.09</v>
      </c>
      <c r="G31" s="2">
        <f t="shared" si="18"/>
        <v>2.8134107167600364</v>
      </c>
      <c r="H31" s="22">
        <f t="shared" si="9"/>
        <v>3.2188758248682006</v>
      </c>
      <c r="I31" s="22">
        <f t="shared" si="9"/>
        <v>0.21072103131565253</v>
      </c>
      <c r="J31" s="3">
        <f t="shared" si="9"/>
        <v>2.4079456086518722</v>
      </c>
      <c r="K31" s="63">
        <f t="shared" si="19"/>
        <v>0.51082562376599094</v>
      </c>
      <c r="L31" s="63">
        <f t="shared" si="15"/>
        <v>0.91629073187415511</v>
      </c>
      <c r="M31" s="63">
        <f t="shared" si="15"/>
        <v>-0.13176927763112348</v>
      </c>
      <c r="N31" s="64">
        <f t="shared" si="15"/>
        <v>0</v>
      </c>
      <c r="O31" s="67">
        <f>MAX(K31:N31)</f>
        <v>0.91629073187415511</v>
      </c>
      <c r="P31" s="68">
        <f t="shared" si="21"/>
        <v>0.40546510810816416</v>
      </c>
      <c r="Q31" s="68">
        <f t="shared" si="11"/>
        <v>0</v>
      </c>
      <c r="R31" s="68">
        <f t="shared" si="11"/>
        <v>1.0480600095052786</v>
      </c>
      <c r="S31" s="69">
        <f t="shared" si="11"/>
        <v>0.91629073187415511</v>
      </c>
      <c r="T31" s="17"/>
      <c r="U31" s="21"/>
      <c r="V31" s="21"/>
      <c r="W31" s="18"/>
      <c r="X31" s="17">
        <f>X30+$O31</f>
        <v>7.7186854951984669</v>
      </c>
      <c r="Y31" s="21">
        <f t="shared" si="16"/>
        <v>7.7186854951984669</v>
      </c>
      <c r="Z31" s="21">
        <f t="shared" si="16"/>
        <v>7.7186854951984669</v>
      </c>
      <c r="AA31" s="18">
        <f t="shared" si="16"/>
        <v>7.7186854951984669</v>
      </c>
      <c r="AB31" s="70">
        <f t="shared" si="23"/>
        <v>-0.51082562376599094</v>
      </c>
      <c r="AC31" s="68">
        <f t="shared" si="17"/>
        <v>-0.91629073187415511</v>
      </c>
      <c r="AD31" s="68">
        <f t="shared" si="17"/>
        <v>0.13176927763112345</v>
      </c>
      <c r="AE31" s="69">
        <f t="shared" si="17"/>
        <v>0</v>
      </c>
      <c r="AF31" t="str">
        <f t="shared" si="13"/>
        <v>Trader 6</v>
      </c>
      <c r="AG31" s="40">
        <f t="shared" si="14"/>
        <v>0.06</v>
      </c>
      <c r="AH31" s="41">
        <f t="shared" si="14"/>
        <v>0.04</v>
      </c>
      <c r="AI31" s="41">
        <f t="shared" si="14"/>
        <v>0.81</v>
      </c>
      <c r="AJ31" s="42">
        <f t="shared" si="14"/>
        <v>0.09</v>
      </c>
    </row>
    <row r="32" spans="1:36" ht="15.75" thickTop="1" x14ac:dyDescent="0.25">
      <c r="A32" s="9"/>
      <c r="B32" t="s">
        <v>0</v>
      </c>
      <c r="C32">
        <v>1</v>
      </c>
      <c r="D32">
        <v>0</v>
      </c>
      <c r="E32">
        <v>0</v>
      </c>
      <c r="F32">
        <v>0</v>
      </c>
      <c r="G32" s="33"/>
      <c r="H32" s="9"/>
      <c r="I32" s="9"/>
      <c r="J32" s="10"/>
      <c r="O32" s="28">
        <f>SUM(O25:O31)</f>
        <v>7.7186854951984669</v>
      </c>
      <c r="P32" s="9">
        <f t="shared" ref="P32:S32" si="24">SUM(P25:P31)</f>
        <v>4.9052747784384287</v>
      </c>
      <c r="Q32" s="9">
        <f t="shared" si="24"/>
        <v>4.499809670330265</v>
      </c>
      <c r="R32" s="9">
        <f t="shared" si="24"/>
        <v>7.5079644638828151</v>
      </c>
      <c r="S32" s="28">
        <f t="shared" si="24"/>
        <v>5.3107398865465933</v>
      </c>
      <c r="T32" s="19">
        <f>P32-$O32</f>
        <v>-2.8134107167600382</v>
      </c>
      <c r="U32" s="29">
        <f>Q32-$O32</f>
        <v>-3.2188758248682019</v>
      </c>
      <c r="V32" s="29">
        <f>R32-$O32</f>
        <v>-0.21072103131565179</v>
      </c>
      <c r="W32" s="20">
        <f>S32-$O32</f>
        <v>-2.4079456086518736</v>
      </c>
      <c r="X32">
        <f>X31-P32</f>
        <v>2.8134107167600382</v>
      </c>
      <c r="Y32">
        <f t="shared" ref="Y32:Z32" si="25">Y31-Q32</f>
        <v>3.2188758248682019</v>
      </c>
      <c r="Z32">
        <f t="shared" si="25"/>
        <v>0.21072103131565179</v>
      </c>
      <c r="AA32" s="7">
        <f>AA31-S32</f>
        <v>2.4079456086518736</v>
      </c>
    </row>
  </sheetData>
  <conditionalFormatting sqref="AG25:AJ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{3704F696-6C29-4297-A24D-7938744AAEBB}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04F696-6C29-4297-A24D-7938744AAE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AG25:AJ31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HLMSR</vt:lpstr>
      <vt:lpstr>2x2 (Pr)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Psztorc</cp:lastModifiedBy>
  <dcterms:created xsi:type="dcterms:W3CDTF">2013-11-06T14:19:02Z</dcterms:created>
  <dcterms:modified xsi:type="dcterms:W3CDTF">2013-11-30T07:25:44Z</dcterms:modified>
</cp:coreProperties>
</file>