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2"/>
  </bookViews>
  <sheets>
    <sheet name="HLMSR" sheetId="6" r:id="rId1"/>
    <sheet name="Simple Example" sheetId="10" r:id="rId2"/>
    <sheet name="Continuous" sheetId="11" r:id="rId3"/>
    <sheet name="Changing b mid contract" sheetId="8" r:id="rId4"/>
    <sheet name="Insurance Fraud Experiments" sheetId="9" r:id="rId5"/>
    <sheet name="Some Accounting" sheetId="7" r:id="rId6"/>
    <sheet name="2x2 Update Calculator" sheetId="5" r:id="rId7"/>
  </sheets>
  <calcPr calcId="145621"/>
</workbook>
</file>

<file path=xl/calcChain.xml><?xml version="1.0" encoding="utf-8"?>
<calcChain xmlns="http://schemas.openxmlformats.org/spreadsheetml/2006/main">
  <c r="M21" i="11" l="1"/>
  <c r="G25" i="11" l="1"/>
  <c r="L11" i="11" s="1"/>
  <c r="E27" i="11"/>
  <c r="H9" i="11"/>
  <c r="G9" i="11"/>
  <c r="F9" i="11"/>
  <c r="Q9" i="11" s="1"/>
  <c r="E9" i="11"/>
  <c r="P9" i="11" s="1"/>
  <c r="P15" i="11"/>
  <c r="E20" i="11"/>
  <c r="L10" i="6"/>
  <c r="P19" i="11"/>
  <c r="P18" i="11"/>
  <c r="P17" i="11"/>
  <c r="P16" i="11"/>
  <c r="P14" i="11"/>
  <c r="Q13" i="11"/>
  <c r="P13" i="11"/>
  <c r="H13" i="11"/>
  <c r="G13" i="11"/>
  <c r="Q12" i="11"/>
  <c r="P12" i="11"/>
  <c r="H12" i="11"/>
  <c r="G12" i="11"/>
  <c r="Q11" i="11"/>
  <c r="P11" i="11"/>
  <c r="H11" i="11"/>
  <c r="G11" i="11"/>
  <c r="H10" i="11"/>
  <c r="G10" i="11"/>
  <c r="L10" i="11" l="1"/>
  <c r="P4" i="11" s="1"/>
  <c r="J13" i="11"/>
  <c r="K13" i="11" s="1"/>
  <c r="L12" i="11"/>
  <c r="I10" i="11"/>
  <c r="I12" i="11"/>
  <c r="L13" i="11"/>
  <c r="J10" i="11"/>
  <c r="K10" i="11" s="1"/>
  <c r="J12" i="11"/>
  <c r="K12" i="11" s="1"/>
  <c r="L14" i="11"/>
  <c r="I11" i="11"/>
  <c r="I13" i="11"/>
  <c r="J9" i="11"/>
  <c r="J11" i="11"/>
  <c r="K11" i="11" s="1"/>
  <c r="F20" i="11"/>
  <c r="Q23" i="10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G8" i="10"/>
  <c r="M12" i="11" l="1"/>
  <c r="R12" i="11" s="1"/>
  <c r="U12" i="11" s="1"/>
  <c r="M13" i="11"/>
  <c r="R13" i="11" s="1"/>
  <c r="T13" i="11" s="1"/>
  <c r="M11" i="11"/>
  <c r="R11" i="11" s="1"/>
  <c r="T11" i="11" s="1"/>
  <c r="M10" i="11"/>
  <c r="F19" i="11"/>
  <c r="L19" i="11" s="1"/>
  <c r="L20" i="11"/>
  <c r="H20" i="11"/>
  <c r="J20" i="11" s="1"/>
  <c r="K20" i="11" s="1"/>
  <c r="G20" i="11"/>
  <c r="I20" i="11" s="1"/>
  <c r="L15" i="11"/>
  <c r="L18" i="11"/>
  <c r="M14" i="11"/>
  <c r="L17" i="11"/>
  <c r="L16" i="11"/>
  <c r="U13" i="11"/>
  <c r="V13" i="11" s="1"/>
  <c r="U11" i="11"/>
  <c r="T12" i="11"/>
  <c r="G10" i="10"/>
  <c r="J21" i="10"/>
  <c r="N21" i="10" s="1"/>
  <c r="P21" i="10" s="1"/>
  <c r="R21" i="10" s="1"/>
  <c r="J23" i="10"/>
  <c r="N23" i="10" s="1"/>
  <c r="J9" i="10"/>
  <c r="N9" i="10" s="1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M20" i="11" l="1"/>
  <c r="M22" i="11" s="1"/>
  <c r="M19" i="11"/>
  <c r="V11" i="11"/>
  <c r="V12" i="11"/>
  <c r="N10" i="11"/>
  <c r="N11" i="11" s="1"/>
  <c r="N12" i="11" s="1"/>
  <c r="N13" i="11" s="1"/>
  <c r="N14" i="11" s="1"/>
  <c r="Q17" i="11"/>
  <c r="H16" i="11"/>
  <c r="J16" i="11" s="1"/>
  <c r="K16" i="11" s="1"/>
  <c r="Q16" i="11"/>
  <c r="G16" i="11"/>
  <c r="I16" i="11" s="1"/>
  <c r="H15" i="11"/>
  <c r="J15" i="11" s="1"/>
  <c r="K15" i="11" s="1"/>
  <c r="G15" i="11"/>
  <c r="I15" i="11" s="1"/>
  <c r="M17" i="11"/>
  <c r="H17" i="11"/>
  <c r="J17" i="11" s="1"/>
  <c r="K17" i="11" s="1"/>
  <c r="G17" i="11"/>
  <c r="I17" i="11" s="1"/>
  <c r="H19" i="11"/>
  <c r="J19" i="11" s="1"/>
  <c r="K19" i="11" s="1"/>
  <c r="Q19" i="11"/>
  <c r="G19" i="11"/>
  <c r="I19" i="11" s="1"/>
  <c r="Q15" i="11"/>
  <c r="G14" i="11"/>
  <c r="I14" i="11" s="1"/>
  <c r="H14" i="11"/>
  <c r="J14" i="11" s="1"/>
  <c r="K14" i="11" s="1"/>
  <c r="Q14" i="11"/>
  <c r="M18" i="11"/>
  <c r="H18" i="11"/>
  <c r="J18" i="11" s="1"/>
  <c r="K18" i="11" s="1"/>
  <c r="Q18" i="11"/>
  <c r="G18" i="11"/>
  <c r="I18" i="11" s="1"/>
  <c r="H11" i="10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I12" i="9"/>
  <c r="J12" i="9" s="1"/>
  <c r="H12" i="9"/>
  <c r="G12" i="9"/>
  <c r="I7" i="9"/>
  <c r="U16" i="11" l="1"/>
  <c r="R19" i="11"/>
  <c r="T19" i="11" s="1"/>
  <c r="M15" i="11"/>
  <c r="M23" i="11" s="1"/>
  <c r="M16" i="11"/>
  <c r="R16" i="11" s="1"/>
  <c r="T16" i="11" s="1"/>
  <c r="R18" i="11"/>
  <c r="T18" i="11" s="1"/>
  <c r="R17" i="11"/>
  <c r="T17" i="11" s="1"/>
  <c r="I12" i="10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U18" i="11" l="1"/>
  <c r="V18" i="11" s="1"/>
  <c r="U19" i="11"/>
  <c r="V19" i="11" s="1"/>
  <c r="U17" i="11"/>
  <c r="V17" i="11" s="1"/>
  <c r="V16" i="11"/>
  <c r="N15" i="11"/>
  <c r="N16" i="11" s="1"/>
  <c r="N17" i="11" s="1"/>
  <c r="N18" i="11" s="1"/>
  <c r="N19" i="11" s="1"/>
  <c r="R15" i="11"/>
  <c r="R14" i="11"/>
  <c r="H13" i="10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U14" i="11" l="1"/>
  <c r="T14" i="11"/>
  <c r="U15" i="11"/>
  <c r="T15" i="11"/>
  <c r="H14" i="10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V15" i="11" l="1"/>
  <c r="V14" i="11"/>
  <c r="G15" i="10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<sst xmlns="http://schemas.openxmlformats.org/spreadsheetml/2006/main" count="331" uniqueCount="131">
  <si>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</si>
  <si>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</si>
  <si>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</si>
  <si>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</si>
  <si>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</si>
  <si>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</si>
  <si>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</si>
  <si>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</si>
  <si>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</si>
  <si>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</si>
  <si>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</si>
  <si>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</si>
  <si>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</si>
  <si>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</si>
  <si>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</si>
  <si>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</si>
  <si>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</si>
  <si>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</si>
  <si>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</si>
  <si>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</si>
  <si>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</si>
  <si>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</si>
  <si>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</si>
  <si>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</si>
  <si>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</si>
  <si>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</si>
  <si>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</si>
  <si>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</si>
  <si>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</si>
  <si>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</si>
  <si>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</si>
  <si>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</si>
  <si>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</si>
  <si>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</si>
  <si>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</si>
  <si>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</si>
  <si>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</si>
  <si>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</si>
  <si>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</si>
  <si>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</si>
  <si>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</si>
  <si>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</si>
  <si>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</si>
  <si>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</si>
  <si>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</si>
  <si>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</si>
  <si>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</si>
  <si>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</si>
  <si>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</si>
  <si>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</si>
  <si>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</si>
  <si>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</si>
  <si>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</si>
  <si>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</si>
  <si>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</si>
  <si>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</si>
  <si>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</si>
  <si>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</si>
  <si>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</si>
  <si>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</si>
  <si>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</si>
  <si>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</si>
  <si>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</si>
  <si>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</si>
  <si>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</si>
  <si>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</si>
  <si>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</si>
  <si>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</si>
  <si>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</si>
  <si>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</si>
  <si>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</si>
  <si>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</si>
  <si>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</si>
  <si>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</si>
  <si>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</si>
  <si>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</si>
  <si>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</si>
  <si>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</si>
  <si>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</si>
  <si>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</si>
  <si>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</si>
  <si>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</si>
  <si>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</si>
  <si>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</si>
  <si>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</si>
  <si>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</si>
  <si>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</si>
  <si>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</si>
  <si>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</si>
  <si>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</si>
  <si>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</si>
  <si>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</si>
  <si>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</si>
  <si>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</si>
  <si>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</si>
  <si>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</si>
  <si>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</si>
  <si>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</si>
  <si>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</si>
  <si>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</si>
  <si>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</si>
  <si>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</si>
  <si>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</si>
  <si>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</si>
  <si>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</si>
  <si>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</si>
  <si>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</si>
  <si>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</si>
  <si>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</si>
  <si>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</si>
  <si>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</si>
  <si>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</si>
  <si>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Permanent Liquidity</t>
  </si>
  <si>
    <t>Max</t>
  </si>
  <si>
    <t>Outcome</t>
  </si>
  <si>
    <t>Min</t>
  </si>
  <si>
    <t>Scale Parameter</t>
  </si>
  <si>
    <t>i</t>
  </si>
  <si>
    <t>Refund</t>
  </si>
  <si>
    <t>Post-Hoc Net Cost</t>
  </si>
  <si>
    <t>DJIA 4/17/2014</t>
  </si>
  <si>
    <t>Scaled Contracts</t>
  </si>
  <si>
    <t>Re: consensus, I suppose most frequent value (tie goes to more-central) becomes 1, others become .5</t>
  </si>
  <si>
    <t>Market Author can "get back" the "left over" money, this encourages him to set appropriate min/max as this refund value is low when final value crashes into these limits.</t>
  </si>
  <si>
    <t>Max and Min must be set in advance - The Taleb Criticism</t>
  </si>
  <si>
    <t>What will the Dow Jones Industrial Average closing price be on Feb 13th, 2014?</t>
  </si>
  <si>
    <t>http://measuringworth.com/DJA/</t>
  </si>
  <si>
    <t>http://finance.yahoo.com/echarts?s=%5Edji+interactive</t>
  </si>
  <si>
    <t>https://research.stlouisfed.org/fred2/series/DJIA/downloaddata</t>
  </si>
  <si>
    <t>Escrow Account Balance: enough to pay off the shareholders</t>
  </si>
  <si>
    <t>Redemptions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</si>
</sst>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  <xf numFmtId="0" fontId="0" fillId="3" borderId="41" xfId="0" applyFill="1" applyBorder="1" applyAlignment="1"/>
    <xf numFmtId="2" fontId="0" fillId="3" borderId="39" xfId="1" applyNumberFormat="1" applyFont="1" applyFill="1" applyBorder="1" applyAlignment="1"/>
    <xf numFmtId="2" fontId="0" fillId="3" borderId="22" xfId="1" applyNumberFormat="1" applyFont="1" applyFill="1" applyBorder="1" applyAlignment="1"/>
    <xf numFmtId="2" fontId="0" fillId="3" borderId="41" xfId="1" applyNumberFormat="1" applyFont="1" applyFill="1" applyBorder="1" applyAlignment="1"/>
    <xf numFmtId="2" fontId="0" fillId="3" borderId="19" xfId="1" applyNumberFormat="1" applyFont="1" applyFill="1" applyBorder="1" applyAlignment="1"/>
    <xf numFmtId="0" fontId="3" fillId="8" borderId="0" xfId="0" applyFont="1" applyFill="1" applyBorder="1" applyAlignment="1">
      <alignment horizontal="left" vertical="center"/>
    </xf>
    <xf numFmtId="0" fontId="0" fillId="7" borderId="0" xfId="0" applyFill="1" applyBorder="1" applyAlignment="1"/>
    <xf numFmtId="164" fontId="0" fillId="7" borderId="0" xfId="0" applyNumberFormat="1" applyFill="1" applyBorder="1" applyAlignment="1"/>
    <xf numFmtId="2" fontId="0" fillId="0" borderId="0" xfId="0" applyNumberFormat="1" applyAlignment="1"/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7" borderId="28" xfId="0" applyNumberFormat="1" applyFill="1" applyBorder="1" applyAlignment="1"/>
    <xf numFmtId="2" fontId="0" fillId="0" borderId="17" xfId="1" applyNumberFormat="1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70528"/>
        <c:axId val="113921984"/>
      </c:lineChart>
      <c:catAx>
        <c:axId val="1140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21984"/>
        <c:crosses val="autoZero"/>
        <c:auto val="1"/>
        <c:lblAlgn val="ctr"/>
        <c:lblOffset val="100"/>
        <c:noMultiLvlLbl val="0"/>
      </c:catAx>
      <c:valAx>
        <c:axId val="1139219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0705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0832"/>
        <c:axId val="113924288"/>
      </c:lineChart>
      <c:catAx>
        <c:axId val="1150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24288"/>
        <c:crosses val="autoZero"/>
        <c:auto val="1"/>
        <c:lblAlgn val="ctr"/>
        <c:lblOffset val="100"/>
        <c:noMultiLvlLbl val="0"/>
      </c:catAx>
      <c:valAx>
        <c:axId val="113924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50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DJIA</a:t>
            </a:r>
            <a:r>
              <a:rPr lang="en-US" baseline="0"/>
              <a:t> on 2/13/2014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Continuous!$K$10:$K$20</c:f>
              <c:numCache>
                <c:formatCode>0.00</c:formatCode>
                <c:ptCount val="11"/>
                <c:pt idx="0">
                  <c:v>14000</c:v>
                </c:pt>
                <c:pt idx="1">
                  <c:v>8004.0242015655977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8000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16027.58999999998</c:v>
                </c:pt>
                <c:pt idx="10">
                  <c:v>14210.96641462841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94784"/>
        <c:axId val="115310592"/>
      </c:lineChart>
      <c:catAx>
        <c:axId val="114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10592"/>
        <c:crosses val="autoZero"/>
        <c:auto val="1"/>
        <c:lblAlgn val="ctr"/>
        <c:lblOffset val="100"/>
        <c:noMultiLvlLbl val="0"/>
      </c:catAx>
      <c:valAx>
        <c:axId val="11531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29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96832"/>
        <c:axId val="115312896"/>
      </c:lineChart>
      <c:catAx>
        <c:axId val="1142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12896"/>
        <c:crosses val="autoZero"/>
        <c:auto val="1"/>
        <c:lblAlgn val="ctr"/>
        <c:lblOffset val="100"/>
        <c:noMultiLvlLbl val="0"/>
      </c:catAx>
      <c:valAx>
        <c:axId val="1153128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2968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557893</xdr:colOff>
      <xdr:row>7</xdr:row>
      <xdr:rowOff>220434</xdr:rowOff>
    </xdr:from>
    <xdr:to>
      <xdr:col>32</xdr:col>
      <xdr:colOff>285751</xdr:colOff>
      <xdr:row>22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40475</xdr:colOff>
      <xdr:row>19</xdr:row>
      <xdr:rowOff>210687</xdr:rowOff>
    </xdr:from>
    <xdr:to>
      <xdr:col>26</xdr:col>
      <xdr:colOff>481367</xdr:colOff>
      <xdr:row>35</xdr:row>
      <xdr:rowOff>21922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L11" sqref="L11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3" t="s">
        <v>8</v>
      </c>
      <c r="F25" s="207" t="s">
        <v>9</v>
      </c>
      <c r="G25" s="204" t="s">
        <v>10</v>
      </c>
      <c r="H25" s="208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zoomScale="70" zoomScaleNormal="70" workbookViewId="0">
      <selection activeCell="V31" sqref="V31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19" t="s">
        <v>112</v>
      </c>
      <c r="D2" s="163"/>
      <c r="K2" s="209" t="s">
        <v>106</v>
      </c>
      <c r="L2" s="210">
        <v>7</v>
      </c>
    </row>
    <row r="3" spans="2:24" ht="15.75" thickBot="1" x14ac:dyDescent="0.3">
      <c r="K3" s="211" t="s">
        <v>107</v>
      </c>
      <c r="L3" s="212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30" t="s">
        <v>109</v>
      </c>
      <c r="M6" s="231"/>
      <c r="N6" s="216" t="s">
        <v>110</v>
      </c>
      <c r="P6" s="7" t="s">
        <v>111</v>
      </c>
      <c r="Q6" s="20"/>
      <c r="R6" s="217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L7" s="213" t="str">
        <f>E7</f>
        <v>i=0</v>
      </c>
      <c r="M7" s="214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 t="shared" ref="G8:G23" si="0">EXP(E8/$L$2)/(EXP($F8/$L$2)+EXP($E8/$L$2))</f>
        <v>0.5</v>
      </c>
      <c r="H8" s="202">
        <f t="shared" ref="H8:H23" si="1">EXP(F8/$L$2)/(EXP($F8/$L$2)+EXP($E8/$L$2))</f>
        <v>0.5</v>
      </c>
      <c r="I8" s="95">
        <f t="shared" ref="I8:I24" si="2">$L$2*LN(EXP($F8/$L$2)+EXP($E8/$L$2))</f>
        <v>4.8520302639196169</v>
      </c>
      <c r="J8" s="47">
        <f>(I8-I7)</f>
        <v>4.8520302639196169</v>
      </c>
      <c r="L8" s="135"/>
      <c r="M8" s="118"/>
      <c r="R8"/>
      <c r="X8" s="220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 t="shared" si="0"/>
        <v>0.53565367083397153</v>
      </c>
      <c r="H9" s="199">
        <f t="shared" si="1"/>
        <v>0.46434632916602836</v>
      </c>
      <c r="I9" s="96">
        <f t="shared" si="2"/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15">
        <f t="shared" ref="N9:N23" si="3"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" si="4">IF(M9&gt;0,"Bought ",IF(M9&lt;0,"Sold ",""))&amp;IF(M9&lt;0,M9*-1,IF(M9&gt;0,M9,""))&amp;IF(M9&lt;&gt;0," Shares of State 2 at a cost of "&amp;ROUND($N9,5),"")</f>
        <v/>
      </c>
      <c r="R9" s="218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 t="shared" si="0"/>
        <v>0.32865254651727005</v>
      </c>
      <c r="H10" s="199">
        <f t="shared" si="1"/>
        <v>0.67134745348273006</v>
      </c>
      <c r="I10" s="96">
        <f t="shared" si="2"/>
        <v>8.7892792311985044</v>
      </c>
      <c r="J10" s="50">
        <f t="shared" ref="J10:J22" si="5">(I10-I9)</f>
        <v>3.4194069884395946</v>
      </c>
      <c r="L10" s="135">
        <f t="shared" ref="L10:L23" si="6">E10-E9</f>
        <v>0</v>
      </c>
      <c r="M10" s="118">
        <f t="shared" ref="M10:M23" si="7">F10-F9</f>
        <v>6</v>
      </c>
      <c r="N10" s="215">
        <f t="shared" si="3"/>
        <v>3.4194069884395946</v>
      </c>
      <c r="P10" s="7" t="str">
        <f t="shared" ref="P10:P23" si="8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18" t="str">
        <f t="shared" ref="R10:R23" si="9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 t="shared" si="0"/>
        <v>0.84739133515736897</v>
      </c>
      <c r="H11" s="199">
        <f t="shared" si="1"/>
        <v>0.152608664842631</v>
      </c>
      <c r="I11" s="96">
        <f t="shared" si="2"/>
        <v>19.159148662361027</v>
      </c>
      <c r="J11" s="50">
        <f t="shared" ref="J11:J20" si="10">(I11-I10)</f>
        <v>10.369869431162522</v>
      </c>
      <c r="L11" s="135">
        <f t="shared" si="6"/>
        <v>17</v>
      </c>
      <c r="M11" s="118">
        <f t="shared" si="7"/>
        <v>0</v>
      </c>
      <c r="N11" s="215">
        <f t="shared" si="3"/>
        <v>10.369869431162522</v>
      </c>
      <c r="P11" s="7" t="str">
        <f t="shared" si="8"/>
        <v>Bought 17 Shares of State 1 at a cost of 10.36987</v>
      </c>
      <c r="Q11" s="7" t="str">
        <f t="shared" ref="Q11:Q23" si="11">IF(M11&gt;0,"Bought ",IF(M11&lt;0,"Sold ",""))&amp;IF(M11&lt;0,M11*-1,IF(M11&gt;0,M11,""))&amp;IF(M11&lt;&gt;0," Shares of State 2 at a cost of "&amp;ROUND($N11,5),"")</f>
        <v/>
      </c>
      <c r="R11" s="218" t="str">
        <f t="shared" si="9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 t="shared" si="0"/>
        <v>0.5</v>
      </c>
      <c r="H12" s="199">
        <f t="shared" si="1"/>
        <v>0.5</v>
      </c>
      <c r="I12" s="96">
        <f t="shared" si="2"/>
        <v>22.85203026391962</v>
      </c>
      <c r="J12" s="50">
        <f t="shared" si="10"/>
        <v>3.692881601558593</v>
      </c>
      <c r="L12" s="135">
        <f t="shared" si="6"/>
        <v>0</v>
      </c>
      <c r="M12" s="118">
        <f t="shared" si="7"/>
        <v>12</v>
      </c>
      <c r="N12" s="215">
        <f t="shared" si="3"/>
        <v>3.692881601558593</v>
      </c>
      <c r="P12" s="7" t="str">
        <f t="shared" si="8"/>
        <v/>
      </c>
      <c r="Q12" s="7" t="str">
        <f t="shared" si="11"/>
        <v>Bought 12 Shares of State 2 at a cost of 3.69288</v>
      </c>
      <c r="R12" s="218" t="str">
        <f t="shared" si="9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 t="shared" si="0"/>
        <v>0.88079707797788231</v>
      </c>
      <c r="H13" s="199">
        <f t="shared" si="1"/>
        <v>0.11920292202211759</v>
      </c>
      <c r="I13" s="96">
        <f t="shared" si="2"/>
        <v>32.8884960773008</v>
      </c>
      <c r="J13" s="50">
        <f t="shared" si="10"/>
        <v>10.036465813381181</v>
      </c>
      <c r="L13" s="135">
        <f t="shared" si="6"/>
        <v>14</v>
      </c>
      <c r="M13" s="118">
        <f t="shared" si="7"/>
        <v>0</v>
      </c>
      <c r="N13" s="215">
        <f t="shared" si="3"/>
        <v>10.036465813381181</v>
      </c>
      <c r="P13" s="7" t="str">
        <f t="shared" si="8"/>
        <v>Bought 14 Shares of State 1 at a cost of 10.03647</v>
      </c>
      <c r="Q13" s="7" t="str">
        <f t="shared" si="11"/>
        <v/>
      </c>
      <c r="R13" s="218" t="str">
        <f t="shared" si="9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 t="shared" si="0"/>
        <v>0.57094659688346627</v>
      </c>
      <c r="H14" s="199">
        <f t="shared" si="1"/>
        <v>0.42905340311653373</v>
      </c>
      <c r="I14" s="96">
        <f t="shared" si="2"/>
        <v>35.923217195086352</v>
      </c>
      <c r="J14" s="50">
        <f t="shared" si="10"/>
        <v>3.0347211177855513</v>
      </c>
      <c r="L14" s="135">
        <f t="shared" si="6"/>
        <v>0</v>
      </c>
      <c r="M14" s="118">
        <f t="shared" si="7"/>
        <v>12</v>
      </c>
      <c r="N14" s="215">
        <f t="shared" si="3"/>
        <v>3.0347211177855513</v>
      </c>
      <c r="P14" s="7" t="str">
        <f t="shared" si="8"/>
        <v/>
      </c>
      <c r="Q14" s="7" t="str">
        <f t="shared" si="11"/>
        <v>Bought 12 Shares of State 2 at a cost of 3.03472</v>
      </c>
      <c r="R14" s="218" t="str">
        <f t="shared" si="9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 t="shared" si="0"/>
        <v>0.78342090423182409</v>
      </c>
      <c r="H15" s="199">
        <f t="shared" si="1"/>
        <v>0.21657909576817599</v>
      </c>
      <c r="I15" s="96">
        <f t="shared" si="2"/>
        <v>40.70859621886801</v>
      </c>
      <c r="J15" s="50">
        <f t="shared" si="10"/>
        <v>4.7853790237816582</v>
      </c>
      <c r="L15" s="135">
        <f t="shared" si="6"/>
        <v>7</v>
      </c>
      <c r="M15" s="118">
        <f t="shared" si="7"/>
        <v>0</v>
      </c>
      <c r="N15" s="215">
        <f t="shared" si="3"/>
        <v>4.7853790237816582</v>
      </c>
      <c r="P15" s="7" t="str">
        <f t="shared" si="8"/>
        <v>Bought 7 Shares of State 1 at a cost of 4.78538</v>
      </c>
      <c r="Q15" s="7" t="str">
        <f t="shared" si="11"/>
        <v/>
      </c>
      <c r="R15" s="218" t="str">
        <f t="shared" si="9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 t="shared" si="0"/>
        <v>0.36090725483714864</v>
      </c>
      <c r="H16" s="199">
        <f t="shared" si="1"/>
        <v>0.63909274516285142</v>
      </c>
      <c r="I16" s="96">
        <f t="shared" si="2"/>
        <v>46.133939858256404</v>
      </c>
      <c r="J16" s="50">
        <f t="shared" si="10"/>
        <v>5.4253436393883945</v>
      </c>
      <c r="L16" s="135">
        <f t="shared" si="6"/>
        <v>0</v>
      </c>
      <c r="M16" s="118">
        <f t="shared" si="7"/>
        <v>13</v>
      </c>
      <c r="N16" s="215">
        <f t="shared" si="3"/>
        <v>5.4253436393883945</v>
      </c>
      <c r="P16" s="7" t="str">
        <f t="shared" si="8"/>
        <v/>
      </c>
      <c r="Q16" s="7" t="str">
        <f t="shared" si="11"/>
        <v>Bought 13 Shares of State 2 at a cost of 5.42534</v>
      </c>
      <c r="R16" s="218" t="str">
        <f t="shared" si="9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 t="shared" si="0"/>
        <v>0.88079707797788231</v>
      </c>
      <c r="H17" s="199">
        <f t="shared" si="1"/>
        <v>0.11920292202211764</v>
      </c>
      <c r="I17" s="96">
        <f t="shared" si="2"/>
        <v>57.8884960773008</v>
      </c>
      <c r="J17" s="50">
        <f>(I17-I16)</f>
        <v>11.754556219044396</v>
      </c>
      <c r="L17" s="135">
        <f t="shared" si="6"/>
        <v>18</v>
      </c>
      <c r="M17" s="118">
        <f t="shared" si="7"/>
        <v>0</v>
      </c>
      <c r="N17" s="215">
        <f t="shared" si="3"/>
        <v>11.754556219044396</v>
      </c>
      <c r="P17" s="7" t="str">
        <f t="shared" si="8"/>
        <v>Bought 18 Shares of State 1 at a cost of 11.75456</v>
      </c>
      <c r="Q17" s="7" t="str">
        <f t="shared" si="11"/>
        <v/>
      </c>
      <c r="R17" s="218" t="str">
        <f t="shared" si="9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 t="shared" si="0"/>
        <v>0.36090725483714881</v>
      </c>
      <c r="H18" s="199">
        <f t="shared" si="1"/>
        <v>0.63909274516285108</v>
      </c>
      <c r="I18" s="96">
        <f t="shared" si="2"/>
        <v>64.133939858256412</v>
      </c>
      <c r="J18" s="50">
        <f t="shared" si="10"/>
        <v>6.2454437809556111</v>
      </c>
      <c r="L18" s="135">
        <f t="shared" si="6"/>
        <v>0</v>
      </c>
      <c r="M18" s="118">
        <f t="shared" si="7"/>
        <v>18</v>
      </c>
      <c r="N18" s="215">
        <f t="shared" si="3"/>
        <v>6.2454437809556111</v>
      </c>
      <c r="P18" s="7" t="str">
        <f t="shared" si="8"/>
        <v/>
      </c>
      <c r="Q18" s="7" t="str">
        <f t="shared" si="11"/>
        <v>Bought 18 Shares of State 2 at a cost of 6.24544</v>
      </c>
      <c r="R18" s="218" t="str">
        <f t="shared" si="9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 t="shared" si="0"/>
        <v>0.5</v>
      </c>
      <c r="H19" s="199">
        <f t="shared" si="1"/>
        <v>0.5</v>
      </c>
      <c r="I19" s="96">
        <f t="shared" si="2"/>
        <v>65.852030263919616</v>
      </c>
      <c r="J19" s="50">
        <f t="shared" si="10"/>
        <v>1.7180904056632045</v>
      </c>
      <c r="L19" s="135">
        <f t="shared" si="6"/>
        <v>4</v>
      </c>
      <c r="M19" s="118">
        <f t="shared" si="7"/>
        <v>0</v>
      </c>
      <c r="N19" s="215">
        <f t="shared" si="3"/>
        <v>1.7180904056632045</v>
      </c>
      <c r="P19" s="7" t="str">
        <f t="shared" si="8"/>
        <v>Bought 4 Shares of State 1 at a cost of 1.71809</v>
      </c>
      <c r="Q19" s="7" t="str">
        <f t="shared" si="11"/>
        <v/>
      </c>
      <c r="R19" s="218" t="str">
        <f t="shared" si="9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 t="shared" si="0"/>
        <v>0.95257412682243314</v>
      </c>
      <c r="H20" s="199">
        <f t="shared" si="1"/>
        <v>4.7425873177566823E-2</v>
      </c>
      <c r="I20" s="96">
        <f t="shared" si="2"/>
        <v>61.340111461016193</v>
      </c>
      <c r="J20" s="50">
        <f t="shared" si="10"/>
        <v>-4.5119188029034234</v>
      </c>
      <c r="L20" s="135">
        <f t="shared" si="6"/>
        <v>0</v>
      </c>
      <c r="M20" s="118">
        <f t="shared" si="7"/>
        <v>-21</v>
      </c>
      <c r="N20" s="215">
        <f t="shared" si="3"/>
        <v>-4.5119188029034234</v>
      </c>
      <c r="P20" s="7" t="str">
        <f t="shared" si="8"/>
        <v/>
      </c>
      <c r="Q20" s="7" t="str">
        <f t="shared" si="11"/>
        <v>Sold 21 Shares of State 2 at a cost of -4.51192</v>
      </c>
      <c r="R20" s="218" t="str">
        <f t="shared" si="9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 t="shared" si="0"/>
        <v>0.57094659688346627</v>
      </c>
      <c r="H21" s="199">
        <f t="shared" si="1"/>
        <v>0.42905340311653378</v>
      </c>
      <c r="I21" s="96">
        <f t="shared" si="2"/>
        <v>45.923217195086359</v>
      </c>
      <c r="J21" s="50">
        <f t="shared" si="5"/>
        <v>-15.416894265929834</v>
      </c>
      <c r="L21" s="135">
        <f t="shared" si="6"/>
        <v>-19</v>
      </c>
      <c r="M21" s="118">
        <f t="shared" si="7"/>
        <v>0</v>
      </c>
      <c r="N21" s="215">
        <f t="shared" si="3"/>
        <v>-15.416894265929834</v>
      </c>
      <c r="P21" s="7" t="str">
        <f t="shared" si="8"/>
        <v>Sold 19 Shares of State 1 at a cost of -15.41689</v>
      </c>
      <c r="Q21" s="7" t="str">
        <f t="shared" si="11"/>
        <v/>
      </c>
      <c r="R21" s="218" t="str">
        <f t="shared" si="9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 t="shared" si="0"/>
        <v>0.99111341128091202</v>
      </c>
      <c r="H22" s="199">
        <f t="shared" si="1"/>
        <v>8.8865887190879463E-3</v>
      </c>
      <c r="I22" s="96">
        <f t="shared" si="2"/>
        <v>42.062484169635077</v>
      </c>
      <c r="J22" s="50">
        <f t="shared" si="5"/>
        <v>-3.8607330254512817</v>
      </c>
      <c r="L22" s="135">
        <f t="shared" si="6"/>
        <v>0</v>
      </c>
      <c r="M22" s="118">
        <f t="shared" si="7"/>
        <v>-31</v>
      </c>
      <c r="N22" s="215">
        <f t="shared" si="3"/>
        <v>-3.8607330254512817</v>
      </c>
      <c r="P22" s="7" t="str">
        <f t="shared" si="8"/>
        <v/>
      </c>
      <c r="Q22" s="7" t="str">
        <f t="shared" si="11"/>
        <v>Sold 31 Shares of State 2 at a cost of -3.86073</v>
      </c>
      <c r="R22" s="218" t="str">
        <f t="shared" si="9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 t="shared" si="0"/>
        <v>0.99111341128091202</v>
      </c>
      <c r="H23" s="200">
        <f t="shared" si="1"/>
        <v>8.8865887190879463E-3</v>
      </c>
      <c r="I23" s="133">
        <f t="shared" si="2"/>
        <v>42.062484169635077</v>
      </c>
      <c r="J23" s="134">
        <f>(I23-I22)</f>
        <v>0</v>
      </c>
      <c r="L23" s="143">
        <f t="shared" si="6"/>
        <v>0</v>
      </c>
      <c r="M23" s="120">
        <f t="shared" si="7"/>
        <v>0</v>
      </c>
      <c r="N23" s="215">
        <f t="shared" si="3"/>
        <v>0</v>
      </c>
      <c r="P23" s="7" t="str">
        <f t="shared" si="8"/>
        <v/>
      </c>
      <c r="Q23" s="7" t="str">
        <f t="shared" si="11"/>
        <v/>
      </c>
      <c r="R23" s="218" t="str">
        <f t="shared" si="9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1">
        <f>EXP(F24)/(EXP($F24)+EXP($E24))</f>
        <v>5.7495222642935599E-19</v>
      </c>
      <c r="I24" s="97">
        <f t="shared" si="2"/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tabSelected="1" zoomScale="85" zoomScaleNormal="85" workbookViewId="0">
      <selection activeCell="F12" sqref="F12"/>
    </sheetView>
  </sheetViews>
  <sheetFormatPr defaultRowHeight="15" x14ac:dyDescent="0.25"/>
  <cols>
    <col min="5" max="12" width="11.42578125" style="34" customWidth="1"/>
    <col min="13" max="14" width="12" style="34" customWidth="1"/>
    <col min="15" max="15" width="25.7109375" customWidth="1"/>
    <col min="17" max="17" width="9.42578125" customWidth="1"/>
    <col min="18" max="18" width="12.7109375" customWidth="1"/>
    <col min="19" max="19" width="10.28515625" customWidth="1"/>
    <col min="20" max="20" width="10.7109375" hidden="1" customWidth="1"/>
    <col min="21" max="21" width="0" hidden="1" customWidth="1"/>
    <col min="22" max="22" width="9.42578125" customWidth="1"/>
    <col min="24" max="24" width="12.140625" customWidth="1"/>
    <col min="25" max="25" width="10.5703125" customWidth="1"/>
    <col min="28" max="28" width="11.140625" customWidth="1"/>
  </cols>
  <sheetData>
    <row r="2" spans="2:28" ht="32.25" thickBot="1" x14ac:dyDescent="0.55000000000000004">
      <c r="B2" s="219" t="s">
        <v>121</v>
      </c>
      <c r="D2" s="163"/>
    </row>
    <row r="3" spans="2:28" ht="21" x14ac:dyDescent="0.35">
      <c r="B3" s="7" t="s">
        <v>125</v>
      </c>
      <c r="D3" s="163"/>
      <c r="O3" s="209" t="s">
        <v>106</v>
      </c>
      <c r="P3" s="210">
        <v>0.1</v>
      </c>
    </row>
    <row r="4" spans="2:28" ht="15.75" thickBot="1" x14ac:dyDescent="0.3">
      <c r="B4" s="7" t="s">
        <v>128</v>
      </c>
      <c r="O4" s="211" t="s">
        <v>107</v>
      </c>
      <c r="P4" s="212">
        <f>L10</f>
        <v>831.77661667193433</v>
      </c>
    </row>
    <row r="5" spans="2:28" x14ac:dyDescent="0.25">
      <c r="B5" s="7" t="s">
        <v>127</v>
      </c>
      <c r="O5" s="237"/>
      <c r="P5" s="237"/>
    </row>
    <row r="6" spans="2:28" s="7" customFormat="1" x14ac:dyDescent="0.25">
      <c r="B6" s="7" t="s">
        <v>126</v>
      </c>
      <c r="C6"/>
      <c r="E6" s="17"/>
      <c r="F6" s="17"/>
      <c r="G6" s="34"/>
      <c r="H6" s="34"/>
      <c r="I6" s="34"/>
      <c r="J6" s="34"/>
      <c r="K6" s="34"/>
      <c r="L6" s="34"/>
      <c r="M6" s="34"/>
      <c r="N6" s="34"/>
      <c r="P6" s="27"/>
      <c r="U6"/>
      <c r="V6"/>
      <c r="W6"/>
      <c r="X6" s="8"/>
    </row>
    <row r="7" spans="2:28" s="7" customFormat="1" ht="15.75" thickBot="1" x14ac:dyDescent="0.3">
      <c r="C7"/>
      <c r="D7"/>
      <c r="E7" s="34"/>
      <c r="F7" s="34"/>
      <c r="G7" s="34"/>
      <c r="H7" s="34"/>
      <c r="I7" s="34"/>
      <c r="J7" s="34"/>
      <c r="K7" s="34"/>
      <c r="L7" s="34"/>
      <c r="M7" s="34"/>
      <c r="N7" s="34"/>
      <c r="O7"/>
      <c r="P7"/>
      <c r="Q7"/>
      <c r="R7"/>
      <c r="S7"/>
      <c r="T7"/>
      <c r="U7"/>
      <c r="V7"/>
      <c r="W7"/>
      <c r="X7" s="8"/>
    </row>
    <row r="8" spans="2:28" s="7" customFormat="1" ht="24.75" customHeight="1" thickBot="1" x14ac:dyDescent="0.35">
      <c r="D8"/>
      <c r="E8" s="67" t="s">
        <v>14</v>
      </c>
      <c r="F8" s="68"/>
      <c r="G8" s="68" t="s">
        <v>15</v>
      </c>
      <c r="H8" s="69"/>
      <c r="I8" s="68"/>
      <c r="J8" s="68" t="s">
        <v>79</v>
      </c>
      <c r="K8" s="68"/>
      <c r="L8" s="67" t="s">
        <v>38</v>
      </c>
      <c r="M8" s="69" t="s">
        <v>37</v>
      </c>
      <c r="N8" s="226"/>
      <c r="O8" s="20"/>
      <c r="P8" s="230" t="s">
        <v>109</v>
      </c>
      <c r="Q8" s="231"/>
      <c r="R8" s="216" t="s">
        <v>110</v>
      </c>
      <c r="T8" s="7" t="s">
        <v>111</v>
      </c>
      <c r="U8" s="20"/>
      <c r="V8" s="217" t="s">
        <v>111</v>
      </c>
      <c r="W8" s="20"/>
    </row>
    <row r="9" spans="2:28" s="7" customFormat="1" ht="16.5" thickTop="1" thickBot="1" x14ac:dyDescent="0.3">
      <c r="C9" s="33"/>
      <c r="D9" s="35" t="s">
        <v>51</v>
      </c>
      <c r="E9" s="203" t="str">
        <f>"i="&amp;G23</f>
        <v>i=8000</v>
      </c>
      <c r="F9" s="204" t="str">
        <f>"i="&amp;G24</f>
        <v>i=20000</v>
      </c>
      <c r="G9" s="205" t="str">
        <f>"i="&amp;G23</f>
        <v>i=8000</v>
      </c>
      <c r="H9" s="206" t="str">
        <f>"i="&amp;G24</f>
        <v>i=20000</v>
      </c>
      <c r="I9" s="205" t="s">
        <v>104</v>
      </c>
      <c r="J9" s="206" t="str">
        <f>"i="&amp;G25</f>
        <v>i=12000</v>
      </c>
      <c r="K9" s="206" t="s">
        <v>117</v>
      </c>
      <c r="L9" s="43">
        <v>0</v>
      </c>
      <c r="M9" s="44"/>
      <c r="N9" s="227"/>
      <c r="P9" s="213" t="str">
        <f>E9</f>
        <v>i=8000</v>
      </c>
      <c r="Q9" s="214" t="str">
        <f>F9</f>
        <v>i=20000</v>
      </c>
      <c r="V9"/>
    </row>
    <row r="10" spans="2:28" s="7" customFormat="1" ht="18" customHeight="1" thickTop="1" x14ac:dyDescent="0.25">
      <c r="D10" s="26">
        <v>1</v>
      </c>
      <c r="E10" s="45">
        <v>0</v>
      </c>
      <c r="F10" s="46">
        <v>0</v>
      </c>
      <c r="G10" s="51">
        <f>EXP(E10/$P$3)/(EXP($F10/$P$3)+EXP($E10/$P$3))</f>
        <v>0.5</v>
      </c>
      <c r="H10" s="202">
        <f>EXP(F10/$P$3)/(EXP($F10/$P$3)+EXP($E10/$P$3))</f>
        <v>0.5</v>
      </c>
      <c r="I10" s="45">
        <f t="shared" ref="I10:I20" si="0">(G10*$G$25)</f>
        <v>6000</v>
      </c>
      <c r="J10" s="222">
        <f t="shared" ref="J10:J20" si="1">(H10*$G$25)</f>
        <v>6000</v>
      </c>
      <c r="K10" s="222">
        <f>J10+$G$23</f>
        <v>14000</v>
      </c>
      <c r="L10" s="95">
        <f>$P$3*LN(EXP($F10/$P$3)+EXP($E10/$P$3))*$G$25</f>
        <v>831.77661667193433</v>
      </c>
      <c r="M10" s="47">
        <f>(L10-L9)</f>
        <v>831.77661667193433</v>
      </c>
      <c r="N10" s="228">
        <f>N9+M10</f>
        <v>831.77661667193433</v>
      </c>
      <c r="P10" s="135"/>
      <c r="Q10" s="118"/>
      <c r="V10"/>
      <c r="AB10" s="220"/>
    </row>
    <row r="11" spans="2:28" s="7" customFormat="1" ht="18.75" x14ac:dyDescent="0.3">
      <c r="D11" s="26">
        <v>2</v>
      </c>
      <c r="E11" s="48">
        <v>1</v>
      </c>
      <c r="F11" s="42">
        <v>0.2</v>
      </c>
      <c r="G11" s="49">
        <f>EXP(E11/$P$3)/(EXP($F11/$P$3)+EXP($E11/$P$3))</f>
        <v>0.99966464986953352</v>
      </c>
      <c r="H11" s="199">
        <f>EXP(F11/$P$3)/(EXP($F11/$P$3)+EXP($E11/$P$3))</f>
        <v>3.3535013046647811E-4</v>
      </c>
      <c r="I11" s="48">
        <f t="shared" si="0"/>
        <v>11995.975798434401</v>
      </c>
      <c r="J11" s="223">
        <f t="shared" si="1"/>
        <v>4.0242015655977372</v>
      </c>
      <c r="K11" s="223">
        <f t="shared" ref="K11:K19" si="2">J11+$G$23</f>
        <v>8004.0242015655977</v>
      </c>
      <c r="L11" s="96">
        <f>$P$3*LN(EXP($F11/$P$3)+EXP($E11/$P$3))*$G$25</f>
        <v>12000.402487647474</v>
      </c>
      <c r="M11" s="50">
        <f t="shared" ref="M11:M19" si="3">(L11-L10)</f>
        <v>11168.62587097554</v>
      </c>
      <c r="N11" s="228">
        <f t="shared" ref="N11:N19" si="4">N10+M11</f>
        <v>12000.402487647474</v>
      </c>
      <c r="P11" s="135">
        <f t="shared" ref="P11:P19" si="5">E11-E10</f>
        <v>1</v>
      </c>
      <c r="Q11" s="118">
        <f t="shared" ref="Q11:Q19" si="6">F11-F10</f>
        <v>0.2</v>
      </c>
      <c r="R11" s="215">
        <f t="shared" ref="R11:R19" si="7">M11</f>
        <v>11168.62587097554</v>
      </c>
      <c r="T11" s="7" t="str">
        <f>IF(P11&gt;0,"Bought ",IF(P11&lt;0,"Sold ",""))&amp;IF(P11&lt;0,P11*-1,IF(P11&gt;0,P11,""))&amp;IF(P11&lt;&gt;0," Shares of State 1 at a cost of "&amp;ROUND($R11,5),"")</f>
        <v>Bought 1 Shares of State 1 at a cost of 11168.62587</v>
      </c>
      <c r="U11" s="7" t="str">
        <f t="shared" ref="U11" si="8">IF(Q11&gt;0,"Bought ",IF(Q11&lt;0,"Sold ",""))&amp;IF(Q11&lt;0,Q11*-1,IF(Q11&gt;0,Q11,""))&amp;IF(Q11&lt;&gt;0," Shares of State 2 at a cost of "&amp;ROUND($R11,5),"")</f>
        <v>Bought 0.2 Shares of State 2 at a cost of 11168.62587</v>
      </c>
      <c r="V11" s="218" t="str">
        <f>T11&amp;U11</f>
        <v>Bought 1 Shares of State 1 at a cost of 11168.62587Bought 0.2 Shares of State 2 at a cost of 11168.62587</v>
      </c>
    </row>
    <row r="12" spans="2:28" s="7" customFormat="1" ht="18.75" x14ac:dyDescent="0.3">
      <c r="D12" s="26">
        <v>3</v>
      </c>
      <c r="E12" s="48">
        <v>1</v>
      </c>
      <c r="F12" s="42">
        <v>1</v>
      </c>
      <c r="G12" s="49">
        <f>EXP(E12/$P$3)/(EXP($F12/$P$3)+EXP($E12/$P$3))</f>
        <v>0.5</v>
      </c>
      <c r="H12" s="199">
        <f>EXP(F12/$P$3)/(EXP($F12/$P$3)+EXP($E12/$P$3))</f>
        <v>0.5</v>
      </c>
      <c r="I12" s="48">
        <f t="shared" si="0"/>
        <v>6000</v>
      </c>
      <c r="J12" s="223">
        <f t="shared" si="1"/>
        <v>6000</v>
      </c>
      <c r="K12" s="223">
        <f t="shared" si="2"/>
        <v>14000</v>
      </c>
      <c r="L12" s="96">
        <f>$P$3*LN(EXP($F12/$P$3)+EXP($E12/$P$3))*$G$25</f>
        <v>12831.776616671934</v>
      </c>
      <c r="M12" s="50">
        <f t="shared" si="3"/>
        <v>831.37412902445976</v>
      </c>
      <c r="N12" s="228">
        <f t="shared" si="4"/>
        <v>12831.776616671934</v>
      </c>
      <c r="P12" s="135">
        <f t="shared" si="5"/>
        <v>0</v>
      </c>
      <c r="Q12" s="118">
        <f t="shared" si="6"/>
        <v>0.8</v>
      </c>
      <c r="R12" s="215">
        <f t="shared" si="7"/>
        <v>831.37412902445976</v>
      </c>
      <c r="T12" s="7" t="str">
        <f>IF(P12&gt;0,"Bought ",IF(P12&lt;0,"Sold ",""))&amp;IF(P12&lt;0,P12*-1,IF(P12&gt;0,P12,""))&amp;IF(P12&lt;&gt;0," Shares of State 1 at a cost of "&amp;ROUND($R12,5),"")</f>
        <v/>
      </c>
      <c r="U12" s="7" t="str">
        <f>IF(Q12&gt;0,"Bought ",IF(Q12&lt;0,"Sold ",""))&amp;IF(Q12&lt;0,Q12*-1,IF(Q12&gt;0,Q12,""))&amp;IF(Q12&lt;&gt;0," Shares of State 2 at a cost of "&amp;ROUND($R12,5),"")</f>
        <v>Bought 0.8 Shares of State 2 at a cost of 831.37413</v>
      </c>
      <c r="V12" s="218" t="str">
        <f t="shared" ref="V12:V19" si="9">T12&amp;U12</f>
        <v>Bought 0.8 Shares of State 2 at a cost of 831.37413</v>
      </c>
    </row>
    <row r="13" spans="2:28" s="7" customFormat="1" ht="18.75" x14ac:dyDescent="0.3">
      <c r="D13" s="26">
        <v>4</v>
      </c>
      <c r="E13" s="48">
        <v>2</v>
      </c>
      <c r="F13" s="42">
        <v>2</v>
      </c>
      <c r="G13" s="49">
        <f>EXP(E13/$P$3)/(EXP($F13/$P$3)+EXP($E13/$P$3))</f>
        <v>0.5</v>
      </c>
      <c r="H13" s="199">
        <f>EXP(F13/$P$3)/(EXP($F13/$P$3)+EXP($E13/$P$3))</f>
        <v>0.5</v>
      </c>
      <c r="I13" s="48">
        <f t="shared" si="0"/>
        <v>6000</v>
      </c>
      <c r="J13" s="223">
        <f t="shared" si="1"/>
        <v>6000</v>
      </c>
      <c r="K13" s="223">
        <f t="shared" si="2"/>
        <v>14000</v>
      </c>
      <c r="L13" s="96">
        <f>$P$3*LN(EXP($F13/$P$3)+EXP($E13/$P$3))*$G$25</f>
        <v>24831.776616671934</v>
      </c>
      <c r="M13" s="50">
        <f t="shared" si="3"/>
        <v>12000</v>
      </c>
      <c r="N13" s="228">
        <f t="shared" si="4"/>
        <v>24831.776616671934</v>
      </c>
      <c r="P13" s="135">
        <f t="shared" si="5"/>
        <v>1</v>
      </c>
      <c r="Q13" s="118">
        <f t="shared" si="6"/>
        <v>1</v>
      </c>
      <c r="R13" s="215">
        <f t="shared" si="7"/>
        <v>12000</v>
      </c>
      <c r="T13" s="7" t="str">
        <f>IF(P13&gt;0,"Bought ",IF(P13&lt;0,"Sold ",""))&amp;IF(P13&lt;0,P13*-1,IF(P13&gt;0,P13,""))&amp;IF(P13&lt;&gt;0," Shares of State 1 at a cost of "&amp;ROUND($R13,5),"")</f>
        <v>Bought 1 Shares of State 1 at a cost of 12000</v>
      </c>
      <c r="U13" s="7" t="str">
        <f>IF(Q13&gt;0,"Bought ",IF(Q13&lt;0,"Sold ",""))&amp;IF(Q13&lt;0,Q13*-1,IF(Q13&gt;0,Q13,""))&amp;IF(Q13&lt;&gt;0," Shares of State 2 at a cost of "&amp;ROUND($R13,5),"")</f>
        <v>Bought 1 Shares of State 2 at a cost of 12000</v>
      </c>
      <c r="V13" s="218" t="str">
        <f t="shared" si="9"/>
        <v>Bought 1 Shares of State 1 at a cost of 12000Bought 1 Shares of State 2 at a cost of 12000</v>
      </c>
    </row>
    <row r="14" spans="2:28" s="7" customFormat="1" ht="18.75" x14ac:dyDescent="0.3">
      <c r="D14" s="26">
        <v>5</v>
      </c>
      <c r="E14" s="48">
        <v>12</v>
      </c>
      <c r="F14" s="42">
        <v>12</v>
      </c>
      <c r="G14" s="49">
        <f>EXP(E14/$P$3)/(EXP($F14/$P$3)+EXP($E14/$P$3))</f>
        <v>0.5</v>
      </c>
      <c r="H14" s="199">
        <f>EXP(F14/$P$3)/(EXP($F14/$P$3)+EXP($E14/$P$3))</f>
        <v>0.5</v>
      </c>
      <c r="I14" s="48">
        <f t="shared" si="0"/>
        <v>6000</v>
      </c>
      <c r="J14" s="223">
        <f t="shared" si="1"/>
        <v>6000</v>
      </c>
      <c r="K14" s="223">
        <f t="shared" si="2"/>
        <v>14000</v>
      </c>
      <c r="L14" s="96">
        <f>$P$3*LN(EXP($F14/$P$3)+EXP($E14/$P$3))*$G$25</f>
        <v>144831.77661667194</v>
      </c>
      <c r="M14" s="50">
        <f>(L14-L13)</f>
        <v>120000</v>
      </c>
      <c r="N14" s="228">
        <f t="shared" si="4"/>
        <v>144831.77661667194</v>
      </c>
      <c r="P14" s="135">
        <f t="shared" si="5"/>
        <v>10</v>
      </c>
      <c r="Q14" s="118">
        <f t="shared" si="6"/>
        <v>10</v>
      </c>
      <c r="R14" s="215">
        <f t="shared" ref="R14:R18" si="10">M14</f>
        <v>120000</v>
      </c>
      <c r="T14" s="7" t="str">
        <f t="shared" ref="T14:T18" si="11">IF(P14&gt;0,"Bought ",IF(P14&lt;0,"Sold ",""))&amp;IF(P14&lt;0,P14*-1,IF(P14&gt;0,P14,""))&amp;IF(P14&lt;&gt;0," Shares of State 1 at a cost of "&amp;ROUND($R14,5),"")</f>
        <v>Bought 10 Shares of State 1 at a cost of 120000</v>
      </c>
      <c r="U14" s="7" t="str">
        <f t="shared" ref="U14:U18" si="12">IF(Q14&gt;0,"Bought ",IF(Q14&lt;0,"Sold ",""))&amp;IF(Q14&lt;0,Q14*-1,IF(Q14&gt;0,Q14,""))&amp;IF(Q14&lt;&gt;0," Shares of State 2 at a cost of "&amp;ROUND($R14,5),"")</f>
        <v>Bought 10 Shares of State 2 at a cost of 120000</v>
      </c>
      <c r="V14" s="218" t="str">
        <f t="shared" ref="V14:V18" si="13">T14&amp;U14</f>
        <v>Bought 10 Shares of State 1 at a cost of 120000Bought 10 Shares of State 2 at a cost of 120000</v>
      </c>
    </row>
    <row r="15" spans="2:28" s="7" customFormat="1" ht="18.75" x14ac:dyDescent="0.3">
      <c r="D15" s="26">
        <v>12</v>
      </c>
      <c r="E15" s="48">
        <v>30</v>
      </c>
      <c r="F15" s="42">
        <v>15</v>
      </c>
      <c r="G15" s="49">
        <f>EXP(E15/$P$3)/(EXP($F15/$P$3)+EXP($E15/$P$3))</f>
        <v>1</v>
      </c>
      <c r="H15" s="199">
        <f>EXP(F15/$P$3)/(EXP($F15/$P$3)+EXP($E15/$P$3))</f>
        <v>7.1750959731644108E-66</v>
      </c>
      <c r="I15" s="48">
        <f t="shared" si="0"/>
        <v>12000</v>
      </c>
      <c r="J15" s="223">
        <f t="shared" si="1"/>
        <v>8.6101151677972925E-62</v>
      </c>
      <c r="K15" s="223">
        <f t="shared" si="2"/>
        <v>8000</v>
      </c>
      <c r="L15" s="96">
        <f>$P$3*LN(EXP($F15/$P$3)+EXP($E15/$P$3))*$G$25</f>
        <v>360000</v>
      </c>
      <c r="M15" s="50">
        <f t="shared" si="3"/>
        <v>215168.22338332806</v>
      </c>
      <c r="N15" s="228">
        <f t="shared" si="4"/>
        <v>360000</v>
      </c>
      <c r="P15" s="135">
        <f t="shared" si="5"/>
        <v>18</v>
      </c>
      <c r="Q15" s="118">
        <f t="shared" si="6"/>
        <v>3</v>
      </c>
      <c r="R15" s="215">
        <f t="shared" si="10"/>
        <v>215168.22338332806</v>
      </c>
      <c r="T15" s="7" t="str">
        <f t="shared" si="11"/>
        <v>Bought 18 Shares of State 1 at a cost of 215168.22338</v>
      </c>
      <c r="U15" s="7" t="str">
        <f t="shared" si="12"/>
        <v>Bought 3 Shares of State 2 at a cost of 215168.22338</v>
      </c>
      <c r="V15" s="218" t="str">
        <f t="shared" si="13"/>
        <v>Bought 18 Shares of State 1 at a cost of 215168.22338Bought 3 Shares of State 2 at a cost of 215168.22338</v>
      </c>
    </row>
    <row r="16" spans="2:28" s="7" customFormat="1" ht="18.75" x14ac:dyDescent="0.3">
      <c r="D16" s="26">
        <v>13</v>
      </c>
      <c r="E16" s="48">
        <v>11</v>
      </c>
      <c r="F16" s="42">
        <v>15</v>
      </c>
      <c r="G16" s="49">
        <f>EXP(E16/$P$3)/(EXP($F16/$P$3)+EXP($E16/$P$3))</f>
        <v>4.2483542552915889E-18</v>
      </c>
      <c r="H16" s="199">
        <f>EXP(F16/$P$3)/(EXP($F16/$P$3)+EXP($E16/$P$3))</f>
        <v>1</v>
      </c>
      <c r="I16" s="48">
        <f t="shared" si="0"/>
        <v>5.0980251063499068E-14</v>
      </c>
      <c r="J16" s="223">
        <f t="shared" si="1"/>
        <v>12000</v>
      </c>
      <c r="K16" s="223">
        <f t="shared" si="2"/>
        <v>20000</v>
      </c>
      <c r="L16" s="96">
        <f>$P$3*LN(EXP($F16/$P$3)+EXP($E16/$P$3))*$G$25</f>
        <v>180000</v>
      </c>
      <c r="M16" s="50">
        <f t="shared" si="3"/>
        <v>-180000</v>
      </c>
      <c r="N16" s="228">
        <f t="shared" si="4"/>
        <v>180000</v>
      </c>
      <c r="P16" s="135">
        <f t="shared" si="5"/>
        <v>-19</v>
      </c>
      <c r="Q16" s="118">
        <f t="shared" si="6"/>
        <v>0</v>
      </c>
      <c r="R16" s="215">
        <f t="shared" si="10"/>
        <v>-180000</v>
      </c>
      <c r="T16" s="7" t="str">
        <f t="shared" si="11"/>
        <v>Sold 19 Shares of State 1 at a cost of -180000</v>
      </c>
      <c r="U16" s="7" t="str">
        <f t="shared" si="12"/>
        <v/>
      </c>
      <c r="V16" s="218" t="str">
        <f t="shared" si="13"/>
        <v>Sold 19 Shares of State 1 at a cost of -180000</v>
      </c>
    </row>
    <row r="17" spans="3:23" s="7" customFormat="1" ht="18.75" x14ac:dyDescent="0.3">
      <c r="D17" s="26">
        <v>14</v>
      </c>
      <c r="E17" s="48">
        <v>16</v>
      </c>
      <c r="F17" s="42">
        <v>22</v>
      </c>
      <c r="G17" s="49">
        <f>EXP(E17/$P$3)/(EXP($F17/$P$3)+EXP($E17/$P$3))</f>
        <v>8.75651076269652E-27</v>
      </c>
      <c r="H17" s="199">
        <f>EXP(F17/$P$3)/(EXP($F17/$P$3)+EXP($E17/$P$3))</f>
        <v>1</v>
      </c>
      <c r="I17" s="48">
        <f t="shared" si="0"/>
        <v>1.0507812915235824E-22</v>
      </c>
      <c r="J17" s="223">
        <f t="shared" si="1"/>
        <v>12000</v>
      </c>
      <c r="K17" s="223">
        <f t="shared" si="2"/>
        <v>20000</v>
      </c>
      <c r="L17" s="96">
        <f>$P$3*LN(EXP($F17/$P$3)+EXP($E17/$P$3))*$G$25</f>
        <v>264000</v>
      </c>
      <c r="M17" s="50">
        <f t="shared" si="3"/>
        <v>84000</v>
      </c>
      <c r="N17" s="228">
        <f t="shared" si="4"/>
        <v>264000</v>
      </c>
      <c r="P17" s="135">
        <f t="shared" si="5"/>
        <v>5</v>
      </c>
      <c r="Q17" s="118">
        <f t="shared" si="6"/>
        <v>7</v>
      </c>
      <c r="R17" s="215">
        <f t="shared" si="10"/>
        <v>84000</v>
      </c>
      <c r="T17" s="7" t="str">
        <f t="shared" si="11"/>
        <v>Bought 5 Shares of State 1 at a cost of 84000</v>
      </c>
      <c r="U17" s="7" t="str">
        <f t="shared" si="12"/>
        <v>Bought 7 Shares of State 2 at a cost of 84000</v>
      </c>
      <c r="V17" s="218" t="str">
        <f t="shared" si="13"/>
        <v>Bought 5 Shares of State 1 at a cost of 84000Bought 7 Shares of State 2 at a cost of 84000</v>
      </c>
    </row>
    <row r="18" spans="3:23" s="7" customFormat="1" ht="18.75" x14ac:dyDescent="0.3">
      <c r="C18"/>
      <c r="D18" s="26">
        <v>15</v>
      </c>
      <c r="E18" s="48">
        <v>16</v>
      </c>
      <c r="F18" s="42">
        <v>21</v>
      </c>
      <c r="G18" s="49">
        <f>EXP(E18/$P$3)/(EXP($F18/$P$3)+EXP($E18/$P$3))</f>
        <v>1.9287498479639178E-22</v>
      </c>
      <c r="H18" s="199">
        <f>EXP(F18/$P$3)/(EXP($F18/$P$3)+EXP($E18/$P$3))</f>
        <v>1</v>
      </c>
      <c r="I18" s="48">
        <f t="shared" si="0"/>
        <v>2.3144998175567013E-18</v>
      </c>
      <c r="J18" s="223">
        <f t="shared" si="1"/>
        <v>12000</v>
      </c>
      <c r="K18" s="223">
        <f t="shared" si="2"/>
        <v>20000</v>
      </c>
      <c r="L18" s="96">
        <f>$P$3*LN(EXP($F18/$P$3)+EXP($E18/$P$3))*$G$25</f>
        <v>252000</v>
      </c>
      <c r="M18" s="50">
        <f t="shared" si="3"/>
        <v>-12000</v>
      </c>
      <c r="N18" s="228">
        <f t="shared" si="4"/>
        <v>252000</v>
      </c>
      <c r="P18" s="135">
        <f t="shared" si="5"/>
        <v>0</v>
      </c>
      <c r="Q18" s="118">
        <f t="shared" si="6"/>
        <v>-1</v>
      </c>
      <c r="R18" s="215">
        <f t="shared" si="10"/>
        <v>-12000</v>
      </c>
      <c r="T18" s="7" t="str">
        <f t="shared" si="11"/>
        <v/>
      </c>
      <c r="U18" s="7" t="str">
        <f t="shared" si="12"/>
        <v>Sold 1 Shares of State 2 at a cost of -12000</v>
      </c>
      <c r="V18" s="218" t="str">
        <f t="shared" si="13"/>
        <v>Sold 1 Shares of State 2 at a cost of -12000</v>
      </c>
    </row>
    <row r="19" spans="3:23" s="7" customFormat="1" ht="19.5" thickBot="1" x14ac:dyDescent="0.35">
      <c r="D19" s="26">
        <v>16</v>
      </c>
      <c r="E19" s="40">
        <v>12</v>
      </c>
      <c r="F19" s="221">
        <f>$F$20</f>
        <v>12.070351139496553</v>
      </c>
      <c r="G19" s="131">
        <f>EXP(E19/$P$3)/(EXP($F19/$P$3)+EXP($E19/$P$3))</f>
        <v>0.33103416666666818</v>
      </c>
      <c r="H19" s="200">
        <f>EXP(F19/$P$3)/(EXP($F19/$P$3)+EXP($E19/$P$3))</f>
        <v>0.66896583333333171</v>
      </c>
      <c r="I19" s="40">
        <f t="shared" si="0"/>
        <v>3972.410000000018</v>
      </c>
      <c r="J19" s="224">
        <f t="shared" si="1"/>
        <v>8027.5899999999801</v>
      </c>
      <c r="K19" s="224">
        <f t="shared" si="2"/>
        <v>16027.58999999998</v>
      </c>
      <c r="L19" s="133">
        <f>$P$3*LN(EXP($F19/$P$3)+EXP($E19/$P$3))*$G$25</f>
        <v>145326.64042364911</v>
      </c>
      <c r="M19" s="134">
        <f>(L19-L18)</f>
        <v>-106673.35957635089</v>
      </c>
      <c r="N19" s="228">
        <f t="shared" si="4"/>
        <v>145326.64042364911</v>
      </c>
      <c r="P19" s="143">
        <f t="shared" si="5"/>
        <v>-4</v>
      </c>
      <c r="Q19" s="120">
        <f t="shared" si="6"/>
        <v>-8.9296488605034465</v>
      </c>
      <c r="R19" s="215">
        <f t="shared" si="7"/>
        <v>-106673.35957635089</v>
      </c>
      <c r="T19" s="7" t="str">
        <f>IF(P19&gt;0,"Bought ",IF(P19&lt;0,"Sold ",""))&amp;IF(P19&lt;0,P19*-1,IF(P19&gt;0,P19,""))&amp;IF(P19&lt;&gt;0," Shares of State 1 at a cost of "&amp;ROUND($R19,5),"")</f>
        <v>Sold 4 Shares of State 1 at a cost of -106673.35958</v>
      </c>
      <c r="U19" s="7" t="str">
        <f>IF(Q19&gt;0,"Bought ",IF(Q19&lt;0,"Sold ",""))&amp;IF(Q19&lt;0,Q19*-1,IF(Q19&gt;0,Q19,""))&amp;IF(Q19&lt;&gt;0," Shares of State 2 at a cost of "&amp;ROUND($R19,5),"")</f>
        <v>Sold 8.92964886050345 Shares of State 2 at a cost of -106673.35958</v>
      </c>
      <c r="V19" s="218" t="str">
        <f t="shared" si="9"/>
        <v>Sold 4 Shares of State 1 at a cost of -106673.35958Sold 8.92964886050345 Shares of State 2 at a cost of -106673.35958</v>
      </c>
    </row>
    <row r="20" spans="3:23" s="7" customFormat="1" ht="16.5" thickTop="1" thickBot="1" x14ac:dyDescent="0.3">
      <c r="D20" s="26" t="s">
        <v>108</v>
      </c>
      <c r="E20" s="52">
        <f>E19</f>
        <v>12</v>
      </c>
      <c r="F20" s="53">
        <f>P3*LN(E27/(1-E27))+E20</f>
        <v>12.070351139496553</v>
      </c>
      <c r="G20" s="54">
        <f>EXP(E20)/(EXP($F20)+EXP($E20))</f>
        <v>0.48241946544763248</v>
      </c>
      <c r="H20" s="201">
        <f>EXP(F20)/(EXP($F20)+EXP($E20))</f>
        <v>0.51758053455236752</v>
      </c>
      <c r="I20" s="52">
        <f t="shared" si="0"/>
        <v>5789.0335853715897</v>
      </c>
      <c r="J20" s="225">
        <f t="shared" si="1"/>
        <v>6210.9664146284103</v>
      </c>
      <c r="K20" s="225">
        <f>J20+$G$23</f>
        <v>14210.96641462841</v>
      </c>
      <c r="L20" s="97">
        <f>$P$3*LN(EXP($F20/$P$3)+EXP($E20/$P$3))*$G$25</f>
        <v>145326.64042364911</v>
      </c>
      <c r="M20" s="55">
        <f>SUM(M10:M19)</f>
        <v>145326.64042364911</v>
      </c>
      <c r="N20" s="228"/>
      <c r="O20" s="8" t="s">
        <v>129</v>
      </c>
      <c r="U20" s="8"/>
      <c r="V20" s="8"/>
      <c r="W20" s="8"/>
    </row>
    <row r="21" spans="3:23" s="7" customFormat="1" ht="15.75" thickBot="1" x14ac:dyDescent="0.3">
      <c r="C21"/>
      <c r="D21"/>
      <c r="E21" s="34"/>
      <c r="F21" s="34"/>
      <c r="G21" s="34"/>
      <c r="H21" s="34"/>
      <c r="I21" s="34"/>
      <c r="J21" s="34"/>
      <c r="K21" s="34"/>
      <c r="L21" s="130">
        <v>0</v>
      </c>
      <c r="M21" s="50">
        <f>SUMPRODUCT(E20:F20,I20:J20)</f>
        <v>144436.94856464394</v>
      </c>
      <c r="O21" t="s">
        <v>130</v>
      </c>
      <c r="U21"/>
      <c r="V21"/>
      <c r="W21"/>
    </row>
    <row r="22" spans="3:23" s="7" customFormat="1" ht="15.75" thickBot="1" x14ac:dyDescent="0.3">
      <c r="E22" s="164"/>
      <c r="F22" s="17"/>
      <c r="G22" s="17"/>
      <c r="H22" s="17"/>
      <c r="I22" s="17"/>
      <c r="J22" s="17"/>
      <c r="K22" s="17"/>
      <c r="L22" s="57"/>
      <c r="M22" s="238">
        <f>M20-M21</f>
        <v>889.69185900516459</v>
      </c>
      <c r="N22" s="228"/>
      <c r="O22" s="7" t="s">
        <v>118</v>
      </c>
    </row>
    <row r="23" spans="3:23" s="7" customFormat="1" ht="15.75" thickBot="1" x14ac:dyDescent="0.3">
      <c r="E23" s="34">
        <v>0</v>
      </c>
      <c r="F23" s="34" t="s">
        <v>115</v>
      </c>
      <c r="G23" s="34">
        <v>8000</v>
      </c>
      <c r="H23" s="17"/>
      <c r="I23" s="17"/>
      <c r="J23" s="17"/>
      <c r="K23" s="17"/>
      <c r="L23" s="57"/>
      <c r="M23" s="239">
        <f>M10-M22</f>
        <v>-57.915242333230253</v>
      </c>
      <c r="O23" s="58" t="s">
        <v>119</v>
      </c>
      <c r="S23" s="8"/>
      <c r="T23" s="8"/>
      <c r="U23" s="8"/>
      <c r="V23" s="29"/>
      <c r="W23" s="29"/>
    </row>
    <row r="24" spans="3:23" x14ac:dyDescent="0.25">
      <c r="E24" s="34">
        <v>1</v>
      </c>
      <c r="F24" s="34" t="s">
        <v>113</v>
      </c>
      <c r="G24" s="34">
        <v>20000</v>
      </c>
      <c r="M24" s="229"/>
    </row>
    <row r="25" spans="3:23" x14ac:dyDescent="0.25">
      <c r="F25" s="34" t="s">
        <v>116</v>
      </c>
      <c r="G25" s="34">
        <f>G24-G23</f>
        <v>12000</v>
      </c>
    </row>
    <row r="27" spans="3:23" x14ac:dyDescent="0.25">
      <c r="E27" s="34">
        <f>(G27-G23)/(G24-G23)</f>
        <v>0.66896583333333337</v>
      </c>
      <c r="F27" s="34" t="s">
        <v>114</v>
      </c>
      <c r="G27" s="34">
        <v>16027.59</v>
      </c>
      <c r="I27" s="34" t="s">
        <v>120</v>
      </c>
    </row>
    <row r="32" spans="3:23" x14ac:dyDescent="0.25">
      <c r="E32" s="34" t="s">
        <v>124</v>
      </c>
    </row>
    <row r="33" spans="5:5" x14ac:dyDescent="0.25">
      <c r="E33" s="34" t="s">
        <v>123</v>
      </c>
    </row>
    <row r="36" spans="5:5" x14ac:dyDescent="0.25">
      <c r="E36" s="34" t="s">
        <v>122</v>
      </c>
    </row>
  </sheetData>
  <mergeCells count="1">
    <mergeCell ref="P8:Q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topLeftCell="A52"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topLeftCell="A28"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F57" sqref="F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232" t="s">
        <v>67</v>
      </c>
      <c r="G4" s="233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34" t="s">
        <v>68</v>
      </c>
      <c r="S22" s="235"/>
      <c r="T22" s="235"/>
      <c r="U22" s="236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HLMSR</vt:lpstr>
      <vt:lpstr>Simple Example</vt:lpstr>
      <vt:lpstr>Continuous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2014-04-20T07:30:19Z</dcterms:modified>
</cp:coreProperties>
</file>