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/>
  </bookViews>
  <sheets>
    <sheet name="HLMSR" sheetId="6" r:id="rId1"/>
    <sheet name="Changing b mid contract" sheetId="8" r:id="rId2"/>
    <sheet name="Some Accounting" sheetId="7" r:id="rId3"/>
    <sheet name="2x2 Update Calculator" sheetId="5" r:id="rId4"/>
  </sheets>
  <calcPr calcId="145621"/>
</workbook>
</file>

<file path=xl/calcChain.xml><?xml version="1.0" encoding="utf-8"?>
<calcChain xmlns="http://schemas.openxmlformats.org/spreadsheetml/2006/main">
  <c r="H12" i="8" l="1"/>
  <c r="H16" i="8"/>
  <c r="G16" i="8"/>
  <c r="F16" i="8"/>
  <c r="E16" i="8"/>
  <c r="M16" i="8" s="1"/>
  <c r="M15" i="8"/>
  <c r="M14" i="8"/>
  <c r="L16" i="8" l="1"/>
  <c r="N15" i="8"/>
  <c r="M9" i="8"/>
  <c r="G13" i="8"/>
  <c r="F13" i="8"/>
  <c r="E13" i="8"/>
  <c r="M12" i="8"/>
  <c r="M10" i="8"/>
  <c r="I14" i="8"/>
  <c r="J15" i="8"/>
  <c r="L15" i="8"/>
  <c r="K15" i="8"/>
  <c r="I15" i="8"/>
  <c r="L14" i="8"/>
  <c r="K14" i="8"/>
  <c r="J14" i="8"/>
  <c r="L12" i="8"/>
  <c r="K12" i="8"/>
  <c r="J12" i="8"/>
  <c r="I12" i="8"/>
  <c r="L10" i="8"/>
  <c r="K10" i="8"/>
  <c r="J10" i="8"/>
  <c r="I10" i="8"/>
  <c r="L9" i="8"/>
  <c r="K9" i="8"/>
  <c r="J9" i="8"/>
  <c r="I9" i="8"/>
  <c r="I4" i="8"/>
  <c r="P13" i="8" s="1"/>
  <c r="N10" i="8" l="1"/>
  <c r="M13" i="8"/>
  <c r="N13" i="8" s="1"/>
  <c r="K4" i="8"/>
  <c r="N9" i="8"/>
  <c r="K13" i="8"/>
  <c r="I13" i="8"/>
  <c r="L13" i="8"/>
  <c r="J13" i="8"/>
  <c r="K11" i="8"/>
  <c r="M11" i="8"/>
  <c r="N11" i="8" s="1"/>
  <c r="L11" i="8"/>
  <c r="I11" i="8"/>
  <c r="J11" i="8"/>
  <c r="I16" i="8"/>
  <c r="J16" i="8"/>
  <c r="K16" i="8"/>
  <c r="P28" i="6"/>
  <c r="D18" i="5"/>
  <c r="M15" i="5"/>
  <c r="N11" i="5"/>
  <c r="L7" i="5"/>
  <c r="M14" i="5"/>
  <c r="N33" i="6"/>
  <c r="N12" i="8" l="1"/>
  <c r="N14" i="8"/>
  <c r="Q13" i="8"/>
  <c r="M45" i="6"/>
  <c r="M39" i="6"/>
  <c r="J39" i="6"/>
  <c r="I39" i="6"/>
  <c r="I45" i="6"/>
  <c r="E28" i="6"/>
  <c r="M34" i="7"/>
  <c r="Q74" i="7"/>
  <c r="Q45" i="7"/>
  <c r="R45" i="7"/>
  <c r="O10" i="7"/>
  <c r="N21" i="7"/>
  <c r="N22" i="7"/>
  <c r="O22" i="7"/>
  <c r="I21" i="6"/>
  <c r="M31" i="6"/>
  <c r="J8" i="6"/>
  <c r="J9" i="6"/>
  <c r="I27" i="6"/>
  <c r="L10" i="6"/>
  <c r="N16" i="8" l="1"/>
  <c r="N17" i="8" s="1"/>
  <c r="Q14" i="8" s="1"/>
  <c r="C45" i="7"/>
  <c r="C46" i="7" s="1"/>
  <c r="M44" i="7"/>
  <c r="N44" i="7" s="1"/>
  <c r="K44" i="7"/>
  <c r="J44" i="7"/>
  <c r="I44" i="7"/>
  <c r="H44" i="7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K41" i="7"/>
  <c r="J41" i="7"/>
  <c r="I41" i="7"/>
  <c r="H41" i="7"/>
  <c r="M40" i="7"/>
  <c r="N41" i="7" s="1"/>
  <c r="K40" i="7"/>
  <c r="J40" i="7"/>
  <c r="I40" i="7"/>
  <c r="H40" i="7"/>
  <c r="M39" i="7"/>
  <c r="N39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K36" i="7"/>
  <c r="J36" i="7"/>
  <c r="I36" i="7"/>
  <c r="H36" i="7"/>
  <c r="M35" i="7"/>
  <c r="N36" i="7" s="1"/>
  <c r="K35" i="7"/>
  <c r="J35" i="7"/>
  <c r="I35" i="7"/>
  <c r="H35" i="7"/>
  <c r="N34" i="7"/>
  <c r="K34" i="7"/>
  <c r="J34" i="7"/>
  <c r="I34" i="7"/>
  <c r="H34" i="7"/>
  <c r="M26" i="7"/>
  <c r="N26" i="7" s="1"/>
  <c r="K26" i="7"/>
  <c r="J26" i="7"/>
  <c r="I26" i="7"/>
  <c r="H26" i="7"/>
  <c r="M25" i="7"/>
  <c r="K25" i="7"/>
  <c r="J25" i="7"/>
  <c r="I25" i="7"/>
  <c r="H25" i="7"/>
  <c r="M24" i="7"/>
  <c r="N25" i="7" s="1"/>
  <c r="K24" i="7"/>
  <c r="J24" i="7"/>
  <c r="I24" i="7"/>
  <c r="H24" i="7"/>
  <c r="M23" i="7"/>
  <c r="K23" i="7"/>
  <c r="J23" i="7"/>
  <c r="I23" i="7"/>
  <c r="H23" i="7"/>
  <c r="M22" i="7"/>
  <c r="K22" i="7"/>
  <c r="J22" i="7"/>
  <c r="I22" i="7"/>
  <c r="H22" i="7"/>
  <c r="M21" i="7"/>
  <c r="K21" i="7"/>
  <c r="J21" i="7"/>
  <c r="I21" i="7"/>
  <c r="H21" i="7"/>
  <c r="M20" i="7"/>
  <c r="N20" i="7" s="1"/>
  <c r="K20" i="7"/>
  <c r="J20" i="7"/>
  <c r="I20" i="7"/>
  <c r="H20" i="7"/>
  <c r="M19" i="7"/>
  <c r="K19" i="7"/>
  <c r="J19" i="7"/>
  <c r="I19" i="7"/>
  <c r="H19" i="7"/>
  <c r="M18" i="7"/>
  <c r="N18" i="7" s="1"/>
  <c r="K18" i="7"/>
  <c r="J18" i="7"/>
  <c r="I18" i="7"/>
  <c r="H18" i="7"/>
  <c r="M14" i="7"/>
  <c r="N14" i="7" s="1"/>
  <c r="K14" i="7"/>
  <c r="J14" i="7"/>
  <c r="I14" i="7"/>
  <c r="H14" i="7"/>
  <c r="M13" i="7"/>
  <c r="K13" i="7"/>
  <c r="J13" i="7"/>
  <c r="I13" i="7"/>
  <c r="H13" i="7"/>
  <c r="M12" i="7"/>
  <c r="N13" i="7" s="1"/>
  <c r="K12" i="7"/>
  <c r="J12" i="7"/>
  <c r="I12" i="7"/>
  <c r="H12" i="7"/>
  <c r="M11" i="7"/>
  <c r="K11" i="7"/>
  <c r="J11" i="7"/>
  <c r="I11" i="7"/>
  <c r="H11" i="7"/>
  <c r="M10" i="7"/>
  <c r="N10" i="7" s="1"/>
  <c r="K10" i="7"/>
  <c r="J10" i="7"/>
  <c r="I10" i="7"/>
  <c r="H10" i="7"/>
  <c r="M9" i="7"/>
  <c r="K9" i="7"/>
  <c r="J9" i="7"/>
  <c r="I9" i="7"/>
  <c r="H9" i="7"/>
  <c r="M8" i="7"/>
  <c r="N8" i="7" s="1"/>
  <c r="K8" i="7"/>
  <c r="J8" i="7"/>
  <c r="I8" i="7"/>
  <c r="H8" i="7"/>
  <c r="M7" i="7"/>
  <c r="K7" i="7"/>
  <c r="J7" i="7"/>
  <c r="I7" i="7"/>
  <c r="H7" i="7"/>
  <c r="M6" i="7"/>
  <c r="N6" i="7" s="1"/>
  <c r="K6" i="7"/>
  <c r="J6" i="7"/>
  <c r="I6" i="7"/>
  <c r="H6" i="7"/>
  <c r="Q34" i="7" l="1"/>
  <c r="K46" i="7"/>
  <c r="J46" i="7"/>
  <c r="I46" i="7"/>
  <c r="C47" i="7"/>
  <c r="M46" i="7"/>
  <c r="H46" i="7"/>
  <c r="N12" i="7"/>
  <c r="N24" i="7"/>
  <c r="I45" i="7"/>
  <c r="N7" i="7"/>
  <c r="N9" i="7"/>
  <c r="N19" i="7"/>
  <c r="J45" i="7"/>
  <c r="N11" i="7"/>
  <c r="O14" i="7" s="1"/>
  <c r="N23" i="7"/>
  <c r="O26" i="7" s="1"/>
  <c r="N35" i="7"/>
  <c r="O38" i="7" s="1"/>
  <c r="N40" i="7"/>
  <c r="O42" i="7" s="1"/>
  <c r="K45" i="7"/>
  <c r="H45" i="7"/>
  <c r="M45" i="7"/>
  <c r="N45" i="7" s="1"/>
  <c r="Q39" i="7" l="1"/>
  <c r="Q36" i="7"/>
  <c r="Q40" i="7"/>
  <c r="N46" i="7"/>
  <c r="Q44" i="7"/>
  <c r="R44" i="7" s="1"/>
  <c r="R46" i="7" s="1"/>
  <c r="R47" i="7" s="1"/>
  <c r="R48" i="7" s="1"/>
  <c r="Q37" i="7"/>
  <c r="Q41" i="7"/>
  <c r="J47" i="7"/>
  <c r="I47" i="7"/>
  <c r="C48" i="7"/>
  <c r="M47" i="7"/>
  <c r="N47" i="7" s="1"/>
  <c r="H47" i="7"/>
  <c r="K47" i="7"/>
  <c r="Q38" i="7"/>
  <c r="Q42" i="7"/>
  <c r="Q43" i="7"/>
  <c r="Q46" i="7"/>
  <c r="Q35" i="7"/>
  <c r="Q47" i="7" l="1"/>
  <c r="Q48" i="7"/>
  <c r="I48" i="7"/>
  <c r="C49" i="7"/>
  <c r="M48" i="7"/>
  <c r="N48" i="7" s="1"/>
  <c r="H48" i="7"/>
  <c r="K48" i="7"/>
  <c r="J48" i="7"/>
  <c r="R49" i="7"/>
  <c r="C50" i="7" l="1"/>
  <c r="M49" i="7"/>
  <c r="N49" i="7" s="1"/>
  <c r="H49" i="7"/>
  <c r="K49" i="7"/>
  <c r="J49" i="7"/>
  <c r="I49" i="7"/>
  <c r="K50" i="7" l="1"/>
  <c r="J50" i="7"/>
  <c r="I50" i="7"/>
  <c r="C51" i="7"/>
  <c r="M50" i="7"/>
  <c r="N50" i="7" s="1"/>
  <c r="H50" i="7"/>
  <c r="Q50" i="7"/>
  <c r="R50" i="7"/>
  <c r="R51" i="7" s="1"/>
  <c r="Q49" i="7"/>
  <c r="R52" i="7" l="1"/>
  <c r="J51" i="7"/>
  <c r="I51" i="7"/>
  <c r="C52" i="7"/>
  <c r="M51" i="7"/>
  <c r="N51" i="7" s="1"/>
  <c r="H51" i="7"/>
  <c r="K51" i="7"/>
  <c r="I52" i="7" l="1"/>
  <c r="C53" i="7"/>
  <c r="R53" i="7" s="1"/>
  <c r="M52" i="7"/>
  <c r="N52" i="7" s="1"/>
  <c r="Q52" i="7" s="1"/>
  <c r="H52" i="7"/>
  <c r="K52" i="7"/>
  <c r="J52" i="7"/>
  <c r="Q51" i="7"/>
  <c r="C54" i="7" l="1"/>
  <c r="M53" i="7"/>
  <c r="N53" i="7" s="1"/>
  <c r="Q53" i="7" s="1"/>
  <c r="H53" i="7"/>
  <c r="K53" i="7"/>
  <c r="J53" i="7"/>
  <c r="I53" i="7"/>
  <c r="K54" i="7" l="1"/>
  <c r="J54" i="7"/>
  <c r="I54" i="7"/>
  <c r="C55" i="7"/>
  <c r="M54" i="7"/>
  <c r="N54" i="7" s="1"/>
  <c r="Q54" i="7" s="1"/>
  <c r="H54" i="7"/>
  <c r="R54" i="7"/>
  <c r="R55" i="7" s="1"/>
  <c r="R56" i="7" l="1"/>
  <c r="J55" i="7"/>
  <c r="I55" i="7"/>
  <c r="C56" i="7"/>
  <c r="M55" i="7"/>
  <c r="N55" i="7" s="1"/>
  <c r="Q55" i="7" s="1"/>
  <c r="H55" i="7"/>
  <c r="K55" i="7"/>
  <c r="I56" i="7" l="1"/>
  <c r="C57" i="7"/>
  <c r="R57" i="7" s="1"/>
  <c r="M56" i="7"/>
  <c r="N56" i="7" s="1"/>
  <c r="Q56" i="7" s="1"/>
  <c r="H56" i="7"/>
  <c r="K56" i="7"/>
  <c r="J56" i="7"/>
  <c r="C58" i="7" l="1"/>
  <c r="M57" i="7"/>
  <c r="N57" i="7" s="1"/>
  <c r="Q57" i="7" s="1"/>
  <c r="H57" i="7"/>
  <c r="K57" i="7"/>
  <c r="J57" i="7"/>
  <c r="I57" i="7"/>
  <c r="K58" i="7" l="1"/>
  <c r="J58" i="7"/>
  <c r="I58" i="7"/>
  <c r="C59" i="7"/>
  <c r="M58" i="7"/>
  <c r="N58" i="7" s="1"/>
  <c r="Q58" i="7" s="1"/>
  <c r="H58" i="7"/>
  <c r="R58" i="7"/>
  <c r="R59" i="7" s="1"/>
  <c r="J59" i="7" l="1"/>
  <c r="I59" i="7"/>
  <c r="C60" i="7"/>
  <c r="M59" i="7"/>
  <c r="N59" i="7" s="1"/>
  <c r="Q59" i="7" s="1"/>
  <c r="H59" i="7"/>
  <c r="K59" i="7"/>
  <c r="R60" i="7"/>
  <c r="I60" i="7" l="1"/>
  <c r="C61" i="7"/>
  <c r="R61" i="7" s="1"/>
  <c r="M60" i="7"/>
  <c r="N60" i="7" s="1"/>
  <c r="Q60" i="7" s="1"/>
  <c r="H60" i="7"/>
  <c r="K60" i="7"/>
  <c r="J60" i="7"/>
  <c r="C62" i="7" l="1"/>
  <c r="M61" i="7"/>
  <c r="N61" i="7" s="1"/>
  <c r="Q61" i="7" s="1"/>
  <c r="H61" i="7"/>
  <c r="K61" i="7"/>
  <c r="J61" i="7"/>
  <c r="I61" i="7"/>
  <c r="K62" i="7" l="1"/>
  <c r="J62" i="7"/>
  <c r="I62" i="7"/>
  <c r="C63" i="7"/>
  <c r="M62" i="7"/>
  <c r="N62" i="7" s="1"/>
  <c r="Q62" i="7" s="1"/>
  <c r="H62" i="7"/>
  <c r="R62" i="7"/>
  <c r="J63" i="7" l="1"/>
  <c r="I63" i="7"/>
  <c r="C64" i="7"/>
  <c r="M63" i="7"/>
  <c r="N63" i="7" s="1"/>
  <c r="Q63" i="7" s="1"/>
  <c r="H63" i="7"/>
  <c r="K63" i="7"/>
  <c r="R63" i="7"/>
  <c r="R64" i="7" s="1"/>
  <c r="I64" i="7" l="1"/>
  <c r="C65" i="7"/>
  <c r="R65" i="7" s="1"/>
  <c r="M64" i="7"/>
  <c r="N64" i="7" s="1"/>
  <c r="Q64" i="7" s="1"/>
  <c r="H64" i="7"/>
  <c r="K64" i="7"/>
  <c r="J64" i="7"/>
  <c r="C66" i="7" l="1"/>
  <c r="M65" i="7"/>
  <c r="N65" i="7" s="1"/>
  <c r="Q65" i="7" s="1"/>
  <c r="H65" i="7"/>
  <c r="K65" i="7"/>
  <c r="J65" i="7"/>
  <c r="I65" i="7"/>
  <c r="K66" i="7" l="1"/>
  <c r="J66" i="7"/>
  <c r="I66" i="7"/>
  <c r="C67" i="7"/>
  <c r="M66" i="7"/>
  <c r="N66" i="7" s="1"/>
  <c r="Q66" i="7" s="1"/>
  <c r="H66" i="7"/>
  <c r="R66" i="7"/>
  <c r="R67" i="7" s="1"/>
  <c r="R68" i="7" l="1"/>
  <c r="J67" i="7"/>
  <c r="I67" i="7"/>
  <c r="C68" i="7"/>
  <c r="M67" i="7"/>
  <c r="N67" i="7" s="1"/>
  <c r="Q67" i="7" s="1"/>
  <c r="H67" i="7"/>
  <c r="K67" i="7"/>
  <c r="I68" i="7" l="1"/>
  <c r="C69" i="7"/>
  <c r="R69" i="7" s="1"/>
  <c r="M68" i="7"/>
  <c r="N68" i="7" s="1"/>
  <c r="Q68" i="7" s="1"/>
  <c r="H68" i="7"/>
  <c r="K68" i="7"/>
  <c r="J68" i="7"/>
  <c r="C70" i="7" l="1"/>
  <c r="M69" i="7"/>
  <c r="N69" i="7" s="1"/>
  <c r="Q69" i="7" s="1"/>
  <c r="H69" i="7"/>
  <c r="K69" i="7"/>
  <c r="J69" i="7"/>
  <c r="I69" i="7"/>
  <c r="K70" i="7" l="1"/>
  <c r="J70" i="7"/>
  <c r="I70" i="7"/>
  <c r="C71" i="7"/>
  <c r="M70" i="7"/>
  <c r="N70" i="7" s="1"/>
  <c r="Q70" i="7" s="1"/>
  <c r="H70" i="7"/>
  <c r="R70" i="7"/>
  <c r="R71" i="7" s="1"/>
  <c r="J71" i="7" l="1"/>
  <c r="I71" i="7"/>
  <c r="C72" i="7"/>
  <c r="M71" i="7"/>
  <c r="N71" i="7" s="1"/>
  <c r="Q71" i="7" s="1"/>
  <c r="H71" i="7"/>
  <c r="K71" i="7"/>
  <c r="R72" i="7"/>
  <c r="I72" i="7" l="1"/>
  <c r="C73" i="7"/>
  <c r="R73" i="7" s="1"/>
  <c r="M72" i="7"/>
  <c r="N72" i="7" s="1"/>
  <c r="Q72" i="7" s="1"/>
  <c r="H72" i="7"/>
  <c r="K72" i="7"/>
  <c r="J72" i="7"/>
  <c r="C74" i="7" l="1"/>
  <c r="M73" i="7"/>
  <c r="N73" i="7" s="1"/>
  <c r="Q73" i="7" s="1"/>
  <c r="H73" i="7"/>
  <c r="K73" i="7"/>
  <c r="J73" i="7"/>
  <c r="I73" i="7"/>
  <c r="K74" i="7" l="1"/>
  <c r="J74" i="7"/>
  <c r="I74" i="7"/>
  <c r="M74" i="7"/>
  <c r="N74" i="7" s="1"/>
  <c r="H74" i="7"/>
  <c r="R74" i="7"/>
  <c r="J33" i="6" l="1"/>
  <c r="L33" i="6"/>
  <c r="K33" i="6"/>
  <c r="I33" i="6"/>
  <c r="M26" i="6" l="1"/>
  <c r="K21" i="6" s="1"/>
  <c r="M27" i="6"/>
  <c r="E10" i="6"/>
  <c r="I8" i="6"/>
  <c r="K3" i="6" s="1"/>
  <c r="G8" i="6"/>
  <c r="I14" i="6"/>
  <c r="J14" i="6" s="1"/>
  <c r="J15" i="6" s="1"/>
  <c r="I13" i="6"/>
  <c r="I12" i="6" l="1"/>
  <c r="H14" i="6"/>
  <c r="G14" i="6"/>
  <c r="H13" i="6"/>
  <c r="G13" i="6"/>
  <c r="H12" i="6"/>
  <c r="G12" i="6"/>
  <c r="I11" i="6"/>
  <c r="H11" i="6"/>
  <c r="G11" i="6"/>
  <c r="I10" i="6"/>
  <c r="H10" i="6"/>
  <c r="G10" i="6"/>
  <c r="M11" i="6" s="1"/>
  <c r="I9" i="6"/>
  <c r="H9" i="6"/>
  <c r="G9" i="6"/>
  <c r="I3" i="6"/>
  <c r="H8" i="6"/>
  <c r="I26" i="6"/>
  <c r="F15" i="6"/>
  <c r="E15" i="6"/>
  <c r="E33" i="6"/>
  <c r="M32" i="6"/>
  <c r="L32" i="6"/>
  <c r="K32" i="6"/>
  <c r="J32" i="6"/>
  <c r="I32" i="6"/>
  <c r="L31" i="6"/>
  <c r="K31" i="6"/>
  <c r="J31" i="6"/>
  <c r="I31" i="6"/>
  <c r="M30" i="6"/>
  <c r="L30" i="6"/>
  <c r="J55" i="6" s="1"/>
  <c r="K30" i="6"/>
  <c r="I55" i="6" s="1"/>
  <c r="J30" i="6"/>
  <c r="J54" i="6" s="1"/>
  <c r="I30" i="6"/>
  <c r="I54" i="6" s="1"/>
  <c r="M29" i="6"/>
  <c r="L29" i="6"/>
  <c r="J46" i="6" s="1"/>
  <c r="K29" i="6"/>
  <c r="I46" i="6" s="1"/>
  <c r="J29" i="6"/>
  <c r="J45" i="6" s="1"/>
  <c r="I29" i="6"/>
  <c r="M28" i="6"/>
  <c r="L28" i="6"/>
  <c r="J40" i="6" s="1"/>
  <c r="K28" i="6"/>
  <c r="I40" i="6" s="1"/>
  <c r="J28" i="6"/>
  <c r="I28" i="6"/>
  <c r="L27" i="6"/>
  <c r="K27" i="6"/>
  <c r="J27" i="6"/>
  <c r="N26" i="6"/>
  <c r="L26" i="6"/>
  <c r="K26" i="6"/>
  <c r="J26" i="6"/>
  <c r="H15" i="6" l="1"/>
  <c r="G15" i="6"/>
  <c r="M54" i="6"/>
  <c r="J56" i="6"/>
  <c r="K55" i="6"/>
  <c r="K54" i="6"/>
  <c r="K56" i="6"/>
  <c r="I56" i="6"/>
  <c r="J41" i="6"/>
  <c r="K40" i="6"/>
  <c r="J47" i="6"/>
  <c r="K47" i="6"/>
  <c r="K46" i="6"/>
  <c r="K45" i="6"/>
  <c r="I47" i="6"/>
  <c r="Q29" i="6"/>
  <c r="N31" i="6"/>
  <c r="I15" i="6"/>
  <c r="M33" i="6"/>
  <c r="J11" i="6"/>
  <c r="J12" i="6"/>
  <c r="J10" i="6"/>
  <c r="J13" i="6"/>
  <c r="N27" i="6"/>
  <c r="N29" i="6"/>
  <c r="N32" i="6"/>
  <c r="N28" i="6"/>
  <c r="N30" i="6"/>
  <c r="J16" i="6" l="1"/>
  <c r="K39" i="6"/>
  <c r="K41" i="6"/>
  <c r="I41" i="6"/>
  <c r="N34" i="6"/>
  <c r="S16" i="5"/>
  <c r="J16" i="5"/>
  <c r="H16" i="5"/>
  <c r="F16" i="5"/>
  <c r="S15" i="5"/>
  <c r="J15" i="5"/>
  <c r="H15" i="5"/>
  <c r="F15" i="5"/>
  <c r="S14" i="5"/>
  <c r="J14" i="5"/>
  <c r="H14" i="5"/>
  <c r="F14" i="5"/>
  <c r="S13" i="5"/>
  <c r="J13" i="5"/>
  <c r="H13" i="5"/>
  <c r="F13" i="5"/>
  <c r="C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S8" i="5"/>
  <c r="J8" i="5"/>
  <c r="H8" i="5"/>
  <c r="F8" i="5"/>
  <c r="S7" i="5"/>
  <c r="J7" i="5"/>
  <c r="H7" i="5"/>
  <c r="I7" i="5" s="1"/>
  <c r="F7" i="5"/>
  <c r="I13" i="5" l="1"/>
  <c r="K13" i="5" s="1"/>
  <c r="C18" i="5"/>
  <c r="K7" i="5"/>
  <c r="C16" i="5"/>
  <c r="I9" i="5"/>
  <c r="K9" i="5" s="1"/>
  <c r="L9" i="5" s="1"/>
  <c r="O9" i="5" s="1"/>
  <c r="I10" i="5"/>
  <c r="K10" i="5" s="1"/>
  <c r="I11" i="5"/>
  <c r="K11" i="5" s="1"/>
  <c r="I12" i="5"/>
  <c r="K12" i="5" s="1"/>
  <c r="C14" i="5"/>
  <c r="D14" i="5" s="1"/>
  <c r="C15" i="5"/>
  <c r="D15" i="5" s="1"/>
  <c r="I8" i="5"/>
  <c r="K8" i="5" s="1"/>
  <c r="L8" i="5" s="1"/>
  <c r="O8" i="5" s="1"/>
  <c r="L13" i="5" l="1"/>
  <c r="O13" i="5" s="1"/>
  <c r="L12" i="5"/>
  <c r="O12" i="5" s="1"/>
  <c r="O7" i="5"/>
  <c r="L11" i="5"/>
  <c r="L10" i="5"/>
  <c r="I15" i="5"/>
  <c r="K15" i="5" s="1"/>
  <c r="I16" i="5"/>
  <c r="K16" i="5" s="1"/>
  <c r="I14" i="5"/>
  <c r="K14" i="5" s="1"/>
  <c r="D16" i="5"/>
  <c r="P15" i="5" l="1"/>
  <c r="O11" i="5"/>
  <c r="L16" i="5"/>
  <c r="O16" i="5" s="1"/>
  <c r="D13" i="5"/>
  <c r="E13" i="5" s="1"/>
  <c r="N13" i="5" s="1"/>
  <c r="Q13" i="5" s="1"/>
  <c r="D12" i="5"/>
  <c r="D11" i="5"/>
  <c r="E11" i="5" s="1"/>
  <c r="D10" i="5"/>
  <c r="E10" i="5" s="1"/>
  <c r="M16" i="5"/>
  <c r="P16" i="5" s="1"/>
  <c r="O10" i="5"/>
  <c r="L15" i="5"/>
  <c r="O15" i="5" s="1"/>
  <c r="L14" i="5"/>
  <c r="O14" i="5" s="1"/>
  <c r="L18" i="5"/>
  <c r="P14" i="5" l="1"/>
  <c r="M13" i="5"/>
  <c r="P13" i="5" s="1"/>
  <c r="R13" i="5" s="1"/>
  <c r="U20" i="5" s="1"/>
  <c r="M12" i="5"/>
  <c r="M11" i="5"/>
  <c r="P11" i="5" s="1"/>
  <c r="M10" i="5"/>
  <c r="E12" i="5"/>
  <c r="D9" i="5"/>
  <c r="E16" i="5"/>
  <c r="O18" i="5"/>
  <c r="D7" i="5"/>
  <c r="D8" i="5"/>
  <c r="M7" i="5" l="1"/>
  <c r="P7" i="5" s="1"/>
  <c r="M18" i="5"/>
  <c r="M8" i="5"/>
  <c r="P8" i="5" s="1"/>
  <c r="P10" i="5"/>
  <c r="P12" i="5"/>
  <c r="M9" i="5"/>
  <c r="P9" i="5" s="1"/>
  <c r="E8" i="5"/>
  <c r="E18" i="5"/>
  <c r="E15" i="5"/>
  <c r="E14" i="5"/>
  <c r="N10" i="5"/>
  <c r="E7" i="5"/>
  <c r="N16" i="5"/>
  <c r="Q16" i="5" s="1"/>
  <c r="R16" i="5" s="1"/>
  <c r="Q11" i="5"/>
  <c r="R11" i="5" s="1"/>
  <c r="S20" i="5" s="1"/>
  <c r="N12" i="5"/>
  <c r="E9" i="5"/>
  <c r="N9" i="5" l="1"/>
  <c r="Q9" i="5" s="1"/>
  <c r="R9" i="5" s="1"/>
  <c r="Q12" i="5"/>
  <c r="R12" i="5" s="1"/>
  <c r="T20" i="5" s="1"/>
  <c r="N18" i="5"/>
  <c r="N8" i="5"/>
  <c r="Q8" i="5" s="1"/>
  <c r="R8" i="5" s="1"/>
  <c r="N7" i="5"/>
  <c r="Q7" i="5" s="1"/>
  <c r="R7" i="5" s="1"/>
  <c r="N15" i="5"/>
  <c r="Q15" i="5" s="1"/>
  <c r="R15" i="5" s="1"/>
  <c r="N14" i="5"/>
  <c r="Q14" i="5" s="1"/>
  <c r="R14" i="5" s="1"/>
  <c r="Q10" i="5"/>
  <c r="P18" i="5"/>
  <c r="Q18" i="5" l="1"/>
  <c r="R10" i="5"/>
  <c r="R20" i="5" s="1"/>
</calcChain>
</file>

<file path=xl/sharedStrings.xml><?xml version="1.0" encoding="utf-8"?>
<sst xmlns="http://schemas.openxmlformats.org/spreadsheetml/2006/main" count="164" uniqueCount="74">
  <si>
    <t>Final</t>
  </si>
  <si>
    <t>Update Cost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</si>
  <si>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</si>
  <si>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</si>
  <si>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</si>
  <si>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</si>
  <si>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</si>
  <si>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</si>
  <si>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</si>
  <si>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</si>
  <si>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</si>
  <si>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</si>
  <si>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</si>
  <si>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</si>
  <si>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</si>
  <si>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</si>
  <si>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</si>
  <si>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</si>
  <si>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</si>
  <si>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</si>
  <si>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</si>
  <si>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</si>
  <si>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</si>
  <si>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</si>
  <si>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</si>
  <si>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</si>
  <si>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</si>
  <si>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</si>
  <si>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</si>
  <si>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</si>
  <si>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</si>
  <si>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</si>
  <si>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</si>
  <si>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</si>
  <si>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</si>
  <si>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</si>
  <si>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</si>
  <si>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</si>
  <si>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</si>
  <si>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</si>
  <si>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</si>
  <si>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</si>
  <si>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</si>
  <si>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</si>
  <si>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</si>
  <si>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</si>
  <si>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</si>
  <si>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</si>
  <si>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</si>
  <si>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</si>
  <si>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</si>
  <si>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</si>
  <si>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</si>
  <si>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</si>
  <si>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</si>
  <si>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</si>
  <si>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</si>
  <si>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</si>
  <si>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</si>
  <si>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</si>
  <si>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</si>
  <si>
    <t>P(b|a)</t>
  </si>
  <si>
    <t>From t=3 to t=4, the probability of b (column=1) remaned the same, but the marginal probability of experiencing b changed.</t>
  </si>
  <si>
    <t>From t=4 to t=5, the probability of b (column=1) changed from 43 to 34, but the marginal probability of experiencing b remained the same.</t>
  </si>
  <si>
    <t>Left over (positive, arbitrarily small)</t>
  </si>
  <si>
    <t>Some experiments to explore the 'trading additivity' of MSRs generally.</t>
  </si>
  <si>
    <t>A Calculator I threw together for solving for various probability changes….possibly a more general way to do this.</t>
  </si>
  <si>
    <t>Inputs</t>
  </si>
  <si>
    <t>Output</t>
  </si>
  <si>
    <t>b2</t>
  </si>
  <si>
    <t>b1</t>
  </si>
  <si>
    <t>Do we still have enough money?</t>
  </si>
  <si>
    <t>Yes.</t>
  </si>
  <si>
    <t>Multivariate - Increasing b while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</si>
</sst>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%"/>
    <numFmt numFmtId="167" formatCode="0.0"/>
    <numFmt numFmtId="168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25" xfId="0" applyNumberFormat="1" applyBorder="1"/>
    <xf numFmtId="2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1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7" xfId="1" applyNumberFormat="1" applyFont="1" applyFill="1" applyBorder="1" applyAlignment="1"/>
    <xf numFmtId="0" fontId="0" fillId="5" borderId="18" xfId="0" applyFill="1" applyBorder="1" applyAlignment="1"/>
    <xf numFmtId="0" fontId="0" fillId="3" borderId="23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3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3" xfId="1" applyNumberFormat="1" applyFont="1" applyFill="1" applyBorder="1" applyAlignment="1"/>
    <xf numFmtId="9" fontId="0" fillId="3" borderId="23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17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3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166" fontId="0" fillId="5" borderId="28" xfId="1" applyNumberFormat="1" applyFont="1" applyFill="1" applyBorder="1" applyAlignment="1"/>
    <xf numFmtId="9" fontId="0" fillId="0" borderId="28" xfId="0" applyNumberFormat="1" applyBorder="1"/>
    <xf numFmtId="168" fontId="0" fillId="0" borderId="28" xfId="0" applyNumberFormat="1" applyBorder="1"/>
    <xf numFmtId="168" fontId="0" fillId="5" borderId="28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7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0" xfId="0" applyNumberFormat="1" applyAlignment="1"/>
    <xf numFmtId="10" fontId="0" fillId="0" borderId="28" xfId="0" applyNumberFormat="1" applyBorder="1"/>
    <xf numFmtId="1" fontId="0" fillId="0" borderId="0" xfId="0" applyNumberFormat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1" xfId="0" applyFill="1" applyBorder="1"/>
    <xf numFmtId="0" fontId="0" fillId="0" borderId="22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1" xfId="0" applyFill="1" applyBorder="1"/>
    <xf numFmtId="0" fontId="0" fillId="11" borderId="18" xfId="0" applyFill="1" applyBorder="1"/>
    <xf numFmtId="0" fontId="4" fillId="0" borderId="0" xfId="2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0" xfId="0" applyFill="1"/>
    <xf numFmtId="0" fontId="0" fillId="2" borderId="34" xfId="0" applyFill="1" applyBorder="1" applyAlignment="1"/>
    <xf numFmtId="166" fontId="0" fillId="5" borderId="36" xfId="1" applyNumberFormat="1" applyFont="1" applyFill="1" applyBorder="1" applyAlignment="1"/>
    <xf numFmtId="166" fontId="0" fillId="3" borderId="8" xfId="1" applyNumberFormat="1" applyFont="1" applyFill="1" applyBorder="1" applyAlignment="1"/>
    <xf numFmtId="0" fontId="0" fillId="2" borderId="37" xfId="0" applyFill="1" applyBorder="1" applyAlignment="1"/>
    <xf numFmtId="164" fontId="0" fillId="7" borderId="35" xfId="0" applyNumberFormat="1" applyFill="1" applyBorder="1" applyAlignment="1"/>
    <xf numFmtId="0" fontId="0" fillId="0" borderId="21" xfId="0" applyBorder="1"/>
    <xf numFmtId="0" fontId="0" fillId="0" borderId="8" xfId="0" applyFont="1" applyBorder="1" applyAlignment="1">
      <alignment horizontal="right"/>
    </xf>
    <xf numFmtId="0" fontId="0" fillId="5" borderId="38" xfId="0" applyFill="1" applyBorder="1" applyAlignment="1"/>
    <xf numFmtId="166" fontId="0" fillId="0" borderId="0" xfId="0" applyNumberFormat="1"/>
    <xf numFmtId="166" fontId="0" fillId="12" borderId="0" xfId="0" applyNumberFormat="1" applyFill="1"/>
    <xf numFmtId="10" fontId="0" fillId="0" borderId="29" xfId="0" applyNumberFormat="1" applyFill="1" applyBorder="1" applyAlignment="1"/>
    <xf numFmtId="10" fontId="0" fillId="13" borderId="0" xfId="0" applyNumberFormat="1" applyFill="1" applyAlignment="1"/>
    <xf numFmtId="0" fontId="0" fillId="0" borderId="21" xfId="0" applyBorder="1" applyAlignment="1">
      <alignment horizontal="right"/>
    </xf>
    <xf numFmtId="0" fontId="0" fillId="0" borderId="18" xfId="0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/>
    <xf numFmtId="0" fontId="0" fillId="0" borderId="41" xfId="0" applyBorder="1"/>
    <xf numFmtId="0" fontId="0" fillId="0" borderId="35" xfId="0" applyBorder="1"/>
    <xf numFmtId="0" fontId="0" fillId="0" borderId="8" xfId="0" applyBorder="1" applyAlignment="1">
      <alignment horizontal="right"/>
    </xf>
    <xf numFmtId="0" fontId="0" fillId="0" borderId="20" xfId="0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center"/>
    </xf>
    <xf numFmtId="165" fontId="0" fillId="0" borderId="20" xfId="0" applyNumberFormat="1" applyBorder="1"/>
    <xf numFmtId="165" fontId="0" fillId="0" borderId="8" xfId="0" applyNumberFormat="1" applyBorder="1"/>
    <xf numFmtId="0" fontId="0" fillId="0" borderId="8" xfId="0" applyBorder="1" applyAlignment="1">
      <alignment horizontal="left"/>
    </xf>
    <xf numFmtId="0" fontId="5" fillId="0" borderId="0" xfId="0" applyFont="1"/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0" xfId="0" applyNumberFormat="1" applyFill="1" applyBorder="1"/>
    <xf numFmtId="166" fontId="0" fillId="0" borderId="0" xfId="0" applyNumberFormat="1" applyFill="1" applyBorder="1"/>
    <xf numFmtId="10" fontId="0" fillId="0" borderId="0" xfId="0" applyNumberFormat="1" applyFill="1" applyBorder="1" applyAlignment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5" fontId="0" fillId="7" borderId="17" xfId="0" applyNumberFormat="1" applyFill="1" applyBorder="1"/>
    <xf numFmtId="9" fontId="0" fillId="0" borderId="0" xfId="0" applyNumberForma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68" fontId="0" fillId="0" borderId="9" xfId="0" applyNumberFormat="1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77792"/>
        <c:axId val="110979328"/>
      </c:lineChart>
      <c:catAx>
        <c:axId val="1109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79328"/>
        <c:crosses val="autoZero"/>
        <c:auto val="1"/>
        <c:lblAlgn val="ctr"/>
        <c:lblOffset val="100"/>
        <c:noMultiLvlLbl val="0"/>
      </c:catAx>
      <c:valAx>
        <c:axId val="1109793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9777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'Changing b mid contract'!$AM$8</c:f>
              <c:strCache>
                <c:ptCount val="1"/>
              </c:strCache>
            </c:strRef>
          </c:tx>
          <c:val>
            <c:numRef>
              <c:f>'Changing b mid contract'!$AM$9:$AM$15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'Changing b mid contract'!$AN$8</c:f>
              <c:strCache>
                <c:ptCount val="1"/>
              </c:strCache>
            </c:strRef>
          </c:tx>
          <c:val>
            <c:numRef>
              <c:f>'Changing b mid contract'!$AN$9:$AN$15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'Changing b mid contract'!$AO$8</c:f>
              <c:strCache>
                <c:ptCount val="1"/>
              </c:strCache>
            </c:strRef>
          </c:tx>
          <c:val>
            <c:numRef>
              <c:f>'Changing b mid contract'!$AO$9:$AO$15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'Changing b mid contract'!$AP$8</c:f>
              <c:strCache>
                <c:ptCount val="1"/>
              </c:strCache>
            </c:strRef>
          </c:tx>
          <c:val>
            <c:numRef>
              <c:f>'Changing b mid contract'!$AP$9:$AP$15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42720"/>
        <c:axId val="113356800"/>
      </c:lineChart>
      <c:catAx>
        <c:axId val="1133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56800"/>
        <c:crosses val="autoZero"/>
        <c:auto val="1"/>
        <c:lblAlgn val="ctr"/>
        <c:lblOffset val="100"/>
        <c:noMultiLvlLbl val="0"/>
      </c:catAx>
      <c:valAx>
        <c:axId val="1133568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33427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27214</xdr:colOff>
      <xdr:row>27</xdr:row>
      <xdr:rowOff>95250</xdr:rowOff>
    </xdr:from>
    <xdr:to>
      <xdr:col>6</xdr:col>
      <xdr:colOff>285750</xdr:colOff>
      <xdr:row>37</xdr:row>
      <xdr:rowOff>81643</xdr:rowOff>
    </xdr:to>
    <xdr:cxnSp macro="">
      <xdr:nvCxnSpPr>
        <xdr:cNvPr id="4" name="Straight Arrow Connector 3"/>
        <xdr:cNvCxnSpPr/>
      </xdr:nvCxnSpPr>
      <xdr:spPr>
        <a:xfrm>
          <a:off x="2476500" y="5755821"/>
          <a:ext cx="1782536" cy="19594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28</xdr:row>
      <xdr:rowOff>108857</xdr:rowOff>
    </xdr:from>
    <xdr:to>
      <xdr:col>6</xdr:col>
      <xdr:colOff>285750</xdr:colOff>
      <xdr:row>43</xdr:row>
      <xdr:rowOff>54428</xdr:rowOff>
    </xdr:to>
    <xdr:cxnSp macro="">
      <xdr:nvCxnSpPr>
        <xdr:cNvPr id="5" name="Straight Arrow Connector 4"/>
        <xdr:cNvCxnSpPr/>
      </xdr:nvCxnSpPr>
      <xdr:spPr>
        <a:xfrm>
          <a:off x="2490107" y="5973536"/>
          <a:ext cx="1768929" cy="28983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</xdr:colOff>
      <xdr:row>29</xdr:row>
      <xdr:rowOff>95250</xdr:rowOff>
    </xdr:from>
    <xdr:to>
      <xdr:col>6</xdr:col>
      <xdr:colOff>312964</xdr:colOff>
      <xdr:row>51</xdr:row>
      <xdr:rowOff>95250</xdr:rowOff>
    </xdr:to>
    <xdr:cxnSp macro="">
      <xdr:nvCxnSpPr>
        <xdr:cNvPr id="12" name="Straight Arrow Connector 11"/>
        <xdr:cNvCxnSpPr/>
      </xdr:nvCxnSpPr>
      <xdr:spPr>
        <a:xfrm>
          <a:off x="2476500" y="6164036"/>
          <a:ext cx="1809750" cy="43134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5</xdr:row>
      <xdr:rowOff>190500</xdr:rowOff>
    </xdr:from>
    <xdr:to>
      <xdr:col>49</xdr:col>
      <xdr:colOff>590550</xdr:colOff>
      <xdr:row>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tabSelected="1" zoomScale="70" zoomScaleNormal="70" workbookViewId="0">
      <selection activeCell="S12" sqref="S12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21.75" thickBot="1" x14ac:dyDescent="0.4">
      <c r="D2" s="163" t="s">
        <v>2</v>
      </c>
      <c r="K2" t="s">
        <v>49</v>
      </c>
    </row>
    <row r="3" spans="3:20" x14ac:dyDescent="0.25">
      <c r="D3" t="s">
        <v>6</v>
      </c>
      <c r="E3" s="34" t="s">
        <v>12</v>
      </c>
      <c r="F3" s="34" t="s">
        <v>13</v>
      </c>
      <c r="H3" s="34" t="s">
        <v>46</v>
      </c>
      <c r="I3" s="34">
        <f>COUNTA(E7:F7)</f>
        <v>2</v>
      </c>
      <c r="K3">
        <f>I8</f>
        <v>0.69314718055994529</v>
      </c>
      <c r="N3" s="22" t="s">
        <v>7</v>
      </c>
    </row>
    <row r="4" spans="3:20" s="7" customFormat="1" ht="15.75" thickBot="1" x14ac:dyDescent="0.3">
      <c r="C4"/>
      <c r="E4" s="17"/>
      <c r="F4" s="17"/>
      <c r="G4" s="34"/>
      <c r="H4" s="34"/>
      <c r="I4" s="34"/>
      <c r="J4" s="34"/>
      <c r="K4"/>
      <c r="L4"/>
      <c r="M4"/>
      <c r="N4" s="89">
        <v>1</v>
      </c>
      <c r="O4" t="s">
        <v>48</v>
      </c>
      <c r="Q4"/>
      <c r="R4"/>
      <c r="S4"/>
      <c r="T4" s="8"/>
    </row>
    <row r="5" spans="3:20" s="7" customFormat="1" x14ac:dyDescent="0.25">
      <c r="C5"/>
      <c r="D5"/>
      <c r="E5" s="34"/>
      <c r="F5" s="34"/>
      <c r="G5" s="34"/>
      <c r="H5" s="34"/>
      <c r="I5" s="34"/>
      <c r="J5" s="34"/>
      <c r="K5"/>
      <c r="L5"/>
      <c r="M5"/>
      <c r="N5"/>
      <c r="O5"/>
      <c r="P5"/>
      <c r="Q5"/>
      <c r="R5"/>
      <c r="S5"/>
      <c r="T5" s="8"/>
    </row>
    <row r="6" spans="3:20" s="7" customFormat="1" ht="24.75" customHeight="1" x14ac:dyDescent="0.25">
      <c r="D6"/>
      <c r="E6" s="67" t="s">
        <v>14</v>
      </c>
      <c r="F6" s="68"/>
      <c r="G6" s="68" t="s">
        <v>15</v>
      </c>
      <c r="H6" s="69"/>
      <c r="I6" s="67" t="s">
        <v>38</v>
      </c>
      <c r="J6" s="69" t="s">
        <v>37</v>
      </c>
      <c r="K6" s="20"/>
      <c r="Q6" s="20"/>
      <c r="R6"/>
      <c r="S6" s="20"/>
    </row>
    <row r="7" spans="3:20" s="7" customFormat="1" ht="15.75" thickBot="1" x14ac:dyDescent="0.3">
      <c r="C7" s="33"/>
      <c r="D7" s="35" t="s">
        <v>36</v>
      </c>
      <c r="E7" s="40" t="s">
        <v>8</v>
      </c>
      <c r="F7" s="41" t="s">
        <v>9</v>
      </c>
      <c r="G7" s="90" t="s">
        <v>8</v>
      </c>
      <c r="H7" s="91" t="s">
        <v>9</v>
      </c>
      <c r="I7" s="43">
        <v>0</v>
      </c>
      <c r="J7" s="44"/>
      <c r="R7"/>
    </row>
    <row r="8" spans="3:20" s="7" customFormat="1" ht="18" customHeight="1" thickTop="1" x14ac:dyDescent="0.25">
      <c r="D8" s="26" t="s">
        <v>41</v>
      </c>
      <c r="E8" s="45">
        <v>0</v>
      </c>
      <c r="F8" s="46">
        <v>0</v>
      </c>
      <c r="G8" s="51">
        <f>EXP(E8/$N$4)/(EXP($F8/$N$4)+EXP($E8/$N$4))</f>
        <v>0.5</v>
      </c>
      <c r="H8" s="92">
        <f t="shared" ref="G8:H14" si="0">EXP(F8/$N$4)/(EXP($F8/$N$4)+EXP($E8/$N$4))</f>
        <v>0.5</v>
      </c>
      <c r="I8" s="95">
        <f>$N$4*LN(EXP($F8/$N$4)+EXP($E8/$N$4))</f>
        <v>0.69314718055994529</v>
      </c>
      <c r="J8" s="47">
        <f>(I8-I7)</f>
        <v>0.69314718055994529</v>
      </c>
      <c r="R8"/>
    </row>
    <row r="9" spans="3:20" s="7" customFormat="1" ht="15.75" thickBot="1" x14ac:dyDescent="0.3">
      <c r="D9" s="26" t="s">
        <v>39</v>
      </c>
      <c r="E9" s="48">
        <v>1</v>
      </c>
      <c r="F9" s="42">
        <v>0</v>
      </c>
      <c r="G9" s="49">
        <f t="shared" si="0"/>
        <v>0.7310585786300049</v>
      </c>
      <c r="H9" s="93">
        <f t="shared" si="0"/>
        <v>0.2689414213699951</v>
      </c>
      <c r="I9" s="96">
        <f t="shared" ref="I9:I12" si="1">$N$4*LN(EXP($F9/$N$4)+EXP($E9/$N$4))</f>
        <v>1.3132616875182228</v>
      </c>
      <c r="J9" s="50">
        <f>(I9-I8)</f>
        <v>0.62011450695827752</v>
      </c>
      <c r="L9" s="7" t="s">
        <v>50</v>
      </c>
      <c r="R9"/>
    </row>
    <row r="10" spans="3:20" s="7" customFormat="1" ht="15.75" thickBot="1" x14ac:dyDescent="0.3">
      <c r="D10" s="26" t="s">
        <v>42</v>
      </c>
      <c r="E10" s="101">
        <f>L10</f>
        <v>1.0986122886681098</v>
      </c>
      <c r="F10" s="42">
        <v>0</v>
      </c>
      <c r="G10" s="98">
        <f t="shared" si="0"/>
        <v>0.75000000000000011</v>
      </c>
      <c r="H10" s="93">
        <f t="shared" si="0"/>
        <v>0.25</v>
      </c>
      <c r="I10" s="96">
        <f t="shared" si="1"/>
        <v>1.3862943611198906</v>
      </c>
      <c r="J10" s="50">
        <f t="shared" ref="J10:J13" si="2">(I10-I9)</f>
        <v>7.3032673601667764E-2</v>
      </c>
      <c r="L10" s="100">
        <f>N4*LN(L11/(1-L11))+F10</f>
        <v>1.0986122886681098</v>
      </c>
      <c r="R10"/>
    </row>
    <row r="11" spans="3:20" s="7" customFormat="1" ht="15.75" thickBot="1" x14ac:dyDescent="0.3">
      <c r="D11" s="26" t="s">
        <v>43</v>
      </c>
      <c r="E11" s="48">
        <v>0.5</v>
      </c>
      <c r="F11" s="42">
        <v>0</v>
      </c>
      <c r="G11" s="49">
        <f t="shared" si="0"/>
        <v>0.62245933120185459</v>
      </c>
      <c r="H11" s="93">
        <f t="shared" si="0"/>
        <v>0.37754066879814541</v>
      </c>
      <c r="I11" s="96">
        <f t="shared" si="1"/>
        <v>0.97407698418010669</v>
      </c>
      <c r="J11" s="50">
        <f t="shared" si="2"/>
        <v>-0.41221737693978389</v>
      </c>
      <c r="L11" s="99">
        <v>0.75</v>
      </c>
      <c r="M11" s="7" t="b">
        <f>L11=G10</f>
        <v>1</v>
      </c>
      <c r="R11"/>
    </row>
    <row r="12" spans="3:20" s="7" customFormat="1" x14ac:dyDescent="0.25">
      <c r="D12" s="26" t="s">
        <v>44</v>
      </c>
      <c r="E12" s="48">
        <v>2.1</v>
      </c>
      <c r="F12" s="42">
        <v>0.8</v>
      </c>
      <c r="G12" s="49">
        <f t="shared" si="0"/>
        <v>0.78583498304255861</v>
      </c>
      <c r="H12" s="93">
        <f t="shared" si="0"/>
        <v>0.21416501695744139</v>
      </c>
      <c r="I12" s="96">
        <f t="shared" si="1"/>
        <v>2.3410084538329925</v>
      </c>
      <c r="J12" s="50">
        <f t="shared" si="2"/>
        <v>1.3669314696528858</v>
      </c>
      <c r="R12"/>
    </row>
    <row r="13" spans="3:20" s="7" customFormat="1" x14ac:dyDescent="0.25">
      <c r="C13"/>
      <c r="D13" s="21" t="s">
        <v>45</v>
      </c>
      <c r="E13" s="48">
        <v>3</v>
      </c>
      <c r="F13" s="42">
        <v>1.1000000000000001</v>
      </c>
      <c r="G13" s="49">
        <f t="shared" si="0"/>
        <v>0.86989152563700223</v>
      </c>
      <c r="H13" s="93">
        <f t="shared" si="0"/>
        <v>0.13010847436299786</v>
      </c>
      <c r="I13" s="96">
        <f>$N$4*LN(EXP($F13/$N$4)+EXP($E13/$N$4))</f>
        <v>3.1393867582829604</v>
      </c>
      <c r="J13" s="50">
        <f t="shared" si="2"/>
        <v>0.79837830444996793</v>
      </c>
      <c r="R13"/>
    </row>
    <row r="14" spans="3:20" s="7" customFormat="1" ht="15.75" thickBot="1" x14ac:dyDescent="0.3">
      <c r="D14" s="26" t="s">
        <v>40</v>
      </c>
      <c r="E14" s="40">
        <v>3</v>
      </c>
      <c r="F14" s="41">
        <v>0.2</v>
      </c>
      <c r="G14" s="131">
        <f t="shared" si="0"/>
        <v>0.94267582410113127</v>
      </c>
      <c r="H14" s="132">
        <f t="shared" si="0"/>
        <v>5.7324175898868741E-2</v>
      </c>
      <c r="I14" s="133">
        <f>$N$4*LN(EXP($F14/$N$4)+EXP($E14/$N$4))</f>
        <v>3.0590328262879716</v>
      </c>
      <c r="J14" s="134">
        <f>(I14-I13)</f>
        <v>-8.0353931994988859E-2</v>
      </c>
      <c r="R14"/>
    </row>
    <row r="15" spans="3:20" s="7" customFormat="1" ht="16.5" thickTop="1" thickBot="1" x14ac:dyDescent="0.3">
      <c r="D15" s="26" t="s">
        <v>0</v>
      </c>
      <c r="E15" s="52">
        <f>E14</f>
        <v>3</v>
      </c>
      <c r="F15" s="53">
        <f t="shared" ref="F15" si="3">F14</f>
        <v>0.2</v>
      </c>
      <c r="G15" s="54">
        <f>EXP(E15)/(EXP($F15)+EXP($E15))</f>
        <v>0.94267582410113127</v>
      </c>
      <c r="H15" s="94">
        <f>EXP(F15)/(EXP($F15)+EXP($E15))</f>
        <v>5.7324175898868741E-2</v>
      </c>
      <c r="I15" s="97">
        <f>$N$4*LN(EXP($F15/$N$4)+EXP($E15/$N$4))</f>
        <v>3.0590328262879716</v>
      </c>
      <c r="J15" s="55">
        <f>SUM(J8:J14)</f>
        <v>3.0590328262879716</v>
      </c>
      <c r="K15" s="8" t="s">
        <v>47</v>
      </c>
      <c r="Q15" s="8"/>
      <c r="R15" s="8"/>
      <c r="S15" s="8"/>
    </row>
    <row r="16" spans="3:20" s="7" customFormat="1" ht="15.75" thickBot="1" x14ac:dyDescent="0.3">
      <c r="C16"/>
      <c r="D16"/>
      <c r="E16" s="34"/>
      <c r="F16" s="34"/>
      <c r="G16" s="34"/>
      <c r="H16" s="34"/>
      <c r="I16" s="130">
        <v>0</v>
      </c>
      <c r="J16" s="56">
        <f>J15-(SUMPRODUCT(G15:H15,E15:F15))</f>
        <v>0.21954051880480385</v>
      </c>
      <c r="K16" t="s">
        <v>64</v>
      </c>
      <c r="Q16"/>
      <c r="R16"/>
      <c r="S16"/>
    </row>
    <row r="17" spans="2:42" s="7" customFormat="1" x14ac:dyDescent="0.25">
      <c r="E17" s="17"/>
      <c r="F17" s="17"/>
      <c r="G17" s="17"/>
      <c r="H17" s="17"/>
      <c r="I17" s="57"/>
      <c r="J17" s="58"/>
    </row>
    <row r="18" spans="2:42" s="7" customFormat="1" x14ac:dyDescent="0.25">
      <c r="E18" s="17"/>
      <c r="F18" s="17"/>
      <c r="G18" s="17"/>
      <c r="H18" s="17"/>
      <c r="I18" s="57"/>
      <c r="J18" s="58"/>
      <c r="O18" s="8"/>
      <c r="P18" s="8"/>
      <c r="Q18" s="8"/>
      <c r="R18" s="29"/>
      <c r="S18" s="29"/>
    </row>
    <row r="19" spans="2:42" s="7" customFormat="1" x14ac:dyDescent="0.25">
      <c r="E19" s="17"/>
      <c r="F19" s="17"/>
      <c r="G19" s="17"/>
      <c r="H19" s="17"/>
      <c r="I19" s="17"/>
      <c r="J19" s="17"/>
    </row>
    <row r="20" spans="2:42" ht="21.75" thickBot="1" x14ac:dyDescent="0.4">
      <c r="D20" s="163" t="s">
        <v>3</v>
      </c>
      <c r="K20" t="s">
        <v>49</v>
      </c>
    </row>
    <row r="21" spans="2:42" x14ac:dyDescent="0.25">
      <c r="D21" t="s">
        <v>6</v>
      </c>
      <c r="E21" s="34" t="s">
        <v>12</v>
      </c>
      <c r="F21" s="34" t="s">
        <v>13</v>
      </c>
      <c r="H21" s="34" t="s">
        <v>46</v>
      </c>
      <c r="I21" s="34">
        <f>COUNTA(E25:H25)</f>
        <v>4</v>
      </c>
      <c r="K21">
        <f>M26</f>
        <v>4.8520302639196169</v>
      </c>
      <c r="N21" s="22" t="s">
        <v>7</v>
      </c>
    </row>
    <row r="22" spans="2:42" ht="15.75" thickBot="1" x14ac:dyDescent="0.3">
      <c r="D22" t="s">
        <v>7</v>
      </c>
      <c r="E22" s="34" t="s">
        <v>4</v>
      </c>
      <c r="F22" s="34" t="s">
        <v>5</v>
      </c>
      <c r="N22" s="89">
        <v>3.5</v>
      </c>
      <c r="O22" t="s">
        <v>48</v>
      </c>
    </row>
    <row r="24" spans="2:42" ht="27.75" customHeight="1" x14ac:dyDescent="0.25">
      <c r="C24" s="7"/>
      <c r="E24" s="37" t="s">
        <v>14</v>
      </c>
      <c r="F24" s="38"/>
      <c r="G24" s="38"/>
      <c r="H24" s="39"/>
      <c r="I24" s="14" t="s">
        <v>15</v>
      </c>
      <c r="J24" s="15"/>
      <c r="K24" s="15"/>
      <c r="L24" s="16"/>
      <c r="M24" s="14" t="s">
        <v>38</v>
      </c>
      <c r="N24" s="16" t="s">
        <v>37</v>
      </c>
      <c r="O24" s="20"/>
      <c r="P24" s="20"/>
      <c r="R24" s="20"/>
      <c r="S24" s="20"/>
      <c r="T24" s="20"/>
      <c r="U24" s="31"/>
      <c r="V24" s="32"/>
      <c r="W24" s="7"/>
      <c r="X24" s="7"/>
      <c r="Y24" s="7"/>
      <c r="Z24" s="32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 ht="15.75" thickBot="1" x14ac:dyDescent="0.3">
      <c r="C25" s="33"/>
      <c r="D25" s="136" t="s">
        <v>36</v>
      </c>
      <c r="E25" s="40" t="s">
        <v>8</v>
      </c>
      <c r="F25" s="59" t="s">
        <v>9</v>
      </c>
      <c r="G25" s="41" t="s">
        <v>10</v>
      </c>
      <c r="H25" s="60" t="s">
        <v>11</v>
      </c>
      <c r="I25" s="70" t="s">
        <v>8</v>
      </c>
      <c r="J25" s="71" t="s">
        <v>9</v>
      </c>
      <c r="K25" s="72" t="s">
        <v>10</v>
      </c>
      <c r="L25" s="73" t="s">
        <v>11</v>
      </c>
      <c r="M25" s="43">
        <v>0</v>
      </c>
      <c r="N25" s="36"/>
      <c r="O25" s="7"/>
      <c r="P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8"/>
      <c r="AN25" s="18"/>
      <c r="AO25" s="18"/>
      <c r="AP25" s="18"/>
    </row>
    <row r="26" spans="2:42" ht="15.75" thickTop="1" x14ac:dyDescent="0.25">
      <c r="C26" s="7"/>
      <c r="D26">
        <v>1</v>
      </c>
      <c r="E26" s="45">
        <v>0</v>
      </c>
      <c r="F26" s="61">
        <v>0</v>
      </c>
      <c r="G26" s="46">
        <v>0</v>
      </c>
      <c r="H26" s="62">
        <v>0</v>
      </c>
      <c r="I26" s="74">
        <f>EXP(E26/$N$22)/(EXP($E26/$N$22)+EXP($F26/$N$22)+EXP($G26/$N$22)+EXP($H26/$N$22))</f>
        <v>0.25</v>
      </c>
      <c r="J26" s="75">
        <f t="shared" ref="J26:L32" si="4">EXP(F26/$N$22)/(EXP($E26/$N$22)+EXP($F26/$N$22)+EXP($G26/$N$22)+EXP($H26/$N$22))</f>
        <v>0.25</v>
      </c>
      <c r="K26" s="76">
        <f t="shared" si="4"/>
        <v>0.25</v>
      </c>
      <c r="L26" s="77">
        <f t="shared" si="4"/>
        <v>0.25</v>
      </c>
      <c r="M26" s="95">
        <f>$N$22*LN(EXP($E26/$N$22)+EXP($F26/$N$22)+EXP($G26/$N$22)+EXP($H26/$N$22))</f>
        <v>4.8520302639196169</v>
      </c>
      <c r="N26" s="86">
        <f>(M26-0)</f>
        <v>4.8520302639196169</v>
      </c>
      <c r="O26" s="7"/>
      <c r="P26" s="7"/>
      <c r="R26" s="7"/>
      <c r="S26" s="7"/>
      <c r="T26" s="7"/>
      <c r="U26" s="7"/>
      <c r="V26" s="8"/>
      <c r="W26" s="8"/>
      <c r="X26" s="8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9"/>
      <c r="AN26" s="19"/>
      <c r="AO26" s="19"/>
      <c r="AP26" s="19"/>
    </row>
    <row r="27" spans="2:42" ht="15.75" thickBot="1" x14ac:dyDescent="0.3">
      <c r="B27" s="7"/>
      <c r="C27" s="7"/>
      <c r="D27" s="7">
        <v>2</v>
      </c>
      <c r="E27" s="48">
        <v>1</v>
      </c>
      <c r="F27" s="63">
        <v>0</v>
      </c>
      <c r="G27" s="42">
        <v>0</v>
      </c>
      <c r="H27" s="64">
        <v>0</v>
      </c>
      <c r="I27" s="78">
        <f>EXP(E27/$N$22)/(EXP($E27/$N$22)+EXP($F27/$N$22)+EXP($G27/$N$22)+EXP($H27/$N$22))</f>
        <v>0.30727329288510813</v>
      </c>
      <c r="J27" s="79">
        <f t="shared" si="4"/>
        <v>0.23090890237163061</v>
      </c>
      <c r="K27" s="80">
        <f t="shared" si="4"/>
        <v>0.23090890237163061</v>
      </c>
      <c r="L27" s="81">
        <f t="shared" si="4"/>
        <v>0.23090890237163061</v>
      </c>
      <c r="M27" s="96">
        <f>$N$22*LN(EXP($E27/$N$22)+EXP($F27/$N$22)+EXP($G27/$N$22)+EXP($H27/$N$22))</f>
        <v>5.1300620289417482</v>
      </c>
      <c r="N27" s="87">
        <f t="shared" ref="N27:N32" si="5">(M27-M26)</f>
        <v>0.27803176502213134</v>
      </c>
      <c r="O27" s="7"/>
      <c r="P27" s="7" t="s">
        <v>50</v>
      </c>
      <c r="Q27" s="7"/>
      <c r="R27" s="7"/>
      <c r="S27" s="7"/>
      <c r="T27" s="7"/>
      <c r="U27" s="7"/>
      <c r="V27" s="30"/>
      <c r="W27" s="30"/>
      <c r="X27" s="30"/>
      <c r="Y27" s="30"/>
      <c r="Z27" s="7"/>
      <c r="AA27" s="7"/>
      <c r="AB27" s="7"/>
      <c r="AC27" s="7"/>
      <c r="AD27" s="7"/>
      <c r="AE27" s="7"/>
      <c r="AF27" s="7"/>
      <c r="AG27" s="7"/>
      <c r="AH27" s="8"/>
      <c r="AI27" s="8"/>
      <c r="AJ27" s="8"/>
      <c r="AK27" s="8"/>
      <c r="AL27" s="7"/>
      <c r="AM27" s="19"/>
      <c r="AN27" s="19"/>
      <c r="AO27" s="19"/>
      <c r="AP27" s="19"/>
    </row>
    <row r="28" spans="2:42" ht="15.75" thickBot="1" x14ac:dyDescent="0.3">
      <c r="B28" s="17"/>
      <c r="C28" s="17"/>
      <c r="D28" s="17">
        <v>3</v>
      </c>
      <c r="E28" s="101">
        <f>P28</f>
        <v>1.678505780916602</v>
      </c>
      <c r="F28" s="63">
        <v>0</v>
      </c>
      <c r="G28" s="42">
        <v>0</v>
      </c>
      <c r="H28" s="64">
        <v>0</v>
      </c>
      <c r="I28" s="78">
        <f t="shared" ref="I28:I31" si="6">EXP(E28/$N$22)/(EXP($E28/$N$22)+EXP($F28/$N$22)+EXP($G28/$N$22)+EXP($H28/$N$22))</f>
        <v>0.35000000000000003</v>
      </c>
      <c r="J28" s="79">
        <f t="shared" si="4"/>
        <v>0.21666666666666667</v>
      </c>
      <c r="K28" s="80">
        <f t="shared" si="4"/>
        <v>0.21666666666666667</v>
      </c>
      <c r="L28" s="81">
        <f t="shared" si="4"/>
        <v>0.21666666666666667</v>
      </c>
      <c r="M28" s="96">
        <f>$N$22*LN(EXP($E28/$N$22)+EXP($F28/$N$22)+EXP($G28/$N$22)+EXP($H28/$N$22))</f>
        <v>5.352883216661974</v>
      </c>
      <c r="N28" s="87">
        <f t="shared" si="5"/>
        <v>0.22282118772022574</v>
      </c>
      <c r="O28" s="7"/>
      <c r="P28" s="100">
        <f>N22*LN(P29/(1-P29))+N22*LN((SUM((EXP(F28/N22)+EXP(G28/N22)+EXP(H28/N22)))))</f>
        <v>1.678505780916602</v>
      </c>
      <c r="S28" s="7"/>
      <c r="T28" s="7"/>
      <c r="U28" s="7"/>
      <c r="V28" s="30"/>
      <c r="W28" s="30"/>
      <c r="X28" s="30"/>
      <c r="Y28" s="30"/>
      <c r="Z28" s="7"/>
      <c r="AA28" s="7"/>
      <c r="AB28" s="7"/>
      <c r="AC28" s="7"/>
      <c r="AD28" s="7"/>
      <c r="AE28" s="7"/>
      <c r="AF28" s="7"/>
      <c r="AG28" s="7"/>
      <c r="AH28" s="8"/>
      <c r="AI28" s="8"/>
      <c r="AJ28" s="8"/>
      <c r="AK28" s="8"/>
      <c r="AL28" s="7"/>
      <c r="AM28" s="19"/>
      <c r="AN28" s="19"/>
      <c r="AO28" s="19"/>
      <c r="AP28" s="19"/>
    </row>
    <row r="29" spans="2:42" ht="15.75" thickBot="1" x14ac:dyDescent="0.3">
      <c r="B29" s="7"/>
      <c r="C29" s="7"/>
      <c r="D29" s="7">
        <v>4</v>
      </c>
      <c r="E29" s="48">
        <v>1.9019999999999999</v>
      </c>
      <c r="F29" s="63">
        <v>1.0900000000000001</v>
      </c>
      <c r="G29" s="42">
        <v>2.0649999999999999</v>
      </c>
      <c r="H29" s="64">
        <v>1</v>
      </c>
      <c r="I29" s="78">
        <f t="shared" si="6"/>
        <v>0.27674497792592351</v>
      </c>
      <c r="J29" s="79">
        <f t="shared" si="4"/>
        <v>0.21944385739095482</v>
      </c>
      <c r="K29" s="80">
        <f t="shared" si="4"/>
        <v>0.28993821640004058</v>
      </c>
      <c r="L29" s="81">
        <f t="shared" si="4"/>
        <v>0.21387294828308109</v>
      </c>
      <c r="M29" s="96">
        <f t="shared" ref="M29:M32" si="7">$N$22*LN(EXP($E29/$N$22)+EXP($F29/$N$22)+EXP($G29/$N$22)+EXP($H29/$N$22))</f>
        <v>6.3983059895851007</v>
      </c>
      <c r="N29" s="87">
        <f t="shared" si="5"/>
        <v>1.0454227729231267</v>
      </c>
      <c r="O29" s="7"/>
      <c r="P29" s="99">
        <v>0.35</v>
      </c>
      <c r="Q29" s="7" t="b">
        <f>P29=I28</f>
        <v>1</v>
      </c>
      <c r="R29" s="7"/>
      <c r="S29" s="7"/>
      <c r="T29" s="7"/>
      <c r="U29" s="7"/>
      <c r="V29" s="30"/>
      <c r="W29" s="30"/>
      <c r="X29" s="30"/>
      <c r="Y29" s="30"/>
      <c r="Z29" s="7"/>
      <c r="AA29" s="7"/>
      <c r="AB29" s="7"/>
      <c r="AC29" s="21"/>
      <c r="AD29" s="7"/>
      <c r="AE29" s="7"/>
      <c r="AF29" s="7"/>
      <c r="AG29" s="7"/>
      <c r="AH29" s="8"/>
      <c r="AI29" s="8"/>
      <c r="AJ29" s="8"/>
      <c r="AK29" s="8"/>
      <c r="AL29" s="7"/>
      <c r="AM29" s="19"/>
      <c r="AN29" s="19"/>
      <c r="AO29" s="19"/>
      <c r="AP29" s="19"/>
    </row>
    <row r="30" spans="2:42" x14ac:dyDescent="0.25">
      <c r="B30" s="7"/>
      <c r="C30" s="7"/>
      <c r="D30" s="7">
        <v>5</v>
      </c>
      <c r="E30" s="48">
        <v>7</v>
      </c>
      <c r="F30" s="63">
        <v>4</v>
      </c>
      <c r="G30" s="42">
        <v>4.24</v>
      </c>
      <c r="H30" s="64">
        <v>3.1880000000000002</v>
      </c>
      <c r="I30" s="78">
        <f t="shared" si="6"/>
        <v>0.45139161074053508</v>
      </c>
      <c r="J30" s="79">
        <f t="shared" si="4"/>
        <v>0.19155834236466296</v>
      </c>
      <c r="K30" s="80">
        <f t="shared" si="4"/>
        <v>0.20515460192968799</v>
      </c>
      <c r="L30" s="81">
        <f t="shared" si="4"/>
        <v>0.15189544496511398</v>
      </c>
      <c r="M30" s="96">
        <f t="shared" si="7"/>
        <v>9.7839699991259845</v>
      </c>
      <c r="N30" s="87">
        <f t="shared" si="5"/>
        <v>3.3856640095408839</v>
      </c>
      <c r="O30" s="7"/>
      <c r="P30" s="7"/>
      <c r="R30" s="7"/>
      <c r="S30" s="7"/>
      <c r="T30" s="7"/>
      <c r="U30" s="7"/>
      <c r="V30" s="30"/>
      <c r="W30" s="30"/>
      <c r="X30" s="30"/>
      <c r="Y30" s="30"/>
      <c r="Z30" s="7"/>
      <c r="AA30" s="7"/>
      <c r="AB30" s="7"/>
      <c r="AC30" s="7"/>
      <c r="AD30" s="7"/>
      <c r="AE30" s="7"/>
      <c r="AF30" s="7"/>
      <c r="AG30" s="7"/>
      <c r="AH30" s="8"/>
      <c r="AI30" s="8"/>
      <c r="AJ30" s="8"/>
      <c r="AK30" s="8"/>
      <c r="AL30" s="7"/>
      <c r="AM30" s="19"/>
      <c r="AN30" s="19"/>
      <c r="AO30" s="19"/>
      <c r="AP30" s="19"/>
    </row>
    <row r="31" spans="2:42" x14ac:dyDescent="0.25">
      <c r="B31" s="7"/>
      <c r="C31" s="7"/>
      <c r="D31" s="7">
        <v>6</v>
      </c>
      <c r="E31" s="48">
        <v>11</v>
      </c>
      <c r="F31" s="63">
        <v>5</v>
      </c>
      <c r="G31" s="42">
        <v>5</v>
      </c>
      <c r="H31" s="64">
        <v>3.4</v>
      </c>
      <c r="I31" s="78">
        <f t="shared" si="6"/>
        <v>0.67833435825297117</v>
      </c>
      <c r="J31" s="79">
        <f t="shared" si="4"/>
        <v>0.12216280298717504</v>
      </c>
      <c r="K31" s="80">
        <f t="shared" si="4"/>
        <v>0.12216280298717504</v>
      </c>
      <c r="L31" s="81">
        <f t="shared" si="4"/>
        <v>7.7340035772678853E-2</v>
      </c>
      <c r="M31" s="96">
        <f>$N$22*LN(EXP($E31/$N$22)+EXP($F31/$N$22)+EXP($G31/$N$22)+EXP($H31/$N$22))</f>
        <v>12.358402355928281</v>
      </c>
      <c r="N31" s="87">
        <f t="shared" si="5"/>
        <v>2.574432356802296</v>
      </c>
      <c r="O31" s="7"/>
      <c r="P31" s="7"/>
      <c r="R31" s="7"/>
      <c r="S31" s="7"/>
      <c r="T31" s="7"/>
      <c r="U31" s="7"/>
      <c r="V31" s="30"/>
      <c r="W31" s="30"/>
      <c r="X31" s="30"/>
      <c r="Y31" s="30"/>
      <c r="Z31" s="7"/>
      <c r="AA31" s="7"/>
      <c r="AB31" s="7"/>
      <c r="AC31" s="7"/>
      <c r="AD31" s="7"/>
      <c r="AE31" s="7"/>
      <c r="AF31" s="7"/>
      <c r="AG31" s="7"/>
      <c r="AH31" s="8"/>
      <c r="AI31" s="8"/>
      <c r="AJ31" s="8"/>
      <c r="AK31" s="8"/>
      <c r="AL31" s="7"/>
      <c r="AM31" s="19"/>
      <c r="AN31" s="19"/>
      <c r="AO31" s="19"/>
      <c r="AP31" s="19"/>
    </row>
    <row r="32" spans="2:42" ht="15.75" thickBot="1" x14ac:dyDescent="0.3">
      <c r="B32" s="7"/>
      <c r="C32" s="7"/>
      <c r="D32" s="7">
        <v>7</v>
      </c>
      <c r="E32" s="40">
        <v>10</v>
      </c>
      <c r="F32" s="59">
        <v>0</v>
      </c>
      <c r="G32" s="41">
        <v>0</v>
      </c>
      <c r="H32" s="60">
        <v>0</v>
      </c>
      <c r="I32" s="70">
        <f t="shared" ref="I32:K32" si="8">EXP(E32/$N$22)/(EXP($E32/$N$22)+EXP($F32/$N$22)+EXP($G32/$N$22)+EXP($H32/$N$22))</f>
        <v>0.85302552874593096</v>
      </c>
      <c r="J32" s="71">
        <f t="shared" si="8"/>
        <v>4.8991490418023025E-2</v>
      </c>
      <c r="K32" s="72">
        <f t="shared" si="8"/>
        <v>4.8991490418023025E-2</v>
      </c>
      <c r="L32" s="73">
        <f t="shared" si="4"/>
        <v>4.8991490418023025E-2</v>
      </c>
      <c r="M32" s="133">
        <f t="shared" si="7"/>
        <v>10.556380313119611</v>
      </c>
      <c r="N32" s="36">
        <f t="shared" si="5"/>
        <v>-1.8020220428086695</v>
      </c>
      <c r="O32" s="7"/>
      <c r="P32" s="7"/>
      <c r="R32" s="7"/>
      <c r="S32" s="7"/>
      <c r="T32" s="7"/>
      <c r="U32" s="7"/>
      <c r="V32" s="30"/>
      <c r="W32" s="30"/>
      <c r="X32" s="30"/>
      <c r="Y32" s="30"/>
      <c r="Z32" s="7"/>
      <c r="AA32" s="7"/>
      <c r="AB32" s="7"/>
      <c r="AC32" s="7"/>
      <c r="AD32" s="7"/>
      <c r="AE32" s="7"/>
      <c r="AF32" s="7"/>
      <c r="AG32" s="7"/>
      <c r="AH32" s="30"/>
      <c r="AI32" s="8"/>
      <c r="AJ32" s="8"/>
      <c r="AK32" s="8"/>
      <c r="AL32" s="7"/>
      <c r="AM32" s="19"/>
      <c r="AN32" s="19"/>
      <c r="AO32" s="19"/>
      <c r="AP32" s="19"/>
    </row>
    <row r="33" spans="1:42" ht="16.5" thickTop="1" thickBot="1" x14ac:dyDescent="0.3">
      <c r="B33" s="7"/>
      <c r="C33" s="7"/>
      <c r="D33" s="7">
        <v>8</v>
      </c>
      <c r="E33" s="137">
        <f>E32</f>
        <v>10</v>
      </c>
      <c r="F33" s="65">
        <v>0</v>
      </c>
      <c r="G33" s="53">
        <v>0</v>
      </c>
      <c r="H33" s="66">
        <v>0</v>
      </c>
      <c r="I33" s="82">
        <f>EXP(E33)/(EXP($E33)+EXP($F33)+EXP($G33)+EXP($H33))</f>
        <v>0.99986381875856889</v>
      </c>
      <c r="J33" s="83">
        <f>EXP(F33)/(EXP($E33)+EXP($F33)+EXP($G33)+EXP($H33))</f>
        <v>4.5393747143688908E-5</v>
      </c>
      <c r="K33" s="84">
        <f t="shared" ref="K33:L33" si="9">EXP(G33)/(EXP($E33)+EXP($F33)+EXP($G33)+EXP($H33))</f>
        <v>4.5393747143688908E-5</v>
      </c>
      <c r="L33" s="85">
        <f t="shared" si="9"/>
        <v>4.5393747143688908E-5</v>
      </c>
      <c r="M33" s="97">
        <f>$N$22*LN(EXP($E33/$N$22)+EXP($F33/$N$22)+EXP($G33/$N$22)+EXP($H33/$N$22))</f>
        <v>10.556380313119611</v>
      </c>
      <c r="N33" s="36">
        <f>SUM(N26:N32)</f>
        <v>10.556380313119611</v>
      </c>
      <c r="O33" s="8" t="s">
        <v>47</v>
      </c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ht="15.75" thickBot="1" x14ac:dyDescent="0.3">
      <c r="B34" s="7"/>
      <c r="C34" s="7"/>
      <c r="D34" s="7"/>
      <c r="M34" s="130">
        <v>0</v>
      </c>
      <c r="N34" s="88">
        <f>N33-(SUMPRODUCT(I33:L33,E33:H33))</f>
        <v>0.55774212553392211</v>
      </c>
      <c r="O34" t="s">
        <v>64</v>
      </c>
    </row>
    <row r="35" spans="1:42" x14ac:dyDescent="0.25">
      <c r="B35" s="7"/>
      <c r="C35" s="7"/>
      <c r="D35" s="7"/>
    </row>
    <row r="36" spans="1:42" x14ac:dyDescent="0.25">
      <c r="B36" s="7"/>
      <c r="C36" s="7"/>
      <c r="D36" s="7"/>
    </row>
    <row r="37" spans="1:42" x14ac:dyDescent="0.25">
      <c r="A37" s="7"/>
      <c r="B37" s="7"/>
      <c r="C37" s="7"/>
      <c r="D37" s="7"/>
      <c r="E37" s="17"/>
      <c r="F37" s="17"/>
      <c r="G37" s="17"/>
      <c r="I37" s="102" t="s">
        <v>7</v>
      </c>
      <c r="J37" s="102" t="s">
        <v>7</v>
      </c>
    </row>
    <row r="38" spans="1:42" ht="15.75" thickBot="1" x14ac:dyDescent="0.3">
      <c r="A38" s="135"/>
      <c r="B38" s="17"/>
      <c r="C38" s="17"/>
      <c r="D38" s="17"/>
      <c r="E38" s="17"/>
      <c r="F38" s="17"/>
      <c r="G38" s="20">
        <v>3</v>
      </c>
      <c r="I38" s="102">
        <v>0</v>
      </c>
      <c r="J38" s="102">
        <v>1</v>
      </c>
      <c r="M38" t="s">
        <v>61</v>
      </c>
    </row>
    <row r="39" spans="1:42" x14ac:dyDescent="0.25">
      <c r="A39" s="7"/>
      <c r="B39" s="7"/>
      <c r="C39" s="7"/>
      <c r="D39" s="7"/>
      <c r="E39" s="17"/>
      <c r="F39" s="17"/>
      <c r="G39" s="21" t="s">
        <v>6</v>
      </c>
      <c r="H39" s="102">
        <v>0</v>
      </c>
      <c r="I39" s="103">
        <f>I28</f>
        <v>0.35000000000000003</v>
      </c>
      <c r="J39" s="104">
        <f>J28</f>
        <v>0.21666666666666667</v>
      </c>
      <c r="K39" s="105">
        <f>SUM(I39:J39)</f>
        <v>0.56666666666666665</v>
      </c>
      <c r="M39" s="138">
        <f>J40/SUM(I40:J40)</f>
        <v>0.5</v>
      </c>
    </row>
    <row r="40" spans="1:42" ht="15.75" thickBot="1" x14ac:dyDescent="0.3">
      <c r="B40" s="7"/>
      <c r="C40" s="7"/>
      <c r="D40" s="7"/>
      <c r="E40" s="17"/>
      <c r="F40" s="17"/>
      <c r="G40" s="21" t="s">
        <v>6</v>
      </c>
      <c r="H40" s="102">
        <v>1</v>
      </c>
      <c r="I40" s="106">
        <f>K28</f>
        <v>0.21666666666666667</v>
      </c>
      <c r="J40" s="107">
        <f>L28</f>
        <v>0.21666666666666667</v>
      </c>
      <c r="K40" s="108">
        <f>SUM(I40:J40)</f>
        <v>0.43333333333333335</v>
      </c>
    </row>
    <row r="41" spans="1:42" ht="15.75" thickBot="1" x14ac:dyDescent="0.3">
      <c r="B41" s="7"/>
      <c r="C41" s="7"/>
      <c r="D41" s="7"/>
      <c r="E41" s="17"/>
      <c r="F41" s="17"/>
      <c r="G41" s="17"/>
      <c r="I41" s="140">
        <f>SUM(I39:I40)</f>
        <v>0.56666666666666665</v>
      </c>
      <c r="J41" s="141">
        <f>SUM(J39:J40)</f>
        <v>0.43333333333333335</v>
      </c>
      <c r="K41" s="110">
        <f>SUM(I39:J40)</f>
        <v>1</v>
      </c>
    </row>
    <row r="42" spans="1:42" x14ac:dyDescent="0.25">
      <c r="B42" s="7"/>
      <c r="C42" s="7"/>
      <c r="D42" s="7"/>
      <c r="E42" s="17"/>
      <c r="F42" s="17"/>
      <c r="G42" s="17"/>
      <c r="I42" s="109"/>
      <c r="J42" s="109"/>
      <c r="K42" s="108"/>
    </row>
    <row r="43" spans="1:42" x14ac:dyDescent="0.25">
      <c r="B43" s="7"/>
      <c r="C43" s="7"/>
      <c r="D43" s="7"/>
      <c r="E43" s="17"/>
      <c r="F43" s="17"/>
      <c r="G43" s="17"/>
      <c r="I43" s="109"/>
      <c r="J43" s="109"/>
      <c r="K43" s="108"/>
    </row>
    <row r="44" spans="1:42" ht="15.75" thickBot="1" x14ac:dyDescent="0.3">
      <c r="B44" s="7"/>
      <c r="C44" s="7"/>
      <c r="D44" s="17"/>
      <c r="E44" s="17"/>
      <c r="F44" s="17"/>
      <c r="G44" s="20">
        <v>4</v>
      </c>
      <c r="I44" s="111">
        <v>0</v>
      </c>
      <c r="J44" s="111">
        <v>1</v>
      </c>
      <c r="K44" s="108"/>
      <c r="M44" t="s">
        <v>61</v>
      </c>
    </row>
    <row r="45" spans="1:42" x14ac:dyDescent="0.25">
      <c r="B45" s="7"/>
      <c r="C45" s="7"/>
      <c r="D45" s="7"/>
      <c r="H45" s="102">
        <v>0</v>
      </c>
      <c r="I45" s="103">
        <f>I29</f>
        <v>0.27674497792592351</v>
      </c>
      <c r="J45" s="104">
        <f>J29</f>
        <v>0.21944385739095482</v>
      </c>
      <c r="K45" s="105">
        <f>SUM(I45:J45)</f>
        <v>0.4961888353168783</v>
      </c>
      <c r="M45" s="139">
        <f>J46/SUM(I46:J46)</f>
        <v>0.42451014045629404</v>
      </c>
    </row>
    <row r="46" spans="1:42" ht="15.75" thickBot="1" x14ac:dyDescent="0.3">
      <c r="B46" s="7"/>
      <c r="C46" s="7"/>
      <c r="D46" s="7"/>
      <c r="H46" s="102">
        <v>1</v>
      </c>
      <c r="I46" s="106">
        <f>K29</f>
        <v>0.28993821640004058</v>
      </c>
      <c r="J46" s="107">
        <f>L29</f>
        <v>0.21387294828308109</v>
      </c>
      <c r="K46" s="108">
        <f>SUM(I46:J46)</f>
        <v>0.5038111646831217</v>
      </c>
    </row>
    <row r="47" spans="1:42" ht="15.75" thickBot="1" x14ac:dyDescent="0.3">
      <c r="B47" s="7"/>
      <c r="C47" s="7"/>
      <c r="D47" s="7"/>
      <c r="I47" s="140">
        <f>SUM(I45:I46)</f>
        <v>0.56668319432596403</v>
      </c>
      <c r="J47" s="141">
        <f>SUM(J45:J46)</f>
        <v>0.43331680567403591</v>
      </c>
      <c r="K47" s="110">
        <f>SUM(I45:J46)</f>
        <v>1</v>
      </c>
    </row>
    <row r="48" spans="1:42" x14ac:dyDescent="0.25">
      <c r="B48" s="7"/>
      <c r="C48" s="7"/>
      <c r="D48" s="7"/>
    </row>
    <row r="50" spans="7:13" x14ac:dyDescent="0.25">
      <c r="G50" s="34" t="s">
        <v>62</v>
      </c>
    </row>
    <row r="53" spans="7:13" ht="15.75" thickBot="1" x14ac:dyDescent="0.3">
      <c r="G53" s="27">
        <v>5</v>
      </c>
      <c r="I53" s="111">
        <v>0</v>
      </c>
      <c r="J53" s="111">
        <v>1</v>
      </c>
      <c r="K53" s="108"/>
      <c r="M53" t="s">
        <v>61</v>
      </c>
    </row>
    <row r="54" spans="7:13" x14ac:dyDescent="0.25">
      <c r="H54" s="102">
        <v>0</v>
      </c>
      <c r="I54" s="103">
        <f>I30</f>
        <v>0.45139161074053508</v>
      </c>
      <c r="J54" s="104">
        <f>J30</f>
        <v>0.19155834236466296</v>
      </c>
      <c r="K54" s="105">
        <f>SUM(I54:J54)</f>
        <v>0.64294995310519809</v>
      </c>
      <c r="M54" s="139">
        <f>J55/SUM(I55:J55)</f>
        <v>0.42541779867029983</v>
      </c>
    </row>
    <row r="55" spans="7:13" ht="15.75" thickBot="1" x14ac:dyDescent="0.3">
      <c r="H55" s="102">
        <v>1</v>
      </c>
      <c r="I55" s="106">
        <f>K30</f>
        <v>0.20515460192968799</v>
      </c>
      <c r="J55" s="107">
        <f>L30</f>
        <v>0.15189544496511398</v>
      </c>
      <c r="K55" s="108">
        <f>SUM(I55:J55)</f>
        <v>0.35705004689480196</v>
      </c>
    </row>
    <row r="56" spans="7:13" ht="15.75" thickBot="1" x14ac:dyDescent="0.3">
      <c r="I56" s="140">
        <f>SUM(I54:I55)</f>
        <v>0.65654621267022306</v>
      </c>
      <c r="J56" s="109">
        <f>SUM(J54:J55)</f>
        <v>0.34345378732977694</v>
      </c>
      <c r="K56" s="110">
        <f>SUM(I54:J55)</f>
        <v>1</v>
      </c>
    </row>
    <row r="59" spans="7:13" x14ac:dyDescent="0.25">
      <c r="G59" s="34" t="s">
        <v>63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3"/>
  <sheetViews>
    <sheetView zoomScale="70" zoomScaleNormal="70" workbookViewId="0">
      <selection activeCell="H22" sqref="H22"/>
    </sheetView>
  </sheetViews>
  <sheetFormatPr defaultRowHeight="15" x14ac:dyDescent="0.25"/>
  <cols>
    <col min="5" max="9" width="11.42578125" style="34" customWidth="1"/>
    <col min="10" max="10" width="12" style="34" customWidth="1"/>
    <col min="13" max="13" width="9.42578125" customWidth="1"/>
    <col min="14" max="14" width="12.710937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2:42" s="7" customFormat="1" x14ac:dyDescent="0.25">
      <c r="E2" s="17"/>
      <c r="F2" s="17"/>
      <c r="G2" s="17"/>
      <c r="H2" s="17"/>
      <c r="I2" s="17"/>
      <c r="J2" s="17"/>
    </row>
    <row r="3" spans="2:42" ht="21" x14ac:dyDescent="0.35">
      <c r="D3" s="163" t="s">
        <v>73</v>
      </c>
      <c r="K3" t="s">
        <v>49</v>
      </c>
    </row>
    <row r="4" spans="2:42" x14ac:dyDescent="0.25">
      <c r="D4" t="s">
        <v>6</v>
      </c>
      <c r="E4" s="34" t="s">
        <v>12</v>
      </c>
      <c r="F4" s="34" t="s">
        <v>13</v>
      </c>
      <c r="H4" s="34" t="s">
        <v>46</v>
      </c>
      <c r="I4" s="34">
        <f>COUNTA(E8:H8)</f>
        <v>4</v>
      </c>
      <c r="K4">
        <f>M9</f>
        <v>2.7725887222397811</v>
      </c>
      <c r="N4" s="18"/>
      <c r="O4" s="7"/>
      <c r="P4" s="7"/>
      <c r="Q4" s="7"/>
      <c r="R4" s="18"/>
    </row>
    <row r="5" spans="2:42" x14ac:dyDescent="0.25">
      <c r="D5" t="s">
        <v>7</v>
      </c>
      <c r="E5" s="34" t="s">
        <v>4</v>
      </c>
      <c r="F5" s="34" t="s">
        <v>5</v>
      </c>
      <c r="N5" s="18"/>
      <c r="O5" s="7"/>
      <c r="P5" s="7"/>
      <c r="Q5" s="7"/>
      <c r="R5" s="18"/>
    </row>
    <row r="7" spans="2:42" ht="27.75" customHeight="1" x14ac:dyDescent="0.25">
      <c r="C7" s="7"/>
      <c r="E7" s="37" t="s">
        <v>14</v>
      </c>
      <c r="F7" s="38"/>
      <c r="G7" s="38"/>
      <c r="H7" s="39"/>
      <c r="I7" s="14" t="s">
        <v>15</v>
      </c>
      <c r="J7" s="15"/>
      <c r="K7" s="15"/>
      <c r="L7" s="16"/>
      <c r="M7" s="14" t="s">
        <v>38</v>
      </c>
      <c r="N7" s="16" t="s">
        <v>37</v>
      </c>
      <c r="O7" s="20"/>
      <c r="P7" s="20"/>
      <c r="R7" s="20"/>
      <c r="S7" s="20"/>
      <c r="T7" s="20"/>
      <c r="U7" s="31"/>
      <c r="V7" s="32"/>
      <c r="W7" s="7"/>
      <c r="X7" s="7"/>
      <c r="Y7" s="7"/>
      <c r="Z7" s="32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16.5" thickBot="1" x14ac:dyDescent="0.3">
      <c r="C8" s="183" t="s">
        <v>7</v>
      </c>
      <c r="D8" s="136" t="s">
        <v>36</v>
      </c>
      <c r="E8" s="40" t="s">
        <v>8</v>
      </c>
      <c r="F8" s="59" t="s">
        <v>9</v>
      </c>
      <c r="G8" s="41" t="s">
        <v>10</v>
      </c>
      <c r="H8" s="60" t="s">
        <v>11</v>
      </c>
      <c r="I8" s="70" t="s">
        <v>8</v>
      </c>
      <c r="J8" s="71" t="s">
        <v>9</v>
      </c>
      <c r="K8" s="72" t="s">
        <v>10</v>
      </c>
      <c r="L8" s="73" t="s">
        <v>11</v>
      </c>
      <c r="M8" s="43">
        <v>0</v>
      </c>
      <c r="N8" s="36"/>
      <c r="O8" s="7"/>
      <c r="P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8"/>
      <c r="AN8" s="18"/>
      <c r="AO8" s="18"/>
      <c r="AP8" s="18"/>
    </row>
    <row r="9" spans="2:42" ht="16.5" thickTop="1" x14ac:dyDescent="0.25">
      <c r="B9" t="s">
        <v>70</v>
      </c>
      <c r="C9" s="184">
        <v>2</v>
      </c>
      <c r="D9">
        <v>1</v>
      </c>
      <c r="E9" s="45">
        <v>0</v>
      </c>
      <c r="F9" s="61">
        <v>0</v>
      </c>
      <c r="G9" s="46">
        <v>0</v>
      </c>
      <c r="H9" s="62">
        <v>0</v>
      </c>
      <c r="I9" s="74">
        <f>EXP(E9/$C9)/(EXP($E9/$C9)+EXP($F9/$C9)+EXP($G9/$C9)+EXP($H9/$C9))</f>
        <v>0.25</v>
      </c>
      <c r="J9" s="75">
        <f t="shared" ref="J9:J14" si="0">EXP(F9/$C9)/(EXP($E9/$C9)+EXP($F9/$C9)+EXP($G9/$C9)+EXP($H9/$C9))</f>
        <v>0.25</v>
      </c>
      <c r="K9" s="76">
        <f t="shared" ref="K9:K15" si="1">EXP(G9/$C9)/(EXP($E9/$C9)+EXP($F9/$C9)+EXP($G9/$C9)+EXP($H9/$C9))</f>
        <v>0.25</v>
      </c>
      <c r="L9" s="77">
        <f t="shared" ref="L9:L15" si="2">EXP(H9/$C9)/(EXP($E9/$C9)+EXP($F9/$C9)+EXP($G9/$C9)+EXP($H9/$C9))</f>
        <v>0.25</v>
      </c>
      <c r="M9" s="95">
        <f>$C9*LN(EXP($E9/$C9)+EXP($F9/$C9)+EXP($G9/$C9)+EXP($H9/$C9))</f>
        <v>2.7725887222397811</v>
      </c>
      <c r="N9" s="86">
        <f>(M9-0)</f>
        <v>2.7725887222397811</v>
      </c>
      <c r="O9" s="7"/>
      <c r="P9" s="7"/>
      <c r="R9" s="7"/>
      <c r="S9" s="7"/>
      <c r="T9" s="7"/>
      <c r="U9" s="7"/>
      <c r="V9" s="8"/>
      <c r="W9" s="8"/>
      <c r="X9" s="8"/>
      <c r="Y9" s="8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9"/>
      <c r="AN9" s="19"/>
      <c r="AO9" s="19"/>
      <c r="AP9" s="19"/>
    </row>
    <row r="10" spans="2:42" ht="15.75" x14ac:dyDescent="0.25">
      <c r="B10" s="7" t="s">
        <v>70</v>
      </c>
      <c r="C10" s="184">
        <v>2</v>
      </c>
      <c r="D10" s="7">
        <v>2</v>
      </c>
      <c r="E10" s="48">
        <v>0</v>
      </c>
      <c r="F10" s="63">
        <v>1</v>
      </c>
      <c r="G10" s="42">
        <v>2</v>
      </c>
      <c r="H10" s="64">
        <v>0</v>
      </c>
      <c r="I10" s="78">
        <f t="shared" ref="I10:I15" si="3">EXP(E10/$C10)/(EXP($E10/$C10)+EXP($F10/$C10)+EXP($G10/$C10)+EXP($H10/$C10))</f>
        <v>0.1570597633495828</v>
      </c>
      <c r="J10" s="79">
        <f t="shared" si="0"/>
        <v>0.25894777260558555</v>
      </c>
      <c r="K10" s="80">
        <f t="shared" si="1"/>
        <v>0.4269327006952488</v>
      </c>
      <c r="L10" s="81">
        <f t="shared" si="2"/>
        <v>0.1570597633495828</v>
      </c>
      <c r="M10" s="96">
        <f t="shared" ref="M10" si="4">$C10*LN(EXP($E10/$C10)+EXP($F10/$C10)+EXP($G10/$C10)+EXP($H10/$C10))</f>
        <v>3.7022577755764261</v>
      </c>
      <c r="N10" s="87">
        <f t="shared" ref="N10:N15" si="5">(M10-M9)</f>
        <v>0.92966905333664496</v>
      </c>
      <c r="O10" s="7"/>
      <c r="R10" s="7"/>
      <c r="S10" s="7"/>
      <c r="T10" s="7"/>
      <c r="U10" s="7"/>
      <c r="V10" s="30"/>
      <c r="W10" s="30"/>
      <c r="X10" s="30"/>
      <c r="Y10" s="30"/>
      <c r="Z10" s="7"/>
      <c r="AA10" s="7"/>
      <c r="AB10" s="7"/>
      <c r="AC10" s="7"/>
      <c r="AD10" s="7"/>
      <c r="AE10" s="7"/>
      <c r="AF10" s="7"/>
      <c r="AG10" s="7"/>
      <c r="AH10" s="8"/>
      <c r="AI10" s="8"/>
      <c r="AJ10" s="8"/>
      <c r="AK10" s="8"/>
      <c r="AL10" s="7"/>
      <c r="AM10" s="19"/>
      <c r="AN10" s="19"/>
      <c r="AO10" s="19"/>
      <c r="AP10" s="19"/>
    </row>
    <row r="11" spans="2:42" ht="15.75" x14ac:dyDescent="0.25">
      <c r="B11" s="17" t="s">
        <v>70</v>
      </c>
      <c r="C11" s="184">
        <v>2</v>
      </c>
      <c r="D11" s="17">
        <v>3</v>
      </c>
      <c r="E11" s="48">
        <v>1</v>
      </c>
      <c r="F11" s="63">
        <v>1</v>
      </c>
      <c r="G11" s="42">
        <v>2</v>
      </c>
      <c r="H11" s="64">
        <v>0</v>
      </c>
      <c r="I11" s="78">
        <f t="shared" si="3"/>
        <v>0.23500371220159452</v>
      </c>
      <c r="J11" s="79">
        <f t="shared" si="0"/>
        <v>0.23500371220159452</v>
      </c>
      <c r="K11" s="80">
        <f t="shared" si="1"/>
        <v>0.3874556190002601</v>
      </c>
      <c r="L11" s="81">
        <f t="shared" si="2"/>
        <v>0.14253695659655097</v>
      </c>
      <c r="M11" s="96">
        <f t="shared" ref="M11:M16" si="6">$C11*LN(EXP($E11/$C11)+EXP($F11/$C11)+EXP($G11/$C11)+EXP($H11/$C11))</f>
        <v>3.8963079367204267</v>
      </c>
      <c r="N11" s="87">
        <f t="shared" si="5"/>
        <v>0.19405016114400064</v>
      </c>
      <c r="O11" s="7"/>
      <c r="Q11" s="1"/>
      <c r="R11" s="181" t="s">
        <v>71</v>
      </c>
      <c r="S11" s="182"/>
      <c r="T11" s="182"/>
      <c r="U11" s="7"/>
      <c r="V11" s="30"/>
      <c r="W11" s="30"/>
      <c r="X11" s="30"/>
      <c r="Y11" s="30"/>
      <c r="Z11" s="7"/>
      <c r="AA11" s="7"/>
      <c r="AB11" s="7"/>
      <c r="AC11" s="7"/>
      <c r="AD11" s="7"/>
      <c r="AE11" s="7"/>
      <c r="AF11" s="7"/>
      <c r="AG11" s="7"/>
      <c r="AH11" s="8"/>
      <c r="AI11" s="8"/>
      <c r="AJ11" s="8"/>
      <c r="AK11" s="8"/>
      <c r="AL11" s="7"/>
      <c r="AM11" s="19"/>
      <c r="AN11" s="19"/>
      <c r="AO11" s="19"/>
      <c r="AP11" s="19"/>
    </row>
    <row r="12" spans="2:42" ht="15.75" x14ac:dyDescent="0.25">
      <c r="B12" s="164" t="s">
        <v>70</v>
      </c>
      <c r="C12" s="185">
        <v>2</v>
      </c>
      <c r="D12" s="7">
        <v>4</v>
      </c>
      <c r="E12" s="48">
        <v>2</v>
      </c>
      <c r="F12" s="63">
        <v>0</v>
      </c>
      <c r="G12" s="42">
        <v>7</v>
      </c>
      <c r="H12" s="64">
        <f>E12</f>
        <v>2</v>
      </c>
      <c r="I12" s="78">
        <f t="shared" si="3"/>
        <v>6.8726758577284552E-2</v>
      </c>
      <c r="J12" s="79">
        <f t="shared" si="0"/>
        <v>2.5283161538936071E-2</v>
      </c>
      <c r="K12" s="80">
        <f t="shared" si="1"/>
        <v>0.83726332130649472</v>
      </c>
      <c r="L12" s="81">
        <f t="shared" si="2"/>
        <v>6.8726758577284552E-2</v>
      </c>
      <c r="M12" s="96">
        <f t="shared" si="6"/>
        <v>7.3552333132946082</v>
      </c>
      <c r="N12" s="87">
        <f>(M12-M11)</f>
        <v>3.4589253765741814</v>
      </c>
      <c r="O12" s="7"/>
      <c r="Q12" s="5"/>
      <c r="R12" s="175" t="s">
        <v>72</v>
      </c>
      <c r="S12" s="7"/>
      <c r="T12" s="7"/>
      <c r="U12" s="7"/>
      <c r="V12" s="30"/>
      <c r="W12" s="30"/>
      <c r="X12" s="30"/>
      <c r="Y12" s="30"/>
      <c r="Z12" s="7"/>
      <c r="AA12" s="7"/>
      <c r="AB12" s="7"/>
      <c r="AC12" s="21"/>
      <c r="AD12" s="7"/>
      <c r="AE12" s="7"/>
      <c r="AF12" s="7"/>
      <c r="AG12" s="7"/>
      <c r="AH12" s="8"/>
      <c r="AI12" s="8"/>
      <c r="AJ12" s="8"/>
      <c r="AK12" s="8"/>
      <c r="AL12" s="7"/>
      <c r="AM12" s="19"/>
      <c r="AN12" s="19"/>
      <c r="AO12" s="19"/>
      <c r="AP12" s="19"/>
    </row>
    <row r="13" spans="2:42" ht="15.75" x14ac:dyDescent="0.25">
      <c r="B13" s="164" t="s">
        <v>69</v>
      </c>
      <c r="C13" s="185">
        <v>5</v>
      </c>
      <c r="D13" s="7">
        <v>5</v>
      </c>
      <c r="E13" s="48">
        <f>E12</f>
        <v>2</v>
      </c>
      <c r="F13" s="63">
        <f t="shared" ref="F13:G13" si="7">F12</f>
        <v>0</v>
      </c>
      <c r="G13" s="42">
        <f t="shared" si="7"/>
        <v>7</v>
      </c>
      <c r="H13" s="64">
        <v>2</v>
      </c>
      <c r="I13" s="78">
        <f t="shared" si="3"/>
        <v>0.18557689420946036</v>
      </c>
      <c r="J13" s="79">
        <f>EXP(F13/$C13)/(EXP($E13/$C13)+EXP($F13/$C13)+EXP($G13/$C13)+EXP($H13/$C13))</f>
        <v>0.12439591226963644</v>
      </c>
      <c r="K13" s="80">
        <f t="shared" si="1"/>
        <v>0.5044502993114427</v>
      </c>
      <c r="L13" s="81">
        <f t="shared" si="2"/>
        <v>0.18557689420946036</v>
      </c>
      <c r="M13" s="96">
        <f>$C13*LN(EXP($E13/$C13)+EXP($F13/$C13)+EXP($G13/$C13)+EXP($H13/$C13))</f>
        <v>10.421429793928922</v>
      </c>
      <c r="N13" s="87">
        <f>(M13-M12)</f>
        <v>3.0661964806343143</v>
      </c>
      <c r="O13" s="7"/>
      <c r="P13" s="7">
        <f>(C13-C12)*LN(I4)</f>
        <v>4.1588830833596715</v>
      </c>
      <c r="Q13" s="5" t="b">
        <f>P13&gt;N13</f>
        <v>1</v>
      </c>
      <c r="R13" s="7"/>
      <c r="S13" s="7"/>
      <c r="T13" s="7"/>
      <c r="U13" s="7"/>
      <c r="V13" s="30"/>
      <c r="W13" s="30"/>
      <c r="X13" s="30"/>
      <c r="Y13" s="30"/>
      <c r="Z13" s="7"/>
      <c r="AA13" s="7"/>
      <c r="AB13" s="7"/>
      <c r="AC13" s="7"/>
      <c r="AD13" s="7"/>
      <c r="AE13" s="7"/>
      <c r="AF13" s="7"/>
      <c r="AG13" s="7"/>
      <c r="AH13" s="8"/>
      <c r="AI13" s="8"/>
      <c r="AJ13" s="8"/>
      <c r="AK13" s="8"/>
      <c r="AL13" s="7"/>
      <c r="AM13" s="19"/>
      <c r="AN13" s="19"/>
      <c r="AO13" s="19"/>
      <c r="AP13" s="19"/>
    </row>
    <row r="14" spans="2:42" ht="15.75" x14ac:dyDescent="0.25">
      <c r="B14" s="164" t="s">
        <v>69</v>
      </c>
      <c r="C14" s="185">
        <v>5</v>
      </c>
      <c r="D14" s="7">
        <v>6</v>
      </c>
      <c r="E14" s="48">
        <v>7</v>
      </c>
      <c r="F14" s="63">
        <v>4</v>
      </c>
      <c r="G14" s="42">
        <v>2</v>
      </c>
      <c r="H14" s="64">
        <v>3.5</v>
      </c>
      <c r="I14" s="78">
        <f>EXP(E14/$C14)/(EXP($E14/$C14)+EXP($F14/$C14)+EXP($G14/$C14)+EXP($H14/$C14))</f>
        <v>0.41437441970987865</v>
      </c>
      <c r="J14" s="79">
        <f t="shared" si="0"/>
        <v>0.22741350323649132</v>
      </c>
      <c r="K14" s="80">
        <f t="shared" si="1"/>
        <v>0.15243982995861086</v>
      </c>
      <c r="L14" s="81">
        <f t="shared" si="2"/>
        <v>0.20577224709501912</v>
      </c>
      <c r="M14" s="96">
        <f t="shared" si="6"/>
        <v>11.404926592207367</v>
      </c>
      <c r="N14" s="87">
        <f t="shared" si="5"/>
        <v>0.98349679827844483</v>
      </c>
      <c r="O14" s="7"/>
      <c r="P14" s="7"/>
      <c r="Q14" s="5" t="b">
        <f>N17&gt;M17</f>
        <v>1</v>
      </c>
      <c r="R14" s="7"/>
      <c r="S14" s="7"/>
      <c r="T14" s="7"/>
      <c r="U14" s="7"/>
      <c r="V14" s="30"/>
      <c r="W14" s="30"/>
      <c r="X14" s="30"/>
      <c r="Y14" s="30"/>
      <c r="Z14" s="7"/>
      <c r="AA14" s="7"/>
      <c r="AB14" s="7"/>
      <c r="AC14" s="7"/>
      <c r="AD14" s="7"/>
      <c r="AE14" s="7"/>
      <c r="AF14" s="7"/>
      <c r="AG14" s="7"/>
      <c r="AH14" s="8"/>
      <c r="AI14" s="8"/>
      <c r="AJ14" s="8"/>
      <c r="AK14" s="8"/>
      <c r="AL14" s="7"/>
      <c r="AM14" s="19"/>
      <c r="AN14" s="19"/>
      <c r="AO14" s="19"/>
      <c r="AP14" s="19"/>
    </row>
    <row r="15" spans="2:42" ht="16.5" thickBot="1" x14ac:dyDescent="0.3">
      <c r="B15" s="164" t="s">
        <v>69</v>
      </c>
      <c r="C15" s="185">
        <v>5</v>
      </c>
      <c r="D15" s="7">
        <v>7</v>
      </c>
      <c r="E15" s="40">
        <v>0</v>
      </c>
      <c r="F15" s="59">
        <v>25</v>
      </c>
      <c r="G15" s="41">
        <v>0</v>
      </c>
      <c r="H15" s="60">
        <v>0</v>
      </c>
      <c r="I15" s="70">
        <f t="shared" si="3"/>
        <v>6.6044457821696888E-3</v>
      </c>
      <c r="J15" s="71">
        <f>EXP(F15/$C15)/(EXP($E15/$C15)+EXP($F15/$C15)+EXP($G15/$C15)+EXP($H15/$C15))</f>
        <v>0.98018666265349097</v>
      </c>
      <c r="K15" s="72">
        <f t="shared" si="1"/>
        <v>6.6044457821696888E-3</v>
      </c>
      <c r="L15" s="73">
        <f t="shared" si="2"/>
        <v>6.6044457821696888E-3</v>
      </c>
      <c r="M15" s="133">
        <f t="shared" si="6"/>
        <v>25.100061266798136</v>
      </c>
      <c r="N15" s="36">
        <f t="shared" si="5"/>
        <v>13.695134674590768</v>
      </c>
      <c r="O15" s="7"/>
      <c r="P15" s="7"/>
      <c r="R15" s="7"/>
      <c r="S15" s="7"/>
      <c r="T15" s="7"/>
      <c r="U15" s="7"/>
      <c r="V15" s="30"/>
      <c r="W15" s="30"/>
      <c r="X15" s="30"/>
      <c r="Y15" s="30"/>
      <c r="Z15" s="7"/>
      <c r="AA15" s="7"/>
      <c r="AB15" s="7"/>
      <c r="AC15" s="7"/>
      <c r="AD15" s="7"/>
      <c r="AE15" s="7"/>
      <c r="AF15" s="7"/>
      <c r="AG15" s="7"/>
      <c r="AH15" s="30"/>
      <c r="AI15" s="8"/>
      <c r="AJ15" s="8"/>
      <c r="AK15" s="8"/>
      <c r="AL15" s="7"/>
      <c r="AM15" s="19"/>
      <c r="AN15" s="19"/>
      <c r="AO15" s="19"/>
      <c r="AP15" s="19"/>
    </row>
    <row r="16" spans="2:42" ht="17.25" thickTop="1" thickBot="1" x14ac:dyDescent="0.3">
      <c r="B16" s="164" t="s">
        <v>69</v>
      </c>
      <c r="C16" s="185">
        <v>5</v>
      </c>
      <c r="D16" s="7">
        <v>8</v>
      </c>
      <c r="E16" s="137">
        <f>E15</f>
        <v>0</v>
      </c>
      <c r="F16" s="65">
        <f>F15</f>
        <v>25</v>
      </c>
      <c r="G16" s="53">
        <f>G15</f>
        <v>0</v>
      </c>
      <c r="H16" s="66">
        <f>H15</f>
        <v>0</v>
      </c>
      <c r="I16" s="82">
        <f>EXP(E16)/(EXP($E16)+EXP($F16)+EXP($G16)+EXP($H16))</f>
        <v>1.3887943864385394E-11</v>
      </c>
      <c r="J16" s="83">
        <f>EXP(F16)/(EXP($E16)+EXP($F16)+EXP($G16)+EXP($H16))</f>
        <v>0.99999999995833622</v>
      </c>
      <c r="K16" s="84">
        <f t="shared" ref="K16" si="8">EXP(G16)/(EXP($E16)+EXP($F16)+EXP($G16)+EXP($H16))</f>
        <v>1.3887943864385394E-11</v>
      </c>
      <c r="L16" s="85">
        <f>EXP(H16)/(EXP($E16)+EXP($F16)+EXP($G16)+EXP($H16))</f>
        <v>1.3887943864385394E-11</v>
      </c>
      <c r="M16" s="97">
        <f t="shared" si="6"/>
        <v>25.100061266798136</v>
      </c>
      <c r="N16" s="36">
        <f>SUM(N9:N15)</f>
        <v>25.100061266798136</v>
      </c>
      <c r="O16" s="8" t="s">
        <v>47</v>
      </c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18" ht="15.75" thickBot="1" x14ac:dyDescent="0.3">
      <c r="B17" s="7"/>
      <c r="C17" s="7"/>
      <c r="D17" s="7"/>
      <c r="M17" s="130">
        <v>0</v>
      </c>
      <c r="N17" s="174">
        <f>N16-(SUMPRODUCT(I16:L16,E16:H16))</f>
        <v>0.10006126783973102</v>
      </c>
      <c r="O17" t="s">
        <v>64</v>
      </c>
    </row>
    <row r="18" spans="1:18" x14ac:dyDescent="0.25">
      <c r="B18" s="7"/>
      <c r="C18" s="7"/>
      <c r="D18" s="7"/>
    </row>
    <row r="19" spans="1:18" x14ac:dyDescent="0.25">
      <c r="B19" s="7"/>
      <c r="C19" s="7"/>
      <c r="D19" s="7"/>
    </row>
    <row r="20" spans="1:18" x14ac:dyDescent="0.25">
      <c r="A20" s="7"/>
      <c r="B20" s="7"/>
      <c r="C20" s="7"/>
      <c r="D20" s="7"/>
      <c r="E20" s="17"/>
      <c r="F20" s="17"/>
      <c r="G20" s="164"/>
      <c r="H20" s="164"/>
      <c r="I20" s="167"/>
      <c r="J20" s="167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135"/>
      <c r="B21" s="17"/>
      <c r="C21" s="17"/>
      <c r="D21" s="17"/>
      <c r="E21" s="17"/>
      <c r="F21" s="17"/>
      <c r="G21" s="165"/>
      <c r="H21" s="164"/>
      <c r="I21" s="167"/>
      <c r="J21" s="167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7"/>
      <c r="B22" s="7"/>
      <c r="C22" s="7"/>
      <c r="D22" s="7"/>
      <c r="E22" s="17"/>
      <c r="F22" s="17"/>
      <c r="G22" s="166"/>
      <c r="H22" s="167"/>
      <c r="I22" s="168"/>
      <c r="J22" s="168"/>
      <c r="K22" s="169"/>
      <c r="L22" s="8"/>
      <c r="M22" s="170"/>
      <c r="N22" s="8"/>
      <c r="O22" s="8"/>
      <c r="P22" s="8"/>
      <c r="Q22" s="8"/>
      <c r="R22" s="8"/>
    </row>
    <row r="23" spans="1:18" x14ac:dyDescent="0.25">
      <c r="B23" s="7"/>
      <c r="C23" s="7"/>
      <c r="D23" s="7"/>
      <c r="E23" s="17"/>
      <c r="F23" s="17"/>
      <c r="G23" s="166"/>
      <c r="H23" s="167"/>
      <c r="I23" s="168"/>
      <c r="J23" s="168"/>
      <c r="K23" s="169"/>
      <c r="L23" s="8"/>
      <c r="M23" s="8"/>
      <c r="N23" s="8"/>
      <c r="O23" s="8"/>
      <c r="P23" s="8"/>
      <c r="Q23" s="8"/>
      <c r="R23" s="8"/>
    </row>
    <row r="24" spans="1:18" x14ac:dyDescent="0.25">
      <c r="B24" s="7"/>
      <c r="C24" s="7"/>
      <c r="D24" s="7"/>
      <c r="E24" s="17"/>
      <c r="F24" s="17"/>
      <c r="G24" s="164"/>
      <c r="H24" s="164"/>
      <c r="I24" s="171"/>
      <c r="J24" s="171"/>
      <c r="K24" s="169"/>
      <c r="L24" s="8"/>
      <c r="M24" s="8"/>
      <c r="N24" s="8"/>
      <c r="O24" s="8"/>
      <c r="P24" s="8"/>
      <c r="Q24" s="8"/>
      <c r="R24" s="8"/>
    </row>
    <row r="25" spans="1:18" x14ac:dyDescent="0.25">
      <c r="B25" s="7"/>
      <c r="C25" s="7"/>
      <c r="D25" s="7"/>
      <c r="E25" s="17"/>
      <c r="F25" s="17"/>
      <c r="G25" s="164"/>
      <c r="H25" s="164"/>
      <c r="I25" s="171"/>
      <c r="J25" s="171"/>
      <c r="K25" s="169"/>
      <c r="L25" s="8"/>
      <c r="M25" s="8"/>
      <c r="N25" s="8"/>
      <c r="O25" s="8"/>
      <c r="P25" s="8"/>
      <c r="Q25" s="8"/>
      <c r="R25" s="8"/>
    </row>
    <row r="26" spans="1:18" x14ac:dyDescent="0.25">
      <c r="B26" s="7"/>
      <c r="C26" s="7"/>
      <c r="D26" s="7"/>
      <c r="E26" s="17"/>
      <c r="F26" s="17"/>
      <c r="G26" s="164"/>
      <c r="H26" s="164"/>
      <c r="I26" s="171"/>
      <c r="J26" s="171"/>
      <c r="K26" s="169"/>
      <c r="L26" s="8"/>
      <c r="M26" s="8"/>
      <c r="N26" s="8"/>
      <c r="O26" s="8"/>
      <c r="P26" s="8"/>
      <c r="Q26" s="8"/>
      <c r="R26" s="8"/>
    </row>
    <row r="27" spans="1:18" x14ac:dyDescent="0.25">
      <c r="B27" s="7"/>
      <c r="C27" s="7"/>
      <c r="D27" s="17"/>
      <c r="E27" s="17"/>
      <c r="F27" s="17"/>
      <c r="G27" s="165"/>
      <c r="H27" s="164"/>
      <c r="I27" s="172"/>
      <c r="J27" s="172"/>
      <c r="K27" s="169"/>
      <c r="L27" s="8"/>
      <c r="M27" s="8"/>
      <c r="N27" s="8"/>
      <c r="O27" s="8"/>
      <c r="P27" s="8"/>
      <c r="Q27" s="8"/>
      <c r="R27" s="8"/>
    </row>
    <row r="28" spans="1:18" x14ac:dyDescent="0.25">
      <c r="B28" s="7"/>
      <c r="C28" s="7"/>
      <c r="D28" s="7"/>
      <c r="G28" s="164"/>
      <c r="H28" s="167"/>
      <c r="I28" s="168"/>
      <c r="J28" s="168"/>
      <c r="K28" s="169"/>
      <c r="L28" s="8"/>
      <c r="M28" s="170"/>
      <c r="N28" s="8"/>
      <c r="O28" s="8"/>
      <c r="P28" s="8"/>
      <c r="Q28" s="8"/>
      <c r="R28" s="8"/>
    </row>
    <row r="29" spans="1:18" x14ac:dyDescent="0.25">
      <c r="B29" s="7"/>
      <c r="C29" s="7"/>
      <c r="D29" s="7"/>
      <c r="G29" s="164"/>
      <c r="H29" s="167"/>
      <c r="I29" s="168"/>
      <c r="J29" s="168"/>
      <c r="K29" s="169"/>
      <c r="L29" s="8"/>
      <c r="M29" s="8"/>
      <c r="N29" s="8"/>
      <c r="O29" s="8"/>
      <c r="P29" s="8"/>
      <c r="Q29" s="8"/>
      <c r="R29" s="8"/>
    </row>
    <row r="30" spans="1:18" x14ac:dyDescent="0.25">
      <c r="B30" s="7"/>
      <c r="C30" s="7"/>
      <c r="D30" s="7"/>
      <c r="G30" s="164"/>
      <c r="H30" s="164"/>
      <c r="I30" s="171"/>
      <c r="J30" s="171"/>
      <c r="K30" s="169"/>
      <c r="L30" s="8"/>
      <c r="M30" s="8"/>
      <c r="N30" s="8"/>
      <c r="O30" s="8"/>
      <c r="P30" s="8"/>
      <c r="Q30" s="8"/>
      <c r="R30" s="8"/>
    </row>
    <row r="31" spans="1:18" x14ac:dyDescent="0.25">
      <c r="B31" s="7"/>
      <c r="C31" s="7"/>
      <c r="D31" s="7"/>
      <c r="G31" s="164"/>
      <c r="H31" s="164"/>
      <c r="I31" s="164"/>
      <c r="J31" s="164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G32" s="164"/>
      <c r="H32" s="164"/>
      <c r="I32" s="164"/>
      <c r="J32" s="164"/>
      <c r="K32" s="8"/>
      <c r="L32" s="8"/>
      <c r="M32" s="8"/>
      <c r="N32" s="8"/>
      <c r="O32" s="8"/>
      <c r="P32" s="8"/>
      <c r="Q32" s="8"/>
      <c r="R32" s="8"/>
    </row>
    <row r="33" spans="7:18" x14ac:dyDescent="0.25">
      <c r="G33" s="164"/>
      <c r="H33" s="164"/>
      <c r="I33" s="164"/>
      <c r="J33" s="164"/>
      <c r="K33" s="8"/>
      <c r="L33" s="8"/>
      <c r="M33" s="8"/>
      <c r="N33" s="8"/>
      <c r="O33" s="8"/>
      <c r="P33" s="8"/>
      <c r="Q33" s="8"/>
      <c r="R33" s="8"/>
    </row>
    <row r="34" spans="7:18" x14ac:dyDescent="0.25">
      <c r="G34" s="164"/>
      <c r="H34" s="164"/>
      <c r="I34" s="164"/>
      <c r="J34" s="164"/>
      <c r="K34" s="8"/>
      <c r="L34" s="8"/>
      <c r="M34" s="8"/>
      <c r="N34" s="8"/>
      <c r="O34" s="8"/>
      <c r="P34" s="8"/>
      <c r="Q34" s="8"/>
      <c r="R34" s="8"/>
    </row>
    <row r="35" spans="7:18" x14ac:dyDescent="0.25">
      <c r="G35" s="164"/>
      <c r="H35" s="164"/>
      <c r="I35" s="164"/>
      <c r="J35" s="164"/>
      <c r="K35" s="8"/>
      <c r="L35" s="8"/>
      <c r="M35" s="8"/>
      <c r="N35" s="8"/>
      <c r="O35" s="8"/>
      <c r="P35" s="8"/>
      <c r="Q35" s="8"/>
      <c r="R35" s="8"/>
    </row>
    <row r="36" spans="7:18" x14ac:dyDescent="0.25">
      <c r="G36" s="173"/>
      <c r="H36" s="164"/>
      <c r="I36" s="172"/>
      <c r="J36" s="172"/>
      <c r="K36" s="169"/>
      <c r="L36" s="8"/>
      <c r="M36" s="8"/>
      <c r="N36" s="8"/>
      <c r="O36" s="8"/>
      <c r="P36" s="8"/>
      <c r="Q36" s="8"/>
      <c r="R36" s="8"/>
    </row>
    <row r="37" spans="7:18" x14ac:dyDescent="0.25">
      <c r="G37" s="164"/>
      <c r="H37" s="167"/>
      <c r="I37" s="168"/>
      <c r="J37" s="168"/>
      <c r="K37" s="169"/>
      <c r="L37" s="8"/>
      <c r="M37" s="170"/>
      <c r="N37" s="8"/>
      <c r="O37" s="8"/>
      <c r="P37" s="8"/>
      <c r="Q37" s="8"/>
      <c r="R37" s="8"/>
    </row>
    <row r="38" spans="7:18" x14ac:dyDescent="0.25">
      <c r="G38" s="164"/>
      <c r="H38" s="167"/>
      <c r="I38" s="168"/>
      <c r="J38" s="168"/>
      <c r="K38" s="169"/>
      <c r="L38" s="8"/>
      <c r="M38" s="8"/>
      <c r="N38" s="8"/>
      <c r="O38" s="8"/>
      <c r="P38" s="8"/>
      <c r="Q38" s="8"/>
      <c r="R38" s="8"/>
    </row>
    <row r="39" spans="7:18" x14ac:dyDescent="0.25">
      <c r="G39" s="164"/>
      <c r="H39" s="164"/>
      <c r="I39" s="171"/>
      <c r="J39" s="171"/>
      <c r="K39" s="169"/>
      <c r="L39" s="8"/>
      <c r="M39" s="8"/>
      <c r="N39" s="8"/>
      <c r="O39" s="8"/>
      <c r="P39" s="8"/>
      <c r="Q39" s="8"/>
      <c r="R39" s="8"/>
    </row>
    <row r="40" spans="7:18" x14ac:dyDescent="0.25">
      <c r="G40" s="164"/>
      <c r="H40" s="164"/>
      <c r="I40" s="164"/>
      <c r="J40" s="164"/>
      <c r="K40" s="8"/>
      <c r="L40" s="8"/>
      <c r="M40" s="8"/>
      <c r="N40" s="8"/>
      <c r="O40" s="8"/>
      <c r="P40" s="8"/>
      <c r="Q40" s="8"/>
      <c r="R40" s="8"/>
    </row>
    <row r="41" spans="7:18" x14ac:dyDescent="0.25">
      <c r="G41" s="164"/>
      <c r="H41" s="164"/>
      <c r="I41" s="164"/>
      <c r="J41" s="164"/>
      <c r="K41" s="8"/>
      <c r="L41" s="8"/>
      <c r="M41" s="8"/>
      <c r="N41" s="8"/>
      <c r="O41" s="8"/>
      <c r="P41" s="8"/>
      <c r="Q41" s="8"/>
      <c r="R41" s="8"/>
    </row>
    <row r="42" spans="7:18" x14ac:dyDescent="0.25">
      <c r="G42" s="164"/>
      <c r="H42" s="164"/>
      <c r="I42" s="164"/>
      <c r="J42" s="164"/>
      <c r="K42" s="8"/>
      <c r="L42" s="8"/>
      <c r="M42" s="8"/>
      <c r="N42" s="8"/>
      <c r="O42" s="8"/>
      <c r="P42" s="8"/>
      <c r="Q42" s="8"/>
      <c r="R42" s="8"/>
    </row>
    <row r="43" spans="7:18" x14ac:dyDescent="0.25">
      <c r="G43" s="164"/>
      <c r="H43" s="164"/>
      <c r="I43" s="164"/>
      <c r="J43" s="164"/>
      <c r="K43" s="8"/>
      <c r="L43" s="8"/>
      <c r="M43" s="8"/>
      <c r="N43" s="8"/>
      <c r="O43" s="8"/>
      <c r="P43" s="8"/>
      <c r="Q43" s="8"/>
      <c r="R43" s="8"/>
    </row>
  </sheetData>
  <conditionalFormatting sqref="AM9:AP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{92065603-D565-4D36-BD75-4261CB35D089}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65603-D565-4D36-BD75-4261CB35D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AM9:AP15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"/>
  <sheetViews>
    <sheetView workbookViewId="0">
      <selection activeCell="B3" sqref="B3"/>
    </sheetView>
  </sheetViews>
  <sheetFormatPr defaultRowHeight="15" x14ac:dyDescent="0.25"/>
  <sheetData>
    <row r="2" spans="2:15" ht="15.75" thickBot="1" x14ac:dyDescent="0.3">
      <c r="B2" t="s">
        <v>65</v>
      </c>
    </row>
    <row r="3" spans="2:15" ht="15.75" thickBot="1" x14ac:dyDescent="0.3">
      <c r="F3" s="112" t="s">
        <v>7</v>
      </c>
      <c r="G3" s="113">
        <v>5</v>
      </c>
    </row>
    <row r="5" spans="2:15" x14ac:dyDescent="0.25">
      <c r="B5" t="s">
        <v>51</v>
      </c>
      <c r="C5" t="s">
        <v>52</v>
      </c>
      <c r="D5" t="s">
        <v>53</v>
      </c>
      <c r="E5" t="s">
        <v>54</v>
      </c>
      <c r="F5" t="s">
        <v>55</v>
      </c>
      <c r="H5" t="s">
        <v>56</v>
      </c>
      <c r="I5" t="s">
        <v>57</v>
      </c>
      <c r="J5" t="s">
        <v>58</v>
      </c>
      <c r="K5" t="s">
        <v>59</v>
      </c>
      <c r="M5" t="s">
        <v>38</v>
      </c>
      <c r="N5" t="s">
        <v>1</v>
      </c>
    </row>
    <row r="6" spans="2:15" x14ac:dyDescent="0.25">
      <c r="B6">
        <v>1</v>
      </c>
      <c r="C6">
        <v>0</v>
      </c>
      <c r="D6">
        <v>0</v>
      </c>
      <c r="E6">
        <v>0</v>
      </c>
      <c r="F6">
        <v>0</v>
      </c>
      <c r="H6">
        <f>EXP(C6/$G$3)/SUM(EXP($C6/$G$3),EXP($D6/$G$3),EXP($E6/$G$3),EXP($F6/$G$3))</f>
        <v>0.25</v>
      </c>
      <c r="I6">
        <f t="shared" ref="I6:K14" si="0">EXP(D6/$G$3)/SUM(EXP($C6/$G$3),EXP($D6/$G$3),EXP($E6/$G$3),EXP($F6/$G$3))</f>
        <v>0.25</v>
      </c>
      <c r="J6">
        <f t="shared" si="0"/>
        <v>0.25</v>
      </c>
      <c r="K6">
        <f t="shared" si="0"/>
        <v>0.25</v>
      </c>
      <c r="M6">
        <f>LN(SUM(EXP(C6/$G$3),EXP(D6/$G$3),EXP(E6/$G$3),EXP(F6/$G$3)))</f>
        <v>1.3862943611198906</v>
      </c>
      <c r="N6">
        <f>IFERROR(M6-M5,M6)</f>
        <v>1.3862943611198906</v>
      </c>
    </row>
    <row r="7" spans="2:15" x14ac:dyDescent="0.25">
      <c r="B7">
        <v>2</v>
      </c>
      <c r="C7">
        <v>1</v>
      </c>
      <c r="D7">
        <v>0</v>
      </c>
      <c r="E7">
        <v>0</v>
      </c>
      <c r="F7">
        <v>0</v>
      </c>
      <c r="H7">
        <f t="shared" ref="H7:H14" si="1">EXP(C7/$G$3)/SUM(EXP($C7/$G$3),EXP($D7/$G$3),EXP($E7/$G$3),EXP($F7/$G$3))</f>
        <v>0.28933575594016492</v>
      </c>
      <c r="I7">
        <f t="shared" si="0"/>
        <v>0.23688808135327838</v>
      </c>
      <c r="J7">
        <f t="shared" si="0"/>
        <v>0.23688808135327838</v>
      </c>
      <c r="K7">
        <f t="shared" si="0"/>
        <v>0.23688808135327838</v>
      </c>
      <c r="M7">
        <f t="shared" ref="M7:M14" si="2">LN(SUM(EXP(C7/$G$3),EXP(D7/$G$3),EXP(E7/$G$3),EXP(F7/$G$3)))</f>
        <v>1.4401674799598645</v>
      </c>
      <c r="N7" s="114">
        <f t="shared" ref="N7:N14" si="3">IFERROR(M7-M6,M7)</f>
        <v>5.3873118839973921E-2</v>
      </c>
    </row>
    <row r="8" spans="2:15" x14ac:dyDescent="0.25">
      <c r="B8">
        <v>3</v>
      </c>
      <c r="C8">
        <v>2</v>
      </c>
      <c r="D8">
        <v>3</v>
      </c>
      <c r="E8">
        <v>0</v>
      </c>
      <c r="F8">
        <v>0</v>
      </c>
      <c r="H8">
        <f t="shared" si="1"/>
        <v>0.28073777942761796</v>
      </c>
      <c r="I8">
        <f t="shared" si="0"/>
        <v>0.34289389811265397</v>
      </c>
      <c r="J8">
        <f t="shared" si="0"/>
        <v>0.18818416122986403</v>
      </c>
      <c r="K8">
        <f t="shared" si="0"/>
        <v>0.18818416122986403</v>
      </c>
      <c r="M8">
        <f t="shared" si="2"/>
        <v>1.6703342146186519</v>
      </c>
      <c r="N8" s="114">
        <f t="shared" si="3"/>
        <v>0.23016673465878745</v>
      </c>
    </row>
    <row r="9" spans="2:15" x14ac:dyDescent="0.25">
      <c r="B9">
        <v>4</v>
      </c>
      <c r="C9">
        <v>8</v>
      </c>
      <c r="D9">
        <v>9</v>
      </c>
      <c r="E9">
        <v>11</v>
      </c>
      <c r="F9">
        <v>0</v>
      </c>
      <c r="H9">
        <f t="shared" si="1"/>
        <v>0.23554806192697511</v>
      </c>
      <c r="I9">
        <f t="shared" si="0"/>
        <v>0.28769905251688987</v>
      </c>
      <c r="J9">
        <f t="shared" si="0"/>
        <v>0.42919655203268925</v>
      </c>
      <c r="K9">
        <f t="shared" si="0"/>
        <v>4.755633352344573E-2</v>
      </c>
      <c r="M9">
        <f t="shared" si="2"/>
        <v>3.0458403017324911</v>
      </c>
      <c r="N9" s="114">
        <f t="shared" si="3"/>
        <v>1.3755060871138391</v>
      </c>
    </row>
    <row r="10" spans="2:15" x14ac:dyDescent="0.25">
      <c r="B10">
        <v>5</v>
      </c>
      <c r="C10">
        <v>21</v>
      </c>
      <c r="D10">
        <v>25</v>
      </c>
      <c r="E10">
        <v>27</v>
      </c>
      <c r="F10">
        <v>17</v>
      </c>
      <c r="H10">
        <f t="shared" si="1"/>
        <v>0.14295952607174461</v>
      </c>
      <c r="I10">
        <f t="shared" si="0"/>
        <v>0.31816227639055356</v>
      </c>
      <c r="J10">
        <f t="shared" si="0"/>
        <v>0.47464234177719605</v>
      </c>
      <c r="K10">
        <f t="shared" si="0"/>
        <v>6.4235855760505917E-2</v>
      </c>
      <c r="M10">
        <f t="shared" si="2"/>
        <v>6.1451937232473677</v>
      </c>
      <c r="N10" s="114">
        <f t="shared" si="3"/>
        <v>3.0993534215148766</v>
      </c>
      <c r="O10">
        <f>SUM(N7:N10)</f>
        <v>4.7588993621274769</v>
      </c>
    </row>
    <row r="11" spans="2:15" x14ac:dyDescent="0.25">
      <c r="B11">
        <v>6</v>
      </c>
      <c r="C11">
        <v>31</v>
      </c>
      <c r="D11">
        <v>36</v>
      </c>
      <c r="E11">
        <v>42</v>
      </c>
      <c r="F11">
        <v>57</v>
      </c>
      <c r="H11">
        <f t="shared" si="1"/>
        <v>5.1542263800937928E-3</v>
      </c>
      <c r="I11">
        <f t="shared" si="0"/>
        <v>1.4010639908773201E-2</v>
      </c>
      <c r="J11">
        <f t="shared" si="0"/>
        <v>4.6516962659485954E-2</v>
      </c>
      <c r="K11">
        <f t="shared" si="0"/>
        <v>0.93431817105164705</v>
      </c>
      <c r="M11">
        <f t="shared" si="2"/>
        <v>11.467938244531888</v>
      </c>
      <c r="N11" s="115">
        <f t="shared" si="3"/>
        <v>5.3227445212845206</v>
      </c>
    </row>
    <row r="12" spans="2:15" x14ac:dyDescent="0.25">
      <c r="B12">
        <v>7</v>
      </c>
      <c r="C12">
        <v>42</v>
      </c>
      <c r="D12">
        <v>53</v>
      </c>
      <c r="E12">
        <v>55</v>
      </c>
      <c r="F12">
        <v>40</v>
      </c>
      <c r="H12">
        <f t="shared" si="1"/>
        <v>4.1392319099229483E-2</v>
      </c>
      <c r="I12">
        <f t="shared" si="0"/>
        <v>0.37356623864343058</v>
      </c>
      <c r="J12">
        <f t="shared" si="0"/>
        <v>0.55729534101322264</v>
      </c>
      <c r="K12">
        <f t="shared" si="0"/>
        <v>2.7746101244117367E-2</v>
      </c>
      <c r="M12">
        <f t="shared" si="2"/>
        <v>11.584659944367623</v>
      </c>
      <c r="N12" s="115">
        <f>IFERROR(M12-M11,M12)</f>
        <v>0.11672169983573433</v>
      </c>
    </row>
    <row r="13" spans="2:15" x14ac:dyDescent="0.25">
      <c r="B13">
        <v>8</v>
      </c>
      <c r="C13">
        <v>50</v>
      </c>
      <c r="D13">
        <v>80</v>
      </c>
      <c r="E13">
        <v>70</v>
      </c>
      <c r="F13">
        <v>42</v>
      </c>
      <c r="H13">
        <f t="shared" si="1"/>
        <v>2.1775635866085013E-3</v>
      </c>
      <c r="I13">
        <f t="shared" si="0"/>
        <v>0.87849185049918066</v>
      </c>
      <c r="J13">
        <f t="shared" si="0"/>
        <v>0.11889094340836263</v>
      </c>
      <c r="K13">
        <f t="shared" si="0"/>
        <v>4.3964250584820985E-4</v>
      </c>
      <c r="M13">
        <f t="shared" si="2"/>
        <v>16.1295486480068</v>
      </c>
      <c r="N13" s="115">
        <f t="shared" si="3"/>
        <v>4.5448887036391774</v>
      </c>
    </row>
    <row r="14" spans="2:15" x14ac:dyDescent="0.25">
      <c r="B14">
        <v>9</v>
      </c>
      <c r="C14">
        <v>30</v>
      </c>
      <c r="D14">
        <v>40</v>
      </c>
      <c r="E14">
        <v>113</v>
      </c>
      <c r="F14">
        <v>47</v>
      </c>
      <c r="H14">
        <f t="shared" si="1"/>
        <v>6.1760467062892996E-8</v>
      </c>
      <c r="I14">
        <f t="shared" si="0"/>
        <v>4.5635155582387502E-7</v>
      </c>
      <c r="J14">
        <f t="shared" si="0"/>
        <v>0.99999763129116293</v>
      </c>
      <c r="K14">
        <f t="shared" si="0"/>
        <v>1.8505968140464941E-6</v>
      </c>
      <c r="M14">
        <f t="shared" si="2"/>
        <v>22.600002368711642</v>
      </c>
      <c r="N14" s="115">
        <f t="shared" si="3"/>
        <v>6.4704537207048425</v>
      </c>
      <c r="O14">
        <f>SUM(N11:N14)</f>
        <v>16.454808645464276</v>
      </c>
    </row>
    <row r="17" spans="2:15" x14ac:dyDescent="0.25">
      <c r="B17" t="s">
        <v>51</v>
      </c>
      <c r="C17" t="s">
        <v>52</v>
      </c>
      <c r="D17" t="s">
        <v>53</v>
      </c>
      <c r="E17" t="s">
        <v>54</v>
      </c>
      <c r="F17" t="s">
        <v>55</v>
      </c>
      <c r="H17" t="s">
        <v>56</v>
      </c>
      <c r="I17" t="s">
        <v>57</v>
      </c>
      <c r="J17" t="s">
        <v>58</v>
      </c>
      <c r="K17" t="s">
        <v>59</v>
      </c>
      <c r="M17" t="s">
        <v>38</v>
      </c>
      <c r="N17" t="s">
        <v>1</v>
      </c>
    </row>
    <row r="18" spans="2:15" ht="15.75" thickBot="1" x14ac:dyDescent="0.3">
      <c r="B18">
        <v>1</v>
      </c>
      <c r="C18">
        <v>0</v>
      </c>
      <c r="D18">
        <v>0</v>
      </c>
      <c r="E18">
        <v>0</v>
      </c>
      <c r="F18">
        <v>0</v>
      </c>
      <c r="H18">
        <f>EXP(C18/$G$3)/SUM(EXP($C18/$G$3),EXP($D18/$G$3),EXP($E18/$G$3),EXP($F18/$G$3))</f>
        <v>0.25</v>
      </c>
      <c r="I18">
        <f t="shared" ref="I18:K26" si="4">EXP(D18/$G$3)/SUM(EXP($C18/$G$3),EXP($D18/$G$3),EXP($E18/$G$3),EXP($F18/$G$3))</f>
        <v>0.25</v>
      </c>
      <c r="J18">
        <f t="shared" si="4"/>
        <v>0.25</v>
      </c>
      <c r="K18">
        <f t="shared" si="4"/>
        <v>0.25</v>
      </c>
      <c r="M18">
        <f>LN(SUM(EXP(C18/$G$3),EXP(D18/$G$3),EXP(E18/$G$3),EXP(F18/$G$3)))</f>
        <v>1.3862943611198906</v>
      </c>
      <c r="N18">
        <f>IFERROR(M18-M17,M18)</f>
        <v>1.3862943611198906</v>
      </c>
    </row>
    <row r="19" spans="2:15" x14ac:dyDescent="0.25">
      <c r="B19">
        <v>2</v>
      </c>
      <c r="C19">
        <v>0</v>
      </c>
      <c r="D19">
        <v>0</v>
      </c>
      <c r="E19">
        <v>0</v>
      </c>
      <c r="F19">
        <v>0</v>
      </c>
      <c r="H19">
        <f t="shared" ref="H19:H26" si="5">EXP(C19/$G$3)/SUM(EXP($C19/$G$3),EXP($D19/$G$3),EXP($E19/$G$3),EXP($F19/$G$3))</f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ref="M19:M26" si="6">LN(SUM(EXP(C19/$G$3),EXP(D19/$G$3),EXP(E19/$G$3),EXP(F19/$G$3)))</f>
        <v>1.3862943611198906</v>
      </c>
      <c r="N19" s="116">
        <f t="shared" ref="N19:N26" si="7">IFERROR(M19-M18,M19)</f>
        <v>0</v>
      </c>
      <c r="O19" s="11"/>
    </row>
    <row r="20" spans="2:15" x14ac:dyDescent="0.25">
      <c r="B20">
        <v>3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17">
        <f t="shared" si="7"/>
        <v>0</v>
      </c>
      <c r="O20" s="118"/>
    </row>
    <row r="21" spans="2:15" x14ac:dyDescent="0.25">
      <c r="B21">
        <v>4</v>
      </c>
      <c r="C21">
        <v>0</v>
      </c>
      <c r="D21">
        <v>0</v>
      </c>
      <c r="E21">
        <v>0</v>
      </c>
      <c r="F21">
        <v>0</v>
      </c>
      <c r="H21">
        <f t="shared" si="5"/>
        <v>0.25</v>
      </c>
      <c r="I21">
        <f t="shared" si="4"/>
        <v>0.25</v>
      </c>
      <c r="J21">
        <f t="shared" si="4"/>
        <v>0.25</v>
      </c>
      <c r="K21">
        <f t="shared" si="4"/>
        <v>0.25</v>
      </c>
      <c r="M21">
        <f t="shared" si="6"/>
        <v>1.3862943611198906</v>
      </c>
      <c r="N21" s="117">
        <f>IFERROR(M21-M20,M21)</f>
        <v>0</v>
      </c>
      <c r="O21" s="118"/>
    </row>
    <row r="22" spans="2:15" ht="15.75" thickBot="1" x14ac:dyDescent="0.3">
      <c r="B22">
        <v>5</v>
      </c>
      <c r="C22">
        <v>21</v>
      </c>
      <c r="D22">
        <v>25</v>
      </c>
      <c r="E22">
        <v>27</v>
      </c>
      <c r="F22">
        <v>17</v>
      </c>
      <c r="H22">
        <f t="shared" si="5"/>
        <v>0.14295952607174461</v>
      </c>
      <c r="I22">
        <f t="shared" si="4"/>
        <v>0.31816227639055356</v>
      </c>
      <c r="J22">
        <f t="shared" si="4"/>
        <v>0.47464234177719605</v>
      </c>
      <c r="K22">
        <f t="shared" si="4"/>
        <v>6.4235855760505917E-2</v>
      </c>
      <c r="M22">
        <f t="shared" si="6"/>
        <v>6.1451937232473677</v>
      </c>
      <c r="N22" s="119">
        <f>IFERROR(M22-M21,M22)</f>
        <v>4.7588993621274769</v>
      </c>
      <c r="O22" s="120">
        <f>SUM(N19:N22)</f>
        <v>4.7588993621274769</v>
      </c>
    </row>
    <row r="23" spans="2:15" x14ac:dyDescent="0.25">
      <c r="B23">
        <v>6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21">
        <f t="shared" si="7"/>
        <v>-4.7588993621274769</v>
      </c>
      <c r="O23" s="11"/>
    </row>
    <row r="24" spans="2:15" x14ac:dyDescent="0.25">
      <c r="B24">
        <v>7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22">
        <f>IFERROR(M24-M23,M24)</f>
        <v>0</v>
      </c>
      <c r="O24" s="118"/>
    </row>
    <row r="25" spans="2:15" x14ac:dyDescent="0.25">
      <c r="B25">
        <v>8</v>
      </c>
      <c r="C25">
        <v>0</v>
      </c>
      <c r="D25">
        <v>0</v>
      </c>
      <c r="E25">
        <v>0</v>
      </c>
      <c r="F25">
        <v>0</v>
      </c>
      <c r="H25">
        <f t="shared" si="5"/>
        <v>0.25</v>
      </c>
      <c r="I25">
        <f t="shared" si="4"/>
        <v>0.25</v>
      </c>
      <c r="J25">
        <f t="shared" si="4"/>
        <v>0.25</v>
      </c>
      <c r="K25">
        <f t="shared" si="4"/>
        <v>0.25</v>
      </c>
      <c r="M25">
        <f t="shared" si="6"/>
        <v>1.3862943611198906</v>
      </c>
      <c r="N25" s="122">
        <f t="shared" si="7"/>
        <v>0</v>
      </c>
      <c r="O25" s="118"/>
    </row>
    <row r="26" spans="2:15" ht="15.75" thickBot="1" x14ac:dyDescent="0.3">
      <c r="B26">
        <v>9</v>
      </c>
      <c r="C26">
        <v>30</v>
      </c>
      <c r="D26">
        <v>40</v>
      </c>
      <c r="E26">
        <v>113</v>
      </c>
      <c r="F26">
        <v>47</v>
      </c>
      <c r="H26">
        <f t="shared" si="5"/>
        <v>6.1760467062892996E-8</v>
      </c>
      <c r="I26">
        <f t="shared" si="4"/>
        <v>4.5635155582387502E-7</v>
      </c>
      <c r="J26">
        <f t="shared" si="4"/>
        <v>0.99999763129116293</v>
      </c>
      <c r="K26">
        <f t="shared" si="4"/>
        <v>1.8505968140464941E-6</v>
      </c>
      <c r="M26">
        <f t="shared" si="6"/>
        <v>22.600002368711642</v>
      </c>
      <c r="N26" s="123">
        <f t="shared" si="7"/>
        <v>21.213708007591752</v>
      </c>
      <c r="O26" s="120">
        <f>SUM(N23:N26)</f>
        <v>16.454808645464276</v>
      </c>
    </row>
    <row r="28" spans="2:15" x14ac:dyDescent="0.25">
      <c r="B28" s="124" t="s">
        <v>60</v>
      </c>
    </row>
    <row r="30" spans="2:15" ht="15.75" thickBot="1" x14ac:dyDescent="0.3"/>
    <row r="31" spans="2:15" ht="15.75" thickBot="1" x14ac:dyDescent="0.3">
      <c r="F31" s="112" t="s">
        <v>7</v>
      </c>
      <c r="G31" s="113">
        <v>5</v>
      </c>
    </row>
    <row r="33" spans="2:18" x14ac:dyDescent="0.25">
      <c r="B33" t="s">
        <v>51</v>
      </c>
      <c r="C33" t="s">
        <v>52</v>
      </c>
      <c r="D33" t="s">
        <v>53</v>
      </c>
      <c r="E33" t="s">
        <v>54</v>
      </c>
      <c r="F33" t="s">
        <v>55</v>
      </c>
      <c r="H33" t="s">
        <v>56</v>
      </c>
      <c r="I33" t="s">
        <v>57</v>
      </c>
      <c r="J33" t="s">
        <v>58</v>
      </c>
      <c r="K33" t="s">
        <v>59</v>
      </c>
      <c r="M33" t="s">
        <v>38</v>
      </c>
      <c r="N33" t="s">
        <v>1</v>
      </c>
    </row>
    <row r="34" spans="2:18" x14ac:dyDescent="0.25">
      <c r="B34">
        <v>1</v>
      </c>
      <c r="C34">
        <v>0</v>
      </c>
      <c r="D34">
        <v>0</v>
      </c>
      <c r="E34">
        <v>0</v>
      </c>
      <c r="F34">
        <v>0</v>
      </c>
      <c r="H34">
        <f>EXP(C34/$G$3)/SUM(EXP($C34/$G$3),EXP($D34/$G$3),EXP($E34/$G$3),EXP($F34/$G$3))</f>
        <v>0.25</v>
      </c>
      <c r="I34">
        <f t="shared" ref="I34:K49" si="8">EXP(D34/$G$3)/SUM(EXP($C34/$G$3),EXP($D34/$G$3),EXP($E34/$G$3),EXP($F34/$G$3))</f>
        <v>0.25</v>
      </c>
      <c r="J34">
        <f t="shared" si="8"/>
        <v>0.25</v>
      </c>
      <c r="K34">
        <f t="shared" si="8"/>
        <v>0.25</v>
      </c>
      <c r="M34">
        <f>LN(SUM(EXP(C34/$G$3),EXP(D34/$G$3),EXP(E34/$G$3),EXP(F34/$G$3)))</f>
        <v>1.3862943611198906</v>
      </c>
      <c r="N34">
        <f>$G$31*IFERROR(M34-M33,M34)</f>
        <v>6.9314718055994531</v>
      </c>
      <c r="Q34">
        <f>SUM($N$34:N34)</f>
        <v>6.9314718055994531</v>
      </c>
    </row>
    <row r="35" spans="2:18" x14ac:dyDescent="0.25">
      <c r="B35">
        <v>2</v>
      </c>
      <c r="C35">
        <v>1</v>
      </c>
      <c r="D35">
        <v>0</v>
      </c>
      <c r="E35">
        <v>0</v>
      </c>
      <c r="F35">
        <v>0</v>
      </c>
      <c r="H35">
        <f t="shared" ref="H35:K50" si="9">EXP(C35/$G$3)/SUM(EXP($C35/$G$3),EXP($D35/$G$3),EXP($E35/$G$3),EXP($F35/$G$3))</f>
        <v>0.28933575594016492</v>
      </c>
      <c r="I35">
        <f t="shared" si="8"/>
        <v>0.23688808135327838</v>
      </c>
      <c r="J35">
        <f t="shared" si="8"/>
        <v>0.23688808135327838</v>
      </c>
      <c r="K35">
        <f t="shared" si="8"/>
        <v>0.23688808135327838</v>
      </c>
      <c r="M35">
        <f t="shared" ref="M35:M74" si="10">LN(SUM(EXP(C35/$G$3),EXP(D35/$G$3),EXP(E35/$G$3),EXP(F35/$G$3)))</f>
        <v>1.4401674799598645</v>
      </c>
      <c r="N35" s="114">
        <f t="shared" ref="N35:N74" si="11">$G$31*IFERROR(M35-M34,M35)</f>
        <v>0.26936559419986961</v>
      </c>
      <c r="Q35">
        <f>SUM($N$34:N35)</f>
        <v>7.2008373997993225</v>
      </c>
    </row>
    <row r="36" spans="2:18" x14ac:dyDescent="0.25">
      <c r="B36">
        <v>3</v>
      </c>
      <c r="C36">
        <v>2</v>
      </c>
      <c r="D36">
        <v>3</v>
      </c>
      <c r="E36">
        <v>0</v>
      </c>
      <c r="F36">
        <v>0</v>
      </c>
      <c r="H36">
        <f t="shared" si="9"/>
        <v>0.28073777942761796</v>
      </c>
      <c r="I36">
        <f t="shared" si="8"/>
        <v>0.34289389811265397</v>
      </c>
      <c r="J36">
        <f t="shared" si="8"/>
        <v>0.18818416122986403</v>
      </c>
      <c r="K36">
        <f t="shared" si="8"/>
        <v>0.18818416122986403</v>
      </c>
      <c r="M36">
        <f t="shared" si="10"/>
        <v>1.6703342146186519</v>
      </c>
      <c r="N36" s="114">
        <f t="shared" si="11"/>
        <v>1.1508336732939373</v>
      </c>
      <c r="Q36">
        <f>SUM($N$34:N36)</f>
        <v>8.3516710730932591</v>
      </c>
    </row>
    <row r="37" spans="2:18" x14ac:dyDescent="0.25">
      <c r="B37">
        <v>4</v>
      </c>
      <c r="C37">
        <v>8</v>
      </c>
      <c r="D37">
        <v>9</v>
      </c>
      <c r="E37">
        <v>11</v>
      </c>
      <c r="F37">
        <v>0</v>
      </c>
      <c r="H37">
        <f t="shared" si="9"/>
        <v>0.23554806192697511</v>
      </c>
      <c r="I37">
        <f t="shared" si="8"/>
        <v>0.28769905251688987</v>
      </c>
      <c r="J37">
        <f t="shared" si="8"/>
        <v>0.42919655203268925</v>
      </c>
      <c r="K37">
        <f t="shared" si="8"/>
        <v>4.755633352344573E-2</v>
      </c>
      <c r="M37">
        <f t="shared" si="10"/>
        <v>3.0458403017324911</v>
      </c>
      <c r="N37" s="114">
        <f t="shared" si="11"/>
        <v>6.877530435569196</v>
      </c>
      <c r="Q37">
        <f>SUM($N$34:N37)</f>
        <v>15.229201508662456</v>
      </c>
    </row>
    <row r="38" spans="2:18" x14ac:dyDescent="0.25">
      <c r="B38">
        <v>5</v>
      </c>
      <c r="C38">
        <v>21</v>
      </c>
      <c r="D38">
        <v>25</v>
      </c>
      <c r="E38">
        <v>27</v>
      </c>
      <c r="F38">
        <v>17</v>
      </c>
      <c r="H38">
        <f t="shared" si="9"/>
        <v>0.14295952607174461</v>
      </c>
      <c r="I38">
        <f t="shared" si="8"/>
        <v>0.31816227639055356</v>
      </c>
      <c r="J38">
        <f t="shared" si="8"/>
        <v>0.47464234177719605</v>
      </c>
      <c r="K38">
        <f t="shared" si="8"/>
        <v>6.4235855760505917E-2</v>
      </c>
      <c r="M38">
        <f t="shared" si="10"/>
        <v>6.1451937232473677</v>
      </c>
      <c r="N38" s="114">
        <f t="shared" si="11"/>
        <v>15.496767107574383</v>
      </c>
      <c r="O38">
        <f>SUM(N35:N38)</f>
        <v>23.794496810637384</v>
      </c>
      <c r="Q38">
        <f>SUM($N$34:N38)</f>
        <v>30.725968616236841</v>
      </c>
    </row>
    <row r="39" spans="2:18" x14ac:dyDescent="0.25">
      <c r="B39">
        <v>6</v>
      </c>
      <c r="C39">
        <v>31</v>
      </c>
      <c r="D39">
        <v>36</v>
      </c>
      <c r="E39">
        <v>42</v>
      </c>
      <c r="F39">
        <v>57</v>
      </c>
      <c r="H39">
        <f t="shared" si="9"/>
        <v>5.1542263800937928E-3</v>
      </c>
      <c r="I39">
        <f t="shared" si="8"/>
        <v>1.4010639908773201E-2</v>
      </c>
      <c r="J39">
        <f t="shared" si="8"/>
        <v>4.6516962659485954E-2</v>
      </c>
      <c r="K39">
        <f t="shared" si="8"/>
        <v>0.93431817105164705</v>
      </c>
      <c r="M39">
        <f t="shared" si="10"/>
        <v>11.467938244531888</v>
      </c>
      <c r="N39" s="115">
        <f t="shared" si="11"/>
        <v>26.613722606422602</v>
      </c>
      <c r="Q39">
        <f>SUM($N$34:N39)</f>
        <v>57.33969122265944</v>
      </c>
    </row>
    <row r="40" spans="2:18" x14ac:dyDescent="0.25">
      <c r="B40">
        <v>7</v>
      </c>
      <c r="C40">
        <v>42</v>
      </c>
      <c r="D40">
        <v>53</v>
      </c>
      <c r="E40">
        <v>55</v>
      </c>
      <c r="F40">
        <v>40</v>
      </c>
      <c r="H40">
        <f t="shared" si="9"/>
        <v>4.1392319099229483E-2</v>
      </c>
      <c r="I40">
        <f t="shared" si="8"/>
        <v>0.37356623864343058</v>
      </c>
      <c r="J40">
        <f t="shared" si="8"/>
        <v>0.55729534101322264</v>
      </c>
      <c r="K40">
        <f t="shared" si="8"/>
        <v>2.7746101244117367E-2</v>
      </c>
      <c r="M40">
        <f t="shared" si="10"/>
        <v>11.584659944367623</v>
      </c>
      <c r="N40" s="115">
        <f t="shared" si="11"/>
        <v>0.58360849917867164</v>
      </c>
      <c r="Q40">
        <f>SUM($N$34:N40)</f>
        <v>57.923299721838113</v>
      </c>
    </row>
    <row r="41" spans="2:18" x14ac:dyDescent="0.25">
      <c r="B41">
        <v>8</v>
      </c>
      <c r="C41">
        <v>50</v>
      </c>
      <c r="D41">
        <v>80</v>
      </c>
      <c r="E41">
        <v>70</v>
      </c>
      <c r="F41">
        <v>42</v>
      </c>
      <c r="H41">
        <f t="shared" si="9"/>
        <v>2.1775635866085013E-3</v>
      </c>
      <c r="I41">
        <f t="shared" si="8"/>
        <v>0.87849185049918066</v>
      </c>
      <c r="J41">
        <f t="shared" si="8"/>
        <v>0.11889094340836263</v>
      </c>
      <c r="K41">
        <f t="shared" si="8"/>
        <v>4.3964250584820985E-4</v>
      </c>
      <c r="M41">
        <f t="shared" si="10"/>
        <v>16.1295486480068</v>
      </c>
      <c r="N41" s="115">
        <f t="shared" si="11"/>
        <v>22.724443518195887</v>
      </c>
      <c r="Q41">
        <f>SUM($N$34:N41)</f>
        <v>80.647743240034004</v>
      </c>
    </row>
    <row r="42" spans="2:18" x14ac:dyDescent="0.25">
      <c r="B42">
        <v>9</v>
      </c>
      <c r="C42">
        <v>30</v>
      </c>
      <c r="D42">
        <v>40</v>
      </c>
      <c r="E42">
        <v>113</v>
      </c>
      <c r="F42">
        <v>47</v>
      </c>
      <c r="H42">
        <f t="shared" si="9"/>
        <v>6.1760467062892996E-8</v>
      </c>
      <c r="I42">
        <f t="shared" si="8"/>
        <v>4.5635155582387502E-7</v>
      </c>
      <c r="J42">
        <f t="shared" si="8"/>
        <v>0.99999763129116293</v>
      </c>
      <c r="K42">
        <f t="shared" si="8"/>
        <v>1.8505968140464941E-6</v>
      </c>
      <c r="M42">
        <f t="shared" si="10"/>
        <v>22.600002368711642</v>
      </c>
      <c r="N42" s="115">
        <f t="shared" si="11"/>
        <v>32.352268603524209</v>
      </c>
      <c r="O42">
        <f>SUM(N39:N42)</f>
        <v>82.274043227321371</v>
      </c>
      <c r="Q42">
        <f>SUM($N$34:N42)</f>
        <v>113.00001184355821</v>
      </c>
    </row>
    <row r="43" spans="2:18" ht="15.75" thickBot="1" x14ac:dyDescent="0.3">
      <c r="B43" s="7">
        <v>10</v>
      </c>
      <c r="C43" s="7">
        <v>30</v>
      </c>
      <c r="D43" s="7">
        <v>11</v>
      </c>
      <c r="E43" s="7">
        <v>3</v>
      </c>
      <c r="F43" s="7">
        <v>4</v>
      </c>
      <c r="G43" s="7"/>
      <c r="H43" s="7">
        <f t="shared" si="9"/>
        <v>0.96861313999388043</v>
      </c>
      <c r="I43" s="7">
        <f t="shared" si="8"/>
        <v>2.1668623571687289E-2</v>
      </c>
      <c r="J43" s="7">
        <f t="shared" si="8"/>
        <v>4.3748196488605767E-3</v>
      </c>
      <c r="K43" s="7">
        <f t="shared" si="8"/>
        <v>5.3434167855716148E-3</v>
      </c>
      <c r="L43" s="7"/>
      <c r="M43" s="7">
        <f t="shared" si="10"/>
        <v>6.0318899831398376</v>
      </c>
      <c r="N43" s="8">
        <f t="shared" si="11"/>
        <v>-82.840561927859028</v>
      </c>
      <c r="O43" s="7"/>
      <c r="Q43">
        <f>SUM($N$34:N43)</f>
        <v>30.159449915699184</v>
      </c>
    </row>
    <row r="44" spans="2:18" ht="15.75" thickBot="1" x14ac:dyDescent="0.3">
      <c r="B44" s="125">
        <v>11</v>
      </c>
      <c r="C44" s="126">
        <v>30</v>
      </c>
      <c r="D44" s="126">
        <v>0</v>
      </c>
      <c r="E44" s="126">
        <v>0</v>
      </c>
      <c r="F44" s="126">
        <v>0</v>
      </c>
      <c r="G44" s="127"/>
      <c r="H44" s="127">
        <f t="shared" si="9"/>
        <v>0.9926186332070156</v>
      </c>
      <c r="I44" s="127">
        <f t="shared" si="8"/>
        <v>2.4604555976614757E-3</v>
      </c>
      <c r="J44" s="127">
        <f t="shared" si="8"/>
        <v>2.4604555976614757E-3</v>
      </c>
      <c r="K44" s="127">
        <f t="shared" si="8"/>
        <v>2.4604555976614757E-3</v>
      </c>
      <c r="L44" s="127"/>
      <c r="M44" s="127">
        <f t="shared" si="10"/>
        <v>6.007408743884282</v>
      </c>
      <c r="N44" s="128">
        <f t="shared" si="11"/>
        <v>-0.12240619627777782</v>
      </c>
      <c r="O44" s="113"/>
      <c r="Q44" s="125">
        <f>SUM($N$34:N44)</f>
        <v>30.037043719421405</v>
      </c>
      <c r="R44" s="125">
        <f>Q44</f>
        <v>30.037043719421405</v>
      </c>
    </row>
    <row r="45" spans="2:18" x14ac:dyDescent="0.25">
      <c r="B45">
        <v>12</v>
      </c>
      <c r="C45">
        <f>C44-1</f>
        <v>29</v>
      </c>
      <c r="D45">
        <v>0</v>
      </c>
      <c r="E45">
        <v>0</v>
      </c>
      <c r="F45">
        <v>0</v>
      </c>
      <c r="H45">
        <f t="shared" si="9"/>
        <v>0.99099908802515901</v>
      </c>
      <c r="I45">
        <f t="shared" si="8"/>
        <v>3.000303991613675E-3</v>
      </c>
      <c r="J45">
        <f t="shared" si="8"/>
        <v>3.000303991613675E-3</v>
      </c>
      <c r="K45">
        <f t="shared" si="8"/>
        <v>3.000303991613675E-3</v>
      </c>
      <c r="M45">
        <f t="shared" si="10"/>
        <v>5.8090416649097278</v>
      </c>
      <c r="N45" s="129">
        <f t="shared" si="11"/>
        <v>-0.99183539487277095</v>
      </c>
      <c r="Q45">
        <f>SUM($N$34:N45)</f>
        <v>29.045208324548632</v>
      </c>
      <c r="R45">
        <f>R44-(C44-C45)</f>
        <v>29.037043719421405</v>
      </c>
    </row>
    <row r="46" spans="2:18" x14ac:dyDescent="0.25">
      <c r="B46">
        <v>13</v>
      </c>
      <c r="C46">
        <f t="shared" ref="C46:C74" si="12">C45-1</f>
        <v>28</v>
      </c>
      <c r="D46">
        <v>0</v>
      </c>
      <c r="E46">
        <v>0</v>
      </c>
      <c r="F46">
        <v>0</v>
      </c>
      <c r="H46">
        <f t="shared" si="9"/>
        <v>0.98902812633117654</v>
      </c>
      <c r="I46">
        <f t="shared" si="8"/>
        <v>3.6572912229411551E-3</v>
      </c>
      <c r="J46">
        <f t="shared" si="8"/>
        <v>3.6572912229411551E-3</v>
      </c>
      <c r="K46">
        <f t="shared" si="8"/>
        <v>3.6572912229411551E-3</v>
      </c>
      <c r="M46">
        <f t="shared" si="10"/>
        <v>5.611032508601852</v>
      </c>
      <c r="N46" s="129">
        <f t="shared" si="11"/>
        <v>-0.99004578153937928</v>
      </c>
      <c r="Q46">
        <f>SUM($N$34:N46)</f>
        <v>28.055162543009253</v>
      </c>
      <c r="R46">
        <f t="shared" ref="R46:R74" si="13">R45-(C45-C46)</f>
        <v>28.037043719421405</v>
      </c>
    </row>
    <row r="47" spans="2:18" x14ac:dyDescent="0.25">
      <c r="B47">
        <v>14</v>
      </c>
      <c r="C47">
        <f t="shared" si="12"/>
        <v>27</v>
      </c>
      <c r="D47">
        <v>0</v>
      </c>
      <c r="E47">
        <v>0</v>
      </c>
      <c r="F47">
        <v>0</v>
      </c>
      <c r="H47">
        <f t="shared" si="9"/>
        <v>0.98663139828733637</v>
      </c>
      <c r="I47">
        <f t="shared" si="8"/>
        <v>4.4562005708878704E-3</v>
      </c>
      <c r="J47">
        <f t="shared" si="8"/>
        <v>4.4562005708878704E-3</v>
      </c>
      <c r="K47">
        <f t="shared" si="8"/>
        <v>4.4562005708878704E-3</v>
      </c>
      <c r="M47">
        <f t="shared" si="10"/>
        <v>5.4134587659500593</v>
      </c>
      <c r="N47" s="129">
        <f t="shared" si="11"/>
        <v>-0.98786871325896364</v>
      </c>
      <c r="Q47">
        <f>SUM($N$34:N47)</f>
        <v>27.067293829750291</v>
      </c>
      <c r="R47">
        <f t="shared" si="13"/>
        <v>27.037043719421405</v>
      </c>
    </row>
    <row r="48" spans="2:18" x14ac:dyDescent="0.25">
      <c r="B48">
        <v>15</v>
      </c>
      <c r="C48">
        <f t="shared" si="12"/>
        <v>26</v>
      </c>
      <c r="D48">
        <v>0</v>
      </c>
      <c r="E48">
        <v>0</v>
      </c>
      <c r="F48">
        <v>0</v>
      </c>
      <c r="H48">
        <f t="shared" si="9"/>
        <v>0.98371974004618357</v>
      </c>
      <c r="I48">
        <f t="shared" si="8"/>
        <v>5.426753317938811E-3</v>
      </c>
      <c r="J48">
        <f t="shared" si="8"/>
        <v>5.426753317938811E-3</v>
      </c>
      <c r="K48">
        <f t="shared" si="8"/>
        <v>5.426753317938811E-3</v>
      </c>
      <c r="M48">
        <f t="shared" si="10"/>
        <v>5.2164142395241928</v>
      </c>
      <c r="N48" s="129">
        <f t="shared" si="11"/>
        <v>-0.98522263212933225</v>
      </c>
      <c r="Q48">
        <f>SUM($N$34:N48)</f>
        <v>26.082071197620959</v>
      </c>
      <c r="R48">
        <f t="shared" si="13"/>
        <v>26.037043719421405</v>
      </c>
    </row>
    <row r="49" spans="2:18" x14ac:dyDescent="0.25">
      <c r="B49">
        <v>16</v>
      </c>
      <c r="C49">
        <f t="shared" si="12"/>
        <v>25</v>
      </c>
      <c r="D49">
        <v>0</v>
      </c>
      <c r="E49">
        <v>0</v>
      </c>
      <c r="F49">
        <v>0</v>
      </c>
      <c r="H49">
        <f t="shared" si="9"/>
        <v>0.98018666265349097</v>
      </c>
      <c r="I49">
        <f t="shared" si="8"/>
        <v>6.6044457821696888E-3</v>
      </c>
      <c r="J49">
        <f t="shared" si="8"/>
        <v>6.6044457821696888E-3</v>
      </c>
      <c r="K49">
        <f t="shared" si="8"/>
        <v>6.6044457821696888E-3</v>
      </c>
      <c r="M49">
        <f t="shared" si="10"/>
        <v>5.020012253359627</v>
      </c>
      <c r="N49" s="129">
        <f t="shared" si="11"/>
        <v>-0.98200993082282917</v>
      </c>
      <c r="Q49">
        <f>SUM($N$34:N49)</f>
        <v>25.100061266798129</v>
      </c>
      <c r="R49">
        <f t="shared" si="13"/>
        <v>25.037043719421405</v>
      </c>
    </row>
    <row r="50" spans="2:18" x14ac:dyDescent="0.25">
      <c r="B50">
        <v>17</v>
      </c>
      <c r="C50">
        <f t="shared" si="12"/>
        <v>24</v>
      </c>
      <c r="D50">
        <v>0</v>
      </c>
      <c r="E50">
        <v>0</v>
      </c>
      <c r="F50">
        <v>0</v>
      </c>
      <c r="H50">
        <f t="shared" si="9"/>
        <v>0.97590563055056345</v>
      </c>
      <c r="I50">
        <f t="shared" si="9"/>
        <v>8.0314564831455316E-3</v>
      </c>
      <c r="J50">
        <f t="shared" si="9"/>
        <v>8.0314564831455316E-3</v>
      </c>
      <c r="K50">
        <f t="shared" si="9"/>
        <v>8.0314564831455316E-3</v>
      </c>
      <c r="M50">
        <f t="shared" si="10"/>
        <v>4.8243893872534933</v>
      </c>
      <c r="N50" s="129">
        <f t="shared" si="11"/>
        <v>-0.97811433053066832</v>
      </c>
      <c r="Q50">
        <f>SUM($N$34:N50)</f>
        <v>24.121946936267459</v>
      </c>
      <c r="R50">
        <f t="shared" si="13"/>
        <v>24.037043719421405</v>
      </c>
    </row>
    <row r="51" spans="2:18" x14ac:dyDescent="0.25">
      <c r="B51">
        <v>18</v>
      </c>
      <c r="C51">
        <f t="shared" si="12"/>
        <v>23</v>
      </c>
      <c r="D51">
        <v>0</v>
      </c>
      <c r="E51">
        <v>0</v>
      </c>
      <c r="F51">
        <v>0</v>
      </c>
      <c r="H51">
        <f t="shared" ref="H51:K66" si="14">EXP(C51/$G$3)/SUM(EXP($C51/$G$3),EXP($D51/$G$3),EXP($E51/$G$3),EXP($F51/$G$3))</f>
        <v>0.9707272280523237</v>
      </c>
      <c r="I51">
        <f t="shared" si="14"/>
        <v>9.7575906492254252E-3</v>
      </c>
      <c r="J51">
        <f t="shared" si="14"/>
        <v>9.7575906492254252E-3</v>
      </c>
      <c r="K51">
        <f t="shared" si="14"/>
        <v>9.7575906492254252E-3</v>
      </c>
      <c r="M51">
        <f t="shared" si="10"/>
        <v>4.6297097687425195</v>
      </c>
      <c r="N51" s="129">
        <f t="shared" si="11"/>
        <v>-0.97339809255486909</v>
      </c>
      <c r="Q51">
        <f>SUM($N$34:N51)</f>
        <v>23.148548843712589</v>
      </c>
      <c r="R51">
        <f t="shared" si="13"/>
        <v>23.037043719421405</v>
      </c>
    </row>
    <row r="52" spans="2:18" x14ac:dyDescent="0.25">
      <c r="B52">
        <v>19</v>
      </c>
      <c r="C52">
        <f t="shared" si="12"/>
        <v>22</v>
      </c>
      <c r="D52">
        <v>0</v>
      </c>
      <c r="E52">
        <v>0</v>
      </c>
      <c r="F52">
        <v>0</v>
      </c>
      <c r="H52">
        <f t="shared" si="14"/>
        <v>0.96447638671543401</v>
      </c>
      <c r="I52">
        <f t="shared" si="14"/>
        <v>1.1841204428188664E-2</v>
      </c>
      <c r="J52">
        <f t="shared" si="14"/>
        <v>1.1841204428188664E-2</v>
      </c>
      <c r="K52">
        <f t="shared" si="14"/>
        <v>1.1841204428188664E-2</v>
      </c>
      <c r="M52">
        <f t="shared" si="10"/>
        <v>4.4361699293461783</v>
      </c>
      <c r="N52" s="129">
        <f t="shared" si="11"/>
        <v>-0.96769919698170614</v>
      </c>
      <c r="Q52">
        <f>SUM($N$34:N52)</f>
        <v>22.180849646730884</v>
      </c>
      <c r="R52">
        <f t="shared" si="13"/>
        <v>22.037043719421405</v>
      </c>
    </row>
    <row r="53" spans="2:18" x14ac:dyDescent="0.25">
      <c r="B53">
        <v>20</v>
      </c>
      <c r="C53">
        <f t="shared" si="12"/>
        <v>21</v>
      </c>
      <c r="D53">
        <v>0</v>
      </c>
      <c r="E53">
        <v>0</v>
      </c>
      <c r="F53">
        <v>0</v>
      </c>
      <c r="H53">
        <f t="shared" si="14"/>
        <v>0.95694995051126786</v>
      </c>
      <c r="I53">
        <f t="shared" si="14"/>
        <v>1.4350016496244053E-2</v>
      </c>
      <c r="J53">
        <f t="shared" si="14"/>
        <v>1.4350016496244053E-2</v>
      </c>
      <c r="K53">
        <f t="shared" si="14"/>
        <v>1.4350016496244053E-2</v>
      </c>
      <c r="M53">
        <f t="shared" si="10"/>
        <v>4.2440041872131218</v>
      </c>
      <c r="N53" s="129">
        <f t="shared" si="11"/>
        <v>-0.96082871066528241</v>
      </c>
      <c r="Q53">
        <f>SUM($N$34:N53)</f>
        <v>21.220020936065602</v>
      </c>
      <c r="R53">
        <f t="shared" si="13"/>
        <v>21.037043719421405</v>
      </c>
    </row>
    <row r="54" spans="2:18" x14ac:dyDescent="0.25">
      <c r="B54">
        <v>21</v>
      </c>
      <c r="C54">
        <f t="shared" si="12"/>
        <v>20</v>
      </c>
      <c r="D54">
        <v>0</v>
      </c>
      <c r="E54">
        <v>0</v>
      </c>
      <c r="F54">
        <v>0</v>
      </c>
      <c r="H54">
        <f t="shared" si="14"/>
        <v>0.94791499382751565</v>
      </c>
      <c r="I54">
        <f t="shared" si="14"/>
        <v>1.7361668724161467E-2</v>
      </c>
      <c r="J54">
        <f t="shared" si="14"/>
        <v>1.7361668724161467E-2</v>
      </c>
      <c r="K54">
        <f t="shared" si="14"/>
        <v>1.7361668724161467E-2</v>
      </c>
      <c r="M54">
        <f t="shared" si="10"/>
        <v>4.0534904497059339</v>
      </c>
      <c r="N54" s="129">
        <f t="shared" si="11"/>
        <v>-0.9525686875359396</v>
      </c>
      <c r="Q54">
        <f>SUM($N$34:N54)</f>
        <v>20.267452248529661</v>
      </c>
      <c r="R54">
        <f t="shared" si="13"/>
        <v>20.037043719421405</v>
      </c>
    </row>
    <row r="55" spans="2:18" x14ac:dyDescent="0.25">
      <c r="B55">
        <v>22</v>
      </c>
      <c r="C55">
        <f t="shared" si="12"/>
        <v>19</v>
      </c>
      <c r="D55">
        <v>0</v>
      </c>
      <c r="E55">
        <v>0</v>
      </c>
      <c r="F55">
        <v>0</v>
      </c>
      <c r="H55">
        <f t="shared" si="14"/>
        <v>0.93710847997031765</v>
      </c>
      <c r="I55">
        <f t="shared" si="14"/>
        <v>2.0963840009894107E-2</v>
      </c>
      <c r="J55">
        <f t="shared" si="14"/>
        <v>2.0963840009894107E-2</v>
      </c>
      <c r="K55">
        <f t="shared" si="14"/>
        <v>2.0963840009894107E-2</v>
      </c>
      <c r="M55">
        <f t="shared" si="10"/>
        <v>3.8649562297306539</v>
      </c>
      <c r="N55" s="129">
        <f t="shared" si="11"/>
        <v>-0.94267109987639985</v>
      </c>
      <c r="Q55">
        <f>SUM($N$34:N55)</f>
        <v>19.324781148653262</v>
      </c>
      <c r="R55">
        <f t="shared" si="13"/>
        <v>19.037043719421405</v>
      </c>
    </row>
    <row r="56" spans="2:18" x14ac:dyDescent="0.25">
      <c r="B56">
        <v>23</v>
      </c>
      <c r="C56">
        <f t="shared" si="12"/>
        <v>18</v>
      </c>
      <c r="D56">
        <v>0</v>
      </c>
      <c r="E56">
        <v>0</v>
      </c>
      <c r="F56">
        <v>0</v>
      </c>
      <c r="H56">
        <f t="shared" si="14"/>
        <v>0.92423904645882615</v>
      </c>
      <c r="I56">
        <f t="shared" si="14"/>
        <v>2.5253651180391298E-2</v>
      </c>
      <c r="J56">
        <f t="shared" si="14"/>
        <v>2.5253651180391298E-2</v>
      </c>
      <c r="K56">
        <f t="shared" si="14"/>
        <v>2.5253651180391298E-2</v>
      </c>
      <c r="M56">
        <f t="shared" si="10"/>
        <v>3.6787845325108988</v>
      </c>
      <c r="N56" s="129">
        <f t="shared" si="11"/>
        <v>-0.93085848609877564</v>
      </c>
      <c r="Q56">
        <f>SUM($N$34:N56)</f>
        <v>18.393922662554488</v>
      </c>
      <c r="R56">
        <f t="shared" si="13"/>
        <v>18.037043719421405</v>
      </c>
    </row>
    <row r="57" spans="2:18" x14ac:dyDescent="0.25">
      <c r="B57">
        <v>24</v>
      </c>
      <c r="C57">
        <f t="shared" si="12"/>
        <v>17</v>
      </c>
      <c r="D57">
        <v>0</v>
      </c>
      <c r="E57">
        <v>0</v>
      </c>
      <c r="F57">
        <v>0</v>
      </c>
      <c r="H57">
        <f t="shared" si="14"/>
        <v>0.90899190344385294</v>
      </c>
      <c r="I57">
        <f t="shared" si="14"/>
        <v>3.0336032185382365E-2</v>
      </c>
      <c r="J57">
        <f t="shared" si="14"/>
        <v>3.0336032185382365E-2</v>
      </c>
      <c r="K57">
        <f t="shared" si="14"/>
        <v>3.0336032185382365E-2</v>
      </c>
      <c r="M57">
        <f t="shared" si="10"/>
        <v>3.4954190919467987</v>
      </c>
      <c r="N57" s="129">
        <f t="shared" si="11"/>
        <v>-0.91682720282050045</v>
      </c>
      <c r="Q57">
        <f>SUM($N$34:N57)</f>
        <v>17.477095459733988</v>
      </c>
      <c r="R57">
        <f t="shared" si="13"/>
        <v>17.037043719421405</v>
      </c>
    </row>
    <row r="58" spans="2:18" x14ac:dyDescent="0.25">
      <c r="B58">
        <v>25</v>
      </c>
      <c r="C58">
        <f t="shared" si="12"/>
        <v>16</v>
      </c>
      <c r="D58">
        <v>0</v>
      </c>
      <c r="E58">
        <v>0</v>
      </c>
      <c r="F58">
        <v>0</v>
      </c>
      <c r="H58">
        <f t="shared" si="14"/>
        <v>0.89103798384955657</v>
      </c>
      <c r="I58">
        <f t="shared" si="14"/>
        <v>3.6320672050147801E-2</v>
      </c>
      <c r="J58">
        <f t="shared" si="14"/>
        <v>3.6320672050147801E-2</v>
      </c>
      <c r="K58">
        <f t="shared" si="14"/>
        <v>3.6320672050147801E-2</v>
      </c>
      <c r="M58">
        <f t="shared" si="10"/>
        <v>3.3153682218368692</v>
      </c>
      <c r="N58" s="129">
        <f t="shared" si="11"/>
        <v>-0.90025435054964742</v>
      </c>
      <c r="Q58">
        <f>SUM($N$34:N58)</f>
        <v>16.57684110918434</v>
      </c>
      <c r="R58">
        <f t="shared" si="13"/>
        <v>16.037043719421405</v>
      </c>
    </row>
    <row r="59" spans="2:18" x14ac:dyDescent="0.25">
      <c r="B59">
        <v>26</v>
      </c>
      <c r="C59">
        <f t="shared" si="12"/>
        <v>15</v>
      </c>
      <c r="D59">
        <v>0</v>
      </c>
      <c r="E59">
        <v>0</v>
      </c>
      <c r="F59">
        <v>0</v>
      </c>
      <c r="H59">
        <f t="shared" si="14"/>
        <v>0.87004850656140775</v>
      </c>
      <c r="I59">
        <f t="shared" si="14"/>
        <v>4.3317164479530733E-2</v>
      </c>
      <c r="J59">
        <f t="shared" si="14"/>
        <v>4.3317164479530733E-2</v>
      </c>
      <c r="K59">
        <f t="shared" si="14"/>
        <v>4.3317164479530733E-2</v>
      </c>
      <c r="M59">
        <f t="shared" si="10"/>
        <v>3.1392063142194564</v>
      </c>
      <c r="N59" s="129">
        <f t="shared" si="11"/>
        <v>-0.88080953808706397</v>
      </c>
      <c r="Q59">
        <f>SUM($N$34:N59)</f>
        <v>15.696031571097276</v>
      </c>
      <c r="R59">
        <f t="shared" si="13"/>
        <v>15.037043719421405</v>
      </c>
    </row>
    <row r="60" spans="2:18" x14ac:dyDescent="0.25">
      <c r="B60">
        <v>27</v>
      </c>
      <c r="C60">
        <f t="shared" si="12"/>
        <v>14</v>
      </c>
      <c r="D60">
        <v>0</v>
      </c>
      <c r="E60">
        <v>0</v>
      </c>
      <c r="F60">
        <v>0</v>
      </c>
      <c r="H60">
        <f t="shared" si="14"/>
        <v>0.84571589109763279</v>
      </c>
      <c r="I60">
        <f t="shared" si="14"/>
        <v>5.1428036300789071E-2</v>
      </c>
      <c r="J60">
        <f t="shared" si="14"/>
        <v>5.1428036300789071E-2</v>
      </c>
      <c r="K60">
        <f t="shared" si="14"/>
        <v>5.1428036300789071E-2</v>
      </c>
      <c r="M60">
        <f t="shared" si="10"/>
        <v>2.9675718019038646</v>
      </c>
      <c r="N60" s="129">
        <f t="shared" si="11"/>
        <v>-0.85817256157795896</v>
      </c>
      <c r="Q60">
        <f>SUM($N$34:N60)</f>
        <v>14.837859009519317</v>
      </c>
      <c r="R60">
        <f t="shared" si="13"/>
        <v>14.037043719421405</v>
      </c>
    </row>
    <row r="61" spans="2:18" x14ac:dyDescent="0.25">
      <c r="B61">
        <v>28</v>
      </c>
      <c r="C61">
        <f t="shared" si="12"/>
        <v>13</v>
      </c>
      <c r="D61">
        <v>0</v>
      </c>
      <c r="E61">
        <v>0</v>
      </c>
      <c r="F61">
        <v>0</v>
      </c>
      <c r="H61">
        <f t="shared" si="14"/>
        <v>0.81778135720927791</v>
      </c>
      <c r="I61">
        <f t="shared" si="14"/>
        <v>6.073954759690741E-2</v>
      </c>
      <c r="J61">
        <f t="shared" si="14"/>
        <v>6.073954759690741E-2</v>
      </c>
      <c r="K61">
        <f t="shared" si="14"/>
        <v>6.073954759690741E-2</v>
      </c>
      <c r="M61">
        <f t="shared" si="10"/>
        <v>2.8011602675827989</v>
      </c>
      <c r="N61" s="129">
        <f t="shared" si="11"/>
        <v>-0.83205767160532851</v>
      </c>
      <c r="Q61">
        <f>SUM($N$34:N61)</f>
        <v>14.005801337913988</v>
      </c>
      <c r="R61">
        <f t="shared" si="13"/>
        <v>13.037043719421405</v>
      </c>
    </row>
    <row r="62" spans="2:18" x14ac:dyDescent="0.25">
      <c r="B62">
        <v>29</v>
      </c>
      <c r="C62">
        <f t="shared" si="12"/>
        <v>12</v>
      </c>
      <c r="D62">
        <v>0</v>
      </c>
      <c r="E62">
        <v>0</v>
      </c>
      <c r="F62">
        <v>0</v>
      </c>
      <c r="H62">
        <f t="shared" si="14"/>
        <v>0.78606843994764464</v>
      </c>
      <c r="I62">
        <f t="shared" si="14"/>
        <v>7.1310520017451792E-2</v>
      </c>
      <c r="J62">
        <f t="shared" si="14"/>
        <v>7.1310520017451792E-2</v>
      </c>
      <c r="K62">
        <f t="shared" si="14"/>
        <v>7.1310520017451792E-2</v>
      </c>
      <c r="M62">
        <f t="shared" si="10"/>
        <v>2.6407114166188883</v>
      </c>
      <c r="N62" s="129">
        <f t="shared" si="11"/>
        <v>-0.80224425481955297</v>
      </c>
      <c r="Q62">
        <f>SUM($N$34:N62)</f>
        <v>13.203557083094434</v>
      </c>
      <c r="R62">
        <f t="shared" si="13"/>
        <v>12.037043719421405</v>
      </c>
    </row>
    <row r="63" spans="2:18" x14ac:dyDescent="0.25">
      <c r="B63">
        <v>30</v>
      </c>
      <c r="C63">
        <f t="shared" si="12"/>
        <v>11</v>
      </c>
      <c r="D63">
        <v>0</v>
      </c>
      <c r="E63">
        <v>0</v>
      </c>
      <c r="F63">
        <v>0</v>
      </c>
      <c r="H63">
        <f t="shared" si="14"/>
        <v>0.75052003058947292</v>
      </c>
      <c r="I63">
        <f t="shared" si="14"/>
        <v>8.3159989803509027E-2</v>
      </c>
      <c r="J63">
        <f t="shared" si="14"/>
        <v>8.3159989803509027E-2</v>
      </c>
      <c r="K63">
        <f t="shared" si="14"/>
        <v>8.3159989803509027E-2</v>
      </c>
      <c r="M63">
        <f t="shared" si="10"/>
        <v>2.486988938605259</v>
      </c>
      <c r="N63" s="129">
        <f t="shared" si="11"/>
        <v>-0.7686123900681463</v>
      </c>
      <c r="Q63">
        <f>SUM($N$34:N63)</f>
        <v>12.434944693026289</v>
      </c>
      <c r="R63">
        <f t="shared" si="13"/>
        <v>11.037043719421405</v>
      </c>
    </row>
    <row r="64" spans="2:18" x14ac:dyDescent="0.25">
      <c r="B64">
        <v>31</v>
      </c>
      <c r="C64">
        <f t="shared" si="12"/>
        <v>10</v>
      </c>
      <c r="D64">
        <v>0</v>
      </c>
      <c r="E64">
        <v>0</v>
      </c>
      <c r="F64">
        <v>0</v>
      </c>
      <c r="H64">
        <f t="shared" si="14"/>
        <v>0.71123459422759383</v>
      </c>
      <c r="I64">
        <f t="shared" si="14"/>
        <v>9.6255135257468719E-2</v>
      </c>
      <c r="J64">
        <f t="shared" si="14"/>
        <v>9.6255135257468719E-2</v>
      </c>
      <c r="K64">
        <f t="shared" si="14"/>
        <v>9.6255135257468719E-2</v>
      </c>
      <c r="M64">
        <f t="shared" si="10"/>
        <v>2.3407529539131313</v>
      </c>
      <c r="N64" s="129">
        <f t="shared" si="11"/>
        <v>-0.73117992346063865</v>
      </c>
      <c r="Q64">
        <f>SUM($N$34:N64)</f>
        <v>11.70376476956565</v>
      </c>
      <c r="R64">
        <f t="shared" si="13"/>
        <v>10.037043719421405</v>
      </c>
    </row>
    <row r="65" spans="2:18" x14ac:dyDescent="0.25">
      <c r="B65">
        <v>32</v>
      </c>
      <c r="C65">
        <f t="shared" si="12"/>
        <v>9</v>
      </c>
      <c r="D65">
        <v>0</v>
      </c>
      <c r="E65">
        <v>0</v>
      </c>
      <c r="F65">
        <v>0</v>
      </c>
      <c r="H65">
        <f t="shared" si="14"/>
        <v>0.66849537379248503</v>
      </c>
      <c r="I65">
        <f t="shared" si="14"/>
        <v>0.11050154206917169</v>
      </c>
      <c r="J65">
        <f t="shared" si="14"/>
        <v>0.11050154206917169</v>
      </c>
      <c r="K65">
        <f t="shared" si="14"/>
        <v>0.11050154206917169</v>
      </c>
      <c r="M65">
        <f t="shared" si="10"/>
        <v>2.2027258027445855</v>
      </c>
      <c r="N65" s="129">
        <f t="shared" si="11"/>
        <v>-0.69013575584272902</v>
      </c>
      <c r="Q65">
        <f>SUM($N$34:N65)</f>
        <v>11.013629013722921</v>
      </c>
      <c r="R65">
        <f t="shared" si="13"/>
        <v>9.0370437194214048</v>
      </c>
    </row>
    <row r="66" spans="2:18" x14ac:dyDescent="0.25">
      <c r="B66">
        <v>33</v>
      </c>
      <c r="C66">
        <f t="shared" si="12"/>
        <v>8</v>
      </c>
      <c r="D66">
        <v>0</v>
      </c>
      <c r="E66">
        <v>0</v>
      </c>
      <c r="F66">
        <v>0</v>
      </c>
      <c r="H66">
        <f t="shared" si="14"/>
        <v>0.62278539305362235</v>
      </c>
      <c r="I66">
        <f t="shared" si="14"/>
        <v>0.12573820231545921</v>
      </c>
      <c r="J66">
        <f t="shared" si="14"/>
        <v>0.12573820231545921</v>
      </c>
      <c r="K66">
        <f t="shared" si="14"/>
        <v>0.12573820231545921</v>
      </c>
      <c r="M66">
        <f t="shared" si="10"/>
        <v>2.0735532929684619</v>
      </c>
      <c r="N66" s="129">
        <f t="shared" si="11"/>
        <v>-0.645862548880618</v>
      </c>
      <c r="Q66">
        <f>SUM($N$34:N66)</f>
        <v>10.367766464842303</v>
      </c>
      <c r="R66">
        <f t="shared" si="13"/>
        <v>8.0370437194214048</v>
      </c>
    </row>
    <row r="67" spans="2:18" x14ac:dyDescent="0.25">
      <c r="B67">
        <v>34</v>
      </c>
      <c r="C67">
        <f t="shared" si="12"/>
        <v>7</v>
      </c>
      <c r="D67">
        <v>0</v>
      </c>
      <c r="E67">
        <v>0</v>
      </c>
      <c r="F67">
        <v>0</v>
      </c>
      <c r="H67">
        <f t="shared" ref="H67:K74" si="15">EXP(C67/$G$3)/SUM(EXP($C67/$G$3),EXP($D67/$G$3),EXP($E67/$G$3),EXP($F67/$G$3))</f>
        <v>0.5747817192853143</v>
      </c>
      <c r="I67">
        <f t="shared" si="15"/>
        <v>0.14173942690489524</v>
      </c>
      <c r="J67">
        <f t="shared" si="15"/>
        <v>0.14173942690489524</v>
      </c>
      <c r="K67">
        <f t="shared" si="15"/>
        <v>0.14173942690489524</v>
      </c>
      <c r="M67">
        <f t="shared" si="10"/>
        <v>1.9537649288924173</v>
      </c>
      <c r="N67" s="129">
        <f t="shared" si="11"/>
        <v>-0.59894182038022326</v>
      </c>
      <c r="Q67">
        <f>SUM($N$34:N67)</f>
        <v>9.7688246444620788</v>
      </c>
      <c r="R67">
        <f t="shared" si="13"/>
        <v>7.0370437194214048</v>
      </c>
    </row>
    <row r="68" spans="2:18" x14ac:dyDescent="0.25">
      <c r="B68">
        <v>35</v>
      </c>
      <c r="C68">
        <f t="shared" si="12"/>
        <v>6</v>
      </c>
      <c r="D68">
        <v>0</v>
      </c>
      <c r="E68">
        <v>0</v>
      </c>
      <c r="F68">
        <v>0</v>
      </c>
      <c r="H68">
        <f t="shared" si="15"/>
        <v>0.52532523738484416</v>
      </c>
      <c r="I68">
        <f t="shared" si="15"/>
        <v>0.15822492087171863</v>
      </c>
      <c r="J68">
        <f t="shared" si="15"/>
        <v>0.15822492087171863</v>
      </c>
      <c r="K68">
        <f t="shared" si="15"/>
        <v>0.15822492087171863</v>
      </c>
      <c r="M68">
        <f t="shared" si="10"/>
        <v>1.8437377084206332</v>
      </c>
      <c r="N68" s="129">
        <f t="shared" si="11"/>
        <v>-0.55013610235892019</v>
      </c>
      <c r="Q68">
        <f>SUM($N$34:N68)</f>
        <v>9.218688542103159</v>
      </c>
      <c r="R68">
        <f t="shared" si="13"/>
        <v>6.0370437194214048</v>
      </c>
    </row>
    <row r="69" spans="2:18" x14ac:dyDescent="0.25">
      <c r="B69">
        <v>36</v>
      </c>
      <c r="C69">
        <f t="shared" si="12"/>
        <v>5</v>
      </c>
      <c r="D69">
        <v>0</v>
      </c>
      <c r="E69">
        <v>0</v>
      </c>
      <c r="F69">
        <v>0</v>
      </c>
      <c r="H69">
        <f t="shared" si="15"/>
        <v>0.4753668864186717</v>
      </c>
      <c r="I69">
        <f t="shared" si="15"/>
        <v>0.17487770452710946</v>
      </c>
      <c r="J69">
        <f t="shared" si="15"/>
        <v>0.17487770452710946</v>
      </c>
      <c r="K69">
        <f t="shared" si="15"/>
        <v>0.17487770452710946</v>
      </c>
      <c r="M69">
        <f t="shared" si="10"/>
        <v>1.743668380628679</v>
      </c>
      <c r="N69" s="129">
        <f t="shared" si="11"/>
        <v>-0.50034663895977105</v>
      </c>
      <c r="Q69">
        <f>SUM($N$34:N69)</f>
        <v>8.7183419031433882</v>
      </c>
      <c r="R69">
        <f t="shared" si="13"/>
        <v>5.0370437194214048</v>
      </c>
    </row>
    <row r="70" spans="2:18" x14ac:dyDescent="0.25">
      <c r="B70">
        <v>37</v>
      </c>
      <c r="C70">
        <f t="shared" si="12"/>
        <v>4</v>
      </c>
      <c r="D70">
        <v>0</v>
      </c>
      <c r="E70">
        <v>0</v>
      </c>
      <c r="F70">
        <v>0</v>
      </c>
      <c r="H70">
        <f t="shared" si="15"/>
        <v>0.42589675575166169</v>
      </c>
      <c r="I70">
        <f t="shared" si="15"/>
        <v>0.19136774808277945</v>
      </c>
      <c r="J70">
        <f t="shared" si="15"/>
        <v>0.19136774808277945</v>
      </c>
      <c r="K70">
        <f t="shared" si="15"/>
        <v>0.19136774808277945</v>
      </c>
      <c r="M70">
        <f t="shared" si="10"/>
        <v>1.6535583194765306</v>
      </c>
      <c r="N70" s="129">
        <f t="shared" si="11"/>
        <v>-0.45055030576074184</v>
      </c>
      <c r="Q70">
        <f>SUM($N$34:N70)</f>
        <v>8.2677915973826472</v>
      </c>
      <c r="R70">
        <f t="shared" si="13"/>
        <v>4.0370437194214048</v>
      </c>
    </row>
    <row r="71" spans="2:18" x14ac:dyDescent="0.25">
      <c r="B71">
        <v>38</v>
      </c>
      <c r="C71">
        <f t="shared" si="12"/>
        <v>3</v>
      </c>
      <c r="D71">
        <v>0</v>
      </c>
      <c r="E71">
        <v>0</v>
      </c>
      <c r="F71">
        <v>0</v>
      </c>
      <c r="H71">
        <f t="shared" si="15"/>
        <v>0.3778668414894607</v>
      </c>
      <c r="I71">
        <f t="shared" si="15"/>
        <v>0.20737771950351308</v>
      </c>
      <c r="J71">
        <f t="shared" si="15"/>
        <v>0.20737771950351308</v>
      </c>
      <c r="K71">
        <f t="shared" si="15"/>
        <v>0.20737771950351308</v>
      </c>
      <c r="M71">
        <f t="shared" si="10"/>
        <v>1.5732134166165241</v>
      </c>
      <c r="N71" s="129">
        <f t="shared" si="11"/>
        <v>-0.40172451430003253</v>
      </c>
      <c r="Q71">
        <f>SUM($N$34:N71)</f>
        <v>7.8660670830826147</v>
      </c>
      <c r="R71">
        <f t="shared" si="13"/>
        <v>3.0370437194214048</v>
      </c>
    </row>
    <row r="72" spans="2:18" x14ac:dyDescent="0.25">
      <c r="B72">
        <v>39</v>
      </c>
      <c r="C72">
        <f t="shared" si="12"/>
        <v>2</v>
      </c>
      <c r="D72">
        <v>0</v>
      </c>
      <c r="E72">
        <v>0</v>
      </c>
      <c r="F72">
        <v>0</v>
      </c>
      <c r="H72">
        <f t="shared" si="15"/>
        <v>0.33211997307567492</v>
      </c>
      <c r="I72">
        <f t="shared" si="15"/>
        <v>0.2226266756414417</v>
      </c>
      <c r="J72">
        <f t="shared" si="15"/>
        <v>0.2226266756414417</v>
      </c>
      <c r="K72">
        <f t="shared" si="15"/>
        <v>0.2226266756414417</v>
      </c>
      <c r="M72">
        <f t="shared" si="10"/>
        <v>1.5022590106563736</v>
      </c>
      <c r="N72" s="129">
        <f t="shared" si="11"/>
        <v>-0.35477202980075284</v>
      </c>
      <c r="Q72">
        <f>SUM($N$34:N72)</f>
        <v>7.5112950532818621</v>
      </c>
      <c r="R72">
        <f t="shared" si="13"/>
        <v>2.0370437194214048</v>
      </c>
    </row>
    <row r="73" spans="2:18" x14ac:dyDescent="0.25">
      <c r="B73">
        <v>40</v>
      </c>
      <c r="C73">
        <f t="shared" si="12"/>
        <v>1</v>
      </c>
      <c r="D73">
        <v>0</v>
      </c>
      <c r="E73">
        <v>0</v>
      </c>
      <c r="F73">
        <v>0</v>
      </c>
      <c r="H73">
        <f t="shared" si="15"/>
        <v>0.28933575594016492</v>
      </c>
      <c r="I73">
        <f t="shared" si="15"/>
        <v>0.23688808135327838</v>
      </c>
      <c r="J73">
        <f t="shared" si="15"/>
        <v>0.23688808135327838</v>
      </c>
      <c r="K73">
        <f t="shared" si="15"/>
        <v>0.23688808135327838</v>
      </c>
      <c r="M73">
        <f t="shared" si="10"/>
        <v>1.4401674799598645</v>
      </c>
      <c r="N73" s="129">
        <f t="shared" si="11"/>
        <v>-0.31045765348254539</v>
      </c>
      <c r="Q73">
        <f>SUM($N$34:N73)</f>
        <v>7.2008373997993171</v>
      </c>
      <c r="R73">
        <f t="shared" si="13"/>
        <v>1.0370437194214048</v>
      </c>
    </row>
    <row r="74" spans="2:18" x14ac:dyDescent="0.25">
      <c r="B74">
        <v>41</v>
      </c>
      <c r="C74">
        <f t="shared" si="12"/>
        <v>0</v>
      </c>
      <c r="D74">
        <v>0</v>
      </c>
      <c r="E74">
        <v>0</v>
      </c>
      <c r="F74">
        <v>0</v>
      </c>
      <c r="H74">
        <f t="shared" si="15"/>
        <v>0.25</v>
      </c>
      <c r="I74">
        <f t="shared" si="15"/>
        <v>0.25</v>
      </c>
      <c r="J74">
        <f t="shared" si="15"/>
        <v>0.25</v>
      </c>
      <c r="K74">
        <f t="shared" si="15"/>
        <v>0.25</v>
      </c>
      <c r="M74">
        <f t="shared" si="10"/>
        <v>1.3862943611198906</v>
      </c>
      <c r="N74" s="129">
        <f t="shared" si="11"/>
        <v>-0.26936559419986961</v>
      </c>
      <c r="Q74">
        <f>SUM($N$34:N74)</f>
        <v>6.9314718055994478</v>
      </c>
      <c r="R74">
        <f t="shared" si="13"/>
        <v>3.704371942140483E-2</v>
      </c>
    </row>
  </sheetData>
  <hyperlinks>
    <hyperlink ref="B28" r:id="rId1" location="Example_7:_Rapidly-adjusted_.28micro.29payments_to_a_pre-determined_part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"/>
  <sheetViews>
    <sheetView zoomScale="70" zoomScaleNormal="70" workbookViewId="0">
      <selection activeCell="H57" sqref="H57"/>
    </sheetView>
  </sheetViews>
  <sheetFormatPr defaultRowHeight="15" x14ac:dyDescent="0.25"/>
  <cols>
    <col min="2" max="2" width="9.28515625" customWidth="1"/>
    <col min="3" max="5" width="14.85546875" bestFit="1" customWidth="1"/>
    <col min="6" max="6" width="10.7109375" customWidth="1"/>
    <col min="7" max="7" width="11.5703125" customWidth="1"/>
    <col min="8" max="8" width="10.140625" bestFit="1" customWidth="1"/>
    <col min="9" max="9" width="9.5703125" bestFit="1" customWidth="1"/>
    <col min="10" max="10" width="12.5703125" bestFit="1" customWidth="1"/>
    <col min="12" max="14" width="14.85546875" bestFit="1" customWidth="1"/>
    <col min="15" max="15" width="21" bestFit="1" customWidth="1"/>
    <col min="16" max="18" width="8.140625" bestFit="1" customWidth="1"/>
    <col min="19" max="19" width="7.42578125" bestFit="1" customWidth="1"/>
    <col min="20" max="21" width="6.28515625" bestFit="1" customWidth="1"/>
  </cols>
  <sheetData>
    <row r="1" spans="2:21" s="7" customFormat="1" x14ac:dyDescent="0.25"/>
    <row r="2" spans="2:21" s="7" customFormat="1" x14ac:dyDescent="0.25">
      <c r="B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" customFormat="1" ht="15.75" thickBot="1" x14ac:dyDescent="0.3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" customFormat="1" ht="15.75" thickBot="1" x14ac:dyDescent="0.3">
      <c r="B4" t="s">
        <v>20</v>
      </c>
      <c r="C4"/>
      <c r="D4"/>
      <c r="E4"/>
      <c r="F4" s="176" t="s">
        <v>67</v>
      </c>
      <c r="G4" s="177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" customFormat="1" x14ac:dyDescent="0.25">
      <c r="B5"/>
      <c r="C5" t="s">
        <v>28</v>
      </c>
      <c r="D5"/>
      <c r="E5"/>
      <c r="F5" s="135"/>
      <c r="G5" s="118" t="s">
        <v>30</v>
      </c>
      <c r="H5" s="148" t="s">
        <v>34</v>
      </c>
      <c r="I5" s="6" t="s">
        <v>35</v>
      </c>
      <c r="J5" s="6" t="s">
        <v>33</v>
      </c>
      <c r="K5" s="6" t="s">
        <v>32</v>
      </c>
      <c r="L5"/>
      <c r="M5"/>
      <c r="N5"/>
      <c r="O5"/>
      <c r="P5"/>
      <c r="Q5"/>
      <c r="R5" t="s">
        <v>29</v>
      </c>
      <c r="S5"/>
      <c r="T5"/>
      <c r="U5"/>
    </row>
    <row r="6" spans="2:21" s="7" customFormat="1" ht="15.75" thickBot="1" x14ac:dyDescent="0.3">
      <c r="B6" s="13"/>
      <c r="C6" s="13" t="s">
        <v>21</v>
      </c>
      <c r="D6" s="13" t="s">
        <v>22</v>
      </c>
      <c r="E6" s="13" t="s">
        <v>27</v>
      </c>
      <c r="F6" s="153"/>
      <c r="G6" s="154"/>
      <c r="H6" s="155"/>
      <c r="I6" s="12"/>
      <c r="J6" s="12"/>
      <c r="K6" s="12"/>
      <c r="L6" s="13" t="s">
        <v>21</v>
      </c>
      <c r="M6" s="13" t="s">
        <v>22</v>
      </c>
      <c r="N6" s="12" t="s">
        <v>27</v>
      </c>
      <c r="O6" s="13" t="s">
        <v>31</v>
      </c>
      <c r="P6" s="13"/>
      <c r="Q6" s="13"/>
      <c r="R6" s="13"/>
      <c r="S6" s="13"/>
      <c r="T6"/>
      <c r="U6"/>
    </row>
    <row r="7" spans="2:21" s="7" customFormat="1" ht="15.75" thickTop="1" x14ac:dyDescent="0.25">
      <c r="B7" s="21" t="s">
        <v>6</v>
      </c>
      <c r="C7" s="24">
        <v>0.3</v>
      </c>
      <c r="D7">
        <f>SUM(D10:D11)</f>
        <v>0.30000000000000004</v>
      </c>
      <c r="E7">
        <f>SUM(E10:E11)</f>
        <v>0.30000000000000004</v>
      </c>
      <c r="F7" s="142" t="str">
        <f t="shared" ref="F7:F16" si="0">B7</f>
        <v>a</v>
      </c>
      <c r="G7" s="149">
        <v>0</v>
      </c>
      <c r="H7" s="148">
        <f t="shared" ref="H7:H16" si="1">IF(G7=0,0,1)</f>
        <v>0</v>
      </c>
      <c r="I7" s="6">
        <f>1-SUMPRODUCT($H$7:$H$9,$C$7:$C$9)</f>
        <v>0.30000000000000004</v>
      </c>
      <c r="J7" s="6">
        <f>IF(SUM($G$7:$G$9)=0,0,SUM($G$7:$G$9))</f>
        <v>0.2</v>
      </c>
      <c r="K7" s="146">
        <f t="shared" ref="K7:K16" si="2">IF(G7&lt;&gt;0,G7,(G7-J7)*(C7/I7))</f>
        <v>-0.19999999999999996</v>
      </c>
      <c r="L7" s="146">
        <f>C7+K7</f>
        <v>0.10000000000000003</v>
      </c>
      <c r="M7" s="7">
        <f>SUM(M10:M11)</f>
        <v>0.30000000000000004</v>
      </c>
      <c r="N7" s="7">
        <f>SUM(N10:N11)</f>
        <v>0.30000000000000004</v>
      </c>
      <c r="O7" s="28">
        <f>L7-$C7</f>
        <v>-0.19999999999999996</v>
      </c>
      <c r="P7" s="28">
        <f>M7-$C7</f>
        <v>0</v>
      </c>
      <c r="Q7" s="28">
        <f>N7-$C7</f>
        <v>0</v>
      </c>
      <c r="R7" s="4">
        <f t="shared" ref="R7:R16" si="3">C7+SUM(O7:Q7)</f>
        <v>0.10000000000000003</v>
      </c>
      <c r="S7" s="27" t="str">
        <f t="shared" ref="S7:S16" si="4">B7</f>
        <v>a</v>
      </c>
      <c r="T7"/>
      <c r="U7"/>
    </row>
    <row r="8" spans="2:21" s="7" customFormat="1" x14ac:dyDescent="0.25">
      <c r="B8" s="21" t="s">
        <v>16</v>
      </c>
      <c r="C8" s="24">
        <v>0.7</v>
      </c>
      <c r="D8">
        <f>D10/(D10+D11)</f>
        <v>0.69999999999999984</v>
      </c>
      <c r="E8">
        <f>E10/(E10+E11)</f>
        <v>0.69999999999999984</v>
      </c>
      <c r="F8" s="142" t="str">
        <f t="shared" si="0"/>
        <v>b|a</v>
      </c>
      <c r="G8" s="149">
        <v>0.2</v>
      </c>
      <c r="H8" s="148">
        <f t="shared" si="1"/>
        <v>1</v>
      </c>
      <c r="I8" s="6">
        <f>1-SUMPRODUCT($H$7:$H$9,$C$7:$C$9)</f>
        <v>0.30000000000000004</v>
      </c>
      <c r="J8" s="6">
        <f>IF(SUM($G$7:$G$9)=0,0,SUM($G$7:$G$9))</f>
        <v>0.2</v>
      </c>
      <c r="K8" s="146">
        <f t="shared" si="2"/>
        <v>0.2</v>
      </c>
      <c r="L8" s="6">
        <f>C8+K8</f>
        <v>0.89999999999999991</v>
      </c>
      <c r="M8" s="7">
        <f>M10/(M10+M11)</f>
        <v>0.69999999999999984</v>
      </c>
      <c r="N8" s="7">
        <f>N10/(N10+N11)</f>
        <v>0.69999999999999984</v>
      </c>
      <c r="O8" s="28">
        <f t="shared" ref="O8:O16" si="5">L8-C8</f>
        <v>0.19999999999999996</v>
      </c>
      <c r="P8" s="28">
        <f t="shared" ref="P8:P16" si="6">M8-D8</f>
        <v>0</v>
      </c>
      <c r="Q8" s="28">
        <f t="shared" ref="Q8:Q16" si="7">N8-E8</f>
        <v>0</v>
      </c>
      <c r="R8" s="4">
        <f t="shared" si="3"/>
        <v>0.89999999999999991</v>
      </c>
      <c r="S8" s="27" t="str">
        <f t="shared" si="4"/>
        <v>b|a</v>
      </c>
      <c r="T8"/>
      <c r="U8"/>
    </row>
    <row r="9" spans="2:21" s="7" customFormat="1" x14ac:dyDescent="0.25">
      <c r="B9" s="21" t="s">
        <v>18</v>
      </c>
      <c r="C9" s="25">
        <v>0.3</v>
      </c>
      <c r="D9">
        <f>D12/(D12+D13)</f>
        <v>0.29999999999999993</v>
      </c>
      <c r="E9">
        <f>E12/(E12+E13)</f>
        <v>0.29999999999999993</v>
      </c>
      <c r="F9" s="142" t="str">
        <f t="shared" si="0"/>
        <v>b|~a</v>
      </c>
      <c r="G9" s="149">
        <v>0</v>
      </c>
      <c r="H9" s="148">
        <f t="shared" si="1"/>
        <v>0</v>
      </c>
      <c r="I9" s="6">
        <f>1-SUMPRODUCT($H$7:$H$9,$C$7:$C$9)</f>
        <v>0.30000000000000004</v>
      </c>
      <c r="J9" s="6">
        <f>IF(SUM($G$7:$G$9)=0,0,SUM($G$7:$G$9))</f>
        <v>0.2</v>
      </c>
      <c r="K9" s="146">
        <f t="shared" si="2"/>
        <v>-0.19999999999999996</v>
      </c>
      <c r="L9" s="3">
        <f>C9+K9</f>
        <v>0.10000000000000003</v>
      </c>
      <c r="M9" s="7">
        <f>M12/(M12+M13)</f>
        <v>0.29999999999999993</v>
      </c>
      <c r="N9" s="7">
        <f>N12/(N12+N13)</f>
        <v>0.29999999999999993</v>
      </c>
      <c r="O9" s="28">
        <f t="shared" si="5"/>
        <v>-0.19999999999999996</v>
      </c>
      <c r="P9" s="28">
        <f t="shared" si="6"/>
        <v>0</v>
      </c>
      <c r="Q9" s="28">
        <f t="shared" si="7"/>
        <v>0</v>
      </c>
      <c r="R9" s="4">
        <f t="shared" si="3"/>
        <v>0.10000000000000003</v>
      </c>
      <c r="S9" s="27" t="str">
        <f t="shared" si="4"/>
        <v>b|~a</v>
      </c>
      <c r="T9"/>
      <c r="U9"/>
    </row>
    <row r="10" spans="2:21" s="7" customFormat="1" x14ac:dyDescent="0.25">
      <c r="B10" s="21" t="s">
        <v>23</v>
      </c>
      <c r="C10" s="7">
        <f>C7*C8</f>
        <v>0.21</v>
      </c>
      <c r="D10">
        <f>D14*D15</f>
        <v>0.21</v>
      </c>
      <c r="E10" s="1">
        <f>D10</f>
        <v>0.21</v>
      </c>
      <c r="F10" s="142" t="str">
        <f t="shared" si="0"/>
        <v>a &amp; b</v>
      </c>
      <c r="G10" s="149">
        <v>0</v>
      </c>
      <c r="H10" s="148">
        <f t="shared" si="1"/>
        <v>0</v>
      </c>
      <c r="I10" s="6">
        <f>1-SUMPRODUCT($H$10:$H$13,$C$10:$C$13)</f>
        <v>1</v>
      </c>
      <c r="J10" s="6">
        <f>IF(SUM($G$10:$G$13)=0,0,SUM($G$10:$G$13))</f>
        <v>0</v>
      </c>
      <c r="K10" s="6">
        <f t="shared" si="2"/>
        <v>0</v>
      </c>
      <c r="L10" s="7">
        <f>L7*L8</f>
        <v>9.0000000000000024E-2</v>
      </c>
      <c r="M10" s="7">
        <f>M14*M15</f>
        <v>0.21</v>
      </c>
      <c r="N10" s="1">
        <f>E10+K10</f>
        <v>0.21</v>
      </c>
      <c r="O10" s="28">
        <f t="shared" si="5"/>
        <v>-0.11999999999999997</v>
      </c>
      <c r="P10" s="28">
        <f t="shared" si="6"/>
        <v>0</v>
      </c>
      <c r="Q10" s="28">
        <f t="shared" si="7"/>
        <v>0</v>
      </c>
      <c r="R10" s="145">
        <f t="shared" si="3"/>
        <v>9.0000000000000024E-2</v>
      </c>
      <c r="S10" s="27" t="str">
        <f t="shared" si="4"/>
        <v>a &amp; b</v>
      </c>
      <c r="T10"/>
      <c r="U10"/>
    </row>
    <row r="11" spans="2:21" s="7" customFormat="1" x14ac:dyDescent="0.25">
      <c r="B11" s="21" t="s">
        <v>24</v>
      </c>
      <c r="C11" s="7">
        <f>C7*(1-C8)</f>
        <v>9.0000000000000011E-2</v>
      </c>
      <c r="D11">
        <f>(1-D14)*D16</f>
        <v>9.0000000000000024E-2</v>
      </c>
      <c r="E11" s="5">
        <f>D11</f>
        <v>9.0000000000000024E-2</v>
      </c>
      <c r="F11" s="142" t="str">
        <f t="shared" si="0"/>
        <v>a &amp; ~b</v>
      </c>
      <c r="G11" s="149">
        <v>0</v>
      </c>
      <c r="H11" s="148">
        <f t="shared" si="1"/>
        <v>0</v>
      </c>
      <c r="I11" s="6">
        <f>1-SUMPRODUCT($H$10:$H$13,$C$10:$C$13)</f>
        <v>1</v>
      </c>
      <c r="J11" s="6">
        <f>IF(SUM($G$10:$G$13)=0,0,SUM($G$10:$G$13))</f>
        <v>0</v>
      </c>
      <c r="K11" s="6">
        <f t="shared" si="2"/>
        <v>0</v>
      </c>
      <c r="L11" s="7">
        <f>L7*(1-L8)</f>
        <v>1.0000000000000012E-2</v>
      </c>
      <c r="M11" s="7">
        <f>(1-M14)*M16</f>
        <v>9.0000000000000024E-2</v>
      </c>
      <c r="N11" s="5">
        <f>E11+K11</f>
        <v>9.0000000000000024E-2</v>
      </c>
      <c r="O11" s="28">
        <f t="shared" si="5"/>
        <v>-0.08</v>
      </c>
      <c r="P11" s="28">
        <f t="shared" si="6"/>
        <v>0</v>
      </c>
      <c r="Q11" s="28">
        <f t="shared" si="7"/>
        <v>0</v>
      </c>
      <c r="R11" s="146">
        <f t="shared" si="3"/>
        <v>1.0000000000000009E-2</v>
      </c>
      <c r="S11" s="27" t="str">
        <f t="shared" si="4"/>
        <v>a &amp; ~b</v>
      </c>
      <c r="T11"/>
      <c r="U11"/>
    </row>
    <row r="12" spans="2:21" s="7" customFormat="1" x14ac:dyDescent="0.25">
      <c r="B12" s="21" t="s">
        <v>25</v>
      </c>
      <c r="C12" s="7">
        <f>(1-C7)*C9</f>
        <v>0.21</v>
      </c>
      <c r="D12">
        <f>D14*(1-D15)</f>
        <v>0.21</v>
      </c>
      <c r="E12" s="5">
        <f>D12</f>
        <v>0.21</v>
      </c>
      <c r="F12" s="142" t="str">
        <f t="shared" si="0"/>
        <v>~a &amp; b</v>
      </c>
      <c r="G12" s="149">
        <v>0</v>
      </c>
      <c r="H12" s="148">
        <f t="shared" si="1"/>
        <v>0</v>
      </c>
      <c r="I12" s="6">
        <f>1-SUMPRODUCT($H$10:$H$13,$C$10:$C$13)</f>
        <v>1</v>
      </c>
      <c r="J12" s="6">
        <f>IF(SUM($G$10:$G$13)=0,0,SUM($G$10:$G$13))</f>
        <v>0</v>
      </c>
      <c r="K12" s="6">
        <f t="shared" si="2"/>
        <v>0</v>
      </c>
      <c r="L12" s="7">
        <f>(1-L7)*L9</f>
        <v>9.0000000000000024E-2</v>
      </c>
      <c r="M12" s="7">
        <f>M14*(1-M15)</f>
        <v>0.21</v>
      </c>
      <c r="N12" s="5">
        <f>E12+K12</f>
        <v>0.21</v>
      </c>
      <c r="O12" s="28">
        <f t="shared" si="5"/>
        <v>-0.11999999999999997</v>
      </c>
      <c r="P12" s="28">
        <f t="shared" si="6"/>
        <v>0</v>
      </c>
      <c r="Q12" s="28">
        <f t="shared" si="7"/>
        <v>0</v>
      </c>
      <c r="R12" s="146">
        <f t="shared" si="3"/>
        <v>9.0000000000000024E-2</v>
      </c>
      <c r="S12" s="27" t="str">
        <f t="shared" si="4"/>
        <v>~a &amp; b</v>
      </c>
      <c r="T12"/>
      <c r="U12"/>
    </row>
    <row r="13" spans="2:21" s="7" customFormat="1" x14ac:dyDescent="0.25">
      <c r="B13" s="21" t="s">
        <v>26</v>
      </c>
      <c r="C13" s="7">
        <f>(1-C7)*(1-C9)</f>
        <v>0.48999999999999994</v>
      </c>
      <c r="D13">
        <f>(1-D14)*(1-D16)</f>
        <v>0.49000000000000005</v>
      </c>
      <c r="E13" s="2">
        <f>D13</f>
        <v>0.49000000000000005</v>
      </c>
      <c r="F13" s="142" t="str">
        <f t="shared" si="0"/>
        <v>~a &amp; ~b</v>
      </c>
      <c r="G13" s="149">
        <v>0</v>
      </c>
      <c r="H13" s="148">
        <f t="shared" si="1"/>
        <v>0</v>
      </c>
      <c r="I13" s="6">
        <f>1-SUMPRODUCT($H$10:$H$13,$C$10:$C$13)</f>
        <v>1</v>
      </c>
      <c r="J13" s="6">
        <f>IF(SUM($G$10:$G$13)=0,0,SUM($G$10:$G$13))</f>
        <v>0</v>
      </c>
      <c r="K13" s="6">
        <f t="shared" si="2"/>
        <v>0</v>
      </c>
      <c r="L13" s="7">
        <f>(1-L7)*(1-L9)</f>
        <v>0.80999999999999983</v>
      </c>
      <c r="M13" s="7">
        <f>(1-M14)*(1-M16)</f>
        <v>0.49000000000000005</v>
      </c>
      <c r="N13" s="2">
        <f>E13+K13</f>
        <v>0.49000000000000005</v>
      </c>
      <c r="O13" s="28">
        <f t="shared" si="5"/>
        <v>0.3199999999999999</v>
      </c>
      <c r="P13" s="28">
        <f t="shared" si="6"/>
        <v>0</v>
      </c>
      <c r="Q13" s="28">
        <f t="shared" si="7"/>
        <v>0</v>
      </c>
      <c r="R13" s="147">
        <f t="shared" si="3"/>
        <v>0.80999999999999983</v>
      </c>
      <c r="S13" s="27" t="str">
        <f t="shared" si="4"/>
        <v>~a &amp; ~b</v>
      </c>
      <c r="T13"/>
      <c r="U13"/>
    </row>
    <row r="14" spans="2:21" s="7" customFormat="1" ht="18" customHeight="1" x14ac:dyDescent="0.25">
      <c r="B14" s="26" t="s">
        <v>7</v>
      </c>
      <c r="C14">
        <f>C10+C12</f>
        <v>0.42</v>
      </c>
      <c r="D14" s="23">
        <f>C14</f>
        <v>0.42</v>
      </c>
      <c r="E14">
        <f>E10+E12</f>
        <v>0.42</v>
      </c>
      <c r="F14" s="142" t="str">
        <f t="shared" si="0"/>
        <v>b</v>
      </c>
      <c r="G14" s="149">
        <v>0</v>
      </c>
      <c r="H14" s="148">
        <f t="shared" si="1"/>
        <v>0</v>
      </c>
      <c r="I14" s="6">
        <f>1-SUMPRODUCT($H$14:$H$16,$C$14:$C$16)</f>
        <v>1</v>
      </c>
      <c r="J14" s="6">
        <f>IF(SUM($G$14:$G$16)=0,0,SUM($G$14:$G$16))</f>
        <v>0</v>
      </c>
      <c r="K14" s="6">
        <f t="shared" si="2"/>
        <v>0</v>
      </c>
      <c r="L14" s="7">
        <f>L10+L12</f>
        <v>0.18000000000000005</v>
      </c>
      <c r="M14" s="23">
        <f>D14+K14</f>
        <v>0.42</v>
      </c>
      <c r="N14" s="7">
        <f>N10+N12</f>
        <v>0.42</v>
      </c>
      <c r="O14" s="28">
        <f t="shared" si="5"/>
        <v>-0.23999999999999994</v>
      </c>
      <c r="P14" s="28">
        <f t="shared" si="6"/>
        <v>0</v>
      </c>
      <c r="Q14" s="28">
        <f t="shared" si="7"/>
        <v>0</v>
      </c>
      <c r="R14" s="144">
        <f t="shared" si="3"/>
        <v>0.18000000000000005</v>
      </c>
      <c r="S14" s="27" t="str">
        <f t="shared" si="4"/>
        <v>b</v>
      </c>
      <c r="T14"/>
      <c r="U14"/>
    </row>
    <row r="15" spans="2:21" s="7" customFormat="1" x14ac:dyDescent="0.25">
      <c r="B15" s="26" t="s">
        <v>17</v>
      </c>
      <c r="C15">
        <f>C10/(C10+C12)</f>
        <v>0.5</v>
      </c>
      <c r="D15" s="24">
        <f>C15</f>
        <v>0.5</v>
      </c>
      <c r="E15">
        <f>E10/(E10+E12)</f>
        <v>0.5</v>
      </c>
      <c r="F15" s="142" t="str">
        <f t="shared" si="0"/>
        <v>a|b</v>
      </c>
      <c r="G15" s="149">
        <v>0</v>
      </c>
      <c r="H15" s="148">
        <f t="shared" si="1"/>
        <v>0</v>
      </c>
      <c r="I15" s="6">
        <f>1-SUMPRODUCT($H$14:$H$16,$C$14:$C$16)</f>
        <v>1</v>
      </c>
      <c r="J15" s="6">
        <f>IF(SUM($G$14:$G$16)=0,0,SUM($G$14:$G$16))</f>
        <v>0</v>
      </c>
      <c r="K15" s="6">
        <f t="shared" si="2"/>
        <v>0</v>
      </c>
      <c r="L15" s="7">
        <f>L10/(L10+L12)</f>
        <v>0.5</v>
      </c>
      <c r="M15" s="24">
        <f>D15+K15</f>
        <v>0.5</v>
      </c>
      <c r="N15" s="7">
        <f>N10/(N10+N12)</f>
        <v>0.5</v>
      </c>
      <c r="O15" s="28">
        <f t="shared" si="5"/>
        <v>0</v>
      </c>
      <c r="P15" s="28">
        <f t="shared" si="6"/>
        <v>0</v>
      </c>
      <c r="Q15" s="28">
        <f t="shared" si="7"/>
        <v>0</v>
      </c>
      <c r="R15" s="144">
        <f t="shared" si="3"/>
        <v>0.5</v>
      </c>
      <c r="S15" s="27" t="str">
        <f t="shared" si="4"/>
        <v>a|b</v>
      </c>
      <c r="T15"/>
      <c r="U15"/>
    </row>
    <row r="16" spans="2:21" s="7" customFormat="1" ht="15.75" thickBot="1" x14ac:dyDescent="0.3">
      <c r="B16" s="156" t="s">
        <v>19</v>
      </c>
      <c r="C16" s="13">
        <f>C11/(C11+C13)</f>
        <v>0.15517241379310348</v>
      </c>
      <c r="D16" s="157">
        <f>C16</f>
        <v>0.15517241379310348</v>
      </c>
      <c r="E16" s="13">
        <f>E11/(E11+E13)</f>
        <v>0.15517241379310348</v>
      </c>
      <c r="F16" s="158" t="str">
        <f t="shared" si="0"/>
        <v>a|~b</v>
      </c>
      <c r="G16" s="159">
        <v>0</v>
      </c>
      <c r="H16" s="155">
        <f t="shared" si="1"/>
        <v>0</v>
      </c>
      <c r="I16" s="12">
        <f>1-SUMPRODUCT($H$14:$H$16,$C$14:$C$16)</f>
        <v>1</v>
      </c>
      <c r="J16" s="12">
        <f>IF(SUM($G$14:$G$16)=0,0,SUM($G$14:$G$16))</f>
        <v>0</v>
      </c>
      <c r="K16" s="12">
        <f t="shared" si="2"/>
        <v>0</v>
      </c>
      <c r="L16" s="13">
        <f>L11/(L11+L13)</f>
        <v>1.219512195121953E-2</v>
      </c>
      <c r="M16" s="157">
        <f>D16+K16</f>
        <v>0.15517241379310348</v>
      </c>
      <c r="N16" s="13">
        <f>N11/(N11+N13)</f>
        <v>0.15517241379310348</v>
      </c>
      <c r="O16" s="160">
        <f t="shared" si="5"/>
        <v>-0.14297729184188396</v>
      </c>
      <c r="P16" s="160">
        <f t="shared" si="6"/>
        <v>0</v>
      </c>
      <c r="Q16" s="160">
        <f t="shared" si="7"/>
        <v>0</v>
      </c>
      <c r="R16" s="161">
        <f t="shared" si="3"/>
        <v>1.2195121951219523E-2</v>
      </c>
      <c r="S16" s="162" t="str">
        <f t="shared" si="4"/>
        <v>a|~b</v>
      </c>
      <c r="T16"/>
      <c r="U16"/>
    </row>
    <row r="17" spans="2:21" s="7" customFormat="1" ht="16.5" thickTop="1" thickBot="1" x14ac:dyDescent="0.3">
      <c r="B17"/>
      <c r="C17"/>
      <c r="D17"/>
      <c r="E17"/>
      <c r="F17" s="143"/>
      <c r="G17" s="120"/>
      <c r="H17"/>
      <c r="I17"/>
      <c r="J17"/>
      <c r="K17"/>
      <c r="O17"/>
      <c r="P17"/>
      <c r="Q17"/>
      <c r="R17" s="5"/>
      <c r="S17"/>
      <c r="T17"/>
      <c r="U17"/>
    </row>
    <row r="18" spans="2:21" s="7" customFormat="1" ht="15.75" thickBot="1" x14ac:dyDescent="0.3">
      <c r="B18"/>
      <c r="C18" s="102">
        <f>SUM(C10:C13)</f>
        <v>1</v>
      </c>
      <c r="D18" s="102">
        <f>SUM(D10:D13)</f>
        <v>1</v>
      </c>
      <c r="E18" s="102">
        <f>SUM(E10:E13)</f>
        <v>1</v>
      </c>
      <c r="F18"/>
      <c r="G18"/>
      <c r="H18"/>
      <c r="I18"/>
      <c r="J18"/>
      <c r="K18"/>
      <c r="L18" s="102">
        <f t="shared" ref="L18:Q18" si="8">SUM(L10:L13)</f>
        <v>0.99999999999999989</v>
      </c>
      <c r="M18" s="102">
        <f t="shared" si="8"/>
        <v>1</v>
      </c>
      <c r="N18" s="102">
        <f t="shared" si="8"/>
        <v>1</v>
      </c>
      <c r="O18" s="102">
        <f t="shared" si="8"/>
        <v>0</v>
      </c>
      <c r="P18" s="102">
        <f t="shared" si="8"/>
        <v>0</v>
      </c>
      <c r="Q18" s="102">
        <f t="shared" si="8"/>
        <v>0</v>
      </c>
      <c r="R18" s="5"/>
      <c r="S18"/>
      <c r="T18"/>
      <c r="U18"/>
    </row>
    <row r="19" spans="2:21" s="7" customForma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9"/>
      <c r="S19" s="10"/>
      <c r="T19" s="10"/>
      <c r="U19" s="11"/>
    </row>
    <row r="20" spans="2:21" x14ac:dyDescent="0.25">
      <c r="R20" s="150">
        <f>INDEX($R$10:$R$13,COLUMN(Q20)-COLUMN($P$20))</f>
        <v>9.0000000000000024E-2</v>
      </c>
      <c r="S20" s="151">
        <f>INDEX($R$10:$R$13,COLUMN(R20)-COLUMN($P$20))</f>
        <v>1.0000000000000009E-2</v>
      </c>
      <c r="T20" s="151">
        <f>INDEX($R$10:$R$13,COLUMN(S20)-COLUMN($P$20))</f>
        <v>9.0000000000000024E-2</v>
      </c>
      <c r="U20" s="152">
        <f>INDEX($R$10:$R$13,COLUMN(T20)-COLUMN($P$20))</f>
        <v>0.80999999999999983</v>
      </c>
    </row>
    <row r="21" spans="2:21" x14ac:dyDescent="0.25">
      <c r="R21" s="135"/>
      <c r="S21" s="7"/>
      <c r="T21" s="7"/>
      <c r="U21" s="118"/>
    </row>
    <row r="22" spans="2:21" ht="15.75" thickBot="1" x14ac:dyDescent="0.3">
      <c r="R22" s="178" t="s">
        <v>68</v>
      </c>
      <c r="S22" s="179"/>
      <c r="T22" s="179"/>
      <c r="U22" s="180"/>
    </row>
  </sheetData>
  <mergeCells count="2">
    <mergeCell ref="F4:G4"/>
    <mergeCell ref="R22:U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HLMSR</vt:lpstr>
      <vt:lpstr>Changing b mid contract</vt:lpstr>
      <vt:lpstr>Some Accounting</vt:lpstr>
      <vt:lpstr>2x2 Update Calculator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Sztorc, Paul</cp:lastModifiedBy>
  <dcterms:created xsi:type="dcterms:W3CDTF">2013-11-06T14:19:02Z</dcterms:created>
  <dcterms:modified xsi:type="dcterms:W3CDTF">2014-01-31T20:07:11Z</dcterms:modified>
</cp:coreProperties>
</file>