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Q:\Consultoria\FORMACION\MASTERS CUANTITATIVOS\MFC 2022-2023\Valoración\Jota\Solución\"/>
    </mc:Choice>
  </mc:AlternateContent>
  <bookViews>
    <workbookView xWindow="-105" yWindow="-105" windowWidth="19425" windowHeight="10425"/>
  </bookViews>
  <sheets>
    <sheet name="Hoja1" sheetId="1" r:id="rId1"/>
  </sheets>
  <functionGroups builtInGroupCount="18"/>
  <definedNames>
    <definedName name="deltat">Hoja1!$D$9</definedName>
    <definedName name="fechavalor">Hoja1!$D$8</definedName>
    <definedName name="Nom">Hoja1!$M$9</definedName>
    <definedName name="solver_adj" localSheetId="0" hidden="1">Hoja1!$Q$9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Hoja1!$S$14</definedName>
    <definedName name="solver_pre" localSheetId="0" hidden="1">0.000001</definedName>
    <definedName name="solver_rbv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  <definedName name="spread">Hoja1!$Q$9</definedName>
    <definedName name="vola">Hoja1!$Q$8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" i="1" l="1"/>
  <c r="D15" i="1" l="1"/>
  <c r="E36" i="1" l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I22" i="1"/>
  <c r="I50" i="1"/>
  <c r="I31" i="1"/>
  <c r="I54" i="1"/>
  <c r="I43" i="1"/>
  <c r="I42" i="1"/>
  <c r="I32" i="1"/>
  <c r="I38" i="1"/>
  <c r="I55" i="1"/>
  <c r="I34" i="1"/>
  <c r="I20" i="1"/>
  <c r="I19" i="1"/>
  <c r="I18" i="1"/>
  <c r="I30" i="1"/>
  <c r="I33" i="1"/>
  <c r="I36" i="1"/>
  <c r="I29" i="1"/>
  <c r="I28" i="1"/>
  <c r="I17" i="1"/>
  <c r="I24" i="1"/>
  <c r="I25" i="1"/>
  <c r="I48" i="1"/>
  <c r="I23" i="1"/>
  <c r="I41" i="1"/>
  <c r="I35" i="1"/>
  <c r="I47" i="1"/>
  <c r="I53" i="1"/>
  <c r="I21" i="1"/>
  <c r="I52" i="1"/>
  <c r="I27" i="1"/>
  <c r="I37" i="1"/>
  <c r="I16" i="1"/>
  <c r="I39" i="1"/>
  <c r="I40" i="1"/>
  <c r="I45" i="1"/>
  <c r="I46" i="1"/>
  <c r="I51" i="1"/>
  <c r="I49" i="1"/>
  <c r="I26" i="1"/>
  <c r="I44" i="1"/>
  <c r="H16" i="1" l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I15" i="1"/>
  <c r="I8" i="1" l="1"/>
  <c r="I10" i="1" s="1"/>
  <c r="J23" i="1"/>
  <c r="J31" i="1"/>
  <c r="J39" i="1"/>
  <c r="J22" i="1"/>
  <c r="J34" i="1"/>
  <c r="J42" i="1"/>
  <c r="J46" i="1"/>
  <c r="J54" i="1"/>
  <c r="J16" i="1"/>
  <c r="P16" i="1" s="1"/>
  <c r="J20" i="1"/>
  <c r="J24" i="1"/>
  <c r="J28" i="1"/>
  <c r="J32" i="1"/>
  <c r="J36" i="1"/>
  <c r="J40" i="1"/>
  <c r="J44" i="1"/>
  <c r="J48" i="1"/>
  <c r="J52" i="1"/>
  <c r="J47" i="1"/>
  <c r="J26" i="1"/>
  <c r="J19" i="1"/>
  <c r="J27" i="1"/>
  <c r="J35" i="1"/>
  <c r="J43" i="1"/>
  <c r="J51" i="1"/>
  <c r="J18" i="1"/>
  <c r="J30" i="1"/>
  <c r="J38" i="1"/>
  <c r="J50" i="1"/>
  <c r="J17" i="1"/>
  <c r="J21" i="1"/>
  <c r="J25" i="1"/>
  <c r="J29" i="1"/>
  <c r="J33" i="1"/>
  <c r="J37" i="1"/>
  <c r="J41" i="1"/>
  <c r="J45" i="1"/>
  <c r="J49" i="1"/>
  <c r="J53" i="1"/>
  <c r="P37" i="1" l="1"/>
  <c r="L38" i="1"/>
  <c r="O37" i="1"/>
  <c r="P21" i="1"/>
  <c r="L22" i="1"/>
  <c r="O21" i="1"/>
  <c r="P30" i="1"/>
  <c r="L31" i="1"/>
  <c r="O30" i="1"/>
  <c r="O35" i="1"/>
  <c r="P35" i="1"/>
  <c r="L36" i="1"/>
  <c r="O47" i="1"/>
  <c r="P47" i="1"/>
  <c r="L48" i="1"/>
  <c r="O40" i="1"/>
  <c r="P40" i="1"/>
  <c r="L41" i="1"/>
  <c r="O24" i="1"/>
  <c r="P24" i="1"/>
  <c r="L25" i="1"/>
  <c r="P46" i="1"/>
  <c r="L47" i="1"/>
  <c r="O46" i="1"/>
  <c r="O39" i="1"/>
  <c r="P39" i="1"/>
  <c r="L40" i="1"/>
  <c r="P41" i="1"/>
  <c r="L42" i="1"/>
  <c r="O41" i="1"/>
  <c r="P49" i="1"/>
  <c r="L50" i="1"/>
  <c r="O49" i="1"/>
  <c r="P33" i="1"/>
  <c r="L34" i="1"/>
  <c r="O33" i="1"/>
  <c r="P17" i="1"/>
  <c r="L18" i="1"/>
  <c r="O17" i="1"/>
  <c r="P18" i="1"/>
  <c r="L19" i="1"/>
  <c r="O18" i="1"/>
  <c r="O27" i="1"/>
  <c r="P27" i="1"/>
  <c r="L28" i="1"/>
  <c r="L53" i="1"/>
  <c r="O52" i="1"/>
  <c r="P52" i="1"/>
  <c r="O36" i="1"/>
  <c r="L37" i="1"/>
  <c r="P36" i="1"/>
  <c r="L21" i="1"/>
  <c r="O20" i="1"/>
  <c r="P20" i="1"/>
  <c r="P42" i="1"/>
  <c r="L43" i="1"/>
  <c r="O42" i="1"/>
  <c r="O31" i="1"/>
  <c r="P31" i="1"/>
  <c r="L32" i="1"/>
  <c r="P53" i="1"/>
  <c r="L54" i="1"/>
  <c r="O53" i="1"/>
  <c r="P45" i="1"/>
  <c r="L46" i="1"/>
  <c r="O45" i="1"/>
  <c r="P29" i="1"/>
  <c r="L30" i="1"/>
  <c r="O29" i="1"/>
  <c r="P50" i="1"/>
  <c r="L51" i="1"/>
  <c r="O50" i="1"/>
  <c r="O51" i="1"/>
  <c r="P51" i="1"/>
  <c r="L52" i="1"/>
  <c r="O19" i="1"/>
  <c r="P19" i="1"/>
  <c r="L20" i="1"/>
  <c r="O48" i="1"/>
  <c r="L49" i="1"/>
  <c r="P48" i="1"/>
  <c r="L33" i="1"/>
  <c r="O32" i="1"/>
  <c r="P32" i="1"/>
  <c r="P34" i="1"/>
  <c r="L35" i="1"/>
  <c r="O34" i="1"/>
  <c r="O23" i="1"/>
  <c r="P23" i="1"/>
  <c r="L24" i="1"/>
  <c r="P25" i="1"/>
  <c r="L26" i="1"/>
  <c r="O25" i="1"/>
  <c r="P38" i="1"/>
  <c r="L39" i="1"/>
  <c r="O38" i="1"/>
  <c r="O43" i="1"/>
  <c r="P43" i="1"/>
  <c r="L44" i="1"/>
  <c r="P26" i="1"/>
  <c r="L27" i="1"/>
  <c r="O26" i="1"/>
  <c r="O44" i="1"/>
  <c r="L45" i="1"/>
  <c r="P44" i="1"/>
  <c r="O28" i="1"/>
  <c r="L29" i="1"/>
  <c r="P28" i="1"/>
  <c r="P54" i="1"/>
  <c r="L55" i="1"/>
  <c r="O54" i="1"/>
  <c r="P22" i="1"/>
  <c r="L23" i="1"/>
  <c r="O22" i="1"/>
  <c r="O16" i="1"/>
  <c r="L17" i="1"/>
  <c r="Q17" i="1"/>
  <c r="Q21" i="1"/>
  <c r="Q25" i="1"/>
  <c r="Q29" i="1"/>
  <c r="Q33" i="1"/>
  <c r="Q37" i="1"/>
  <c r="Q41" i="1"/>
  <c r="Q45" i="1"/>
  <c r="Q49" i="1"/>
  <c r="Q53" i="1"/>
  <c r="M21" i="1"/>
  <c r="M25" i="1"/>
  <c r="M29" i="1"/>
  <c r="M33" i="1"/>
  <c r="M37" i="1"/>
  <c r="M41" i="1"/>
  <c r="M45" i="1"/>
  <c r="M49" i="1"/>
  <c r="M53" i="1"/>
  <c r="Q28" i="1"/>
  <c r="M24" i="1"/>
  <c r="M40" i="1"/>
  <c r="M52" i="1"/>
  <c r="Q18" i="1"/>
  <c r="Q22" i="1"/>
  <c r="Q26" i="1"/>
  <c r="Q30" i="1"/>
  <c r="Q34" i="1"/>
  <c r="Q38" i="1"/>
  <c r="Q42" i="1"/>
  <c r="Q46" i="1"/>
  <c r="Q50" i="1"/>
  <c r="Q54" i="1"/>
  <c r="M18" i="1"/>
  <c r="M22" i="1"/>
  <c r="M26" i="1"/>
  <c r="M30" i="1"/>
  <c r="M34" i="1"/>
  <c r="M38" i="1"/>
  <c r="M42" i="1"/>
  <c r="M46" i="1"/>
  <c r="M50" i="1"/>
  <c r="M54" i="1"/>
  <c r="Q20" i="1"/>
  <c r="Q36" i="1"/>
  <c r="Q40" i="1"/>
  <c r="Q48" i="1"/>
  <c r="Q52" i="1"/>
  <c r="M28" i="1"/>
  <c r="M44" i="1"/>
  <c r="Q19" i="1"/>
  <c r="Q23" i="1"/>
  <c r="Q27" i="1"/>
  <c r="Q31" i="1"/>
  <c r="Q35" i="1"/>
  <c r="Q39" i="1"/>
  <c r="Q43" i="1"/>
  <c r="Q47" i="1"/>
  <c r="Q51" i="1"/>
  <c r="Q16" i="1"/>
  <c r="M19" i="1"/>
  <c r="M23" i="1"/>
  <c r="M27" i="1"/>
  <c r="M31" i="1"/>
  <c r="M35" i="1"/>
  <c r="M39" i="1"/>
  <c r="M43" i="1"/>
  <c r="M47" i="1"/>
  <c r="M51" i="1"/>
  <c r="M55" i="1"/>
  <c r="Q32" i="1"/>
  <c r="Q44" i="1"/>
  <c r="M20" i="1"/>
  <c r="M32" i="1"/>
  <c r="M48" i="1"/>
  <c r="Q24" i="1"/>
  <c r="M36" i="1"/>
  <c r="M17" i="1"/>
  <c r="L14" i="1" l="1"/>
  <c r="O14" i="1"/>
  <c r="P14" i="1"/>
  <c r="Q14" i="1"/>
  <c r="M14" i="1"/>
  <c r="S14" i="1" l="1"/>
</calcChain>
</file>

<file path=xl/comments1.xml><?xml version="1.0" encoding="utf-8"?>
<comments xmlns="http://schemas.openxmlformats.org/spreadsheetml/2006/main">
  <authors>
    <author>Euclides</author>
  </authors>
  <commentList>
    <comment ref="Q9" authorId="0" shapeId="0">
      <text>
        <r>
          <rPr>
            <b/>
            <sz val="9"/>
            <color indexed="81"/>
            <rFont val="Tahoma"/>
            <family val="2"/>
          </rPr>
          <t>usar solver para determinar spread que hace que el swap in arrears esté equilibrado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<sst xmlns="http://schemas.openxmlformats.org/spreadsheetml/2006/main" count="46" uniqueCount="42">
  <si>
    <t>datos ccc</t>
  </si>
  <si>
    <t>fecha</t>
  </si>
  <si>
    <t>plazo</t>
  </si>
  <si>
    <t>FD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</si>
  <si>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</si>
  <si>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</si>
  <si>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</si>
  <si>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</si>
  <si>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</si>
  <si>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</si>
  <si>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</si>
  <si>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</si>
  <si>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</si>
  <si>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</si>
  <si>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</si>
  <si>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</si>
  <si>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2A</t>
  </si>
  <si>
    <t>3A</t>
  </si>
  <si>
    <t>4A</t>
  </si>
  <si>
    <t>5A</t>
  </si>
  <si>
    <t>6A</t>
  </si>
  <si>
    <t>7A</t>
  </si>
  <si>
    <t>8A</t>
  </si>
  <si>
    <t>9A</t>
  </si>
  <si>
    <t>10A</t>
  </si>
  <si>
    <t>fecha valor</t>
  </si>
  <si>
    <t>deltat</t>
  </si>
  <si>
    <t>plazos</t>
  </si>
  <si>
    <t>tipo fwd -swap hoy</t>
  </si>
  <si>
    <t>anualidad</t>
  </si>
  <si>
    <t>rama variable</t>
  </si>
  <si>
    <t>fwd</t>
  </si>
  <si>
    <t>rama fija</t>
  </si>
  <si>
    <t>vola</t>
  </si>
  <si>
    <t>spread</t>
  </si>
  <si>
    <t>interpolación de descuentos</t>
  </si>
  <si>
    <t>swap normal</t>
  </si>
  <si>
    <t>swap in arrears</t>
  </si>
  <si>
    <t>discrepancia para solver</t>
  </si>
  <si>
    <t>valoración de flujos</t>
  </si>
  <si>
    <t>valoración naive</t>
  </si>
  <si>
    <t>Nominal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</si>
</sst>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* #,##0.00\ &quot;€&quot;_-;\-* #,##0.00\ &quot;€&quot;_-;_-* &quot;-&quot;??\ &quot;€&quot;_-;_-@_-"/>
    <numFmt numFmtId="164" formatCode="0.000"/>
    <numFmt numFmtId="165" formatCode="0.000%"/>
    <numFmt numFmtId="166" formatCode="0.00000"/>
    <numFmt numFmtId="167" formatCode="0.0000%"/>
    <numFmt numFmtId="168" formatCode="0.000000%"/>
  </numFmts>
  <fonts count="11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i/>
      <sz val="11"/>
      <color theme="1"/>
      <name val="Century Gothic"/>
      <family val="2"/>
      <scheme val="minor"/>
    </font>
    <font>
      <b/>
      <i/>
      <sz val="11"/>
      <name val="Century Gothic"/>
      <family val="2"/>
      <scheme val="minor"/>
    </font>
    <font>
      <b/>
      <sz val="11"/>
      <name val="Century Gothic"/>
      <family val="2"/>
      <scheme val="minor"/>
    </font>
    <font>
      <sz val="11"/>
      <name val="Century Gothic"/>
      <family val="2"/>
      <scheme val="minor"/>
    </font>
    <font>
      <i/>
      <sz val="11"/>
      <color theme="1"/>
      <name val="Century Gothic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entury Gothic"/>
      <family val="2"/>
      <scheme val="minor"/>
    </font>
    <font>
      <b/>
      <i/>
      <sz val="11"/>
      <color theme="0"/>
      <name val="Century Gothic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6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Font="1"/>
    <xf numFmtId="14" fontId="0" fillId="0" borderId="0" xfId="0" applyNumberFormat="1" applyFont="1"/>
    <xf numFmtId="0" fontId="0" fillId="0" borderId="0" xfId="0" applyFont="1" applyAlignment="1">
      <alignment horizontal="center"/>
    </xf>
    <xf numFmtId="14" fontId="3" fillId="0" borderId="3" xfId="0" applyNumberFormat="1" applyFont="1" applyBorder="1"/>
    <xf numFmtId="0" fontId="3" fillId="0" borderId="5" xfId="0" applyFont="1" applyBorder="1"/>
    <xf numFmtId="0" fontId="4" fillId="0" borderId="1" xfId="0" applyFont="1" applyBorder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2" xfId="0" applyFont="1" applyBorder="1"/>
    <xf numFmtId="10" fontId="0" fillId="0" borderId="9" xfId="1" applyNumberFormat="1" applyFont="1" applyBorder="1"/>
    <xf numFmtId="0" fontId="0" fillId="0" borderId="10" xfId="0" applyFont="1" applyBorder="1"/>
    <xf numFmtId="0" fontId="0" fillId="0" borderId="4" xfId="0" applyFont="1" applyBorder="1"/>
    <xf numFmtId="164" fontId="0" fillId="0" borderId="2" xfId="0" applyNumberFormat="1" applyFont="1" applyBorder="1"/>
    <xf numFmtId="9" fontId="0" fillId="2" borderId="3" xfId="0" applyNumberFormat="1" applyFont="1" applyFill="1" applyBorder="1"/>
    <xf numFmtId="10" fontId="2" fillId="0" borderId="0" xfId="1" applyNumberFormat="1" applyFont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166" fontId="0" fillId="0" borderId="0" xfId="0" applyNumberFormat="1" applyFont="1" applyAlignment="1">
      <alignment horizontal="center"/>
    </xf>
    <xf numFmtId="167" fontId="0" fillId="0" borderId="11" xfId="1" applyNumberFormat="1" applyFont="1" applyBorder="1"/>
    <xf numFmtId="168" fontId="0" fillId="0" borderId="0" xfId="0" applyNumberFormat="1" applyFont="1"/>
    <xf numFmtId="165" fontId="0" fillId="0" borderId="0" xfId="1" applyNumberFormat="1" applyFont="1"/>
    <xf numFmtId="0" fontId="0" fillId="0" borderId="0" xfId="0" applyBorder="1" applyAlignment="1">
      <alignment horizontal="center" vertical="center" wrapText="1"/>
    </xf>
    <xf numFmtId="0" fontId="6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65" fontId="5" fillId="2" borderId="11" xfId="1" applyNumberFormat="1" applyFont="1" applyFill="1" applyBorder="1"/>
    <xf numFmtId="165" fontId="5" fillId="2" borderId="5" xfId="1" applyNumberFormat="1" applyFont="1" applyFill="1" applyBorder="1"/>
    <xf numFmtId="164" fontId="0" fillId="0" borderId="0" xfId="0" applyNumberFormat="1" applyFont="1" applyBorder="1"/>
    <xf numFmtId="164" fontId="0" fillId="0" borderId="12" xfId="0" applyNumberFormat="1" applyFont="1" applyBorder="1"/>
    <xf numFmtId="14" fontId="5" fillId="0" borderId="13" xfId="0" applyNumberFormat="1" applyFont="1" applyFill="1" applyBorder="1"/>
    <xf numFmtId="14" fontId="5" fillId="0" borderId="14" xfId="0" applyNumberFormat="1" applyFont="1" applyFill="1" applyBorder="1"/>
    <xf numFmtId="44" fontId="0" fillId="0" borderId="0" xfId="2" applyFont="1"/>
    <xf numFmtId="44" fontId="0" fillId="0" borderId="0" xfId="2" applyFont="1" applyAlignment="1">
      <alignment horizontal="center"/>
    </xf>
    <xf numFmtId="10" fontId="0" fillId="0" borderId="0" xfId="0" applyNumberFormat="1" applyFont="1"/>
    <xf numFmtId="167" fontId="2" fillId="0" borderId="0" xfId="1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4" fontId="4" fillId="4" borderId="15" xfId="0" applyNumberFormat="1" applyFont="1" applyFill="1" applyBorder="1"/>
    <xf numFmtId="10" fontId="0" fillId="3" borderId="0" xfId="1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10" fillId="5" borderId="2" xfId="0" applyFont="1" applyFill="1" applyBorder="1"/>
    <xf numFmtId="0" fontId="10" fillId="5" borderId="4" xfId="0" applyFont="1" applyFill="1" applyBorder="1"/>
    <xf numFmtId="44" fontId="6" fillId="6" borderId="0" xfId="2" applyFont="1" applyFill="1" applyAlignment="1">
      <alignment horizontal="center"/>
    </xf>
    <xf numFmtId="44" fontId="6" fillId="6" borderId="0" xfId="2" applyNumberFormat="1" applyFont="1" applyFill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7" xfId="0" applyFont="1" applyFill="1" applyBorder="1" applyAlignment="1">
      <alignment horizontal="center"/>
    </xf>
    <xf numFmtId="0" fontId="9" fillId="5" borderId="8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 vertical="center" wrapText="1"/>
    </xf>
    <xf numFmtId="0" fontId="9" fillId="5" borderId="8" xfId="0" applyFont="1" applyFill="1" applyBorder="1" applyAlignment="1">
      <alignment horizontal="center" vertical="center" wrapText="1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9526</xdr:colOff>
      <xdr:row>1</xdr:row>
      <xdr:rowOff>0</xdr:rowOff>
    </xdr:from>
    <xdr:to>
      <xdr:col>13</xdr:col>
      <xdr:colOff>772789</xdr:colOff>
      <xdr:row>5</xdr:row>
      <xdr:rowOff>142874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190500"/>
          <a:ext cx="4620888" cy="990599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190500</xdr:colOff>
      <xdr:row>21</xdr:row>
      <xdr:rowOff>67526</xdr:rowOff>
    </xdr:from>
    <xdr:to>
      <xdr:col>18</xdr:col>
      <xdr:colOff>736006</xdr:colOff>
      <xdr:row>24</xdr:row>
      <xdr:rowOff>28575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3625" y="4144226"/>
          <a:ext cx="5841406" cy="618274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Tema Afi">
  <a:themeElements>
    <a:clrScheme name="Plantilla Afi">
      <a:dk1>
        <a:srgbClr val="000000"/>
      </a:dk1>
      <a:lt1>
        <a:srgbClr val="FFFFFF"/>
      </a:lt1>
      <a:dk2>
        <a:srgbClr val="D84519"/>
      </a:dk2>
      <a:lt2>
        <a:srgbClr val="BFBFBF"/>
      </a:lt2>
      <a:accent1>
        <a:srgbClr val="D84519"/>
      </a:accent1>
      <a:accent2>
        <a:srgbClr val="00599C"/>
      </a:accent2>
      <a:accent3>
        <a:srgbClr val="8FD400"/>
      </a:accent3>
      <a:accent4>
        <a:srgbClr val="FDB813"/>
      </a:accent4>
      <a:accent5>
        <a:srgbClr val="AD0075"/>
      </a:accent5>
      <a:accent6>
        <a:srgbClr val="BFBFBF"/>
      </a:accent6>
      <a:hlink>
        <a:srgbClr val="00A3D6"/>
      </a:hlink>
      <a:folHlink>
        <a:srgbClr val="FF0000"/>
      </a:folHlink>
    </a:clrScheme>
    <a:fontScheme name="Plantilla Afi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13181" t="-1300" r="-40517" b="1300"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rtlCol="0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Arial" pitchFamily="34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9525" cap="flat" cmpd="sng" algn="ctr">
          <a:solidFill>
            <a:srgbClr val="339966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GB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Arial" pitchFamily="34" charset="0"/>
          </a:defRPr>
        </a:defPPr>
      </a:lstStyle>
    </a:lnDef>
    <a:txDef>
      <a:spPr>
        <a:noFill/>
      </a:spPr>
      <a:bodyPr wrap="square" rtlCol="0">
        <a:spAutoFit/>
      </a:bodyPr>
      <a:lstStyle>
        <a:defPPr algn="l">
          <a:defRPr sz="1600">
            <a:latin typeface="+mn-lt"/>
          </a:defRPr>
        </a:defPPr>
      </a:lstStyle>
    </a:txDef>
  </a:objectDefaults>
  <a:extraClrSchemeLst>
    <a:extraClrScheme>
      <a:clrScheme name="Default Design 1">
        <a:dk1>
          <a:srgbClr val="000000"/>
        </a:dk1>
        <a:lt1>
          <a:srgbClr val="FFFFFF"/>
        </a:lt1>
        <a:dk2>
          <a:srgbClr val="0000FF"/>
        </a:dk2>
        <a:lt2>
          <a:srgbClr val="FFFF00"/>
        </a:lt2>
        <a:accent1>
          <a:srgbClr val="FF9900"/>
        </a:accent1>
        <a:accent2>
          <a:srgbClr val="00FFFF"/>
        </a:accent2>
        <a:accent3>
          <a:srgbClr val="AAAAFF"/>
        </a:accent3>
        <a:accent4>
          <a:srgbClr val="DADADA"/>
        </a:accent4>
        <a:accent5>
          <a:srgbClr val="FFCAAA"/>
        </a:accent5>
        <a:accent6>
          <a:srgbClr val="00E7E7"/>
        </a:accent6>
        <a:hlink>
          <a:srgbClr val="FF0000"/>
        </a:hlink>
        <a:folHlink>
          <a:srgbClr val="969696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Default Design 2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00CC99"/>
        </a:accent1>
        <a:accent2>
          <a:srgbClr val="3333CC"/>
        </a:accent2>
        <a:accent3>
          <a:srgbClr val="FFFFFF"/>
        </a:accent3>
        <a:accent4>
          <a:srgbClr val="000000"/>
        </a:accent4>
        <a:accent5>
          <a:srgbClr val="AAE2CA"/>
        </a:accent5>
        <a:accent6>
          <a:srgbClr val="2D2DB9"/>
        </a:accent6>
        <a:hlink>
          <a:srgbClr val="CCCCFF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3">
        <a:dk1>
          <a:srgbClr val="000000"/>
        </a:dk1>
        <a:lt1>
          <a:srgbClr val="FFFFFF"/>
        </a:lt1>
        <a:dk2>
          <a:srgbClr val="000000"/>
        </a:dk2>
        <a:lt2>
          <a:srgbClr val="333333"/>
        </a:lt2>
        <a:accent1>
          <a:srgbClr val="DDDDDD"/>
        </a:accent1>
        <a:accent2>
          <a:srgbClr val="808080"/>
        </a:accent2>
        <a:accent3>
          <a:srgbClr val="FFFFFF"/>
        </a:accent3>
        <a:accent4>
          <a:srgbClr val="000000"/>
        </a:accent4>
        <a:accent5>
          <a:srgbClr val="EBEBEB"/>
        </a:accent5>
        <a:accent6>
          <a:srgbClr val="737373"/>
        </a:accent6>
        <a:hlink>
          <a:srgbClr val="4D4D4D"/>
        </a:hlink>
        <a:folHlink>
          <a:srgbClr val="EAEAEA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4">
        <a:dk1>
          <a:srgbClr val="000000"/>
        </a:dk1>
        <a:lt1>
          <a:srgbClr val="FFFFCC"/>
        </a:lt1>
        <a:dk2>
          <a:srgbClr val="808000"/>
        </a:dk2>
        <a:lt2>
          <a:srgbClr val="666633"/>
        </a:lt2>
        <a:accent1>
          <a:srgbClr val="339933"/>
        </a:accent1>
        <a:accent2>
          <a:srgbClr val="800000"/>
        </a:accent2>
        <a:accent3>
          <a:srgbClr val="FFFFE2"/>
        </a:accent3>
        <a:accent4>
          <a:srgbClr val="000000"/>
        </a:accent4>
        <a:accent5>
          <a:srgbClr val="ADCAAD"/>
        </a:accent5>
        <a:accent6>
          <a:srgbClr val="730000"/>
        </a:accent6>
        <a:hlink>
          <a:srgbClr val="0033CC"/>
        </a:hlink>
        <a:folHlink>
          <a:srgbClr val="FFCC66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5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FFCC66"/>
        </a:accent1>
        <a:accent2>
          <a:srgbClr val="0000FF"/>
        </a:accent2>
        <a:accent3>
          <a:srgbClr val="FFFFFF"/>
        </a:accent3>
        <a:accent4>
          <a:srgbClr val="000000"/>
        </a:accent4>
        <a:accent5>
          <a:srgbClr val="FFE2B8"/>
        </a:accent5>
        <a:accent6>
          <a:srgbClr val="0000E7"/>
        </a:accent6>
        <a:hlink>
          <a:srgbClr val="CC00CC"/>
        </a:hlink>
        <a:folHlink>
          <a:srgbClr val="C0C0C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6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C0C0C0"/>
        </a:accent1>
        <a:accent2>
          <a:srgbClr val="0066FF"/>
        </a:accent2>
        <a:accent3>
          <a:srgbClr val="FFFFFF"/>
        </a:accent3>
        <a:accent4>
          <a:srgbClr val="000000"/>
        </a:accent4>
        <a:accent5>
          <a:srgbClr val="DCDCDC"/>
        </a:accent5>
        <a:accent6>
          <a:srgbClr val="005CE7"/>
        </a:accent6>
        <a:hlink>
          <a:srgbClr val="FF0000"/>
        </a:hlink>
        <a:folHlink>
          <a:srgbClr val="0099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7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3399FF"/>
        </a:accent1>
        <a:accent2>
          <a:srgbClr val="99FFCC"/>
        </a:accent2>
        <a:accent3>
          <a:srgbClr val="FFFFFF"/>
        </a:accent3>
        <a:accent4>
          <a:srgbClr val="000000"/>
        </a:accent4>
        <a:accent5>
          <a:srgbClr val="ADCAFF"/>
        </a:accent5>
        <a:accent6>
          <a:srgbClr val="8AE7B9"/>
        </a:accent6>
        <a:hlink>
          <a:srgbClr val="CC00CC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  <a:extLst>
    <a:ext uri="{05A4C25C-085E-4340-85A3-A5531E510DB2}">
      <thm15:themeFamily xmlns:thm15="http://schemas.microsoft.com/office/thememl/2012/main" name="Tema Afi" id="{F282E044-BE78-497B-985B-79770C2326FD}" vid="{CC51B5E0-2204-40F9-9B66-7A3958CF59C6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C6:S55"/>
  <sheetViews>
    <sheetView showGridLines="0" tabSelected="1" workbookViewId="0"/>
  </sheetViews>
  <sheetFormatPr defaultColWidth="11.375" defaultRowHeight="16.5" x14ac:dyDescent="0.3"/>
  <cols>
    <col min="1" max="1" width="6.375" style="2" customWidth="1"/>
    <col min="2" max="2" width="10.375" style="2" customWidth="1"/>
    <col min="3" max="3" width="11.375" style="2"/>
    <col min="4" max="4" width="11.5" style="2" customWidth="1"/>
    <col min="5" max="6" width="11.375" style="2"/>
    <col min="7" max="7" width="8.25" style="2" customWidth="1"/>
    <col min="8" max="9" width="11.75" style="2" customWidth="1"/>
    <col min="10" max="10" width="11.375" style="2"/>
    <col min="11" max="11" width="8.5" style="2" customWidth="1"/>
    <col min="12" max="12" width="17.875" style="2" customWidth="1"/>
    <col min="13" max="13" width="12.875" style="2" customWidth="1"/>
    <col min="14" max="14" width="11.375" style="2"/>
    <col min="15" max="15" width="19.375" style="2" customWidth="1"/>
    <col min="16" max="16" width="12.875" style="2" customWidth="1"/>
    <col min="17" max="17" width="14.5" style="2" customWidth="1"/>
    <col min="18" max="18" width="11.375" style="2"/>
    <col min="19" max="19" width="22.75" style="2" customWidth="1"/>
    <col min="20" max="16384" width="11.375" style="2"/>
  </cols>
  <sheetData>
    <row r="6" spans="3:19" x14ac:dyDescent="0.3">
      <c r="D6" s="3"/>
    </row>
    <row r="7" spans="3:19" ht="17.25" thickBot="1" x14ac:dyDescent="0.35">
      <c r="I7" s="1" t="s">
        <v>29</v>
      </c>
    </row>
    <row r="8" spans="3:19" x14ac:dyDescent="0.3">
      <c r="C8" s="47" t="s">
        <v>25</v>
      </c>
      <c r="D8" s="5">
        <v>44468</v>
      </c>
      <c r="I8" s="42">
        <f>SUM(I17:I55)*deltat</f>
        <v>8.8197772251101174</v>
      </c>
      <c r="P8" s="2" t="s">
        <v>33</v>
      </c>
      <c r="Q8" s="40">
        <v>0.4</v>
      </c>
    </row>
    <row r="9" spans="3:19" ht="17.25" thickBot="1" x14ac:dyDescent="0.35">
      <c r="C9" s="48" t="s">
        <v>26</v>
      </c>
      <c r="D9" s="6">
        <f>3/12</f>
        <v>0.25</v>
      </c>
      <c r="I9" s="20" t="s">
        <v>28</v>
      </c>
      <c r="L9" s="2" t="s">
        <v>41</v>
      </c>
      <c r="M9" s="38">
        <v>100000</v>
      </c>
      <c r="P9" s="2" t="s">
        <v>34</v>
      </c>
      <c r="Q9" s="27">
        <v>3.4998373439450002E-4</v>
      </c>
    </row>
    <row r="10" spans="3:19" x14ac:dyDescent="0.3">
      <c r="I10" s="41">
        <f>(I16-I55)/I8</f>
        <v>2.4422960062495776E-2</v>
      </c>
    </row>
    <row r="11" spans="3:19" ht="17.25" thickBot="1" x14ac:dyDescent="0.35"/>
    <row r="12" spans="3:19" ht="17.25" thickBot="1" x14ac:dyDescent="0.35">
      <c r="D12" s="7" t="s">
        <v>0</v>
      </c>
      <c r="H12" s="51" t="s">
        <v>35</v>
      </c>
      <c r="I12" s="52"/>
      <c r="J12" s="53"/>
      <c r="L12" s="54" t="s">
        <v>36</v>
      </c>
      <c r="M12" s="55"/>
      <c r="N12" s="29"/>
      <c r="P12" s="54" t="s">
        <v>37</v>
      </c>
      <c r="Q12" s="55"/>
    </row>
    <row r="13" spans="3:19" ht="18" thickTop="1" thickBot="1" x14ac:dyDescent="0.35">
      <c r="F13" s="3"/>
      <c r="L13" s="21" t="s">
        <v>30</v>
      </c>
      <c r="M13" s="22" t="s">
        <v>32</v>
      </c>
      <c r="N13" s="30"/>
      <c r="P13" s="21" t="s">
        <v>30</v>
      </c>
      <c r="Q13" s="22" t="s">
        <v>32</v>
      </c>
      <c r="S13" s="24" t="s">
        <v>38</v>
      </c>
    </row>
    <row r="14" spans="3:19" ht="17.25" thickBot="1" x14ac:dyDescent="0.35">
      <c r="D14" s="8" t="s">
        <v>1</v>
      </c>
      <c r="E14" s="9" t="s">
        <v>2</v>
      </c>
      <c r="F14" s="10" t="s">
        <v>3</v>
      </c>
      <c r="H14" s="11" t="s">
        <v>27</v>
      </c>
      <c r="I14" s="12" t="s">
        <v>3</v>
      </c>
      <c r="J14" s="13" t="s">
        <v>31</v>
      </c>
      <c r="L14" s="49">
        <f>SUM(L17:L55)</f>
        <v>21540.506692897456</v>
      </c>
      <c r="M14" s="49">
        <f>SUM(M17:M55)</f>
        <v>21540.506692897423</v>
      </c>
      <c r="N14" s="30"/>
      <c r="O14" s="49">
        <f>SUM(O16:O54)</f>
        <v>21693.676837631512</v>
      </c>
      <c r="P14" s="49">
        <f>SUM(P16:P54)</f>
        <v>21982.449086010431</v>
      </c>
      <c r="Q14" s="50">
        <f>SUM(Q16:Q54)</f>
        <v>21982.589990289507</v>
      </c>
      <c r="S14" s="25">
        <f>(Q14-P14)*100000000000</f>
        <v>14090427907.649427</v>
      </c>
    </row>
    <row r="15" spans="3:19" ht="17.25" thickBot="1" x14ac:dyDescent="0.35">
      <c r="D15" s="43">
        <f>(fechavalor)</f>
        <v>44468</v>
      </c>
      <c r="E15" s="18">
        <v>0</v>
      </c>
      <c r="F15" s="19">
        <v>1</v>
      </c>
      <c r="H15" s="14">
        <v>0</v>
      </c>
      <c r="I15" s="15">
        <f>interpola(H15,$E$15:$F$36)</f>
        <v>1</v>
      </c>
      <c r="J15" s="26"/>
      <c r="L15" s="45" t="s">
        <v>39</v>
      </c>
      <c r="M15" s="46"/>
      <c r="N15" s="31"/>
      <c r="O15" s="4" t="s">
        <v>40</v>
      </c>
      <c r="P15" s="45" t="s">
        <v>39</v>
      </c>
      <c r="Q15" s="46"/>
    </row>
    <row r="16" spans="3:19" x14ac:dyDescent="0.3">
      <c r="C16" s="4" t="s">
        <v>4</v>
      </c>
      <c r="D16" s="36">
        <v>44497</v>
      </c>
      <c r="E16" s="34">
        <f t="shared" ref="E16:E36" si="0">YEARFRAC(fechavalor,D16)</f>
        <v>8.0555555555555561E-2</v>
      </c>
      <c r="F16" s="32">
        <v>0.99988296356438799</v>
      </c>
      <c r="H16" s="16">
        <f t="shared" ref="H16:H55" si="1">H15+deltat</f>
        <v>0.25</v>
      </c>
      <c r="I16" s="44">
        <f>interpola(H16,$E$15:$F$36,1)</f>
        <v>0.99945721448703873</v>
      </c>
      <c r="J16" s="26">
        <f t="shared" ref="J16:J54" si="2">(I16/I17-1)/deltat</f>
        <v>1.0831746886775129E-2</v>
      </c>
      <c r="L16" s="4"/>
      <c r="M16" s="4"/>
      <c r="N16" s="4"/>
      <c r="O16" s="39">
        <f t="shared" ref="O16:O54" si="3">I16*deltat*J16*Nom</f>
        <v>270.64668928712308</v>
      </c>
      <c r="P16" s="39">
        <f>I16*deltat*J16*(1+deltat*J16*EXP(vola^2*H16))/(1+deltat*J16)*Nom</f>
        <v>270.67651848750597</v>
      </c>
      <c r="Q16" s="39">
        <f t="shared" ref="Q16:Q54" si="4">($I$10+spread)*I16*deltat*Nom</f>
        <v>618.98743504709807</v>
      </c>
    </row>
    <row r="17" spans="3:17" x14ac:dyDescent="0.3">
      <c r="C17" s="4" t="s">
        <v>5</v>
      </c>
      <c r="D17" s="36">
        <v>44528</v>
      </c>
      <c r="E17" s="34">
        <f t="shared" si="0"/>
        <v>0.16388888888888889</v>
      </c>
      <c r="F17" s="32">
        <v>0.99967273007856805</v>
      </c>
      <c r="H17" s="16">
        <f t="shared" si="1"/>
        <v>0.5</v>
      </c>
      <c r="I17" s="44">
        <f t="shared" ref="I17:I55" si="5">interpola(H17,$E$15:$F$36,1)</f>
        <v>0.99675805674254137</v>
      </c>
      <c r="J17" s="26">
        <f t="shared" si="2"/>
        <v>1.4738145843626427E-2</v>
      </c>
      <c r="L17" s="39">
        <f t="shared" ref="L17:L55" si="6">J16*I17*deltat*Nom</f>
        <v>269.9157744497262</v>
      </c>
      <c r="M17" s="39">
        <f t="shared" ref="M17:M55" si="7">$I$10*I17*deltat*Nom</f>
        <v>608.59455529484967</v>
      </c>
      <c r="N17" s="23"/>
      <c r="O17" s="39">
        <f t="shared" si="3"/>
        <v>367.25914027703101</v>
      </c>
      <c r="P17" s="39">
        <f t="shared" ref="P17:P54" si="8">I17*deltat*J17*(1+deltat*J17*EXP(vola^2*H17))/(1+deltat*J17)*Nom</f>
        <v>367.37142891411685</v>
      </c>
      <c r="Q17" s="39">
        <f t="shared" si="4"/>
        <v>617.31578296951363</v>
      </c>
    </row>
    <row r="18" spans="3:17" x14ac:dyDescent="0.3">
      <c r="C18" s="4" t="s">
        <v>6</v>
      </c>
      <c r="D18" s="36">
        <v>44558</v>
      </c>
      <c r="E18" s="34">
        <f t="shared" si="0"/>
        <v>0.24722222222222223</v>
      </c>
      <c r="F18" s="32">
        <v>0.99950235222720996</v>
      </c>
      <c r="H18" s="16">
        <f t="shared" si="1"/>
        <v>0.75</v>
      </c>
      <c r="I18" s="44">
        <f t="shared" si="5"/>
        <v>0.9930989474613322</v>
      </c>
      <c r="J18" s="26">
        <f t="shared" si="2"/>
        <v>1.2000571994713383E-2</v>
      </c>
      <c r="L18" s="39">
        <f t="shared" si="6"/>
        <v>365.91092812092529</v>
      </c>
      <c r="M18" s="39">
        <f t="shared" si="7"/>
        <v>606.36039829886772</v>
      </c>
      <c r="N18" s="23"/>
      <c r="O18" s="39">
        <f t="shared" si="3"/>
        <v>297.94388542209504</v>
      </c>
      <c r="P18" s="39">
        <f t="shared" si="8"/>
        <v>298.05751068415401</v>
      </c>
      <c r="Q18" s="39">
        <f t="shared" si="4"/>
        <v>615.04961025526188</v>
      </c>
    </row>
    <row r="19" spans="3:17" x14ac:dyDescent="0.3">
      <c r="C19" s="4" t="s">
        <v>7</v>
      </c>
      <c r="D19" s="36">
        <v>44589</v>
      </c>
      <c r="E19" s="34">
        <f t="shared" si="0"/>
        <v>0.33055555555555555</v>
      </c>
      <c r="F19" s="32">
        <v>0.99814822002207204</v>
      </c>
      <c r="H19" s="16">
        <f t="shared" si="1"/>
        <v>1</v>
      </c>
      <c r="I19" s="44">
        <f t="shared" si="5"/>
        <v>0.99012842061243933</v>
      </c>
      <c r="J19" s="26">
        <f t="shared" si="2"/>
        <v>1.1793193318475836E-2</v>
      </c>
      <c r="L19" s="39">
        <f t="shared" si="6"/>
        <v>297.05268488928584</v>
      </c>
      <c r="M19" s="39">
        <f t="shared" si="7"/>
        <v>604.54667183399056</v>
      </c>
      <c r="N19" s="23"/>
      <c r="O19" s="39">
        <f t="shared" si="3"/>
        <v>291.91939685999131</v>
      </c>
      <c r="P19" s="39">
        <f t="shared" si="8"/>
        <v>292.0682926860336</v>
      </c>
      <c r="Q19" s="39">
        <f t="shared" si="4"/>
        <v>613.20989288839246</v>
      </c>
    </row>
    <row r="20" spans="3:17" x14ac:dyDescent="0.3">
      <c r="C20" s="4" t="s">
        <v>8</v>
      </c>
      <c r="D20" s="36">
        <v>44619</v>
      </c>
      <c r="E20" s="34">
        <f t="shared" si="0"/>
        <v>0.41111111111111109</v>
      </c>
      <c r="F20" s="32">
        <v>0.99723759959147995</v>
      </c>
      <c r="H20" s="16">
        <f t="shared" si="1"/>
        <v>1.25</v>
      </c>
      <c r="I20" s="44">
        <f t="shared" si="5"/>
        <v>0.9872178079981484</v>
      </c>
      <c r="J20" s="26">
        <f t="shared" si="2"/>
        <v>1.1824745681630056E-2</v>
      </c>
      <c r="L20" s="39">
        <f t="shared" si="6"/>
        <v>291.06126142910313</v>
      </c>
      <c r="M20" s="39">
        <f t="shared" si="7"/>
        <v>602.76952744308505</v>
      </c>
      <c r="N20" s="23"/>
      <c r="O20" s="39">
        <f t="shared" si="3"/>
        <v>291.83998779885991</v>
      </c>
      <c r="P20" s="39">
        <f t="shared" si="8"/>
        <v>292.03043635370739</v>
      </c>
      <c r="Q20" s="39">
        <f t="shared" si="4"/>
        <v>611.40728182068369</v>
      </c>
    </row>
    <row r="21" spans="3:17" x14ac:dyDescent="0.3">
      <c r="C21" s="4" t="s">
        <v>9</v>
      </c>
      <c r="D21" s="36">
        <v>44650</v>
      </c>
      <c r="E21" s="34">
        <f t="shared" si="0"/>
        <v>0.50277777777777777</v>
      </c>
      <c r="F21" s="32">
        <v>0.99674307102851201</v>
      </c>
      <c r="H21" s="16">
        <f t="shared" si="1"/>
        <v>1.5</v>
      </c>
      <c r="I21" s="44">
        <f t="shared" si="5"/>
        <v>0.98430801002541291</v>
      </c>
      <c r="J21" s="26">
        <f t="shared" si="2"/>
        <v>1.1859805477531182E-2</v>
      </c>
      <c r="L21" s="39">
        <f t="shared" si="6"/>
        <v>290.97979727354686</v>
      </c>
      <c r="M21" s="39">
        <f t="shared" si="7"/>
        <v>600.99288045113383</v>
      </c>
      <c r="N21" s="23"/>
      <c r="O21" s="39">
        <f t="shared" si="3"/>
        <v>291.84253822193023</v>
      </c>
      <c r="P21" s="39">
        <f t="shared" si="8"/>
        <v>292.07655597112824</v>
      </c>
      <c r="Q21" s="39">
        <f t="shared" si="4"/>
        <v>609.6051752797116</v>
      </c>
    </row>
    <row r="22" spans="3:17" x14ac:dyDescent="0.3">
      <c r="C22" s="4" t="s">
        <v>10</v>
      </c>
      <c r="D22" s="36">
        <v>44681</v>
      </c>
      <c r="E22" s="34">
        <f t="shared" si="0"/>
        <v>0.58611111111111114</v>
      </c>
      <c r="F22" s="32">
        <v>0.99487924526309801</v>
      </c>
      <c r="H22" s="16">
        <f t="shared" si="1"/>
        <v>1.75</v>
      </c>
      <c r="I22" s="44">
        <f t="shared" si="5"/>
        <v>0.98139821205267741</v>
      </c>
      <c r="J22" s="26">
        <f t="shared" si="2"/>
        <v>1.1895073792862476E-2</v>
      </c>
      <c r="L22" s="39">
        <f t="shared" si="6"/>
        <v>290.97979727354129</v>
      </c>
      <c r="M22" s="39">
        <f t="shared" si="7"/>
        <v>599.21623345918249</v>
      </c>
      <c r="N22" s="23"/>
      <c r="O22" s="39">
        <f t="shared" si="3"/>
        <v>291.84510381374736</v>
      </c>
      <c r="P22" s="39">
        <f t="shared" si="8"/>
        <v>292.12471015369664</v>
      </c>
      <c r="Q22" s="39">
        <f t="shared" si="4"/>
        <v>607.80306873873963</v>
      </c>
    </row>
    <row r="23" spans="3:17" x14ac:dyDescent="0.3">
      <c r="C23" s="4" t="s">
        <v>11</v>
      </c>
      <c r="D23" s="36">
        <v>44711</v>
      </c>
      <c r="E23" s="34">
        <f t="shared" si="0"/>
        <v>0.6694444444444444</v>
      </c>
      <c r="F23" s="32">
        <v>0.99406438981562195</v>
      </c>
      <c r="H23" s="16">
        <f t="shared" si="1"/>
        <v>2</v>
      </c>
      <c r="I23" s="44">
        <f t="shared" si="5"/>
        <v>0.97848841407994191</v>
      </c>
      <c r="J23" s="26">
        <f t="shared" si="2"/>
        <v>1.2976439301437992E-2</v>
      </c>
      <c r="L23" s="39">
        <f t="shared" si="6"/>
        <v>290.97979727354709</v>
      </c>
      <c r="M23" s="39">
        <f t="shared" si="7"/>
        <v>597.43958646723127</v>
      </c>
      <c r="N23" s="23"/>
      <c r="O23" s="39">
        <f t="shared" si="3"/>
        <v>317.43238781171726</v>
      </c>
      <c r="P23" s="39">
        <f t="shared" si="8"/>
        <v>317.81949271488827</v>
      </c>
      <c r="Q23" s="39">
        <f t="shared" si="4"/>
        <v>606.00096219776754</v>
      </c>
    </row>
    <row r="24" spans="3:17" x14ac:dyDescent="0.3">
      <c r="C24" s="4" t="s">
        <v>12</v>
      </c>
      <c r="D24" s="36">
        <v>44742</v>
      </c>
      <c r="E24" s="34">
        <f t="shared" si="0"/>
        <v>0.75277777777777777</v>
      </c>
      <c r="F24" s="32">
        <v>0.99306565634566701</v>
      </c>
      <c r="H24" s="16">
        <f t="shared" si="1"/>
        <v>2.25</v>
      </c>
      <c r="I24" s="44">
        <f t="shared" si="5"/>
        <v>0.97532435475775991</v>
      </c>
      <c r="J24" s="26">
        <f t="shared" si="2"/>
        <v>1.3030466324248202E-2</v>
      </c>
      <c r="L24" s="39">
        <f t="shared" si="6"/>
        <v>316.40593221820615</v>
      </c>
      <c r="M24" s="39">
        <f t="shared" si="7"/>
        <v>595.50769410570581</v>
      </c>
      <c r="N24" s="23"/>
      <c r="O24" s="39">
        <f t="shared" si="3"/>
        <v>317.72327899725241</v>
      </c>
      <c r="P24" s="39">
        <f t="shared" si="8"/>
        <v>318.17032756455154</v>
      </c>
      <c r="Q24" s="39">
        <f t="shared" si="4"/>
        <v>604.04138560380659</v>
      </c>
    </row>
    <row r="25" spans="3:17" x14ac:dyDescent="0.3">
      <c r="C25" s="4" t="s">
        <v>13</v>
      </c>
      <c r="D25" s="36">
        <v>44772</v>
      </c>
      <c r="E25" s="34">
        <f t="shared" si="0"/>
        <v>0.83611111111111114</v>
      </c>
      <c r="F25" s="32">
        <v>0.99211950551273398</v>
      </c>
      <c r="H25" s="16">
        <f t="shared" si="1"/>
        <v>2.5</v>
      </c>
      <c r="I25" s="44">
        <f t="shared" si="5"/>
        <v>0.97215743856648296</v>
      </c>
      <c r="J25" s="26">
        <f t="shared" si="2"/>
        <v>1.3073053319506478E-2</v>
      </c>
      <c r="L25" s="39">
        <f t="shared" si="6"/>
        <v>316.69161912769863</v>
      </c>
      <c r="M25" s="39">
        <f t="shared" si="7"/>
        <v>593.57405741418518</v>
      </c>
      <c r="N25" s="23"/>
      <c r="O25" s="39">
        <f t="shared" si="3"/>
        <v>317.72665073336191</v>
      </c>
      <c r="P25" s="39">
        <f t="shared" si="8"/>
        <v>318.2357048398718</v>
      </c>
      <c r="Q25" s="39">
        <f t="shared" si="4"/>
        <v>602.08003968340745</v>
      </c>
    </row>
    <row r="26" spans="3:17" x14ac:dyDescent="0.3">
      <c r="C26" s="4" t="s">
        <v>14</v>
      </c>
      <c r="D26" s="36">
        <v>44803</v>
      </c>
      <c r="E26" s="34">
        <f t="shared" si="0"/>
        <v>0.9194444444444444</v>
      </c>
      <c r="F26" s="32">
        <v>0.99108964678653799</v>
      </c>
      <c r="H26" s="16">
        <f t="shared" si="1"/>
        <v>2.75</v>
      </c>
      <c r="I26" s="44">
        <f t="shared" si="5"/>
        <v>0.968990522375206</v>
      </c>
      <c r="J26" s="26">
        <f t="shared" si="2"/>
        <v>1.3115919598568837E-2</v>
      </c>
      <c r="L26" s="39">
        <f t="shared" si="6"/>
        <v>316.6916191276876</v>
      </c>
      <c r="M26" s="39">
        <f t="shared" si="7"/>
        <v>591.64042072266443</v>
      </c>
      <c r="N26" s="23"/>
      <c r="O26" s="39">
        <f t="shared" si="3"/>
        <v>317.73004458121045</v>
      </c>
      <c r="P26" s="39">
        <f t="shared" si="8"/>
        <v>318.30398982524855</v>
      </c>
      <c r="Q26" s="39">
        <f t="shared" si="4"/>
        <v>600.1186937630082</v>
      </c>
    </row>
    <row r="27" spans="3:17" x14ac:dyDescent="0.3">
      <c r="C27" s="4" t="s">
        <v>15</v>
      </c>
      <c r="D27" s="36">
        <v>44834</v>
      </c>
      <c r="E27" s="34">
        <f t="shared" si="0"/>
        <v>1.0027777777777778</v>
      </c>
      <c r="F27" s="32">
        <v>0.99009527488229798</v>
      </c>
      <c r="H27" s="16">
        <f t="shared" si="1"/>
        <v>3</v>
      </c>
      <c r="I27" s="44">
        <f t="shared" si="5"/>
        <v>0.96582360618392904</v>
      </c>
      <c r="J27" s="26">
        <f t="shared" si="2"/>
        <v>2.4946022961679581E-2</v>
      </c>
      <c r="L27" s="39">
        <f t="shared" si="6"/>
        <v>316.69161912770562</v>
      </c>
      <c r="M27" s="39">
        <f t="shared" si="7"/>
        <v>589.70678403114368</v>
      </c>
      <c r="N27" s="23"/>
      <c r="O27" s="39">
        <f t="shared" si="3"/>
        <v>602.33644641991179</v>
      </c>
      <c r="P27" s="39">
        <f t="shared" si="8"/>
        <v>604.63637083678839</v>
      </c>
      <c r="Q27" s="39">
        <f t="shared" si="4"/>
        <v>598.15734784260906</v>
      </c>
    </row>
    <row r="28" spans="3:17" x14ac:dyDescent="0.3">
      <c r="C28" s="4" t="s">
        <v>16</v>
      </c>
      <c r="D28" s="36">
        <v>45199</v>
      </c>
      <c r="E28" s="34">
        <f t="shared" si="0"/>
        <v>2.0027777777777778</v>
      </c>
      <c r="F28" s="32">
        <v>0.978456082991356</v>
      </c>
      <c r="H28" s="16">
        <f t="shared" si="1"/>
        <v>3.25</v>
      </c>
      <c r="I28" s="44">
        <f t="shared" si="5"/>
        <v>0.95983757364601496</v>
      </c>
      <c r="J28" s="26">
        <f t="shared" si="2"/>
        <v>2.5102575316741316E-2</v>
      </c>
      <c r="L28" s="39">
        <f t="shared" si="6"/>
        <v>598.60325379140761</v>
      </c>
      <c r="M28" s="39">
        <f t="shared" si="7"/>
        <v>586.05186819098685</v>
      </c>
      <c r="N28" s="23"/>
      <c r="O28" s="39">
        <f t="shared" si="3"/>
        <v>602.35987460718331</v>
      </c>
      <c r="P28" s="39">
        <f t="shared" si="8"/>
        <v>604.92199387298388</v>
      </c>
      <c r="Q28" s="39">
        <f t="shared" si="4"/>
        <v>594.45005665190649</v>
      </c>
    </row>
    <row r="29" spans="3:17" x14ac:dyDescent="0.3">
      <c r="C29" s="4" t="s">
        <v>17</v>
      </c>
      <c r="D29" s="36">
        <v>45564</v>
      </c>
      <c r="E29" s="34">
        <f t="shared" si="0"/>
        <v>3</v>
      </c>
      <c r="F29" s="32">
        <v>0.96582360618392904</v>
      </c>
      <c r="H29" s="16">
        <f t="shared" si="1"/>
        <v>3.5</v>
      </c>
      <c r="I29" s="44">
        <f t="shared" si="5"/>
        <v>0.953851541108101</v>
      </c>
      <c r="J29" s="26">
        <f t="shared" si="2"/>
        <v>2.526110501454415E-2</v>
      </c>
      <c r="L29" s="39">
        <f t="shared" si="6"/>
        <v>598.60325379139704</v>
      </c>
      <c r="M29" s="39">
        <f t="shared" si="7"/>
        <v>582.39695235083002</v>
      </c>
      <c r="N29" s="23"/>
      <c r="O29" s="39">
        <f t="shared" si="3"/>
        <v>602.38359870541285</v>
      </c>
      <c r="P29" s="39">
        <f t="shared" si="8"/>
        <v>605.22139967400051</v>
      </c>
      <c r="Q29" s="39">
        <f t="shared" si="4"/>
        <v>590.74276546120404</v>
      </c>
    </row>
    <row r="30" spans="3:17" x14ac:dyDescent="0.3">
      <c r="C30" s="4" t="s">
        <v>18</v>
      </c>
      <c r="D30" s="36">
        <v>45929</v>
      </c>
      <c r="E30" s="34">
        <f t="shared" si="0"/>
        <v>4</v>
      </c>
      <c r="F30" s="32">
        <v>0.94187947603227296</v>
      </c>
      <c r="H30" s="16">
        <f t="shared" si="1"/>
        <v>3.75</v>
      </c>
      <c r="I30" s="44">
        <f t="shared" si="5"/>
        <v>0.94786550857018703</v>
      </c>
      <c r="J30" s="26">
        <f t="shared" si="2"/>
        <v>2.5421649755574371E-2</v>
      </c>
      <c r="L30" s="39">
        <f t="shared" si="6"/>
        <v>598.60325379139488</v>
      </c>
      <c r="M30" s="39">
        <f t="shared" si="7"/>
        <v>578.74203651067319</v>
      </c>
      <c r="N30" s="23"/>
      <c r="O30" s="39">
        <f t="shared" si="3"/>
        <v>602.40762435651675</v>
      </c>
      <c r="P30" s="39">
        <f t="shared" si="8"/>
        <v>605.53526892174432</v>
      </c>
      <c r="Q30" s="39">
        <f t="shared" si="4"/>
        <v>587.0354742705016</v>
      </c>
    </row>
    <row r="31" spans="3:17" x14ac:dyDescent="0.3">
      <c r="C31" s="4" t="s">
        <v>19</v>
      </c>
      <c r="D31" s="36">
        <v>46295</v>
      </c>
      <c r="E31" s="34">
        <f t="shared" si="0"/>
        <v>5.0027777777777782</v>
      </c>
      <c r="F31" s="32">
        <v>0.92749202823460397</v>
      </c>
      <c r="H31" s="16">
        <f t="shared" si="1"/>
        <v>4</v>
      </c>
      <c r="I31" s="44">
        <f t="shared" si="5"/>
        <v>0.94187947603227296</v>
      </c>
      <c r="J31" s="26">
        <f t="shared" si="2"/>
        <v>1.529117219169418E-2</v>
      </c>
      <c r="L31" s="39">
        <f t="shared" si="6"/>
        <v>598.60325379140875</v>
      </c>
      <c r="M31" s="39">
        <f t="shared" si="7"/>
        <v>575.08712067051624</v>
      </c>
      <c r="N31" s="23"/>
      <c r="O31" s="39">
        <f t="shared" si="3"/>
        <v>360.06103129580441</v>
      </c>
      <c r="P31" s="39">
        <f t="shared" si="8"/>
        <v>361.29028319244691</v>
      </c>
      <c r="Q31" s="39">
        <f t="shared" si="4"/>
        <v>583.32818307979903</v>
      </c>
    </row>
    <row r="32" spans="3:17" x14ac:dyDescent="0.3">
      <c r="C32" s="4" t="s">
        <v>20</v>
      </c>
      <c r="D32" s="36">
        <v>46660</v>
      </c>
      <c r="E32" s="34">
        <f t="shared" si="0"/>
        <v>6.0027777777777782</v>
      </c>
      <c r="F32" s="32">
        <v>0.89396529055654905</v>
      </c>
      <c r="H32" s="16">
        <f t="shared" si="1"/>
        <v>4.25</v>
      </c>
      <c r="I32" s="44">
        <f t="shared" si="5"/>
        <v>0.9382925776893638</v>
      </c>
      <c r="J32" s="26">
        <f t="shared" si="2"/>
        <v>1.5349851497284739E-2</v>
      </c>
      <c r="L32" s="39">
        <f t="shared" si="6"/>
        <v>358.68983429091628</v>
      </c>
      <c r="M32" s="39">
        <f t="shared" si="7"/>
        <v>572.8970537960887</v>
      </c>
      <c r="N32" s="23"/>
      <c r="O32" s="39">
        <f t="shared" si="3"/>
        <v>360.06629321340597</v>
      </c>
      <c r="P32" s="39">
        <f t="shared" si="8"/>
        <v>361.40679590734675</v>
      </c>
      <c r="Q32" s="39">
        <f t="shared" si="4"/>
        <v>581.10673230344787</v>
      </c>
    </row>
    <row r="33" spans="3:17" x14ac:dyDescent="0.3">
      <c r="C33" s="4" t="s">
        <v>21</v>
      </c>
      <c r="D33" s="36">
        <v>47025</v>
      </c>
      <c r="E33" s="34">
        <f t="shared" si="0"/>
        <v>7</v>
      </c>
      <c r="F33" s="32">
        <v>0.86300749846754499</v>
      </c>
      <c r="H33" s="16">
        <f t="shared" si="1"/>
        <v>4.5</v>
      </c>
      <c r="I33" s="44">
        <f t="shared" si="5"/>
        <v>0.93470567934645465</v>
      </c>
      <c r="J33" s="26">
        <f t="shared" si="2"/>
        <v>1.540898289708359E-2</v>
      </c>
      <c r="L33" s="39">
        <f t="shared" si="6"/>
        <v>358.68983429091816</v>
      </c>
      <c r="M33" s="39">
        <f t="shared" si="7"/>
        <v>570.70698692166116</v>
      </c>
      <c r="N33" s="23"/>
      <c r="O33" s="39">
        <f t="shared" si="3"/>
        <v>360.07159567141042</v>
      </c>
      <c r="P33" s="39">
        <f t="shared" si="8"/>
        <v>361.52857076018074</v>
      </c>
      <c r="Q33" s="39">
        <f t="shared" si="4"/>
        <v>578.88528152709671</v>
      </c>
    </row>
    <row r="34" spans="3:17" x14ac:dyDescent="0.3">
      <c r="C34" s="4" t="s">
        <v>22</v>
      </c>
      <c r="D34" s="36">
        <v>47390</v>
      </c>
      <c r="E34" s="34">
        <f t="shared" si="0"/>
        <v>8</v>
      </c>
      <c r="F34" s="32">
        <v>0.83446703294463098</v>
      </c>
      <c r="H34" s="16">
        <f t="shared" si="1"/>
        <v>4.75</v>
      </c>
      <c r="I34" s="44">
        <f t="shared" si="5"/>
        <v>0.9311187810035455</v>
      </c>
      <c r="J34" s="26">
        <f t="shared" si="2"/>
        <v>1.546857163602855E-2</v>
      </c>
      <c r="L34" s="39">
        <f t="shared" si="6"/>
        <v>358.68983429092384</v>
      </c>
      <c r="M34" s="39">
        <f t="shared" si="7"/>
        <v>568.51692004723361</v>
      </c>
      <c r="N34" s="23"/>
      <c r="O34" s="39">
        <f t="shared" si="3"/>
        <v>360.07693914012305</v>
      </c>
      <c r="P34" s="39">
        <f t="shared" si="8"/>
        <v>361.65584760531584</v>
      </c>
      <c r="Q34" s="39">
        <f t="shared" si="4"/>
        <v>576.66383075074555</v>
      </c>
    </row>
    <row r="35" spans="3:17" x14ac:dyDescent="0.3">
      <c r="C35" s="4" t="s">
        <v>23</v>
      </c>
      <c r="D35" s="36">
        <v>47756</v>
      </c>
      <c r="E35" s="34">
        <f t="shared" si="0"/>
        <v>9.0027777777777782</v>
      </c>
      <c r="F35" s="32">
        <v>0.80810486467052001</v>
      </c>
      <c r="H35" s="16">
        <f t="shared" si="1"/>
        <v>5</v>
      </c>
      <c r="I35" s="44">
        <f t="shared" si="5"/>
        <v>0.92753188266063635</v>
      </c>
      <c r="J35" s="26">
        <f t="shared" si="2"/>
        <v>3.6241851809652559E-2</v>
      </c>
      <c r="L35" s="39">
        <f t="shared" si="6"/>
        <v>358.68983429091202</v>
      </c>
      <c r="M35" s="39">
        <f t="shared" si="7"/>
        <v>566.32685317280595</v>
      </c>
      <c r="N35" s="23"/>
      <c r="O35" s="39">
        <f t="shared" si="3"/>
        <v>840.38682600287075</v>
      </c>
      <c r="P35" s="39">
        <f t="shared" si="8"/>
        <v>849.63466487558981</v>
      </c>
      <c r="Q35" s="39">
        <f t="shared" si="4"/>
        <v>574.44237997439427</v>
      </c>
    </row>
    <row r="36" spans="3:17" ht="17.25" thickBot="1" x14ac:dyDescent="0.35">
      <c r="C36" s="4" t="s">
        <v>24</v>
      </c>
      <c r="D36" s="37">
        <v>48121</v>
      </c>
      <c r="E36" s="35">
        <f t="shared" si="0"/>
        <v>10.002777777777778</v>
      </c>
      <c r="F36" s="33">
        <v>0.78398514834605204</v>
      </c>
      <c r="H36" s="16">
        <f t="shared" si="1"/>
        <v>5.25</v>
      </c>
      <c r="I36" s="44">
        <f t="shared" si="5"/>
        <v>0.91920347364197375</v>
      </c>
      <c r="J36" s="26">
        <f t="shared" si="2"/>
        <v>3.6809327658570368E-2</v>
      </c>
      <c r="L36" s="39">
        <f t="shared" si="6"/>
        <v>832.84090186625713</v>
      </c>
      <c r="M36" s="39">
        <f t="shared" si="7"/>
        <v>561.24174315163282</v>
      </c>
      <c r="N36" s="23"/>
      <c r="O36" s="39">
        <f t="shared" si="3"/>
        <v>845.88154615458654</v>
      </c>
      <c r="P36" s="39">
        <f t="shared" si="8"/>
        <v>856.03482181617085</v>
      </c>
      <c r="Q36" s="39">
        <f t="shared" si="4"/>
        <v>569.2843997609732</v>
      </c>
    </row>
    <row r="37" spans="3:17" x14ac:dyDescent="0.3">
      <c r="H37" s="16">
        <f t="shared" si="1"/>
        <v>5.5</v>
      </c>
      <c r="I37" s="44">
        <f t="shared" si="5"/>
        <v>0.91082178922246004</v>
      </c>
      <c r="J37" s="26">
        <f t="shared" si="2"/>
        <v>3.7151205381520391E-2</v>
      </c>
      <c r="L37" s="39">
        <f t="shared" si="6"/>
        <v>838.16844195137128</v>
      </c>
      <c r="M37" s="39">
        <f t="shared" si="7"/>
        <v>556.12410455577719</v>
      </c>
      <c r="N37" s="23"/>
      <c r="O37" s="39">
        <f t="shared" si="3"/>
        <v>845.95318393418734</v>
      </c>
      <c r="P37" s="39">
        <f t="shared" si="8"/>
        <v>856.93667411226932</v>
      </c>
      <c r="Q37" s="39">
        <f t="shared" si="4"/>
        <v>564.09342483477621</v>
      </c>
    </row>
    <row r="38" spans="3:17" x14ac:dyDescent="0.3">
      <c r="H38" s="16">
        <f t="shared" si="1"/>
        <v>5.75</v>
      </c>
      <c r="I38" s="44">
        <f t="shared" si="5"/>
        <v>0.90244010480294623</v>
      </c>
      <c r="J38" s="26">
        <f t="shared" si="2"/>
        <v>3.749949322514734E-2</v>
      </c>
      <c r="L38" s="39">
        <f t="shared" si="6"/>
        <v>838.16844195137605</v>
      </c>
      <c r="M38" s="39">
        <f t="shared" si="7"/>
        <v>551.00646595992146</v>
      </c>
      <c r="N38" s="23"/>
      <c r="O38" s="39">
        <f t="shared" si="3"/>
        <v>846.02616490398339</v>
      </c>
      <c r="P38" s="39">
        <f t="shared" si="8"/>
        <v>857.88575064315739</v>
      </c>
      <c r="Q38" s="39">
        <f t="shared" si="4"/>
        <v>558.902449908579</v>
      </c>
    </row>
    <row r="39" spans="3:17" x14ac:dyDescent="0.3">
      <c r="H39" s="16">
        <f t="shared" si="1"/>
        <v>6</v>
      </c>
      <c r="I39" s="44">
        <f t="shared" si="5"/>
        <v>0.89405842038343253</v>
      </c>
      <c r="J39" s="26">
        <f t="shared" si="2"/>
        <v>3.5058043121883209E-2</v>
      </c>
      <c r="L39" s="39">
        <f t="shared" si="6"/>
        <v>838.1684419513615</v>
      </c>
      <c r="M39" s="39">
        <f t="shared" si="7"/>
        <v>545.88882736406583</v>
      </c>
      <c r="N39" s="23"/>
      <c r="O39" s="39">
        <f t="shared" si="3"/>
        <v>783.598466382129</v>
      </c>
      <c r="P39" s="39">
        <f t="shared" si="8"/>
        <v>794.57119700544217</v>
      </c>
      <c r="Q39" s="39">
        <f t="shared" si="4"/>
        <v>553.7114749823819</v>
      </c>
    </row>
    <row r="40" spans="3:17" x14ac:dyDescent="0.3">
      <c r="H40" s="16">
        <f t="shared" si="1"/>
        <v>6.25</v>
      </c>
      <c r="I40" s="44">
        <f t="shared" si="5"/>
        <v>0.88629051758740873</v>
      </c>
      <c r="J40" s="26">
        <f t="shared" si="2"/>
        <v>3.5336349088887609E-2</v>
      </c>
      <c r="L40" s="39">
        <f t="shared" si="6"/>
        <v>776.79027960238909</v>
      </c>
      <c r="M40" s="39">
        <f t="shared" si="7"/>
        <v>541.14594787014983</v>
      </c>
      <c r="N40" s="23"/>
      <c r="O40" s="39">
        <f t="shared" si="3"/>
        <v>782.95677809098902</v>
      </c>
      <c r="P40" s="39">
        <f t="shared" si="8"/>
        <v>794.73756017601693</v>
      </c>
      <c r="Q40" s="39">
        <f t="shared" si="4"/>
        <v>548.90062949774176</v>
      </c>
    </row>
    <row r="41" spans="3:17" x14ac:dyDescent="0.3">
      <c r="H41" s="16">
        <f t="shared" si="1"/>
        <v>6.5</v>
      </c>
      <c r="I41" s="44">
        <f t="shared" si="5"/>
        <v>0.87852951121412082</v>
      </c>
      <c r="J41" s="26">
        <f t="shared" si="2"/>
        <v>3.5651295746882639E-2</v>
      </c>
      <c r="L41" s="39">
        <f t="shared" si="6"/>
        <v>776.10063732879939</v>
      </c>
      <c r="M41" s="39">
        <f t="shared" si="7"/>
        <v>536.40727915266018</v>
      </c>
      <c r="N41" s="23"/>
      <c r="O41" s="39">
        <f t="shared" si="3"/>
        <v>783.01788566647167</v>
      </c>
      <c r="P41" s="39">
        <f t="shared" si="8"/>
        <v>795.67103401826591</v>
      </c>
      <c r="Q41" s="39">
        <f t="shared" si="4"/>
        <v>544.09405513042259</v>
      </c>
    </row>
    <row r="42" spans="3:17" x14ac:dyDescent="0.3">
      <c r="H42" s="16">
        <f t="shared" si="1"/>
        <v>6.75</v>
      </c>
      <c r="I42" s="44">
        <f t="shared" si="5"/>
        <v>0.8707685048408329</v>
      </c>
      <c r="J42" s="26">
        <f t="shared" si="2"/>
        <v>3.597190702082731E-2</v>
      </c>
      <c r="L42" s="39">
        <f t="shared" si="6"/>
        <v>776.10063732878348</v>
      </c>
      <c r="M42" s="39">
        <f t="shared" si="7"/>
        <v>531.66861043517054</v>
      </c>
      <c r="N42" s="23"/>
      <c r="O42" s="39">
        <f t="shared" si="3"/>
        <v>783.08009231998142</v>
      </c>
      <c r="P42" s="39">
        <f t="shared" si="8"/>
        <v>796.65289571894823</v>
      </c>
      <c r="Q42" s="39">
        <f t="shared" si="4"/>
        <v>539.2874807631033</v>
      </c>
    </row>
    <row r="43" spans="3:17" x14ac:dyDescent="0.3">
      <c r="H43" s="16">
        <f t="shared" si="1"/>
        <v>7</v>
      </c>
      <c r="I43" s="44">
        <f t="shared" si="5"/>
        <v>0.86300749846754499</v>
      </c>
      <c r="J43" s="26">
        <f t="shared" si="2"/>
        <v>3.3346636858786916E-2</v>
      </c>
      <c r="L43" s="39">
        <f t="shared" si="6"/>
        <v>776.10063732878234</v>
      </c>
      <c r="M43" s="39">
        <f t="shared" si="7"/>
        <v>526.92994171768089</v>
      </c>
      <c r="N43" s="23"/>
      <c r="O43" s="39">
        <f t="shared" si="3"/>
        <v>719.45994144518318</v>
      </c>
      <c r="P43" s="39">
        <f t="shared" si="8"/>
        <v>731.74232066600769</v>
      </c>
      <c r="Q43" s="39">
        <f t="shared" si="4"/>
        <v>534.48090639578413</v>
      </c>
    </row>
    <row r="44" spans="3:17" x14ac:dyDescent="0.3">
      <c r="H44" s="16">
        <f t="shared" si="1"/>
        <v>7.25</v>
      </c>
      <c r="I44" s="44">
        <f t="shared" si="5"/>
        <v>0.85587238208681649</v>
      </c>
      <c r="J44" s="26">
        <f t="shared" si="2"/>
        <v>3.3626973477087319E-2</v>
      </c>
      <c r="L44" s="39">
        <f t="shared" si="6"/>
        <v>713.51163807284991</v>
      </c>
      <c r="M44" s="39">
        <f t="shared" si="7"/>
        <v>522.5734251574861</v>
      </c>
      <c r="N44" s="23"/>
      <c r="O44" s="39">
        <f t="shared" si="3"/>
        <v>719.50994730512298</v>
      </c>
      <c r="P44" s="39">
        <f t="shared" si="8"/>
        <v>732.64584429330012</v>
      </c>
      <c r="Q44" s="39">
        <f t="shared" si="4"/>
        <v>530.06196046868274</v>
      </c>
    </row>
    <row r="45" spans="3:17" x14ac:dyDescent="0.3">
      <c r="H45" s="16">
        <f t="shared" si="1"/>
        <v>7.5</v>
      </c>
      <c r="I45" s="44">
        <f t="shared" si="5"/>
        <v>0.84873726570608798</v>
      </c>
      <c r="J45" s="26">
        <f t="shared" si="2"/>
        <v>3.3912063491986721E-2</v>
      </c>
      <c r="L45" s="39">
        <f t="shared" si="6"/>
        <v>713.51163807285582</v>
      </c>
      <c r="M45" s="39">
        <f t="shared" si="7"/>
        <v>518.21690859729131</v>
      </c>
      <c r="N45" s="23"/>
      <c r="O45" s="39">
        <f t="shared" si="3"/>
        <v>719.56080106600143</v>
      </c>
      <c r="P45" s="39">
        <f t="shared" si="8"/>
        <v>733.59556649479941</v>
      </c>
      <c r="Q45" s="39">
        <f t="shared" si="4"/>
        <v>525.64301454158112</v>
      </c>
    </row>
    <row r="46" spans="3:17" x14ac:dyDescent="0.3">
      <c r="H46" s="16">
        <f t="shared" si="1"/>
        <v>7.75</v>
      </c>
      <c r="I46" s="44">
        <f t="shared" si="5"/>
        <v>0.84160214932535948</v>
      </c>
      <c r="J46" s="26">
        <f t="shared" si="2"/>
        <v>3.4202028835341736E-2</v>
      </c>
      <c r="L46" s="39">
        <f t="shared" si="6"/>
        <v>713.51163807285207</v>
      </c>
      <c r="M46" s="39">
        <f t="shared" si="7"/>
        <v>513.86039203709652</v>
      </c>
      <c r="N46" s="23"/>
      <c r="O46" s="39">
        <f t="shared" si="3"/>
        <v>719.61252447778816</v>
      </c>
      <c r="P46" s="39">
        <f t="shared" si="8"/>
        <v>734.59394328072176</v>
      </c>
      <c r="Q46" s="39">
        <f t="shared" si="4"/>
        <v>521.22406861447973</v>
      </c>
    </row>
    <row r="47" spans="3:17" x14ac:dyDescent="0.3">
      <c r="H47" s="16">
        <f t="shared" si="1"/>
        <v>8</v>
      </c>
      <c r="I47" s="44">
        <f t="shared" si="5"/>
        <v>0.83446703294463098</v>
      </c>
      <c r="J47" s="26">
        <f t="shared" si="2"/>
        <v>3.1754209052947679E-2</v>
      </c>
      <c r="L47" s="39">
        <f t="shared" si="6"/>
        <v>713.51163807285832</v>
      </c>
      <c r="M47" s="39">
        <f t="shared" si="7"/>
        <v>509.50387547690178</v>
      </c>
      <c r="N47" s="23"/>
      <c r="O47" s="39">
        <f t="shared" si="3"/>
        <v>662.44601529791976</v>
      </c>
      <c r="P47" s="39">
        <f t="shared" si="8"/>
        <v>675.99383601100794</v>
      </c>
      <c r="Q47" s="39">
        <f t="shared" si="4"/>
        <v>516.80512268737823</v>
      </c>
    </row>
    <row r="48" spans="3:17" x14ac:dyDescent="0.3">
      <c r="H48" s="16">
        <f t="shared" si="1"/>
        <v>8.25</v>
      </c>
      <c r="I48" s="44">
        <f t="shared" si="5"/>
        <v>0.82789474722532352</v>
      </c>
      <c r="J48" s="26">
        <f t="shared" si="2"/>
        <v>3.2008308684295272E-2</v>
      </c>
      <c r="L48" s="39">
        <f t="shared" si="6"/>
        <v>657.22857193075504</v>
      </c>
      <c r="M48" s="39">
        <f t="shared" si="7"/>
        <v>505.49100868585282</v>
      </c>
      <c r="N48" s="23"/>
      <c r="O48" s="39">
        <f t="shared" si="3"/>
        <v>662.48776568236906</v>
      </c>
      <c r="P48" s="39">
        <f t="shared" si="8"/>
        <v>676.91595024773233</v>
      </c>
      <c r="Q48" s="39">
        <f t="shared" si="4"/>
        <v>512.73475106884052</v>
      </c>
    </row>
    <row r="49" spans="8:17" x14ac:dyDescent="0.3">
      <c r="H49" s="16">
        <f t="shared" si="1"/>
        <v>8.5</v>
      </c>
      <c r="I49" s="44">
        <f t="shared" si="5"/>
        <v>0.82132246150601607</v>
      </c>
      <c r="J49" s="26">
        <f t="shared" si="2"/>
        <v>3.2266507769508124E-2</v>
      </c>
      <c r="L49" s="39">
        <f t="shared" si="6"/>
        <v>657.22857193074458</v>
      </c>
      <c r="M49" s="39">
        <f t="shared" si="7"/>
        <v>501.47814189480391</v>
      </c>
      <c r="N49" s="23"/>
      <c r="O49" s="39">
        <f t="shared" si="3"/>
        <v>662.5301896363851</v>
      </c>
      <c r="P49" s="39">
        <f t="shared" si="8"/>
        <v>677.88469932412863</v>
      </c>
      <c r="Q49" s="39">
        <f t="shared" si="4"/>
        <v>508.66437945030287</v>
      </c>
    </row>
    <row r="50" spans="8:17" x14ac:dyDescent="0.3">
      <c r="H50" s="16">
        <f t="shared" si="1"/>
        <v>8.75</v>
      </c>
      <c r="I50" s="44">
        <f t="shared" si="5"/>
        <v>0.81475017578670861</v>
      </c>
      <c r="J50" s="26">
        <f t="shared" si="2"/>
        <v>3.2528906321648066E-2</v>
      </c>
      <c r="L50" s="39">
        <f t="shared" si="6"/>
        <v>657.22857193074856</v>
      </c>
      <c r="M50" s="39">
        <f t="shared" si="7"/>
        <v>497.46527510375495</v>
      </c>
      <c r="N50" s="23"/>
      <c r="O50" s="39">
        <f t="shared" si="3"/>
        <v>662.57330359280343</v>
      </c>
      <c r="P50" s="39">
        <f t="shared" si="8"/>
        <v>678.90252758952715</v>
      </c>
      <c r="Q50" s="39">
        <f t="shared" si="4"/>
        <v>504.59400783176517</v>
      </c>
    </row>
    <row r="51" spans="8:17" x14ac:dyDescent="0.3">
      <c r="H51" s="16">
        <f t="shared" si="1"/>
        <v>9</v>
      </c>
      <c r="I51" s="44">
        <f t="shared" si="5"/>
        <v>0.80817789006740126</v>
      </c>
      <c r="J51" s="26">
        <f t="shared" si="2"/>
        <v>3.0099188206536454E-2</v>
      </c>
      <c r="L51" s="39">
        <f t="shared" si="6"/>
        <v>657.22857193074208</v>
      </c>
      <c r="M51" s="39">
        <f t="shared" si="7"/>
        <v>493.4524083127061</v>
      </c>
      <c r="N51" s="23"/>
      <c r="O51" s="39">
        <f t="shared" si="3"/>
        <v>608.13746043750598</v>
      </c>
      <c r="P51" s="39">
        <f t="shared" si="8"/>
        <v>622.76564775361817</v>
      </c>
      <c r="Q51" s="39">
        <f t="shared" si="4"/>
        <v>500.52363621322752</v>
      </c>
    </row>
    <row r="52" spans="8:17" x14ac:dyDescent="0.3">
      <c r="H52" s="16">
        <f t="shared" si="1"/>
        <v>9.25</v>
      </c>
      <c r="I52" s="44">
        <f t="shared" si="5"/>
        <v>0.80214193480141549</v>
      </c>
      <c r="J52" s="26">
        <f t="shared" si="2"/>
        <v>3.0296888064946792E-2</v>
      </c>
      <c r="L52" s="39">
        <f t="shared" si="6"/>
        <v>603.59552659857741</v>
      </c>
      <c r="M52" s="39">
        <f t="shared" si="7"/>
        <v>489.76701095270158</v>
      </c>
      <c r="N52" s="23"/>
      <c r="O52" s="39">
        <f t="shared" si="3"/>
        <v>607.56011027195825</v>
      </c>
      <c r="P52" s="39">
        <f t="shared" si="8"/>
        <v>623.05637911547581</v>
      </c>
      <c r="Q52" s="39">
        <f t="shared" si="4"/>
        <v>496.78542669910735</v>
      </c>
    </row>
    <row r="53" spans="8:17" x14ac:dyDescent="0.3">
      <c r="H53" s="16">
        <f t="shared" si="1"/>
        <v>9.5</v>
      </c>
      <c r="I53" s="44">
        <f t="shared" si="5"/>
        <v>0.7961120057202985</v>
      </c>
      <c r="J53" s="26">
        <f t="shared" si="2"/>
        <v>3.0528114784058147E-2</v>
      </c>
      <c r="L53" s="39">
        <f t="shared" si="6"/>
        <v>602.99290811170408</v>
      </c>
      <c r="M53" s="39">
        <f t="shared" si="7"/>
        <v>486.08529302450648</v>
      </c>
      <c r="N53" s="23"/>
      <c r="O53" s="39">
        <f t="shared" si="3"/>
        <v>607.59496728990075</v>
      </c>
      <c r="P53" s="39">
        <f t="shared" si="8"/>
        <v>624.03455903580823</v>
      </c>
      <c r="Q53" s="39">
        <f t="shared" si="4"/>
        <v>493.05094934346363</v>
      </c>
    </row>
    <row r="54" spans="8:17" x14ac:dyDescent="0.3">
      <c r="H54" s="16">
        <f t="shared" si="1"/>
        <v>9.75</v>
      </c>
      <c r="I54" s="44">
        <f t="shared" si="5"/>
        <v>0.79008207663918151</v>
      </c>
      <c r="J54" s="26">
        <f t="shared" si="2"/>
        <v>3.0762898105169079E-2</v>
      </c>
      <c r="L54" s="39">
        <f t="shared" si="6"/>
        <v>602.99290811169897</v>
      </c>
      <c r="M54" s="39">
        <f t="shared" si="7"/>
        <v>482.40357509631144</v>
      </c>
      <c r="N54" s="23"/>
      <c r="O54" s="39">
        <f t="shared" si="3"/>
        <v>607.63036045928823</v>
      </c>
      <c r="P54" s="39">
        <f t="shared" si="8"/>
        <v>625.06171486674236</v>
      </c>
      <c r="Q54" s="39">
        <f t="shared" si="4"/>
        <v>489.31647198781997</v>
      </c>
    </row>
    <row r="55" spans="8:17" ht="17.25" thickBot="1" x14ac:dyDescent="0.35">
      <c r="H55" s="17">
        <f t="shared" si="1"/>
        <v>10</v>
      </c>
      <c r="I55" s="44">
        <f t="shared" si="5"/>
        <v>0.78405214755806452</v>
      </c>
      <c r="L55" s="39">
        <f t="shared" si="6"/>
        <v>602.99290811169328</v>
      </c>
      <c r="M55" s="39">
        <f t="shared" si="7"/>
        <v>478.72185716811634</v>
      </c>
      <c r="N55" s="23"/>
      <c r="O55" s="28"/>
    </row>
  </sheetData>
  <mergeCells count="5">
    <mergeCell ref="H12:J12"/>
    <mergeCell ref="L12:M12"/>
    <mergeCell ref="P12:Q12"/>
    <mergeCell ref="L15:M15"/>
    <mergeCell ref="P15:Q1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Hoja1</vt:lpstr>
      <vt:lpstr>deltat</vt:lpstr>
      <vt:lpstr>fechavalor</vt:lpstr>
      <vt:lpstr>Nom</vt:lpstr>
      <vt:lpstr>spread</vt:lpstr>
      <vt:lpstr>vola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</dc:creator>
  <cp:lastModifiedBy>José Javier Calderón Coronado</cp:lastModifiedBy>
  <dcterms:created xsi:type="dcterms:W3CDTF">2010-02-26T22:22:49Z</dcterms:created>
  <dcterms:modified xsi:type="dcterms:W3CDTF">2023-03-08T11:22:22Z</dcterms:modified>
</cp:coreProperties>
</file>