
<file path=[Content_Types].xml><?xml version="1.0" encoding="utf-8"?>
<Types xmlns="http://schemas.openxmlformats.org/package/2006/content-types"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Q:\Consultoria\FORMACION\MASTERS CUANTITATIVOS\MFC 2022-2023\Valoración\Jota\Solución\"/>
    </mc:Choice>
  </mc:AlternateContent>
  <bookViews>
    <workbookView xWindow="480" yWindow="90" windowWidth="18195" windowHeight="12075"/>
  </bookViews>
  <sheets>
    <sheet name="Sheet1" sheetId="1" r:id="rId1"/>
  </sheets>
  <definedNames>
    <definedName name="deltat">Sheet1!$B$7</definedName>
    <definedName name="K">Sheet1!$J$6</definedName>
    <definedName name="Nom">Sheet1!$J$5</definedName>
    <definedName name="shift">Sheet1!$M$4</definedName>
    <definedName name="solver_adj" localSheetId="0" hidden="1">Sheet1!$L$8:$L$18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100000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Sheet1!$T$19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62913" calcMode="autoNoTable"/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M17" i="1" l="1"/>
  <c r="M13" i="1"/>
  <c r="M12" i="1"/>
  <c r="M10" i="1"/>
  <c r="M9" i="1"/>
  <c r="M8" i="1"/>
  <c r="M11" i="1"/>
  <c r="M14" i="1"/>
  <c r="M15" i="1"/>
  <c r="M16" i="1"/>
  <c r="M18" i="1"/>
  <c r="I10" i="1"/>
  <c r="E8" i="1"/>
  <c r="I8" i="1" s="1"/>
  <c r="E9" i="1"/>
  <c r="I9" i="1" s="1"/>
  <c r="E10" i="1"/>
  <c r="E11" i="1"/>
  <c r="E12" i="1"/>
  <c r="I12" i="1" s="1"/>
  <c r="E13" i="1"/>
  <c r="I13" i="1" s="1"/>
  <c r="E14" i="1"/>
  <c r="I14" i="1" s="1"/>
  <c r="E15" i="1"/>
  <c r="E16" i="1"/>
  <c r="I16" i="1" s="1"/>
  <c r="E17" i="1"/>
  <c r="I17" i="1" s="1"/>
  <c r="E18" i="1"/>
  <c r="I18" i="1" s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7" i="1"/>
  <c r="X16" i="1" l="1"/>
  <c r="N16" i="1"/>
  <c r="P16" i="1" s="1"/>
  <c r="R16" i="1" s="1"/>
  <c r="Y13" i="1"/>
  <c r="AA13" i="1" s="1"/>
  <c r="AD13" i="1" s="1"/>
  <c r="Y17" i="1"/>
  <c r="AA17" i="1" s="1"/>
  <c r="AD17" i="1" s="1"/>
  <c r="X15" i="1"/>
  <c r="N15" i="1"/>
  <c r="O15" i="1" s="1"/>
  <c r="Q15" i="1" s="1"/>
  <c r="X11" i="1"/>
  <c r="N11" i="1"/>
  <c r="P11" i="1" s="1"/>
  <c r="R11" i="1" s="1"/>
  <c r="Y10" i="1"/>
  <c r="Z10" i="1" s="1"/>
  <c r="Y14" i="1"/>
  <c r="Z14" i="1" s="1"/>
  <c r="Y18" i="1"/>
  <c r="Z18" i="1" s="1"/>
  <c r="X8" i="1"/>
  <c r="Y8" i="1"/>
  <c r="Z8" i="1" s="1"/>
  <c r="N8" i="1"/>
  <c r="O8" i="1" s="1"/>
  <c r="Q8" i="1" s="1"/>
  <c r="X18" i="1"/>
  <c r="N18" i="1"/>
  <c r="O18" i="1" s="1"/>
  <c r="Q18" i="1" s="1"/>
  <c r="X14" i="1"/>
  <c r="N14" i="1"/>
  <c r="O14" i="1" s="1"/>
  <c r="Q14" i="1" s="1"/>
  <c r="X10" i="1"/>
  <c r="N10" i="1"/>
  <c r="O10" i="1" s="1"/>
  <c r="Q10" i="1" s="1"/>
  <c r="X12" i="1"/>
  <c r="N12" i="1"/>
  <c r="O12" i="1" s="1"/>
  <c r="Q12" i="1" s="1"/>
  <c r="Y9" i="1"/>
  <c r="AA9" i="1" s="1"/>
  <c r="AD9" i="1" s="1"/>
  <c r="X17" i="1"/>
  <c r="N17" i="1"/>
  <c r="O17" i="1" s="1"/>
  <c r="Q17" i="1" s="1"/>
  <c r="X13" i="1"/>
  <c r="N13" i="1"/>
  <c r="O13" i="1" s="1"/>
  <c r="Q13" i="1" s="1"/>
  <c r="X9" i="1"/>
  <c r="N9" i="1"/>
  <c r="O9" i="1" s="1"/>
  <c r="Q9" i="1" s="1"/>
  <c r="I15" i="1"/>
  <c r="Y15" i="1" s="1"/>
  <c r="I11" i="1"/>
  <c r="Y11" i="1" s="1"/>
  <c r="Y12" i="1"/>
  <c r="Z12" i="1" s="1"/>
  <c r="Y16" i="1"/>
  <c r="Z16" i="1" s="1"/>
  <c r="AA18" i="1" l="1"/>
  <c r="AB18" i="1" s="1"/>
  <c r="AA14" i="1"/>
  <c r="AB14" i="1" s="1"/>
  <c r="AA12" i="1"/>
  <c r="AB12" i="1" s="1"/>
  <c r="Z13" i="1"/>
  <c r="AB13" i="1" s="1"/>
  <c r="AA10" i="1"/>
  <c r="AB10" i="1" s="1"/>
  <c r="AA8" i="1"/>
  <c r="AD8" i="1" s="1"/>
  <c r="Z9" i="1"/>
  <c r="AB9" i="1" s="1"/>
  <c r="O16" i="1"/>
  <c r="Q16" i="1" s="1"/>
  <c r="S16" i="1" s="1"/>
  <c r="T16" i="1" s="1"/>
  <c r="P15" i="1"/>
  <c r="R15" i="1" s="1"/>
  <c r="S15" i="1" s="1"/>
  <c r="T15" i="1" s="1"/>
  <c r="P9" i="1"/>
  <c r="R9" i="1" s="1"/>
  <c r="S9" i="1" s="1"/>
  <c r="T9" i="1" s="1"/>
  <c r="P8" i="1"/>
  <c r="R8" i="1" s="1"/>
  <c r="S8" i="1" s="1"/>
  <c r="T8" i="1" s="1"/>
  <c r="P17" i="1"/>
  <c r="R17" i="1" s="1"/>
  <c r="S17" i="1" s="1"/>
  <c r="T17" i="1" s="1"/>
  <c r="P13" i="1"/>
  <c r="R13" i="1" s="1"/>
  <c r="S13" i="1" s="1"/>
  <c r="T13" i="1" s="1"/>
  <c r="P14" i="1"/>
  <c r="R14" i="1" s="1"/>
  <c r="S14" i="1" s="1"/>
  <c r="T14" i="1" s="1"/>
  <c r="O11" i="1"/>
  <c r="Q11" i="1" s="1"/>
  <c r="U11" i="1" s="1"/>
  <c r="P18" i="1"/>
  <c r="R18" i="1" s="1"/>
  <c r="S18" i="1" s="1"/>
  <c r="T18" i="1" s="1"/>
  <c r="P10" i="1"/>
  <c r="R10" i="1" s="1"/>
  <c r="S10" i="1" s="1"/>
  <c r="T10" i="1" s="1"/>
  <c r="U17" i="1"/>
  <c r="U10" i="1"/>
  <c r="U13" i="1"/>
  <c r="U14" i="1"/>
  <c r="U9" i="1"/>
  <c r="U15" i="1"/>
  <c r="U18" i="1"/>
  <c r="U12" i="1"/>
  <c r="U8" i="1"/>
  <c r="AA11" i="1"/>
  <c r="AD11" i="1" s="1"/>
  <c r="Z11" i="1"/>
  <c r="AA15" i="1"/>
  <c r="AD15" i="1" s="1"/>
  <c r="Z15" i="1"/>
  <c r="P12" i="1"/>
  <c r="R12" i="1" s="1"/>
  <c r="S12" i="1" s="1"/>
  <c r="T12" i="1" s="1"/>
  <c r="AA16" i="1"/>
  <c r="AB16" i="1" s="1"/>
  <c r="Z17" i="1"/>
  <c r="AB17" i="1" s="1"/>
  <c r="AB8" i="1" l="1"/>
  <c r="AC8" i="1" s="1"/>
  <c r="AD18" i="1"/>
  <c r="AD14" i="1"/>
  <c r="AD12" i="1"/>
  <c r="AB15" i="1"/>
  <c r="AC15" i="1" s="1"/>
  <c r="AD16" i="1"/>
  <c r="AD10" i="1"/>
  <c r="AB11" i="1"/>
  <c r="U16" i="1"/>
  <c r="S11" i="1"/>
  <c r="T11" i="1" s="1"/>
  <c r="T19" i="1" s="1"/>
  <c r="AC16" i="1"/>
  <c r="AC13" i="1"/>
  <c r="AC14" i="1"/>
  <c r="AC18" i="1"/>
  <c r="AC17" i="1"/>
  <c r="AC10" i="1"/>
  <c r="AC9" i="1"/>
  <c r="AC12" i="1"/>
  <c r="AC11" i="1" l="1"/>
  <c r="AC3" i="1" s="1"/>
</calcChain>
</file>

<file path=xl/sharedStrings.xml><?xml version="1.0" encoding="utf-8"?>
<sst xmlns="http://schemas.openxmlformats.org/spreadsheetml/2006/main" count="29" uniqueCount="25">
  <si>
    <t>FECHA</t>
  </si>
  <si>
    <t>PLAZO</t>
  </si>
  <si>
    <t>tipos fwd</t>
  </si>
  <si>
    <t>descuentos</t>
  </si>
  <si>
    <t>precios caplets ATM</t>
  </si>
  <si>
    <t>strike</t>
  </si>
  <si>
    <t>nominal</t>
  </si>
  <si>
    <t>volas shifted</t>
  </si>
  <si>
    <t>shift</t>
  </si>
  <si>
    <t>moneyness</t>
  </si>
  <si>
    <t>vola acum</t>
  </si>
  <si>
    <t>d+</t>
  </si>
  <si>
    <t>d-</t>
  </si>
  <si>
    <t>Phi(d+)</t>
  </si>
  <si>
    <t>Phi(d-)</t>
  </si>
  <si>
    <t>dif</t>
  </si>
  <si>
    <t>primas</t>
  </si>
  <si>
    <t>deltat</t>
  </si>
  <si>
    <t>volas normales</t>
  </si>
  <si>
    <t>d</t>
  </si>
  <si>
    <t>Phi(d)</t>
  </si>
  <si>
    <t>phi(d)</t>
  </si>
  <si>
    <t>deltas</t>
  </si>
  <si>
    <t>precios</t>
  </si>
  <si>
    <t>fecha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</si>
</sst>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* #,##0.00\ &quot;€&quot;_-;\-* #,##0.00\ &quot;€&quot;_-;_-* &quot;-&quot;??\ &quot;€&quot;_-;_-@_-"/>
    <numFmt numFmtId="164" formatCode="[$-C0A]d\-mmm\-yy;@"/>
    <numFmt numFmtId="165" formatCode="0.000%"/>
    <numFmt numFmtId="166" formatCode="0.0000%"/>
    <numFmt numFmtId="167" formatCode="_-* #,##0.000\ &quot;€&quot;_-;\-* #,##0.000\ &quot;€&quot;_-;_-* &quot;-&quot;??\ &quot;€&quot;_-;_-@_-"/>
    <numFmt numFmtId="168" formatCode="_-* #,##0.0000\ &quot;€&quot;_-;\-* #,##0.0000\ &quot;€&quot;_-;_-* &quot;-&quot;??\ &quot;€&quot;_-;_-@_-"/>
    <numFmt numFmtId="169" formatCode="0.00000"/>
    <numFmt numFmtId="170" formatCode="0.0000"/>
  </numFmts>
  <fonts count="9" x14ac:knownFonts="1">
    <font>
      <sz val="11"/>
      <color theme="1"/>
      <name val="Century Gothic"/>
      <family val="2"/>
      <scheme val="minor"/>
    </font>
    <font>
      <sz val="14"/>
      <color theme="5" tint="-0.249977111117893"/>
      <name val="Century Gothic"/>
      <family val="2"/>
      <scheme val="minor"/>
    </font>
    <font>
      <sz val="11"/>
      <color theme="5" tint="-0.249977111117893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i/>
      <sz val="11"/>
      <color theme="1"/>
      <name val="Century Gothic"/>
      <family val="2"/>
      <scheme val="minor"/>
    </font>
    <font>
      <b/>
      <i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i/>
      <sz val="11"/>
      <color theme="0"/>
      <name val="Century Gothic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164" fontId="0" fillId="0" borderId="1" xfId="0" applyNumberFormat="1" applyBorder="1"/>
    <xf numFmtId="10" fontId="0" fillId="0" borderId="3" xfId="2" applyNumberFormat="1" applyFont="1" applyBorder="1" applyAlignment="1">
      <alignment horizontal="center"/>
    </xf>
    <xf numFmtId="164" fontId="0" fillId="0" borderId="5" xfId="0" applyNumberFormat="1" applyBorder="1"/>
    <xf numFmtId="10" fontId="0" fillId="0" borderId="6" xfId="2" applyNumberFormat="1" applyFont="1" applyBorder="1" applyAlignment="1">
      <alignment horizontal="center"/>
    </xf>
    <xf numFmtId="164" fontId="0" fillId="0" borderId="7" xfId="0" applyNumberFormat="1" applyBorder="1"/>
    <xf numFmtId="10" fontId="0" fillId="0" borderId="9" xfId="2" applyNumberFormat="1" applyFont="1" applyBorder="1" applyAlignment="1">
      <alignment horizontal="center"/>
    </xf>
    <xf numFmtId="166" fontId="0" fillId="0" borderId="11" xfId="2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2" applyNumberFormat="1" applyFon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0" xfId="0" applyNumberFormat="1"/>
    <xf numFmtId="10" fontId="0" fillId="0" borderId="0" xfId="0" applyNumberFormat="1" applyBorder="1" applyAlignment="1">
      <alignment horizontal="center"/>
    </xf>
    <xf numFmtId="44" fontId="0" fillId="0" borderId="4" xfId="1" applyFont="1" applyBorder="1" applyAlignment="1">
      <alignment horizontal="center"/>
    </xf>
    <xf numFmtId="167" fontId="0" fillId="0" borderId="0" xfId="1" applyNumberFormat="1" applyFont="1"/>
    <xf numFmtId="166" fontId="0" fillId="0" borderId="1" xfId="2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9" fontId="0" fillId="4" borderId="0" xfId="0" applyNumberFormat="1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169" fontId="0" fillId="3" borderId="0" xfId="0" applyNumberForma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170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68" fontId="0" fillId="5" borderId="0" xfId="1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7" fillId="6" borderId="10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167" fontId="6" fillId="7" borderId="3" xfId="1" applyNumberFormat="1" applyFont="1" applyFill="1" applyBorder="1" applyAlignment="1">
      <alignment horizontal="center"/>
    </xf>
    <xf numFmtId="167" fontId="6" fillId="7" borderId="6" xfId="1" applyNumberFormat="1" applyFont="1" applyFill="1" applyBorder="1" applyAlignment="1">
      <alignment horizontal="center"/>
    </xf>
    <xf numFmtId="167" fontId="6" fillId="7" borderId="9" xfId="1" applyNumberFormat="1" applyFont="1" applyFill="1" applyBorder="1" applyAlignment="1">
      <alignment horizontal="center"/>
    </xf>
    <xf numFmtId="0" fontId="4" fillId="8" borderId="0" xfId="0" applyFont="1" applyFill="1"/>
    <xf numFmtId="0" fontId="8" fillId="8" borderId="4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deltas-lognormales</c:v>
          </c:tx>
          <c:marker>
            <c:symbol val="none"/>
          </c:marker>
          <c:val>
            <c:numRef>
              <c:f>Sheet1!$U$8:$U$18</c:f>
              <c:numCache>
                <c:formatCode>0.00000</c:formatCode>
                <c:ptCount val="11"/>
                <c:pt idx="0">
                  <c:v>7.5719168218658997E-2</c:v>
                </c:pt>
                <c:pt idx="1">
                  <c:v>0.11626606537290592</c:v>
                </c:pt>
                <c:pt idx="2">
                  <c:v>0.12310679961235234</c:v>
                </c:pt>
                <c:pt idx="3">
                  <c:v>0.15042594533166156</c:v>
                </c:pt>
                <c:pt idx="4">
                  <c:v>0.15080755135750792</c:v>
                </c:pt>
                <c:pt idx="5">
                  <c:v>0.16753932957045453</c:v>
                </c:pt>
                <c:pt idx="6">
                  <c:v>0.16764769736523116</c:v>
                </c:pt>
                <c:pt idx="7">
                  <c:v>0.18591744429217044</c:v>
                </c:pt>
                <c:pt idx="8">
                  <c:v>0.18391644942089971</c:v>
                </c:pt>
                <c:pt idx="9">
                  <c:v>0.18440258343888355</c:v>
                </c:pt>
                <c:pt idx="10">
                  <c:v>0.18691415826159749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55-40D0-9119-0EC9BE15CBBF}"/>
            </c:ext>
          </c:extLst>
        </c:ser>
        <c:ser>
          <c:idx val="1"/>
          <c:order val="1"/>
          <c:tx>
            <c:v>deltas-normales</c:v>
          </c:tx>
          <c:marker>
            <c:symbol val="none"/>
          </c:marker>
          <c:val>
            <c:numRef>
              <c:f>Sheet1!$AD$8:$AD$18</c:f>
              <c:numCache>
                <c:formatCode>General</c:formatCode>
                <c:ptCount val="11"/>
                <c:pt idx="0">
                  <c:v>7.5372991321851046E-2</c:v>
                </c:pt>
                <c:pt idx="1">
                  <c:v>9.9106136064112962E-2</c:v>
                </c:pt>
                <c:pt idx="2">
                  <c:v>9.9636206388164644E-2</c:v>
                </c:pt>
                <c:pt idx="3">
                  <c:v>9.8360058690350818E-2</c:v>
                </c:pt>
                <c:pt idx="4">
                  <c:v>9.8628028193424117E-2</c:v>
                </c:pt>
                <c:pt idx="5">
                  <c:v>9.6114878513424554E-2</c:v>
                </c:pt>
                <c:pt idx="6">
                  <c:v>9.7741723104739262E-2</c:v>
                </c:pt>
                <c:pt idx="7">
                  <c:v>9.001876532305926E-2</c:v>
                </c:pt>
                <c:pt idx="8">
                  <c:v>9.3544583987344526E-2</c:v>
                </c:pt>
                <c:pt idx="9">
                  <c:v>9.6506560568581853E-2</c:v>
                </c:pt>
                <c:pt idx="10">
                  <c:v>9.731395647802743E-2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55-40D0-9119-0EC9BE15C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757376"/>
        <c:axId val="90764416"/>
      </c:lineChart>
      <c:catAx>
        <c:axId val="90757376"/>
        <c:scaling>
          <c:orientation val="minMax"/>
        </c:scaling>
        <c:delete val="0"/>
        <c:axPos val="b"/>
        <c:majorTickMark val="out"/>
        <c:minorTickMark val="none"/>
        <c:tickLblPos val="nextTo"/>
        <c:crossAx val="90764416"/>
        <c:crosses val="autoZero"/>
        <c:auto val="1"/>
        <c:lblAlgn val="ctr"/>
        <c:lblOffset val="100"/>
        <c:noMultiLvlLbl val="0"/>
      </c:catAx>
      <c:valAx>
        <c:axId val="90764416"/>
        <c:scaling>
          <c:orientation val="minMax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907573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711200</xdr:colOff>
      <xdr:row>18</xdr:row>
      <xdr:rowOff>76392</xdr:rowOff>
    </xdr:from>
    <xdr:to>
      <xdr:col>28</xdr:col>
      <xdr:colOff>912812</xdr:colOff>
      <xdr:row>20</xdr:row>
      <xdr:rowOff>142875</xdr:rowOff>
    </xdr:to>
    <xdr:pic>
      <xdr:nvPicPr>
        <xdr:cNvPr id="2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5300" y="3232342"/>
          <a:ext cx="5746750" cy="479233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114889</xdr:colOff>
      <xdr:row>21</xdr:row>
      <xdr:rowOff>50800</xdr:rowOff>
    </xdr:from>
    <xdr:to>
      <xdr:col>26</xdr:col>
      <xdr:colOff>127000</xdr:colOff>
      <xdr:row>24</xdr:row>
      <xdr:rowOff>35161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07639" y="3757613"/>
          <a:ext cx="1115424" cy="603486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468312</xdr:colOff>
      <xdr:row>18</xdr:row>
      <xdr:rowOff>183380</xdr:rowOff>
    </xdr:from>
    <xdr:to>
      <xdr:col>19</xdr:col>
      <xdr:colOff>238125</xdr:colOff>
      <xdr:row>23</xdr:row>
      <xdr:rowOff>138112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3318693"/>
          <a:ext cx="5087938" cy="986607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23812</xdr:colOff>
      <xdr:row>24</xdr:row>
      <xdr:rowOff>168275</xdr:rowOff>
    </xdr:from>
    <xdr:to>
      <xdr:col>20</xdr:col>
      <xdr:colOff>190500</xdr:colOff>
      <xdr:row>39</xdr:row>
      <xdr:rowOff>46038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Afi">
  <a:themeElements>
    <a:clrScheme name="Plantilla Afi">
      <a:dk1>
        <a:srgbClr val="000000"/>
      </a:dk1>
      <a:lt1>
        <a:srgbClr val="FFFFFF"/>
      </a:lt1>
      <a:dk2>
        <a:srgbClr val="D84519"/>
      </a:dk2>
      <a:lt2>
        <a:srgbClr val="BFBFBF"/>
      </a:lt2>
      <a:accent1>
        <a:srgbClr val="D84519"/>
      </a:accent1>
      <a:accent2>
        <a:srgbClr val="00599C"/>
      </a:accent2>
      <a:accent3>
        <a:srgbClr val="8FD400"/>
      </a:accent3>
      <a:accent4>
        <a:srgbClr val="FDB813"/>
      </a:accent4>
      <a:accent5>
        <a:srgbClr val="AD0075"/>
      </a:accent5>
      <a:accent6>
        <a:srgbClr val="BFBFBF"/>
      </a:accent6>
      <a:hlink>
        <a:srgbClr val="00A3D6"/>
      </a:hlink>
      <a:folHlink>
        <a:srgbClr val="FF0000"/>
      </a:folHlink>
    </a:clrScheme>
    <a:fontScheme name="Plantilla Afi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3181" t="-1300" r="-40517" b="1300"/>
          </a:stretch>
        </a:blip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lnDef>
    <a:txDef>
      <a:spPr>
        <a:noFill/>
      </a:spPr>
      <a:bodyPr wrap="square" rtlCol="0">
        <a:spAutoFit/>
      </a:bodyPr>
      <a:lstStyle>
        <a:defPPr algn="l">
          <a:defRPr sz="1600">
            <a:latin typeface="+mn-lt"/>
          </a:defRPr>
        </a:defPPr>
      </a:lstStyle>
    </a:txDef>
  </a:objectDefaults>
  <a:extraClrSchemeLst>
    <a:extraClrScheme>
      <a:clrScheme name="Default Design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Design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Tema Afi" id="{F282E044-BE78-497B-985B-79770C2326FD}" vid="{CC51B5E0-2204-40F9-9B66-7A3958CF59C6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3:AD36"/>
  <sheetViews>
    <sheetView showGridLines="0" tabSelected="1" zoomScale="120" zoomScaleNormal="120" workbookViewId="0">
      <selection activeCell="N12" sqref="N12"/>
    </sheetView>
  </sheetViews>
  <sheetFormatPr defaultColWidth="9" defaultRowHeight="16.5" x14ac:dyDescent="0.3"/>
  <cols>
    <col min="1" max="1" width="3.625" customWidth="1"/>
    <col min="3" max="3" width="3.25" customWidth="1"/>
    <col min="4" max="4" width="11" customWidth="1"/>
    <col min="5" max="5" width="6.875" style="26" customWidth="1"/>
    <col min="6" max="6" width="12.375" customWidth="1"/>
    <col min="7" max="7" width="12.875" customWidth="1"/>
    <col min="8" max="8" width="7.875" customWidth="1"/>
    <col min="9" max="9" width="13.875" customWidth="1"/>
    <col min="10" max="10" width="15.625" customWidth="1"/>
    <col min="11" max="11" width="7.625" customWidth="1"/>
    <col min="12" max="12" width="13.25" customWidth="1"/>
    <col min="13" max="13" width="12" customWidth="1"/>
    <col min="14" max="14" width="11.625" customWidth="1"/>
    <col min="15" max="15" width="8.625" customWidth="1"/>
    <col min="16" max="16" width="8.375" customWidth="1"/>
    <col min="17" max="17" width="10.25" customWidth="1"/>
    <col min="18" max="18" width="7.75" customWidth="1"/>
    <col min="19" max="19" width="11.25" customWidth="1"/>
    <col min="20" max="20" width="7.75" customWidth="1"/>
    <col min="21" max="21" width="11.25" customWidth="1"/>
    <col min="22" max="22" width="12.375" customWidth="1"/>
    <col min="23" max="23" width="14.75" customWidth="1"/>
    <col min="24" max="24" width="11.75" customWidth="1"/>
    <col min="25" max="25" width="7.625" customWidth="1"/>
    <col min="26" max="27" width="6.875" customWidth="1"/>
    <col min="28" max="28" width="12.5" customWidth="1"/>
    <col min="29" max="29" width="12.75" customWidth="1"/>
    <col min="30" max="30" width="10.5" customWidth="1"/>
  </cols>
  <sheetData>
    <row r="3" spans="2:30" x14ac:dyDescent="0.3">
      <c r="AC3">
        <f>SUM(AC8:AC18)*10000</f>
        <v>37.658344123186296</v>
      </c>
    </row>
    <row r="4" spans="2:30" ht="17.25" thickBot="1" x14ac:dyDescent="0.35">
      <c r="I4" s="40" t="s">
        <v>4</v>
      </c>
      <c r="J4" s="41"/>
      <c r="K4" s="11"/>
      <c r="L4" s="45" t="s">
        <v>8</v>
      </c>
      <c r="M4" s="25">
        <v>0.03</v>
      </c>
    </row>
    <row r="5" spans="2:30" ht="29.25" thickBot="1" x14ac:dyDescent="0.35">
      <c r="C5" s="1"/>
      <c r="D5" s="37" t="s">
        <v>0</v>
      </c>
      <c r="E5" s="38" t="s">
        <v>1</v>
      </c>
      <c r="F5" s="39" t="s">
        <v>3</v>
      </c>
      <c r="G5" s="39" t="s">
        <v>2</v>
      </c>
      <c r="I5" s="15" t="s">
        <v>6</v>
      </c>
      <c r="J5" s="20">
        <v>10000</v>
      </c>
      <c r="K5" s="11"/>
    </row>
    <row r="6" spans="2:30" ht="17.25" thickBot="1" x14ac:dyDescent="0.35">
      <c r="B6" s="36" t="s">
        <v>17</v>
      </c>
      <c r="C6" s="2"/>
      <c r="D6" s="3">
        <v>43595</v>
      </c>
      <c r="E6" s="30">
        <v>0</v>
      </c>
      <c r="F6" s="4">
        <v>1</v>
      </c>
      <c r="G6" s="10"/>
      <c r="H6" s="11"/>
      <c r="I6" s="14" t="s">
        <v>5</v>
      </c>
      <c r="J6" s="13">
        <v>-2E-3</v>
      </c>
      <c r="K6" s="19"/>
      <c r="L6" s="46" t="s">
        <v>7</v>
      </c>
      <c r="M6" s="47" t="s">
        <v>9</v>
      </c>
      <c r="N6" s="47" t="s">
        <v>10</v>
      </c>
      <c r="O6" s="47" t="s">
        <v>11</v>
      </c>
      <c r="P6" s="47" t="s">
        <v>12</v>
      </c>
      <c r="Q6" s="47" t="s">
        <v>13</v>
      </c>
      <c r="R6" s="47" t="s">
        <v>14</v>
      </c>
      <c r="S6" s="46" t="s">
        <v>16</v>
      </c>
      <c r="T6" s="47" t="s">
        <v>15</v>
      </c>
      <c r="U6" s="46" t="s">
        <v>22</v>
      </c>
      <c r="W6" s="28" t="s">
        <v>18</v>
      </c>
      <c r="X6" s="27" t="s">
        <v>10</v>
      </c>
      <c r="Y6" s="27" t="s">
        <v>19</v>
      </c>
      <c r="Z6" s="27" t="s">
        <v>20</v>
      </c>
      <c r="AA6" s="27" t="s">
        <v>21</v>
      </c>
      <c r="AB6" s="28" t="s">
        <v>16</v>
      </c>
      <c r="AC6" s="27" t="s">
        <v>15</v>
      </c>
      <c r="AD6" s="28" t="s">
        <v>22</v>
      </c>
    </row>
    <row r="7" spans="2:30" ht="17.25" thickBot="1" x14ac:dyDescent="0.35">
      <c r="B7" s="23">
        <v>0.25</v>
      </c>
      <c r="C7" s="2"/>
      <c r="D7" s="5">
        <v>43687</v>
      </c>
      <c r="E7" s="11">
        <f>YEARFRAC($D$6,D7)</f>
        <v>0.25</v>
      </c>
      <c r="F7" s="6">
        <v>1.0009495098726242</v>
      </c>
      <c r="G7" s="9">
        <f>(F6/F7-1)/deltat</f>
        <v>-3.7944366354505377E-3</v>
      </c>
      <c r="H7" s="12"/>
      <c r="I7" s="22" t="s">
        <v>24</v>
      </c>
      <c r="J7" s="16" t="s">
        <v>23</v>
      </c>
      <c r="K7" s="11"/>
      <c r="L7" s="18"/>
      <c r="W7" s="18"/>
    </row>
    <row r="8" spans="2:30" x14ac:dyDescent="0.3">
      <c r="C8" s="2"/>
      <c r="D8" s="5">
        <v>43779</v>
      </c>
      <c r="E8" s="11">
        <f t="shared" ref="E8:E36" si="0">YEARFRAC($D$6,D8)</f>
        <v>0.5</v>
      </c>
      <c r="F8" s="6">
        <v>1.0016393744415146</v>
      </c>
      <c r="G8" s="9">
        <f>(F7/F8-1)/deltat</f>
        <v>-2.7549418942323101E-3</v>
      </c>
      <c r="H8" s="12"/>
      <c r="I8" s="24">
        <f t="shared" ref="I8:I18" si="1">E8</f>
        <v>0.5</v>
      </c>
      <c r="J8" s="42">
        <v>0.64400000000000002</v>
      </c>
      <c r="K8" s="11"/>
      <c r="L8" s="33">
        <v>0.10071904563885108</v>
      </c>
      <c r="M8" s="32">
        <f t="shared" ref="M8:M18" si="2">LN((G8+shift)/(K+shift))</f>
        <v>-2.7332359429342833E-2</v>
      </c>
      <c r="N8" s="32">
        <f>L8*SQRT(E7)</f>
        <v>5.0359522819425538E-2</v>
      </c>
      <c r="O8" s="32">
        <f t="shared" ref="O8:O18" si="3">M8/N8+0.5*N8</f>
        <v>-0.51756484574926775</v>
      </c>
      <c r="P8" s="32">
        <f t="shared" ref="P8:P18" si="4">M8/N8-0.5*N8</f>
        <v>-0.56792436856869333</v>
      </c>
      <c r="Q8" s="32">
        <f t="shared" ref="Q8:Q18" si="5">NORMSDIST(O8)</f>
        <v>0.30238095726170044</v>
      </c>
      <c r="R8" s="32">
        <f t="shared" ref="R8:R18" si="6">NORMSDIST(P8)</f>
        <v>0.28504316218212722</v>
      </c>
      <c r="S8" s="34">
        <f t="shared" ref="S8:S18" si="7">deltat*F8*((G8+shift)*Q8-(K+shift)*R8)*Nom</f>
        <v>0.64399955239202911</v>
      </c>
      <c r="T8" s="26">
        <f>(S8-J8)*1000000</f>
        <v>-0.44760797091036864</v>
      </c>
      <c r="U8" s="29">
        <f t="shared" ref="U8:U18" si="8">deltat*F8*Q8</f>
        <v>7.5719168218658997E-2</v>
      </c>
      <c r="W8" s="33">
        <v>2.0115290304454757E-3</v>
      </c>
      <c r="X8" s="32">
        <f>W8*SQRT(E7)</f>
        <v>1.0057645152227379E-3</v>
      </c>
      <c r="Y8" s="32">
        <f>(G8-K)/(W8*SQRT(E7))</f>
        <v>-0.75061496285253182</v>
      </c>
      <c r="Z8" s="32">
        <f>NORMSDIST(Y8)</f>
        <v>0.22644220675416937</v>
      </c>
      <c r="AA8" s="32">
        <f>NORMDIST(Y8,0,1,FALSE)</f>
        <v>0.30099851601331812</v>
      </c>
      <c r="AB8" s="34">
        <f t="shared" ref="AB8:AB18" si="9">deltat*F8*((G8-K)*Z8+W8*SQRT(I8)*AA8)*Nom</f>
        <v>0.64400226274371353</v>
      </c>
      <c r="AC8" s="26">
        <f>(AB8-S8)^2*1000000</f>
        <v>7.3460062532420526E-6</v>
      </c>
      <c r="AD8" s="35">
        <f t="shared" ref="AD8:AD18" si="10">deltat*F8*AA8</f>
        <v>7.5372991321851046E-2</v>
      </c>
    </row>
    <row r="9" spans="2:30" x14ac:dyDescent="0.3">
      <c r="C9" s="2"/>
      <c r="D9" s="5">
        <v>43871</v>
      </c>
      <c r="E9" s="11">
        <f t="shared" si="0"/>
        <v>0.75</v>
      </c>
      <c r="F9" s="6">
        <v>1.0022141787244527</v>
      </c>
      <c r="G9" s="9">
        <f>(F8/F9-1)/deltat</f>
        <v>-2.2941375013059151E-3</v>
      </c>
      <c r="H9" s="12"/>
      <c r="I9" s="17">
        <f t="shared" si="1"/>
        <v>0.75</v>
      </c>
      <c r="J9" s="43">
        <v>1.9</v>
      </c>
      <c r="K9" s="11"/>
      <c r="L9" s="33">
        <v>0.11428859894903745</v>
      </c>
      <c r="M9" s="32">
        <f t="shared" si="2"/>
        <v>-1.0560476822903496E-2</v>
      </c>
      <c r="N9" s="32">
        <f t="shared" ref="N9:N18" si="11">L9*SQRT(E8)</f>
        <v>8.0814243329174112E-2</v>
      </c>
      <c r="O9" s="32">
        <f t="shared" si="3"/>
        <v>-9.02688135154079E-2</v>
      </c>
      <c r="P9" s="32">
        <f t="shared" si="4"/>
        <v>-0.17108305684458203</v>
      </c>
      <c r="Q9" s="32">
        <f t="shared" si="5"/>
        <v>0.46403680107931072</v>
      </c>
      <c r="R9" s="32">
        <f t="shared" si="6"/>
        <v>0.43207922906689594</v>
      </c>
      <c r="S9" s="34">
        <f t="shared" si="7"/>
        <v>1.9000011256369225</v>
      </c>
      <c r="T9" s="26">
        <f t="shared" ref="T9:T18" si="12">(S9-J9)^2*1000000</f>
        <v>1.267058481432503E-6</v>
      </c>
      <c r="U9" s="29">
        <f t="shared" si="8"/>
        <v>0.11626606537290592</v>
      </c>
      <c r="W9" s="33">
        <v>2.5983982059261464E-3</v>
      </c>
      <c r="X9" s="32">
        <f t="shared" ref="X9:X18" si="13">W9*SQRT(E8)</f>
        <v>1.8373449916333374E-3</v>
      </c>
      <c r="Y9" s="32">
        <f t="shared" ref="Y9:Y18" si="14">(G9-K)/(W9*SQRT(I9))</f>
        <v>-0.13071157851820095</v>
      </c>
      <c r="Z9" s="32">
        <f t="shared" ref="Z9:Z18" si="15">NORMSDIST(Y9)</f>
        <v>0.44800173630085877</v>
      </c>
      <c r="AA9" s="32">
        <f t="shared" ref="AA9:AA18" si="16">NORMDIST(Y9,0,1,FALSE)</f>
        <v>0.39554872867693108</v>
      </c>
      <c r="AB9" s="34">
        <f t="shared" si="9"/>
        <v>1.8999997175091454</v>
      </c>
      <c r="AC9" s="26">
        <f t="shared" ref="AC9:AC18" si="17">(AB9-S9)^2*1000000</f>
        <v>1.982823836492005E-6</v>
      </c>
      <c r="AD9" s="35">
        <f t="shared" si="10"/>
        <v>9.9106136064112962E-2</v>
      </c>
    </row>
    <row r="10" spans="2:30" x14ac:dyDescent="0.3">
      <c r="C10" s="2"/>
      <c r="D10" s="5">
        <v>43961</v>
      </c>
      <c r="E10" s="11">
        <f t="shared" si="0"/>
        <v>1</v>
      </c>
      <c r="F10" s="6">
        <v>1.0027939373257593</v>
      </c>
      <c r="G10" s="9">
        <f>(F9/F10-1)/deltat</f>
        <v>-2.3125732205864225E-3</v>
      </c>
      <c r="H10" s="12"/>
      <c r="I10" s="17">
        <f t="shared" si="1"/>
        <v>1</v>
      </c>
      <c r="J10" s="43">
        <v>3.214</v>
      </c>
      <c r="K10" s="11"/>
      <c r="L10" s="33">
        <v>0.14905566598061024</v>
      </c>
      <c r="M10" s="32">
        <f t="shared" si="2"/>
        <v>-1.1226106909198964E-2</v>
      </c>
      <c r="N10" s="32">
        <f t="shared" si="11"/>
        <v>0.12908599331721637</v>
      </c>
      <c r="O10" s="32">
        <f t="shared" si="3"/>
        <v>-2.2423115006287089E-2</v>
      </c>
      <c r="P10" s="32">
        <f t="shared" si="4"/>
        <v>-0.15150910832350345</v>
      </c>
      <c r="Q10" s="32">
        <f t="shared" si="5"/>
        <v>0.49105522093861997</v>
      </c>
      <c r="R10" s="32">
        <f t="shared" si="6"/>
        <v>0.4397870631881502</v>
      </c>
      <c r="S10" s="34">
        <f t="shared" si="7"/>
        <v>3.2139989555930173</v>
      </c>
      <c r="T10" s="26">
        <f t="shared" si="12"/>
        <v>1.0907859454610984E-6</v>
      </c>
      <c r="U10" s="29">
        <f t="shared" si="8"/>
        <v>0.12310679961235234</v>
      </c>
      <c r="W10" s="33">
        <v>3.5916997858955026E-3</v>
      </c>
      <c r="X10" s="32">
        <f t="shared" si="13"/>
        <v>3.1105032573526341E-3</v>
      </c>
      <c r="Y10" s="32">
        <f t="shared" si="14"/>
        <v>-8.702654431583845E-2</v>
      </c>
      <c r="Z10" s="32">
        <f t="shared" si="15"/>
        <v>0.46532520641736663</v>
      </c>
      <c r="AA10" s="32">
        <f t="shared" si="16"/>
        <v>0.39743441869572316</v>
      </c>
      <c r="AB10" s="34">
        <f t="shared" si="9"/>
        <v>3.2139969826672004</v>
      </c>
      <c r="AC10" s="26">
        <f t="shared" si="17"/>
        <v>3.8924362791478278E-6</v>
      </c>
      <c r="AD10" s="35">
        <f t="shared" si="10"/>
        <v>9.9636206388164644E-2</v>
      </c>
    </row>
    <row r="11" spans="2:30" x14ac:dyDescent="0.3">
      <c r="C11" s="2"/>
      <c r="D11" s="5">
        <v>44053</v>
      </c>
      <c r="E11" s="11">
        <f t="shared" si="0"/>
        <v>1.25</v>
      </c>
      <c r="F11" s="6">
        <v>1.0031155189350418</v>
      </c>
      <c r="G11" s="9">
        <f>(F10/F11-1)/deltat</f>
        <v>-1.282331309653717E-3</v>
      </c>
      <c r="H11" s="12"/>
      <c r="I11" s="17">
        <f t="shared" si="1"/>
        <v>1.25</v>
      </c>
      <c r="J11" s="43">
        <v>4.8600000000000003</v>
      </c>
      <c r="K11" s="11"/>
      <c r="L11" s="33">
        <v>0.13736735729854793</v>
      </c>
      <c r="M11" s="32">
        <f t="shared" si="2"/>
        <v>2.5308056975592821E-2</v>
      </c>
      <c r="N11" s="32">
        <f t="shared" si="11"/>
        <v>0.13736735729854793</v>
      </c>
      <c r="O11" s="32">
        <f t="shared" si="3"/>
        <v>0.25292000286267091</v>
      </c>
      <c r="P11" s="32">
        <f t="shared" si="4"/>
        <v>0.11555264556412301</v>
      </c>
      <c r="Q11" s="32">
        <f t="shared" si="5"/>
        <v>0.59983498407585745</v>
      </c>
      <c r="R11" s="32">
        <f t="shared" si="6"/>
        <v>0.54599645261586693</v>
      </c>
      <c r="S11" s="34">
        <f t="shared" si="7"/>
        <v>4.8599985614959769</v>
      </c>
      <c r="T11" s="26">
        <f t="shared" si="12"/>
        <v>2.0692938254943722E-6</v>
      </c>
      <c r="U11" s="29">
        <f t="shared" si="8"/>
        <v>0.15042594533166156</v>
      </c>
      <c r="W11" s="33">
        <v>3.4813840514963958E-3</v>
      </c>
      <c r="X11" s="32">
        <f t="shared" si="13"/>
        <v>3.4813840514963958E-3</v>
      </c>
      <c r="Y11" s="32">
        <f t="shared" si="14"/>
        <v>0.18438137857818554</v>
      </c>
      <c r="Z11" s="32">
        <f t="shared" si="15"/>
        <v>0.57314286144139115</v>
      </c>
      <c r="AA11" s="32">
        <f t="shared" si="16"/>
        <v>0.39221827131046616</v>
      </c>
      <c r="AB11" s="34">
        <f t="shared" si="9"/>
        <v>4.8599946255168023</v>
      </c>
      <c r="AC11" s="26">
        <f t="shared" si="17"/>
        <v>1.5491932062768496E-5</v>
      </c>
      <c r="AD11" s="35">
        <f t="shared" si="10"/>
        <v>9.8360058690350818E-2</v>
      </c>
    </row>
    <row r="12" spans="2:30" x14ac:dyDescent="0.3">
      <c r="C12" s="2"/>
      <c r="D12" s="5">
        <v>44145</v>
      </c>
      <c r="E12" s="11">
        <f t="shared" si="0"/>
        <v>1.5</v>
      </c>
      <c r="F12" s="6">
        <v>1.0034084142118771</v>
      </c>
      <c r="G12" s="9">
        <f>(F11/F12-1)/deltat</f>
        <v>-1.167601438006205E-3</v>
      </c>
      <c r="H12" s="12"/>
      <c r="I12" s="17">
        <f t="shared" si="1"/>
        <v>1.5</v>
      </c>
      <c r="J12" s="43">
        <v>5.9950000000000001</v>
      </c>
      <c r="K12" s="11"/>
      <c r="L12" s="33">
        <v>0.15368742897656584</v>
      </c>
      <c r="M12" s="32">
        <f t="shared" si="2"/>
        <v>2.929519475374235E-2</v>
      </c>
      <c r="N12" s="32">
        <f t="shared" si="11"/>
        <v>0.17182776923938609</v>
      </c>
      <c r="O12" s="32">
        <f t="shared" si="3"/>
        <v>0.25640550470776524</v>
      </c>
      <c r="P12" s="32">
        <f t="shared" si="4"/>
        <v>8.4577735468379156E-2</v>
      </c>
      <c r="Q12" s="32">
        <f t="shared" si="5"/>
        <v>0.60118113111881399</v>
      </c>
      <c r="R12" s="32">
        <f t="shared" si="6"/>
        <v>0.53370144992297996</v>
      </c>
      <c r="S12" s="34">
        <f t="shared" si="7"/>
        <v>5.9949974818943952</v>
      </c>
      <c r="T12" s="26">
        <f t="shared" si="12"/>
        <v>6.3408558375325732E-6</v>
      </c>
      <c r="U12" s="29">
        <f t="shared" si="8"/>
        <v>0.15080755135750792</v>
      </c>
      <c r="W12" s="33">
        <v>3.9815123143500395E-3</v>
      </c>
      <c r="X12" s="32">
        <f t="shared" si="13"/>
        <v>4.4514660940696005E-3</v>
      </c>
      <c r="Y12" s="32">
        <f t="shared" si="14"/>
        <v>0.17070161440604228</v>
      </c>
      <c r="Z12" s="32">
        <f t="shared" si="15"/>
        <v>0.56777080332525209</v>
      </c>
      <c r="AA12" s="32">
        <f t="shared" si="16"/>
        <v>0.39317201967412674</v>
      </c>
      <c r="AB12" s="34">
        <f t="shared" si="9"/>
        <v>5.9949909622783979</v>
      </c>
      <c r="AC12" s="26">
        <f t="shared" si="17"/>
        <v>4.2505392752137149E-5</v>
      </c>
      <c r="AD12" s="35">
        <f t="shared" si="10"/>
        <v>9.8628028193424117E-2</v>
      </c>
    </row>
    <row r="13" spans="2:30" x14ac:dyDescent="0.3">
      <c r="C13" s="2"/>
      <c r="D13" s="5">
        <v>44237</v>
      </c>
      <c r="E13" s="11">
        <f t="shared" si="0"/>
        <v>1.75</v>
      </c>
      <c r="F13" s="6">
        <v>1.0032814352503996</v>
      </c>
      <c r="G13" s="9">
        <f>(F12/F13-1)/deltat</f>
        <v>5.0625460420583579E-4</v>
      </c>
      <c r="H13" s="12"/>
      <c r="I13" s="17">
        <f t="shared" si="1"/>
        <v>1.75</v>
      </c>
      <c r="J13" s="43">
        <v>12.335000000000001</v>
      </c>
      <c r="K13" s="11"/>
      <c r="L13" s="33">
        <v>0.24763632317220066</v>
      </c>
      <c r="M13" s="32">
        <f t="shared" si="2"/>
        <v>8.5727221404746201E-2</v>
      </c>
      <c r="N13" s="32">
        <f t="shared" si="11"/>
        <v>0.30329131677542287</v>
      </c>
      <c r="O13" s="32">
        <f t="shared" si="3"/>
        <v>0.43430202427445508</v>
      </c>
      <c r="P13" s="32">
        <f t="shared" si="4"/>
        <v>0.13101070749903221</v>
      </c>
      <c r="Q13" s="32">
        <f t="shared" si="5"/>
        <v>0.66796543296404154</v>
      </c>
      <c r="R13" s="32">
        <f t="shared" si="6"/>
        <v>0.55211658147234988</v>
      </c>
      <c r="S13" s="34">
        <f t="shared" si="7"/>
        <v>12.334992300983746</v>
      </c>
      <c r="T13" s="26">
        <f t="shared" si="12"/>
        <v>5.9274851290865432E-5</v>
      </c>
      <c r="U13" s="29">
        <f t="shared" si="8"/>
        <v>0.16753932957045453</v>
      </c>
      <c r="W13" s="33">
        <v>6.6770544142855607E-3</v>
      </c>
      <c r="X13" s="32">
        <f t="shared" si="13"/>
        <v>8.177688149898811E-3</v>
      </c>
      <c r="Y13" s="32">
        <f t="shared" si="14"/>
        <v>0.28374044658941594</v>
      </c>
      <c r="Z13" s="32">
        <f t="shared" si="15"/>
        <v>0.61169535194019931</v>
      </c>
      <c r="AA13" s="32">
        <f t="shared" si="16"/>
        <v>0.38320206130171697</v>
      </c>
      <c r="AB13" s="34">
        <f t="shared" si="9"/>
        <v>12.334980703204566</v>
      </c>
      <c r="AC13" s="26">
        <f t="shared" si="17"/>
        <v>1.3450848190096838E-4</v>
      </c>
      <c r="AD13" s="35">
        <f t="shared" si="10"/>
        <v>9.6114878513424554E-2</v>
      </c>
    </row>
    <row r="14" spans="2:30" x14ac:dyDescent="0.3">
      <c r="C14" s="2"/>
      <c r="D14" s="5">
        <v>44326</v>
      </c>
      <c r="E14" s="11">
        <f t="shared" si="0"/>
        <v>2</v>
      </c>
      <c r="F14" s="6">
        <v>1.0030835684305057</v>
      </c>
      <c r="G14" s="9">
        <f>(F13/F14-1)/deltat</f>
        <v>7.8903423850729126E-4</v>
      </c>
      <c r="H14" s="12"/>
      <c r="I14" s="17">
        <f t="shared" si="1"/>
        <v>2</v>
      </c>
      <c r="J14" s="43">
        <v>16.73</v>
      </c>
      <c r="K14" s="11"/>
      <c r="L14" s="33">
        <v>0.33543472115617873</v>
      </c>
      <c r="M14" s="32">
        <f t="shared" si="2"/>
        <v>9.4954085192868021E-2</v>
      </c>
      <c r="N14" s="32">
        <f t="shared" si="11"/>
        <v>0.44373842663777263</v>
      </c>
      <c r="O14" s="32">
        <f t="shared" si="3"/>
        <v>0.4358558313189087</v>
      </c>
      <c r="P14" s="32">
        <f t="shared" si="4"/>
        <v>-7.8825953188638997E-3</v>
      </c>
      <c r="Q14" s="32">
        <f t="shared" si="5"/>
        <v>0.66852933351323618</v>
      </c>
      <c r="R14" s="32">
        <f t="shared" si="6"/>
        <v>0.496855332013864</v>
      </c>
      <c r="S14" s="34">
        <f t="shared" si="7"/>
        <v>16.729987581736783</v>
      </c>
      <c r="T14" s="26">
        <f t="shared" si="12"/>
        <v>1.5421326134505987E-4</v>
      </c>
      <c r="U14" s="29">
        <f t="shared" si="8"/>
        <v>0.16764769736523116</v>
      </c>
      <c r="W14" s="33">
        <v>9.1411446496495533E-3</v>
      </c>
      <c r="X14" s="32">
        <f t="shared" si="13"/>
        <v>1.2092597720720686E-2</v>
      </c>
      <c r="Y14" s="32">
        <f t="shared" si="14"/>
        <v>0.21574377155114496</v>
      </c>
      <c r="Z14" s="32">
        <f t="shared" si="15"/>
        <v>0.58540626009111008</v>
      </c>
      <c r="AA14" s="32">
        <f t="shared" si="16"/>
        <v>0.38976502529165247</v>
      </c>
      <c r="AB14" s="34">
        <f t="shared" si="9"/>
        <v>16.729973051409765</v>
      </c>
      <c r="AC14" s="26">
        <f t="shared" si="17"/>
        <v>2.1113040325107741E-4</v>
      </c>
      <c r="AD14" s="35">
        <f t="shared" si="10"/>
        <v>9.7741723104739262E-2</v>
      </c>
    </row>
    <row r="15" spans="2:30" x14ac:dyDescent="0.3">
      <c r="C15" s="2"/>
      <c r="D15" s="5">
        <v>44418</v>
      </c>
      <c r="E15" s="11">
        <f t="shared" si="0"/>
        <v>2.25</v>
      </c>
      <c r="F15" s="6">
        <v>1.0022247123476828</v>
      </c>
      <c r="G15" s="9">
        <f>(F14/F15-1)/deltat</f>
        <v>3.4277984657196114E-3</v>
      </c>
      <c r="H15" s="12"/>
      <c r="I15" s="17">
        <f t="shared" si="1"/>
        <v>2.25</v>
      </c>
      <c r="J15" s="43">
        <v>19.875</v>
      </c>
      <c r="K15" s="11"/>
      <c r="L15" s="33">
        <v>0.27548909881145828</v>
      </c>
      <c r="M15" s="32">
        <f t="shared" si="2"/>
        <v>0.17718333303949421</v>
      </c>
      <c r="N15" s="32">
        <f t="shared" si="11"/>
        <v>0.38960041982510601</v>
      </c>
      <c r="O15" s="32">
        <f t="shared" si="3"/>
        <v>0.64958240218799479</v>
      </c>
      <c r="P15" s="32">
        <f t="shared" si="4"/>
        <v>0.25998198236288883</v>
      </c>
      <c r="Q15" s="32">
        <f t="shared" si="5"/>
        <v>0.74201899834085761</v>
      </c>
      <c r="R15" s="32">
        <f t="shared" si="6"/>
        <v>0.60256116408249816</v>
      </c>
      <c r="S15" s="34">
        <f t="shared" si="7"/>
        <v>19.874990336490608</v>
      </c>
      <c r="T15" s="26">
        <f t="shared" si="12"/>
        <v>9.3383413765399219E-5</v>
      </c>
      <c r="U15" s="29">
        <f t="shared" si="8"/>
        <v>0.18591744429217044</v>
      </c>
      <c r="W15" s="33">
        <v>7.9065899592243322E-3</v>
      </c>
      <c r="X15" s="32">
        <f t="shared" si="13"/>
        <v>1.1181606752457988E-2</v>
      </c>
      <c r="Y15" s="32">
        <f t="shared" si="14"/>
        <v>0.45766029718768075</v>
      </c>
      <c r="Z15" s="32">
        <f t="shared" si="15"/>
        <v>0.67640174186365787</v>
      </c>
      <c r="AA15" s="32">
        <f t="shared" si="16"/>
        <v>0.35927577603706407</v>
      </c>
      <c r="AB15" s="34">
        <f t="shared" si="9"/>
        <v>19.874972200846145</v>
      </c>
      <c r="AC15" s="26">
        <f t="shared" si="17"/>
        <v>3.289016001069421E-4</v>
      </c>
      <c r="AD15" s="35">
        <f t="shared" si="10"/>
        <v>9.001876532305926E-2</v>
      </c>
    </row>
    <row r="16" spans="2:30" x14ac:dyDescent="0.3">
      <c r="C16" s="2"/>
      <c r="D16" s="5">
        <v>44510</v>
      </c>
      <c r="E16" s="11">
        <f t="shared" si="0"/>
        <v>2.5</v>
      </c>
      <c r="F16" s="6">
        <v>1.0012336584122741</v>
      </c>
      <c r="G16" s="9">
        <f>(F15/F16-1)/deltat</f>
        <v>3.959331279295597E-3</v>
      </c>
      <c r="H16" s="12"/>
      <c r="I16" s="17">
        <f t="shared" si="1"/>
        <v>2.5</v>
      </c>
      <c r="J16" s="43">
        <v>24.986999999999998</v>
      </c>
      <c r="K16" s="11"/>
      <c r="L16" s="33">
        <v>0.36024922388692393</v>
      </c>
      <c r="M16" s="32">
        <f t="shared" si="2"/>
        <v>0.19295915965167296</v>
      </c>
      <c r="N16" s="32">
        <f t="shared" si="11"/>
        <v>0.5403738358303859</v>
      </c>
      <c r="O16" s="32">
        <f t="shared" si="3"/>
        <v>0.62727148947879385</v>
      </c>
      <c r="P16" s="32">
        <f t="shared" si="4"/>
        <v>8.6897653648407958E-2</v>
      </c>
      <c r="Q16" s="32">
        <f t="shared" si="5"/>
        <v>0.73475935562353678</v>
      </c>
      <c r="R16" s="32">
        <f t="shared" si="6"/>
        <v>0.53462356770799224</v>
      </c>
      <c r="S16" s="34">
        <f t="shared" si="7"/>
        <v>24.986978596082796</v>
      </c>
      <c r="T16" s="26">
        <f t="shared" si="12"/>
        <v>4.581276715977123E-4</v>
      </c>
      <c r="U16" s="29">
        <f t="shared" si="8"/>
        <v>0.18391644942089971</v>
      </c>
      <c r="W16" s="33">
        <v>1.0427951262925575E-2</v>
      </c>
      <c r="X16" s="32">
        <f t="shared" si="13"/>
        <v>1.5641926894388362E-2</v>
      </c>
      <c r="Y16" s="32">
        <f t="shared" si="14"/>
        <v>0.36143360663870444</v>
      </c>
      <c r="Z16" s="32">
        <f t="shared" si="15"/>
        <v>0.64111233545950852</v>
      </c>
      <c r="AA16" s="32">
        <f t="shared" si="16"/>
        <v>0.37371729646278445</v>
      </c>
      <c r="AB16" s="34">
        <f t="shared" si="9"/>
        <v>24.98695244859389</v>
      </c>
      <c r="AC16" s="26">
        <f t="shared" si="17"/>
        <v>6.836911761156848E-4</v>
      </c>
      <c r="AD16" s="35">
        <f t="shared" si="10"/>
        <v>9.3544583987344526E-2</v>
      </c>
    </row>
    <row r="17" spans="3:30" x14ac:dyDescent="0.3">
      <c r="C17" s="2"/>
      <c r="D17" s="5">
        <v>44602</v>
      </c>
      <c r="E17" s="11">
        <f t="shared" si="0"/>
        <v>2.75</v>
      </c>
      <c r="F17" s="6">
        <v>1.0002426044768653</v>
      </c>
      <c r="G17" s="9">
        <f>(F16/F17-1)/deltat</f>
        <v>3.9632542384140379E-3</v>
      </c>
      <c r="H17" s="12"/>
      <c r="I17" s="17">
        <f t="shared" si="1"/>
        <v>2.75</v>
      </c>
      <c r="J17" s="43">
        <v>31.32</v>
      </c>
      <c r="K17" s="11"/>
      <c r="L17" s="33">
        <v>0.48589918851572694</v>
      </c>
      <c r="M17" s="32">
        <f t="shared" si="2"/>
        <v>0.1930746723075267</v>
      </c>
      <c r="N17" s="32">
        <f t="shared" si="11"/>
        <v>0.76827407446861362</v>
      </c>
      <c r="O17" s="32">
        <f t="shared" si="3"/>
        <v>0.63544666582104425</v>
      </c>
      <c r="P17" s="32">
        <f t="shared" si="4"/>
        <v>-0.13282740864756942</v>
      </c>
      <c r="Q17" s="32">
        <f t="shared" si="5"/>
        <v>0.73743142958933461</v>
      </c>
      <c r="R17" s="32">
        <f t="shared" si="6"/>
        <v>0.44716493872665275</v>
      </c>
      <c r="S17" s="34">
        <f t="shared" si="7"/>
        <v>31.319978629563643</v>
      </c>
      <c r="T17" s="26">
        <f t="shared" si="12"/>
        <v>4.566955501063335E-4</v>
      </c>
      <c r="U17" s="29">
        <f t="shared" si="8"/>
        <v>0.18440258343888355</v>
      </c>
      <c r="W17" s="33">
        <v>1.3964783929622615E-2</v>
      </c>
      <c r="X17" s="32">
        <f t="shared" si="13"/>
        <v>2.2080262124861996E-2</v>
      </c>
      <c r="Y17" s="32">
        <f t="shared" si="14"/>
        <v>0.25750327574625831</v>
      </c>
      <c r="Z17" s="32">
        <f t="shared" si="15"/>
        <v>0.60160485656585583</v>
      </c>
      <c r="AA17" s="32">
        <f t="shared" si="16"/>
        <v>0.38593261329457385</v>
      </c>
      <c r="AB17" s="34">
        <f t="shared" si="9"/>
        <v>31.319947130823504</v>
      </c>
      <c r="AC17" s="26">
        <f t="shared" si="17"/>
        <v>9.9217063033529037E-4</v>
      </c>
      <c r="AD17" s="35">
        <f t="shared" si="10"/>
        <v>9.6506560568581853E-2</v>
      </c>
    </row>
    <row r="18" spans="3:30" ht="17.25" thickBot="1" x14ac:dyDescent="0.35">
      <c r="C18" s="2"/>
      <c r="D18" s="5">
        <v>44691</v>
      </c>
      <c r="E18" s="11">
        <f t="shared" si="0"/>
        <v>3</v>
      </c>
      <c r="F18" s="6">
        <v>0.99925155054145653</v>
      </c>
      <c r="G18" s="9">
        <f>(F17/F18-1)/deltat</f>
        <v>3.9671849790847702E-3</v>
      </c>
      <c r="H18" s="12"/>
      <c r="I18" s="14">
        <f t="shared" si="1"/>
        <v>3</v>
      </c>
      <c r="J18" s="44">
        <v>35.340000000000003</v>
      </c>
      <c r="K18" s="11"/>
      <c r="L18" s="33">
        <v>0.55232799859184589</v>
      </c>
      <c r="M18" s="32">
        <f t="shared" si="2"/>
        <v>0.19319040071206514</v>
      </c>
      <c r="N18" s="32">
        <f t="shared" si="11"/>
        <v>0.91593236626854924</v>
      </c>
      <c r="O18" s="32">
        <f t="shared" si="3"/>
        <v>0.66888830776571506</v>
      </c>
      <c r="P18" s="32">
        <f t="shared" si="4"/>
        <v>-0.24704405850283412</v>
      </c>
      <c r="Q18" s="32">
        <f t="shared" si="5"/>
        <v>0.74821663538201488</v>
      </c>
      <c r="R18" s="32">
        <f t="shared" si="6"/>
        <v>0.402437063406268</v>
      </c>
      <c r="S18" s="34">
        <f t="shared" si="7"/>
        <v>35.339967716531611</v>
      </c>
      <c r="T18" s="26">
        <f t="shared" si="12"/>
        <v>1.042222331468325E-3</v>
      </c>
      <c r="U18" s="29">
        <f t="shared" si="8"/>
        <v>0.18691415826159749</v>
      </c>
      <c r="W18" s="33">
        <v>1.578049309278327E-2</v>
      </c>
      <c r="X18" s="32">
        <f t="shared" si="13"/>
        <v>2.6168987297778574E-2</v>
      </c>
      <c r="Y18" s="32">
        <f t="shared" si="14"/>
        <v>0.21831737663219289</v>
      </c>
      <c r="Z18" s="32">
        <f t="shared" si="15"/>
        <v>0.58640908180467988</v>
      </c>
      <c r="AA18" s="32">
        <f t="shared" si="16"/>
        <v>0.38954738243957365</v>
      </c>
      <c r="AB18" s="34">
        <f t="shared" si="9"/>
        <v>35.33993105301392</v>
      </c>
      <c r="AC18" s="26">
        <f t="shared" si="17"/>
        <v>1.3442135294248789E-3</v>
      </c>
      <c r="AD18" s="35">
        <f t="shared" si="10"/>
        <v>9.731395647802743E-2</v>
      </c>
    </row>
    <row r="19" spans="3:30" x14ac:dyDescent="0.3">
      <c r="C19" s="2"/>
      <c r="D19" s="5">
        <v>44783</v>
      </c>
      <c r="E19" s="11">
        <f t="shared" si="0"/>
        <v>3.25</v>
      </c>
      <c r="F19" s="6">
        <v>0.99751300385359953</v>
      </c>
      <c r="G19" s="9">
        <f>(F18/F19-1)/deltat</f>
        <v>6.9715249070059215E-3</v>
      </c>
      <c r="H19" s="12"/>
      <c r="K19" s="11"/>
      <c r="S19" s="21"/>
      <c r="T19" s="26">
        <f>SUM(T8:T18)</f>
        <v>-0.44533328583670501</v>
      </c>
    </row>
    <row r="20" spans="3:30" x14ac:dyDescent="0.3">
      <c r="C20" s="2"/>
      <c r="D20" s="5">
        <v>44875</v>
      </c>
      <c r="E20" s="11">
        <f t="shared" si="0"/>
        <v>3.5</v>
      </c>
      <c r="F20" s="6">
        <v>0.99553262127524467</v>
      </c>
      <c r="G20" s="9">
        <f>(F19/F20-1)/deltat</f>
        <v>7.9570775925681403E-3</v>
      </c>
      <c r="H20" s="12"/>
      <c r="K20" s="11"/>
      <c r="S20" s="21"/>
    </row>
    <row r="21" spans="3:30" x14ac:dyDescent="0.3">
      <c r="C21" s="2"/>
      <c r="D21" s="5">
        <v>44967</v>
      </c>
      <c r="E21" s="11">
        <f t="shared" si="0"/>
        <v>3.75</v>
      </c>
      <c r="F21" s="6">
        <v>0.99355223869688969</v>
      </c>
      <c r="G21" s="9">
        <f>(F20/F21-1)/deltat</f>
        <v>7.9729379139736878E-3</v>
      </c>
      <c r="H21" s="12"/>
      <c r="K21" s="11"/>
      <c r="S21" s="21"/>
    </row>
    <row r="22" spans="3:30" x14ac:dyDescent="0.3">
      <c r="C22" s="2"/>
      <c r="D22" s="5">
        <v>45056</v>
      </c>
      <c r="E22" s="11">
        <f t="shared" si="0"/>
        <v>4</v>
      </c>
      <c r="F22" s="6">
        <v>0.99157185611853482</v>
      </c>
      <c r="G22" s="9">
        <f>(F21/F22-1)/deltat</f>
        <v>7.9888615883350056E-3</v>
      </c>
      <c r="H22" s="12"/>
      <c r="K22" s="11"/>
      <c r="S22" s="21"/>
    </row>
    <row r="23" spans="3:30" x14ac:dyDescent="0.3">
      <c r="C23" s="2"/>
      <c r="D23" s="5">
        <v>45148</v>
      </c>
      <c r="E23" s="11">
        <f t="shared" si="0"/>
        <v>4.25</v>
      </c>
      <c r="F23" s="6">
        <v>0.98906917256902982</v>
      </c>
      <c r="G23" s="9">
        <f>(F22/F23-1)/deltat</f>
        <v>1.0121369137426228E-2</v>
      </c>
      <c r="H23" s="12"/>
      <c r="K23" s="11"/>
      <c r="S23" s="21"/>
    </row>
    <row r="24" spans="3:30" x14ac:dyDescent="0.3">
      <c r="C24" s="2"/>
      <c r="D24" s="5">
        <v>45240</v>
      </c>
      <c r="E24" s="11">
        <f t="shared" si="0"/>
        <v>4.5</v>
      </c>
      <c r="F24" s="6">
        <v>0.98635430424999515</v>
      </c>
      <c r="G24" s="9">
        <f>(F23/F24-1)/deltat</f>
        <v>1.1009708407361707E-2</v>
      </c>
      <c r="H24" s="12"/>
      <c r="K24" s="11"/>
      <c r="S24" s="21"/>
    </row>
    <row r="25" spans="3:30" x14ac:dyDescent="0.3">
      <c r="C25" s="2"/>
      <c r="D25" s="5">
        <v>45332</v>
      </c>
      <c r="E25" s="11">
        <f t="shared" si="0"/>
        <v>4.75</v>
      </c>
      <c r="F25" s="6">
        <v>0.98363943593096059</v>
      </c>
      <c r="G25" s="9">
        <f>(F24/F25-1)/deltat</f>
        <v>1.1040095465326694E-2</v>
      </c>
      <c r="H25" s="12"/>
      <c r="K25" s="11"/>
      <c r="S25" s="21"/>
    </row>
    <row r="26" spans="3:30" x14ac:dyDescent="0.3">
      <c r="C26" s="2"/>
      <c r="D26" s="5">
        <v>45422</v>
      </c>
      <c r="E26" s="11">
        <f t="shared" si="0"/>
        <v>5</v>
      </c>
      <c r="F26" s="6">
        <v>0.98092456761192592</v>
      </c>
      <c r="G26" s="9">
        <f>(F25/F26-1)/deltat</f>
        <v>1.1070650725545583E-2</v>
      </c>
      <c r="H26" s="12"/>
      <c r="K26" s="11"/>
      <c r="S26" s="21"/>
    </row>
    <row r="27" spans="3:30" x14ac:dyDescent="0.3">
      <c r="C27" s="2"/>
      <c r="D27" s="5">
        <v>45514</v>
      </c>
      <c r="E27" s="11">
        <f t="shared" si="0"/>
        <v>5.25</v>
      </c>
      <c r="F27" s="6">
        <v>0.97796397893201248</v>
      </c>
      <c r="G27" s="9">
        <f>(F26/F27-1)/deltat</f>
        <v>1.2109193155136921E-2</v>
      </c>
      <c r="H27" s="12"/>
      <c r="K27" s="11"/>
      <c r="S27" s="21"/>
    </row>
    <row r="28" spans="3:30" x14ac:dyDescent="0.3">
      <c r="C28" s="2"/>
      <c r="D28" s="5">
        <v>45606</v>
      </c>
      <c r="E28" s="11">
        <f t="shared" si="0"/>
        <v>5.5</v>
      </c>
      <c r="F28" s="6">
        <v>0.97488053007165976</v>
      </c>
      <c r="G28" s="9">
        <f>(F27/F28-1)/deltat</f>
        <v>1.2651596847979008E-2</v>
      </c>
      <c r="H28" s="12"/>
      <c r="K28" s="11"/>
      <c r="S28" s="21"/>
    </row>
    <row r="29" spans="3:30" x14ac:dyDescent="0.3">
      <c r="C29" s="2"/>
      <c r="D29" s="5">
        <v>45698</v>
      </c>
      <c r="E29" s="11">
        <f t="shared" si="0"/>
        <v>5.75</v>
      </c>
      <c r="F29" s="6">
        <v>0.97179708121130692</v>
      </c>
      <c r="G29" s="9">
        <f>(F28/F29-1)/deltat</f>
        <v>1.2691739540972691E-2</v>
      </c>
      <c r="H29" s="12"/>
      <c r="K29" s="11"/>
      <c r="S29" s="21"/>
    </row>
    <row r="30" spans="3:30" x14ac:dyDescent="0.3">
      <c r="C30" s="2"/>
      <c r="D30" s="5">
        <v>45787</v>
      </c>
      <c r="E30" s="11">
        <f t="shared" si="0"/>
        <v>6</v>
      </c>
      <c r="F30" s="6">
        <v>0.9687136323509542</v>
      </c>
      <c r="G30" s="9">
        <f>(F29/F30-1)/deltat</f>
        <v>1.2732137785114617E-2</v>
      </c>
      <c r="H30" s="12"/>
      <c r="K30" s="11"/>
      <c r="S30" s="21"/>
    </row>
    <row r="31" spans="3:30" x14ac:dyDescent="0.3">
      <c r="C31" s="2"/>
      <c r="D31" s="5">
        <v>45879</v>
      </c>
      <c r="E31" s="11">
        <f t="shared" si="0"/>
        <v>6.25</v>
      </c>
      <c r="F31" s="6">
        <v>0.96536641173985649</v>
      </c>
      <c r="G31" s="9">
        <f>(F30/F31-1)/deltat</f>
        <v>1.3869223417728449E-2</v>
      </c>
      <c r="H31" s="12"/>
      <c r="K31" s="11"/>
      <c r="S31" s="21"/>
    </row>
    <row r="32" spans="3:30" x14ac:dyDescent="0.3">
      <c r="C32" s="2"/>
      <c r="D32" s="5">
        <v>45971</v>
      </c>
      <c r="E32" s="11">
        <f t="shared" si="0"/>
        <v>6.5</v>
      </c>
      <c r="F32" s="6">
        <v>0.96184334329492871</v>
      </c>
      <c r="G32" s="9">
        <f>(F31/F32-1)/deltat</f>
        <v>1.4651319134190821E-2</v>
      </c>
      <c r="H32" s="12"/>
      <c r="K32" s="11"/>
      <c r="S32" s="21"/>
    </row>
    <row r="33" spans="3:19" x14ac:dyDescent="0.3">
      <c r="C33" s="2"/>
      <c r="D33" s="5">
        <v>46063</v>
      </c>
      <c r="E33" s="11">
        <f t="shared" si="0"/>
        <v>6.75</v>
      </c>
      <c r="F33" s="6">
        <v>0.95832027485000104</v>
      </c>
      <c r="G33" s="9">
        <f>(F32/F33-1)/deltat</f>
        <v>1.4705181711736515E-2</v>
      </c>
      <c r="H33" s="12"/>
      <c r="K33" s="11"/>
      <c r="S33" s="21"/>
    </row>
    <row r="34" spans="3:19" x14ac:dyDescent="0.3">
      <c r="C34" s="2"/>
      <c r="D34" s="5">
        <v>46152</v>
      </c>
      <c r="E34" s="11">
        <f t="shared" si="0"/>
        <v>7</v>
      </c>
      <c r="F34" s="6">
        <v>0.95479720640507337</v>
      </c>
      <c r="G34" s="9">
        <f>(F33/F34-1)/deltat</f>
        <v>1.4759441780071825E-2</v>
      </c>
      <c r="H34" s="12"/>
      <c r="K34" s="11"/>
      <c r="S34" s="21"/>
    </row>
    <row r="35" spans="3:19" x14ac:dyDescent="0.3">
      <c r="D35" s="5">
        <v>46244</v>
      </c>
      <c r="E35" s="11">
        <f t="shared" si="0"/>
        <v>7.25</v>
      </c>
      <c r="F35" s="6">
        <v>0.95106143685306455</v>
      </c>
      <c r="G35" s="9">
        <f>(F34/F35-1)/deltat</f>
        <v>1.5712000959139161E-2</v>
      </c>
      <c r="H35" s="12"/>
      <c r="K35" s="11"/>
      <c r="S35" s="21"/>
    </row>
    <row r="36" spans="3:19" ht="17.25" thickBot="1" x14ac:dyDescent="0.35">
      <c r="D36" s="7">
        <v>46336</v>
      </c>
      <c r="E36" s="31">
        <f t="shared" si="0"/>
        <v>7.5</v>
      </c>
      <c r="F36" s="8">
        <v>0.94714769290533485</v>
      </c>
      <c r="G36" s="9">
        <f>(F35/F36-1)/deltat</f>
        <v>1.6528547668102078E-2</v>
      </c>
      <c r="H36" s="12"/>
      <c r="K36" s="11"/>
      <c r="S36" s="21"/>
    </row>
  </sheetData>
  <mergeCells count="1">
    <mergeCell ref="I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deltat</vt:lpstr>
      <vt:lpstr>K</vt:lpstr>
      <vt:lpstr>Nom</vt:lpstr>
      <vt:lpstr>shift</vt:lpstr>
    </vt:vector>
  </TitlesOfParts>
  <Company>Analistas Financieros Internacionales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José Javier Calderón Coronado</cp:lastModifiedBy>
  <dcterms:created xsi:type="dcterms:W3CDTF">2018-05-16T09:52:59Z</dcterms:created>
  <dcterms:modified xsi:type="dcterms:W3CDTF">2023-03-09T13:21:04Z</dcterms:modified>
</cp:coreProperties>
</file>