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lvarofelipepupuchemorales/Desktop/Proyecto Economia/assets/"/>
    </mc:Choice>
  </mc:AlternateContent>
  <xr:revisionPtr revIDLastSave="0" documentId="13_ncr:1_{F7A8FBB9-EF8D-F041-859E-D1F5F9CCD28B}" xr6:coauthVersionLast="47" xr6:coauthVersionMax="47" xr10:uidLastSave="{00000000-0000-0000-0000-000000000000}"/>
  <bookViews>
    <workbookView xWindow="7660" yWindow="760" windowWidth="22580" windowHeight="17140" activeTab="3" xr2:uid="{00000000-000D-0000-FFFF-FFFF00000000}"/>
  </bookViews>
  <sheets>
    <sheet name="PALTA HASS activos" sheetId="1" r:id="rId1"/>
    <sheet name="INSTALACION Y SIEMBRA" sheetId="4" r:id="rId2"/>
    <sheet name="Invversión Financiación" sheetId="43" r:id="rId3"/>
    <sheet name="Costos Agricolas 01 ha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2" l="1"/>
  <c r="E88" i="2"/>
  <c r="M37" i="43"/>
  <c r="L15" i="43"/>
  <c r="J97" i="2" l="1"/>
  <c r="J95" i="2"/>
  <c r="P130" i="2"/>
  <c r="J96" i="2" l="1"/>
  <c r="L33" i="43"/>
  <c r="L34" i="43"/>
  <c r="L27" i="43"/>
  <c r="K94" i="2" l="1"/>
  <c r="N15" i="43"/>
  <c r="N27" i="43" s="1"/>
  <c r="H126" i="2" l="1"/>
  <c r="G130" i="2" s="1"/>
  <c r="K95" i="2"/>
  <c r="H127" i="2" l="1"/>
  <c r="L5" i="43"/>
  <c r="N5" i="43" s="1"/>
  <c r="L8" i="43"/>
  <c r="G5" i="43"/>
  <c r="E7" i="43"/>
  <c r="G119" i="2"/>
  <c r="H119" i="2"/>
  <c r="E8" i="43" l="1"/>
  <c r="H107" i="2" l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N45" i="2" l="1"/>
  <c r="AG44" i="2" s="1"/>
  <c r="H109" i="2"/>
  <c r="G109" i="2"/>
  <c r="X29" i="2"/>
  <c r="Y29" i="2"/>
  <c r="Z29" i="2"/>
  <c r="AA29" i="2"/>
  <c r="W29" i="2"/>
  <c r="N109" i="2" l="1"/>
  <c r="T45" i="2"/>
  <c r="T109" i="2" s="1"/>
  <c r="V45" i="2"/>
  <c r="V109" i="2" s="1"/>
  <c r="I45" i="2"/>
  <c r="AB44" i="2" s="1"/>
  <c r="Q45" i="2"/>
  <c r="J45" i="2"/>
  <c r="AC44" i="2" s="1"/>
  <c r="R45" i="2"/>
  <c r="R109" i="2" s="1"/>
  <c r="M45" i="2"/>
  <c r="AF44" i="2" s="1"/>
  <c r="U45" i="2"/>
  <c r="U109" i="2" s="1"/>
  <c r="K45" i="2"/>
  <c r="AD44" i="2" s="1"/>
  <c r="O45" i="2"/>
  <c r="AH44" i="2" s="1"/>
  <c r="S45" i="2"/>
  <c r="S109" i="2" s="1"/>
  <c r="L45" i="2"/>
  <c r="AE44" i="2" s="1"/>
  <c r="P45" i="2"/>
  <c r="AI44" i="2" s="1"/>
  <c r="X31" i="2"/>
  <c r="Y31" i="2"/>
  <c r="Z31" i="2"/>
  <c r="AA31" i="2"/>
  <c r="W31" i="2"/>
  <c r="M109" i="2" l="1"/>
  <c r="X45" i="2"/>
  <c r="O109" i="2"/>
  <c r="P109" i="2"/>
  <c r="Z45" i="2"/>
  <c r="Y45" i="2"/>
  <c r="AA45" i="2"/>
  <c r="Q109" i="2"/>
  <c r="L109" i="2"/>
  <c r="I109" i="2"/>
  <c r="K109" i="2"/>
  <c r="J109" i="2"/>
  <c r="T46" i="2" l="1"/>
  <c r="E48" i="2"/>
  <c r="R48" i="2" s="1"/>
  <c r="E55" i="2"/>
  <c r="E80" i="2"/>
  <c r="F80" i="2"/>
  <c r="G80" i="2"/>
  <c r="G110" i="2" s="1"/>
  <c r="G82" i="2"/>
  <c r="G112" i="2" s="1"/>
  <c r="H82" i="2"/>
  <c r="H112" i="2" s="1"/>
  <c r="I82" i="2"/>
  <c r="I112" i="2" s="1"/>
  <c r="J82" i="2"/>
  <c r="J112" i="2" s="1"/>
  <c r="K82" i="2"/>
  <c r="K112" i="2" s="1"/>
  <c r="L82" i="2"/>
  <c r="L112" i="2" s="1"/>
  <c r="M82" i="2"/>
  <c r="M112" i="2" s="1"/>
  <c r="N82" i="2"/>
  <c r="N112" i="2" s="1"/>
  <c r="O82" i="2"/>
  <c r="O112" i="2" s="1"/>
  <c r="P82" i="2"/>
  <c r="P112" i="2" s="1"/>
  <c r="Q82" i="2"/>
  <c r="Q112" i="2" s="1"/>
  <c r="R82" i="2"/>
  <c r="R112" i="2" s="1"/>
  <c r="S82" i="2"/>
  <c r="S112" i="2" s="1"/>
  <c r="T82" i="2"/>
  <c r="T112" i="2" s="1"/>
  <c r="U82" i="2"/>
  <c r="U112" i="2" s="1"/>
  <c r="V82" i="2"/>
  <c r="V112" i="2" s="1"/>
  <c r="P3" i="2"/>
  <c r="J52" i="1"/>
  <c r="B10" i="4"/>
  <c r="B26" i="4"/>
  <c r="I18" i="2"/>
  <c r="B10" i="1"/>
  <c r="G5" i="2"/>
  <c r="G26" i="2"/>
  <c r="G11" i="2" s="1"/>
  <c r="G39" i="2" s="1"/>
  <c r="B52" i="1"/>
  <c r="D52" i="1" s="1"/>
  <c r="B28" i="4"/>
  <c r="F23" i="2"/>
  <c r="C28" i="4"/>
  <c r="D28" i="4"/>
  <c r="E28" i="4"/>
  <c r="C26" i="4"/>
  <c r="C23" i="4"/>
  <c r="D23" i="4"/>
  <c r="E23" i="4"/>
  <c r="C19" i="4"/>
  <c r="D19" i="4"/>
  <c r="E19" i="4"/>
  <c r="D34" i="1"/>
  <c r="N18" i="2"/>
  <c r="O18" i="2"/>
  <c r="P18" i="2"/>
  <c r="Q18" i="2"/>
  <c r="R18" i="2"/>
  <c r="S18" i="2"/>
  <c r="T18" i="2"/>
  <c r="U18" i="2"/>
  <c r="M18" i="2"/>
  <c r="L18" i="2"/>
  <c r="K18" i="2"/>
  <c r="J18" i="2"/>
  <c r="H18" i="2"/>
  <c r="J26" i="2"/>
  <c r="J11" i="2" s="1"/>
  <c r="I26" i="2"/>
  <c r="I11" i="2" s="1"/>
  <c r="L26" i="2"/>
  <c r="L11" i="2" s="1"/>
  <c r="M26" i="2"/>
  <c r="M11" i="2" s="1"/>
  <c r="N26" i="2"/>
  <c r="N11" i="2" s="1"/>
  <c r="N39" i="2" s="1"/>
  <c r="O26" i="2"/>
  <c r="O11" i="2" s="1"/>
  <c r="P26" i="2"/>
  <c r="P11" i="2" s="1"/>
  <c r="Q26" i="2"/>
  <c r="Q11" i="2" s="1"/>
  <c r="Q39" i="2" s="1"/>
  <c r="R26" i="2"/>
  <c r="R11" i="2" s="1"/>
  <c r="R39" i="2" s="1"/>
  <c r="S26" i="2"/>
  <c r="S11" i="2" s="1"/>
  <c r="S38" i="2" s="1"/>
  <c r="T26" i="2"/>
  <c r="T11" i="2" s="1"/>
  <c r="U26" i="2"/>
  <c r="U11" i="2" s="1"/>
  <c r="U39" i="2" s="1"/>
  <c r="V26" i="2"/>
  <c r="V18" i="2"/>
  <c r="K26" i="2"/>
  <c r="K11" i="2" s="1"/>
  <c r="K39" i="2" s="1"/>
  <c r="H26" i="2"/>
  <c r="H11" i="2" s="1"/>
  <c r="H39" i="2" s="1"/>
  <c r="D49" i="1"/>
  <c r="H49" i="1"/>
  <c r="D48" i="1"/>
  <c r="H48" i="1" s="1"/>
  <c r="D47" i="1"/>
  <c r="H47" i="1"/>
  <c r="C28" i="1"/>
  <c r="D28" i="1" s="1"/>
  <c r="F28" i="1" s="1"/>
  <c r="C22" i="1"/>
  <c r="D22" i="1"/>
  <c r="G22" i="1"/>
  <c r="F15" i="2"/>
  <c r="F31" i="2"/>
  <c r="D50" i="1"/>
  <c r="H50" i="1"/>
  <c r="P9" i="2"/>
  <c r="Q9" i="2" s="1"/>
  <c r="R9" i="2" s="1"/>
  <c r="S9" i="2" s="1"/>
  <c r="T9" i="2" s="1"/>
  <c r="U9" i="2" s="1"/>
  <c r="V9" i="2" s="1"/>
  <c r="H9" i="2"/>
  <c r="I9" i="2" s="1"/>
  <c r="J9" i="2" s="1"/>
  <c r="K9" i="2" s="1"/>
  <c r="L9" i="2" s="1"/>
  <c r="M9" i="2" s="1"/>
  <c r="N9" i="2" s="1"/>
  <c r="P8" i="2"/>
  <c r="Q8" i="2" s="1"/>
  <c r="R8" i="2" s="1"/>
  <c r="S8" i="2" s="1"/>
  <c r="T8" i="2" s="1"/>
  <c r="U8" i="2" s="1"/>
  <c r="V8" i="2" s="1"/>
  <c r="H8" i="2"/>
  <c r="I8" i="2" s="1"/>
  <c r="J8" i="2" s="1"/>
  <c r="K8" i="2" s="1"/>
  <c r="L8" i="2" s="1"/>
  <c r="M8" i="2" s="1"/>
  <c r="N8" i="2" s="1"/>
  <c r="C43" i="1"/>
  <c r="D43" i="1" s="1"/>
  <c r="H43" i="1" s="1"/>
  <c r="C42" i="1"/>
  <c r="D42" i="1"/>
  <c r="H42" i="1" s="1"/>
  <c r="C39" i="1"/>
  <c r="D39" i="1" s="1"/>
  <c r="H39" i="1" s="1"/>
  <c r="C41" i="1"/>
  <c r="D41" i="1"/>
  <c r="H41" i="1" s="1"/>
  <c r="D38" i="1"/>
  <c r="C40" i="1"/>
  <c r="D40" i="1"/>
  <c r="H40" i="1" s="1"/>
  <c r="D26" i="4"/>
  <c r="E26" i="4"/>
  <c r="F22" i="2"/>
  <c r="E31" i="4"/>
  <c r="D31" i="4"/>
  <c r="E22" i="1" l="1"/>
  <c r="H22" i="1"/>
  <c r="E34" i="1"/>
  <c r="H34" i="1"/>
  <c r="B31" i="4"/>
  <c r="R38" i="2"/>
  <c r="R36" i="2" s="1"/>
  <c r="R41" i="2" s="1"/>
  <c r="H45" i="1"/>
  <c r="D45" i="1"/>
  <c r="E34" i="2"/>
  <c r="E52" i="1"/>
  <c r="G52" i="1" s="1"/>
  <c r="H52" i="1"/>
  <c r="D36" i="1"/>
  <c r="F36" i="1" s="1"/>
  <c r="H28" i="1"/>
  <c r="L28" i="1" s="1"/>
  <c r="H38" i="1"/>
  <c r="H36" i="1" s="1"/>
  <c r="G34" i="1"/>
  <c r="H26" i="1"/>
  <c r="Q38" i="2"/>
  <c r="Q36" i="2" s="1"/>
  <c r="Q41" i="2" s="1"/>
  <c r="K38" i="2"/>
  <c r="K36" i="2" s="1"/>
  <c r="K41" i="2" s="1"/>
  <c r="N38" i="2"/>
  <c r="N36" i="2" s="1"/>
  <c r="N41" i="2" s="1"/>
  <c r="V11" i="2"/>
  <c r="V39" i="2" s="1"/>
  <c r="H38" i="2"/>
  <c r="H36" i="2" s="1"/>
  <c r="H41" i="2" s="1"/>
  <c r="M39" i="2"/>
  <c r="M38" i="2"/>
  <c r="V48" i="2"/>
  <c r="V55" i="2" s="1"/>
  <c r="J48" i="2"/>
  <c r="J55" i="2" s="1"/>
  <c r="N48" i="2"/>
  <c r="N55" i="2" s="1"/>
  <c r="T53" i="2"/>
  <c r="K48" i="2"/>
  <c r="K55" i="2" s="1"/>
  <c r="O48" i="2"/>
  <c r="O55" i="2" s="1"/>
  <c r="S48" i="2"/>
  <c r="S55" i="2" s="1"/>
  <c r="L48" i="2"/>
  <c r="L55" i="2" s="1"/>
  <c r="P48" i="2"/>
  <c r="P55" i="2" s="1"/>
  <c r="T48" i="2"/>
  <c r="T55" i="2" s="1"/>
  <c r="H48" i="2"/>
  <c r="H55" i="2" s="1"/>
  <c r="I48" i="2"/>
  <c r="I55" i="2" s="1"/>
  <c r="M48" i="2"/>
  <c r="M55" i="2" s="1"/>
  <c r="Q48" i="2"/>
  <c r="Q55" i="2" s="1"/>
  <c r="U48" i="2"/>
  <c r="U55" i="2" s="1"/>
  <c r="K46" i="2"/>
  <c r="K53" i="2" s="1"/>
  <c r="P39" i="2"/>
  <c r="P38" i="2"/>
  <c r="G38" i="2"/>
  <c r="G36" i="2" s="1"/>
  <c r="G41" i="2" s="1"/>
  <c r="O38" i="2"/>
  <c r="O39" i="2"/>
  <c r="L39" i="2"/>
  <c r="J38" i="2"/>
  <c r="U38" i="2"/>
  <c r="U36" i="2" s="1"/>
  <c r="U41" i="2" s="1"/>
  <c r="L38" i="2"/>
  <c r="T39" i="2"/>
  <c r="J39" i="2"/>
  <c r="T38" i="2"/>
  <c r="F11" i="2"/>
  <c r="F41" i="2" s="1"/>
  <c r="S39" i="2"/>
  <c r="S36" i="2" s="1"/>
  <c r="S41" i="2" s="1"/>
  <c r="I39" i="2"/>
  <c r="I38" i="2"/>
  <c r="U46" i="2"/>
  <c r="U53" i="2" s="1"/>
  <c r="M46" i="2"/>
  <c r="M53" i="2" s="1"/>
  <c r="I46" i="2"/>
  <c r="I53" i="2" s="1"/>
  <c r="R46" i="2"/>
  <c r="R53" i="2" s="1"/>
  <c r="R55" i="2"/>
  <c r="P46" i="2"/>
  <c r="P53" i="2" s="1"/>
  <c r="S46" i="2"/>
  <c r="S53" i="2" s="1"/>
  <c r="H46" i="2"/>
  <c r="H53" i="2" s="1"/>
  <c r="J46" i="2"/>
  <c r="J53" i="2" s="1"/>
  <c r="N46" i="2"/>
  <c r="N53" i="2" s="1"/>
  <c r="Q46" i="2"/>
  <c r="Q53" i="2" s="1"/>
  <c r="V46" i="2"/>
  <c r="V53" i="2" s="1"/>
  <c r="L46" i="2"/>
  <c r="L53" i="2" s="1"/>
  <c r="O46" i="2"/>
  <c r="O53" i="2" s="1"/>
  <c r="H56" i="1" l="1"/>
  <c r="E31" i="2"/>
  <c r="G56" i="1"/>
  <c r="H58" i="1" s="1"/>
  <c r="E32" i="2"/>
  <c r="F45" i="1"/>
  <c r="F56" i="1" s="1"/>
  <c r="D56" i="1"/>
  <c r="D57" i="1" s="1"/>
  <c r="L45" i="1"/>
  <c r="E56" i="1"/>
  <c r="N81" i="2"/>
  <c r="N111" i="2" s="1"/>
  <c r="L36" i="1"/>
  <c r="L52" i="1"/>
  <c r="E33" i="2"/>
  <c r="L56" i="1"/>
  <c r="E30" i="2"/>
  <c r="Q81" i="2"/>
  <c r="Q111" i="2" s="1"/>
  <c r="R81" i="2"/>
  <c r="R111" i="2" s="1"/>
  <c r="M36" i="2"/>
  <c r="M41" i="2" s="1"/>
  <c r="I36" i="2"/>
  <c r="I41" i="2" s="1"/>
  <c r="P36" i="2"/>
  <c r="P41" i="2" s="1"/>
  <c r="V38" i="2"/>
  <c r="V36" i="2" s="1"/>
  <c r="V41" i="2" s="1"/>
  <c r="K81" i="2"/>
  <c r="K111" i="2" s="1"/>
  <c r="S81" i="2"/>
  <c r="S111" i="2" s="1"/>
  <c r="U81" i="2"/>
  <c r="U111" i="2" s="1"/>
  <c r="H81" i="2"/>
  <c r="H111" i="2" s="1"/>
  <c r="T36" i="2"/>
  <c r="T41" i="2" s="1"/>
  <c r="N58" i="2"/>
  <c r="N60" i="2" s="1"/>
  <c r="J58" i="2"/>
  <c r="J57" i="2" s="1"/>
  <c r="S58" i="2"/>
  <c r="S60" i="2" s="1"/>
  <c r="T58" i="2"/>
  <c r="T57" i="2" s="1"/>
  <c r="T80" i="2" s="1"/>
  <c r="M58" i="2"/>
  <c r="M57" i="2" s="1"/>
  <c r="K58" i="2"/>
  <c r="K60" i="2" s="1"/>
  <c r="P58" i="2"/>
  <c r="P57" i="2" s="1"/>
  <c r="P80" i="2" s="1"/>
  <c r="P110" i="2" s="1"/>
  <c r="Q58" i="2"/>
  <c r="Q60" i="2" s="1"/>
  <c r="V58" i="2"/>
  <c r="V57" i="2" s="1"/>
  <c r="V80" i="2" s="1"/>
  <c r="U58" i="2"/>
  <c r="U57" i="2" s="1"/>
  <c r="U80" i="2" s="1"/>
  <c r="H58" i="2"/>
  <c r="H57" i="2" s="1"/>
  <c r="H80" i="2" s="1"/>
  <c r="H110" i="2" s="1"/>
  <c r="I58" i="2"/>
  <c r="I57" i="2" s="1"/>
  <c r="I80" i="2" s="1"/>
  <c r="I110" i="2" s="1"/>
  <c r="G60" i="2"/>
  <c r="G62" i="2"/>
  <c r="G64" i="2" s="1"/>
  <c r="G81" i="2"/>
  <c r="G111" i="2" s="1"/>
  <c r="G113" i="2" s="1"/>
  <c r="L36" i="2"/>
  <c r="L41" i="2" s="1"/>
  <c r="F87" i="2"/>
  <c r="F64" i="2"/>
  <c r="J36" i="2"/>
  <c r="J41" i="2" s="1"/>
  <c r="O36" i="2"/>
  <c r="O41" i="2" s="1"/>
  <c r="R58" i="2"/>
  <c r="R60" i="2" s="1"/>
  <c r="O58" i="2"/>
  <c r="O57" i="2" s="1"/>
  <c r="L58" i="2"/>
  <c r="L16" i="43" l="1"/>
  <c r="E119" i="2"/>
  <c r="L6" i="43"/>
  <c r="U110" i="2"/>
  <c r="U113" i="2" s="1"/>
  <c r="U84" i="2"/>
  <c r="U115" i="2" s="1"/>
  <c r="V110" i="2"/>
  <c r="T110" i="2"/>
  <c r="I81" i="2"/>
  <c r="I111" i="2" s="1"/>
  <c r="I113" i="2" s="1"/>
  <c r="M81" i="2"/>
  <c r="M111" i="2" s="1"/>
  <c r="V81" i="2"/>
  <c r="V84" i="2" s="1"/>
  <c r="H113" i="2"/>
  <c r="E11" i="2"/>
  <c r="E41" i="2" s="1"/>
  <c r="P81" i="2"/>
  <c r="P111" i="2" s="1"/>
  <c r="P113" i="2" s="1"/>
  <c r="F89" i="2"/>
  <c r="F120" i="2" s="1"/>
  <c r="F118" i="2"/>
  <c r="O81" i="2"/>
  <c r="O111" i="2" s="1"/>
  <c r="L81" i="2"/>
  <c r="L111" i="2" s="1"/>
  <c r="T81" i="2"/>
  <c r="T111" i="2" s="1"/>
  <c r="L60" i="2"/>
  <c r="J81" i="2"/>
  <c r="J111" i="2" s="1"/>
  <c r="S57" i="2"/>
  <c r="S62" i="2" s="1"/>
  <c r="S64" i="2" s="1"/>
  <c r="N57" i="2"/>
  <c r="N80" i="2" s="1"/>
  <c r="J60" i="2"/>
  <c r="T62" i="2"/>
  <c r="T64" i="2" s="1"/>
  <c r="T60" i="2"/>
  <c r="M60" i="2"/>
  <c r="K57" i="2"/>
  <c r="K80" i="2" s="1"/>
  <c r="K110" i="2" s="1"/>
  <c r="K113" i="2" s="1"/>
  <c r="U60" i="2"/>
  <c r="L57" i="2"/>
  <c r="L80" i="2" s="1"/>
  <c r="L110" i="2" s="1"/>
  <c r="U62" i="2"/>
  <c r="U64" i="2" s="1"/>
  <c r="R57" i="2"/>
  <c r="R80" i="2" s="1"/>
  <c r="R84" i="2" s="1"/>
  <c r="P60" i="2"/>
  <c r="Q57" i="2"/>
  <c r="Q80" i="2" s="1"/>
  <c r="H62" i="2"/>
  <c r="H64" i="2" s="1"/>
  <c r="V62" i="2"/>
  <c r="V64" i="2" s="1"/>
  <c r="O60" i="2"/>
  <c r="H60" i="2"/>
  <c r="V60" i="2"/>
  <c r="I60" i="2"/>
  <c r="I62" i="2"/>
  <c r="I64" i="2" s="1"/>
  <c r="J62" i="2"/>
  <c r="J64" i="2" s="1"/>
  <c r="J80" i="2"/>
  <c r="J110" i="2" s="1"/>
  <c r="O62" i="2"/>
  <c r="O64" i="2" s="1"/>
  <c r="O80" i="2"/>
  <c r="O110" i="2" s="1"/>
  <c r="M62" i="2"/>
  <c r="M64" i="2" s="1"/>
  <c r="M80" i="2"/>
  <c r="M110" i="2" s="1"/>
  <c r="P62" i="2"/>
  <c r="P64" i="2" s="1"/>
  <c r="E6" i="43" l="1"/>
  <c r="L10" i="43"/>
  <c r="L28" i="43"/>
  <c r="L19" i="43"/>
  <c r="T84" i="2"/>
  <c r="T115" i="2" s="1"/>
  <c r="T113" i="2"/>
  <c r="V115" i="2"/>
  <c r="Q110" i="2"/>
  <c r="Q113" i="2" s="1"/>
  <c r="Q84" i="2"/>
  <c r="M113" i="2"/>
  <c r="J113" i="2"/>
  <c r="L113" i="2"/>
  <c r="V111" i="2"/>
  <c r="O113" i="2"/>
  <c r="E64" i="2"/>
  <c r="E87" i="2"/>
  <c r="E89" i="2" s="1"/>
  <c r="F90" i="2"/>
  <c r="M18" i="43" s="1"/>
  <c r="M30" i="43" s="1"/>
  <c r="N110" i="2"/>
  <c r="N113" i="2" s="1"/>
  <c r="R115" i="2"/>
  <c r="R110" i="2"/>
  <c r="R113" i="2" s="1"/>
  <c r="U85" i="2"/>
  <c r="V85" i="2"/>
  <c r="V116" i="2" s="1"/>
  <c r="S80" i="2"/>
  <c r="N62" i="2"/>
  <c r="N64" i="2" s="1"/>
  <c r="K62" i="2"/>
  <c r="K64" i="2" s="1"/>
  <c r="Q62" i="2"/>
  <c r="Q64" i="2" s="1"/>
  <c r="L62" i="2"/>
  <c r="L64" i="2" s="1"/>
  <c r="R62" i="2"/>
  <c r="R64" i="2" s="1"/>
  <c r="Q115" i="2"/>
  <c r="L22" i="43" l="1"/>
  <c r="L35" i="43" s="1"/>
  <c r="L32" i="43"/>
  <c r="E9" i="43"/>
  <c r="E10" i="43"/>
  <c r="S110" i="2"/>
  <c r="S113" i="2" s="1"/>
  <c r="S84" i="2"/>
  <c r="S115" i="2" s="1"/>
  <c r="N18" i="43"/>
  <c r="N30" i="43" s="1"/>
  <c r="V113" i="2"/>
  <c r="F121" i="2"/>
  <c r="M7" i="43"/>
  <c r="E118" i="2"/>
  <c r="Y121" i="2" s="1"/>
  <c r="X87" i="2"/>
  <c r="Y87" i="2" s="1"/>
  <c r="E90" i="2"/>
  <c r="M17" i="43" s="1"/>
  <c r="M29" i="43" s="1"/>
  <c r="F91" i="2"/>
  <c r="F122" i="2" s="1"/>
  <c r="E120" i="2"/>
  <c r="E123" i="2" s="1"/>
  <c r="R85" i="2"/>
  <c r="R116" i="2" s="1"/>
  <c r="U89" i="2"/>
  <c r="U120" i="2" s="1"/>
  <c r="U116" i="2"/>
  <c r="V89" i="2"/>
  <c r="V120" i="2" s="1"/>
  <c r="T85" i="2"/>
  <c r="G66" i="2"/>
  <c r="G68" i="2"/>
  <c r="Q85" i="2"/>
  <c r="N17" i="43" l="1"/>
  <c r="N29" i="43" s="1"/>
  <c r="M19" i="43"/>
  <c r="N16" i="43"/>
  <c r="N28" i="43" s="1"/>
  <c r="E121" i="2"/>
  <c r="M6" i="43"/>
  <c r="N7" i="43"/>
  <c r="F7" i="43"/>
  <c r="E91" i="2"/>
  <c r="E122" i="2" s="1"/>
  <c r="R89" i="2"/>
  <c r="R120" i="2" s="1"/>
  <c r="Q89" i="2"/>
  <c r="Q120" i="2" s="1"/>
  <c r="Q116" i="2"/>
  <c r="T89" i="2"/>
  <c r="T120" i="2" s="1"/>
  <c r="T116" i="2"/>
  <c r="S85" i="2"/>
  <c r="S116" i="2" s="1"/>
  <c r="N19" i="43" l="1"/>
  <c r="N32" i="43" s="1"/>
  <c r="F6" i="43"/>
  <c r="N6" i="43"/>
  <c r="S89" i="2"/>
  <c r="S120" i="2" s="1"/>
  <c r="G6" i="43" l="1"/>
  <c r="G7" i="43" l="1"/>
  <c r="J7" i="43" l="1"/>
  <c r="G126" i="2" l="1"/>
  <c r="G127" i="2"/>
  <c r="G83" i="2" l="1"/>
  <c r="G84" i="2" s="1"/>
  <c r="G114" i="2" l="1"/>
  <c r="G115" i="2"/>
  <c r="G128" i="2"/>
  <c r="G86" i="2"/>
  <c r="G90" i="2" l="1"/>
  <c r="G121" i="2" s="1"/>
  <c r="G117" i="2"/>
  <c r="G120" i="2" l="1"/>
  <c r="M20" i="43"/>
  <c r="G91" i="2"/>
  <c r="G122" i="2" s="1"/>
  <c r="H83" i="2"/>
  <c r="H84" i="2" s="1"/>
  <c r="N20" i="43" l="1"/>
  <c r="N33" i="43" s="1"/>
  <c r="H114" i="2"/>
  <c r="M8" i="43" l="1"/>
  <c r="H115" i="2"/>
  <c r="Y123" i="2" s="1"/>
  <c r="Y124" i="2" s="1"/>
  <c r="N8" i="43" l="1"/>
  <c r="N10" i="43" s="1"/>
  <c r="L11" i="43" s="1"/>
  <c r="M10" i="43"/>
  <c r="F8" i="43"/>
  <c r="G8" i="43" l="1"/>
  <c r="F9" i="43"/>
  <c r="F10" i="43"/>
  <c r="M11" i="43"/>
  <c r="G129" i="2" l="1"/>
  <c r="K97" i="2"/>
  <c r="G9" i="43"/>
  <c r="G10" i="43"/>
  <c r="F11" i="43" s="1"/>
  <c r="K96" i="2" l="1"/>
  <c r="H129" i="2"/>
  <c r="L97" i="2"/>
  <c r="E11" i="43"/>
  <c r="E14" i="43"/>
  <c r="H128" i="2" l="1"/>
  <c r="L94" i="2"/>
  <c r="H86" i="2"/>
  <c r="I129" i="2"/>
  <c r="M97" i="2"/>
  <c r="E15" i="43" l="1"/>
  <c r="G133" i="2"/>
  <c r="H89" i="2"/>
  <c r="F99" i="2" s="1"/>
  <c r="H117" i="2"/>
  <c r="J129" i="2"/>
  <c r="N97" i="2"/>
  <c r="L95" i="2"/>
  <c r="I126" i="2"/>
  <c r="H130" i="2" s="1"/>
  <c r="H120" i="2" l="1"/>
  <c r="H90" i="2"/>
  <c r="H91" i="2" s="1"/>
  <c r="H122" i="2" s="1"/>
  <c r="I127" i="2"/>
  <c r="G134" i="2" s="1"/>
  <c r="I83" i="2"/>
  <c r="L96" i="2"/>
  <c r="K129" i="2"/>
  <c r="O97" i="2"/>
  <c r="M21" i="43" l="1"/>
  <c r="H121" i="2"/>
  <c r="I84" i="2"/>
  <c r="I114" i="2"/>
  <c r="P97" i="2"/>
  <c r="L129" i="2"/>
  <c r="I128" i="2"/>
  <c r="I86" i="2"/>
  <c r="I117" i="2" s="1"/>
  <c r="M94" i="2"/>
  <c r="E16" i="43"/>
  <c r="N21" i="43" l="1"/>
  <c r="M32" i="43"/>
  <c r="M22" i="43"/>
  <c r="M35" i="43" s="1"/>
  <c r="N35" i="43" s="1"/>
  <c r="L40" i="43" s="1"/>
  <c r="N34" i="43"/>
  <c r="N22" i="43"/>
  <c r="I115" i="2"/>
  <c r="I89" i="2"/>
  <c r="J126" i="2"/>
  <c r="I130" i="2" s="1"/>
  <c r="M95" i="2"/>
  <c r="M129" i="2"/>
  <c r="Q97" i="2"/>
  <c r="M23" i="43" l="1"/>
  <c r="J127" i="2"/>
  <c r="M96" i="2"/>
  <c r="J83" i="2"/>
  <c r="I91" i="2"/>
  <c r="I122" i="2" s="1"/>
  <c r="I120" i="2"/>
  <c r="N129" i="2"/>
  <c r="R97" i="2"/>
  <c r="L23" i="43"/>
  <c r="L36" i="43"/>
  <c r="M36" i="43" l="1"/>
  <c r="O129" i="2"/>
  <c r="S97" i="2"/>
  <c r="S98" i="2" s="1"/>
  <c r="J84" i="2"/>
  <c r="J114" i="2"/>
  <c r="X116" i="2" s="1"/>
  <c r="J128" i="2"/>
  <c r="J86" i="2"/>
  <c r="J117" i="2" s="1"/>
  <c r="N94" i="2"/>
  <c r="K126" i="2" l="1"/>
  <c r="J130" i="2" s="1"/>
  <c r="N95" i="2"/>
  <c r="J115" i="2"/>
  <c r="J85" i="2"/>
  <c r="J116" i="2" s="1"/>
  <c r="P129" i="2"/>
  <c r="J89" i="2" l="1"/>
  <c r="K127" i="2"/>
  <c r="N96" i="2"/>
  <c r="K83" i="2"/>
  <c r="J120" i="2" l="1"/>
  <c r="J91" i="2"/>
  <c r="J122" i="2" s="1"/>
  <c r="K84" i="2"/>
  <c r="K114" i="2"/>
  <c r="Y116" i="2" s="1"/>
  <c r="K128" i="2"/>
  <c r="O94" i="2"/>
  <c r="K86" i="2"/>
  <c r="K117" i="2" s="1"/>
  <c r="K115" i="2" l="1"/>
  <c r="K85" i="2"/>
  <c r="L126" i="2"/>
  <c r="K130" i="2" s="1"/>
  <c r="O95" i="2"/>
  <c r="L127" i="2" l="1"/>
  <c r="O96" i="2"/>
  <c r="L83" i="2"/>
  <c r="K116" i="2"/>
  <c r="K89" i="2"/>
  <c r="K120" i="2" l="1"/>
  <c r="K91" i="2"/>
  <c r="K122" i="2" s="1"/>
  <c r="L84" i="2"/>
  <c r="L114" i="2"/>
  <c r="Z116" i="2" s="1"/>
  <c r="L128" i="2"/>
  <c r="L86" i="2"/>
  <c r="L117" i="2" s="1"/>
  <c r="P94" i="2"/>
  <c r="M126" i="2" l="1"/>
  <c r="L130" i="2" s="1"/>
  <c r="P95" i="2"/>
  <c r="L115" i="2"/>
  <c r="L85" i="2"/>
  <c r="L116" i="2" l="1"/>
  <c r="L89" i="2"/>
  <c r="M127" i="2"/>
  <c r="M83" i="2"/>
  <c r="P96" i="2"/>
  <c r="M84" i="2" l="1"/>
  <c r="M115" i="2" s="1"/>
  <c r="M114" i="2"/>
  <c r="AA116" i="2" s="1"/>
  <c r="M128" i="2"/>
  <c r="M86" i="2"/>
  <c r="M117" i="2" s="1"/>
  <c r="Q94" i="2"/>
  <c r="L91" i="2"/>
  <c r="L120" i="2"/>
  <c r="M85" i="2" l="1"/>
  <c r="M116" i="2" s="1"/>
  <c r="L122" i="2"/>
  <c r="N126" i="2"/>
  <c r="M130" i="2" s="1"/>
  <c r="Q95" i="2"/>
  <c r="M89" i="2" l="1"/>
  <c r="M91" i="2" s="1"/>
  <c r="M122" i="2" s="1"/>
  <c r="N127" i="2"/>
  <c r="N83" i="2"/>
  <c r="Q96" i="2"/>
  <c r="M120" i="2" l="1"/>
  <c r="N84" i="2"/>
  <c r="N115" i="2" s="1"/>
  <c r="N114" i="2"/>
  <c r="N128" i="2"/>
  <c r="N86" i="2"/>
  <c r="N117" i="2" s="1"/>
  <c r="R94" i="2"/>
  <c r="N85" i="2" l="1"/>
  <c r="N116" i="2" s="1"/>
  <c r="O126" i="2"/>
  <c r="N130" i="2" s="1"/>
  <c r="R95" i="2"/>
  <c r="N89" i="2" l="1"/>
  <c r="N120" i="2" s="1"/>
  <c r="O127" i="2"/>
  <c r="O83" i="2"/>
  <c r="R96" i="2"/>
  <c r="N91" i="2" l="1"/>
  <c r="N122" i="2" s="1"/>
  <c r="O84" i="2"/>
  <c r="O115" i="2" s="1"/>
  <c r="O114" i="2"/>
  <c r="O128" i="2"/>
  <c r="O86" i="2"/>
  <c r="O117" i="2" s="1"/>
  <c r="S94" i="2"/>
  <c r="O85" i="2" l="1"/>
  <c r="O116" i="2" s="1"/>
  <c r="P126" i="2"/>
  <c r="O130" i="2" s="1"/>
  <c r="S95" i="2"/>
  <c r="O89" i="2" l="1"/>
  <c r="O120" i="2" s="1"/>
  <c r="P83" i="2"/>
  <c r="P127" i="2"/>
  <c r="S96" i="2"/>
  <c r="O91" i="2" l="1"/>
  <c r="O122" i="2" s="1"/>
  <c r="P84" i="2"/>
  <c r="P115" i="2" s="1"/>
  <c r="P114" i="2"/>
  <c r="P128" i="2"/>
  <c r="P86" i="2"/>
  <c r="P85" i="2" l="1"/>
  <c r="P116" i="2" s="1"/>
  <c r="P117" i="2"/>
  <c r="P89" i="2" l="1"/>
  <c r="E92" i="2" l="1"/>
  <c r="P91" i="2"/>
  <c r="E93" i="2"/>
  <c r="P120" i="2"/>
  <c r="G18" i="43" l="1"/>
  <c r="Q91" i="2"/>
  <c r="P122" i="2"/>
  <c r="Q122" i="2" l="1"/>
  <c r="R91" i="2"/>
  <c r="S91" i="2" l="1"/>
  <c r="R122" i="2"/>
  <c r="S122" i="2" l="1"/>
  <c r="T91" i="2"/>
  <c r="U91" i="2" l="1"/>
  <c r="T122" i="2"/>
  <c r="U122" i="2" l="1"/>
  <c r="V91" i="2"/>
  <c r="V122" i="2" s="1"/>
</calcChain>
</file>

<file path=xl/sharedStrings.xml><?xml version="1.0" encoding="utf-8"?>
<sst xmlns="http://schemas.openxmlformats.org/spreadsheetml/2006/main" count="262" uniqueCount="217">
  <si>
    <t>ASISAC RUC 20479793078</t>
  </si>
  <si>
    <t>CULTIVO PALTA HASS  (INVERSION EN ACTIVOS FIJOS)</t>
  </si>
  <si>
    <t xml:space="preserve">AREA : </t>
  </si>
  <si>
    <t>has</t>
  </si>
  <si>
    <t xml:space="preserve">DENSIDAD DE SIEMBRA </t>
  </si>
  <si>
    <t>DISTANCIA ENTRE LINEAS EN METROS</t>
  </si>
  <si>
    <t>DISTANCIA ENTRE PALNTAS EN METROS</t>
  </si>
  <si>
    <t>NRO DE PALNTAS POR HECTAREA</t>
  </si>
  <si>
    <t>Supuestos:</t>
  </si>
  <si>
    <t>1.- Se tiene que buscar agua de Pozos subterraneos con C:E = 0.8 milimhos/cm como maximo y RAS menor igual a 3</t>
  </si>
  <si>
    <t>Para ello hay que hacer estudios de agua subterranea</t>
  </si>
  <si>
    <t>2.- En total son 33.04 ha para 02 propietarios, se tiene que asumir 1.2 lps/ha desde un inicio por seguridad, por lo tanto el</t>
  </si>
  <si>
    <t>promedio de agua que se necesita para todo el proyecto es de 40 lps.</t>
  </si>
  <si>
    <t>3.- los costos referidos a la construccion del Pozo y la adqucicion de maquinaria agricola se dividen entre 02 propietarios.</t>
  </si>
  <si>
    <t>INVERSIONESEN ACTIVO FIJO</t>
  </si>
  <si>
    <t>P.U. $</t>
  </si>
  <si>
    <t>UNIDAD</t>
  </si>
  <si>
    <t>INVERSION US$</t>
  </si>
  <si>
    <t>Existe x ha</t>
  </si>
  <si>
    <t>Financ * 01 Ha.</t>
  </si>
  <si>
    <t>SITUACION ACTUAL</t>
  </si>
  <si>
    <t>Adquirir</t>
  </si>
  <si>
    <t>Existe</t>
  </si>
  <si>
    <t>Por adquirir</t>
  </si>
  <si>
    <t xml:space="preserve">1.-INVESTIGACION EN AGUA SUBTERRANEA. </t>
  </si>
  <si>
    <t>NO ES NECESARIO YA EXISTE POZO</t>
  </si>
  <si>
    <t>Estudios de agua subterranea + Sondajes electricos Verticales</t>
  </si>
  <si>
    <t>Perforacion de exploracion de Pozos en 4" hasta 200 m 11 pozos</t>
  </si>
  <si>
    <t>mas diagrafia elelctrica</t>
  </si>
  <si>
    <t>2.-SISTEMA DE RIEGO</t>
  </si>
  <si>
    <t>POR ADQUIRIR</t>
  </si>
  <si>
    <t xml:space="preserve">  SISTEMA FILTRADO + SISITEMA DE RIEGO  POR GOTEO +</t>
  </si>
  <si>
    <t xml:space="preserve">  EQUIPO DE FERTIRRIEGO +PVC</t>
  </si>
  <si>
    <t>3.-POZO TUBULAR</t>
  </si>
  <si>
    <t>YA EXISTE</t>
  </si>
  <si>
    <t xml:space="preserve">   01 POZOS DE 40 Lps C/U.de 18 " de Funda</t>
  </si>
  <si>
    <t xml:space="preserve">   50 Mts de profundidad, incluye filtros Jhonson</t>
  </si>
  <si>
    <t>4.-EQUIPAMIENTO DEL POZO   Q= 38 LPS</t>
  </si>
  <si>
    <t xml:space="preserve">   ELECTROBOMBAS X 06"</t>
  </si>
  <si>
    <t xml:space="preserve">   TUBOS de descarga X 50 Mts</t>
  </si>
  <si>
    <t xml:space="preserve">   TABLERO ARRANQUE CON VARIADOR DE FRECUENCIA</t>
  </si>
  <si>
    <t xml:space="preserve">   CABLE AWG</t>
  </si>
  <si>
    <t xml:space="preserve">   INSTALACIONES ELECTRICAS + POSTES + TRANSFORMADOR</t>
  </si>
  <si>
    <t xml:space="preserve">   CASETA</t>
  </si>
  <si>
    <t>5.-MAQUINARIA AGRICOLA</t>
  </si>
  <si>
    <t xml:space="preserve">   TRACTOR HUERTO 70 Ha</t>
  </si>
  <si>
    <t xml:space="preserve">   TANQUE PULVERIZADO X 200 Lts</t>
  </si>
  <si>
    <t xml:space="preserve">   CAMIONETA ING.</t>
  </si>
  <si>
    <t xml:space="preserve">   EQUIPOS DE COMUNICACIÓN</t>
  </si>
  <si>
    <t>6.- ELECTRIFICACION DEL POZO TUBULAR</t>
  </si>
  <si>
    <t>???</t>
  </si>
  <si>
    <t>POSTES, CABLE DE CONDUCCION, TRASNFORMADORES</t>
  </si>
  <si>
    <t>TRANSFORMIX</t>
  </si>
  <si>
    <t>TOTAL</t>
  </si>
  <si>
    <t>ATTE</t>
  </si>
  <si>
    <t>JSM</t>
  </si>
  <si>
    <t>INSTALACION Y SIEMBRA</t>
  </si>
  <si>
    <t>ha</t>
  </si>
  <si>
    <t>INVERSIONES</t>
  </si>
  <si>
    <t>Costo Unitario USD/Ha</t>
  </si>
  <si>
    <t>Area a instalar</t>
  </si>
  <si>
    <t>Costo Total USD</t>
  </si>
  <si>
    <t>Costo por Haen USD/Ha</t>
  </si>
  <si>
    <t>PREPARACION DE TERRENO</t>
  </si>
  <si>
    <t xml:space="preserve">   TUMBAS DE ARBOLES, GRADEO, SUBSOLADO</t>
  </si>
  <si>
    <t xml:space="preserve">   LEVANTADO DE BORDES</t>
  </si>
  <si>
    <t>INSTALACION DEL EQUIPO DE RIEGO</t>
  </si>
  <si>
    <t>Trazado de zanjas,tendido de matrices y portalaterales</t>
  </si>
  <si>
    <t>Tendido de Cintas(mangueras), hoyado para arboles</t>
  </si>
  <si>
    <t xml:space="preserve">PLANTONES </t>
  </si>
  <si>
    <t>FERTILIZANTES al momento del Transplante</t>
  </si>
  <si>
    <t>Partidas</t>
  </si>
  <si>
    <t>Financiación</t>
  </si>
  <si>
    <t>Empresa</t>
  </si>
  <si>
    <t>BCP</t>
  </si>
  <si>
    <t>Total</t>
  </si>
  <si>
    <t>Terreno *   **</t>
  </si>
  <si>
    <t>Terreno</t>
  </si>
  <si>
    <t>Activos fijos</t>
  </si>
  <si>
    <t>Instalación Siembra Plantas</t>
  </si>
  <si>
    <t xml:space="preserve"> Desarrollo plantas año 1 y 2</t>
  </si>
  <si>
    <t>Inversion Adiconal en Proyecto</t>
  </si>
  <si>
    <t>Porcentaje</t>
  </si>
  <si>
    <t>%</t>
  </si>
  <si>
    <t xml:space="preserve">Ratio de Garantías Activo </t>
  </si>
  <si>
    <t>sobre Deuda</t>
  </si>
  <si>
    <t>EBITDA/ Servicio Deuda año 3</t>
  </si>
  <si>
    <t>Terreno                                     Año 0</t>
  </si>
  <si>
    <t>EBITDA/ Servicio Deuda año 7</t>
  </si>
  <si>
    <t>Año full producción</t>
  </si>
  <si>
    <t>Pozo                                        Año 0</t>
  </si>
  <si>
    <r>
      <t xml:space="preserve">Equio Riego y Maquinaria        </t>
    </r>
    <r>
      <rPr>
        <sz val="10"/>
        <color rgb="FFFF0000"/>
        <rFont val="Arial"/>
        <family val="2"/>
      </rPr>
      <t>Al Inicio</t>
    </r>
  </si>
  <si>
    <t>*Valorizado en 576,000</t>
  </si>
  <si>
    <t xml:space="preserve"> **Mas  Proyecto</t>
  </si>
  <si>
    <r>
      <rPr>
        <sz val="10"/>
        <color theme="1"/>
        <rFont val="Arial"/>
        <family val="2"/>
      </rPr>
      <t xml:space="preserve">Instalación Siembra Plantas  </t>
    </r>
    <r>
      <rPr>
        <sz val="10"/>
        <color rgb="FFFF0000"/>
        <rFont val="Arial"/>
        <family val="2"/>
      </rPr>
      <t xml:space="preserve">  Al Inicio</t>
    </r>
  </si>
  <si>
    <r>
      <t xml:space="preserve">Total Equipo e Instalaión             </t>
    </r>
    <r>
      <rPr>
        <sz val="10"/>
        <color rgb="FFFF0000"/>
        <rFont val="Arial"/>
        <family val="2"/>
      </rPr>
      <t>año 0</t>
    </r>
  </si>
  <si>
    <r>
      <t xml:space="preserve"> Desarrollo plantas                    </t>
    </r>
    <r>
      <rPr>
        <sz val="10"/>
        <color rgb="FFFF0000"/>
        <rFont val="Arial"/>
        <family val="2"/>
      </rPr>
      <t xml:space="preserve"> año 1</t>
    </r>
  </si>
  <si>
    <r>
      <t xml:space="preserve"> Desarrollo plantas                    </t>
    </r>
    <r>
      <rPr>
        <sz val="10"/>
        <color rgb="FFFF0000"/>
        <rFont val="Arial"/>
        <family val="2"/>
      </rPr>
      <t xml:space="preserve"> año 2</t>
    </r>
  </si>
  <si>
    <t>Aporte Empresa</t>
  </si>
  <si>
    <t xml:space="preserve">Terreno                                    </t>
  </si>
  <si>
    <t xml:space="preserve">Pozo                                       </t>
  </si>
  <si>
    <t xml:space="preserve">Equipo Riego y Maquinaria        </t>
  </si>
  <si>
    <r>
      <rPr>
        <sz val="10"/>
        <color theme="1"/>
        <rFont val="Arial"/>
        <family val="2"/>
      </rPr>
      <t xml:space="preserve">Instalación Siembra Plantas  </t>
    </r>
    <r>
      <rPr>
        <sz val="10"/>
        <color rgb="FFFF0000"/>
        <rFont val="Arial"/>
        <family val="2"/>
      </rPr>
      <t xml:space="preserve">  </t>
    </r>
  </si>
  <si>
    <r>
      <t xml:space="preserve">Equipo e Instalaión                     </t>
    </r>
    <r>
      <rPr>
        <sz val="10"/>
        <color rgb="FFFF0000"/>
        <rFont val="Arial"/>
        <family val="2"/>
      </rPr>
      <t>año 0</t>
    </r>
  </si>
  <si>
    <t>Total*</t>
  </si>
  <si>
    <t xml:space="preserve">* BCP incluye gstos varios por </t>
  </si>
  <si>
    <t>VAN</t>
  </si>
  <si>
    <t>Resumen de Costo de Ventas y Margen Directo en US$:  CULTIVO  PALTO HASS</t>
  </si>
  <si>
    <t>Densidad de plantación (plantas/ha):</t>
  </si>
  <si>
    <t>Distancia entre líneas :</t>
  </si>
  <si>
    <t xml:space="preserve">N° de Ha :  </t>
  </si>
  <si>
    <t>Distancia entre plantas:</t>
  </si>
  <si>
    <t>Precio 1.60 US $ Kg</t>
  </si>
  <si>
    <t>Campaña</t>
  </si>
  <si>
    <t>INVERSION</t>
  </si>
  <si>
    <t>INSTALACION</t>
  </si>
  <si>
    <t>Año</t>
  </si>
  <si>
    <t>A. Costos Directos</t>
  </si>
  <si>
    <t>I</t>
  </si>
  <si>
    <t>Costos Variables</t>
  </si>
  <si>
    <t>A. Mano de Obra y Maquinaria</t>
  </si>
  <si>
    <t xml:space="preserve">    Almácigo</t>
  </si>
  <si>
    <t xml:space="preserve">    Preparación del terreno-maquin.</t>
  </si>
  <si>
    <t xml:space="preserve">    Siembra Resiembro</t>
  </si>
  <si>
    <t xml:space="preserve">    Labores culturales</t>
  </si>
  <si>
    <t xml:space="preserve">    Cosecha</t>
  </si>
  <si>
    <t xml:space="preserve">Otros gastos de Produccion </t>
  </si>
  <si>
    <t>º</t>
  </si>
  <si>
    <t>B. Insumos</t>
  </si>
  <si>
    <t xml:space="preserve">    Plantones</t>
  </si>
  <si>
    <t xml:space="preserve">    Fertilizantes</t>
  </si>
  <si>
    <t xml:space="preserve">    Pesticidas</t>
  </si>
  <si>
    <t xml:space="preserve">    Herramientas</t>
  </si>
  <si>
    <t xml:space="preserve">    Agua</t>
  </si>
  <si>
    <t>C. Inversiones</t>
  </si>
  <si>
    <t xml:space="preserve">   Agua Subterranea</t>
  </si>
  <si>
    <t xml:space="preserve">    Riego Tecnificado</t>
  </si>
  <si>
    <t xml:space="preserve">    Excavación de pozo tubular </t>
  </si>
  <si>
    <t xml:space="preserve">    Equipamiento de pozo y maquin.</t>
  </si>
  <si>
    <t xml:space="preserve">    Electrificacion del Pozo Tubular</t>
  </si>
  <si>
    <t xml:space="preserve">    Maquinaria agricola</t>
  </si>
  <si>
    <t>II</t>
  </si>
  <si>
    <t>Costos Fijos</t>
  </si>
  <si>
    <t xml:space="preserve">    Mantenimiento de Maq y Equipo</t>
  </si>
  <si>
    <t xml:space="preserve">    Seguros (3%)</t>
  </si>
  <si>
    <t xml:space="preserve">    Provisión de imprevistos (3%)</t>
  </si>
  <si>
    <t>III</t>
  </si>
  <si>
    <t>Costos Directos por hectárea</t>
  </si>
  <si>
    <t>B. Margen Directo</t>
  </si>
  <si>
    <t xml:space="preserve">IV </t>
  </si>
  <si>
    <t>Producción total en TM</t>
  </si>
  <si>
    <t xml:space="preserve">Producción en TM/Ha 7 año </t>
  </si>
  <si>
    <t xml:space="preserve">Rendimiento Exportable </t>
  </si>
  <si>
    <t>Calibres 12,14,16,18,20,22,24</t>
  </si>
  <si>
    <t xml:space="preserve">Rendimiento  No Exportable </t>
  </si>
  <si>
    <t>Calibres 26,28,30,Cubitos</t>
  </si>
  <si>
    <t xml:space="preserve">Merma o perdida </t>
  </si>
  <si>
    <t xml:space="preserve">V </t>
  </si>
  <si>
    <t>Precio por TM retorno Campo en US$/tm</t>
  </si>
  <si>
    <t xml:space="preserve">Precio Exportación </t>
  </si>
  <si>
    <t>Precios de Calibres chicos o cubitos</t>
  </si>
  <si>
    <t>Calibres 26,28,30</t>
  </si>
  <si>
    <t>VI</t>
  </si>
  <si>
    <t xml:space="preserve">Ingresos </t>
  </si>
  <si>
    <t>Ingreso por hectárea</t>
  </si>
  <si>
    <t>VII</t>
  </si>
  <si>
    <t>Margen directo por hectárea</t>
  </si>
  <si>
    <t>VIII</t>
  </si>
  <si>
    <t>FLUJO NETO DEL NEGOCIO</t>
  </si>
  <si>
    <t>IX</t>
  </si>
  <si>
    <t>FLUJO ECONOMICO</t>
  </si>
  <si>
    <t>X</t>
  </si>
  <si>
    <t>XI</t>
  </si>
  <si>
    <t>TIR</t>
  </si>
  <si>
    <t>l</t>
  </si>
  <si>
    <t>NOTA LOS PRECIOS DE RETORNO AL CAMPO SON SIEMPRE Y CUANDO EL PERIODO DE COSECHA SE INICIE A FINES DE MARZO  Y SE TERMINE A FINALES DE ABRIL  DE CADA AÑO.</t>
  </si>
  <si>
    <t xml:space="preserve">año </t>
  </si>
  <si>
    <t>Ingresos por Ha</t>
  </si>
  <si>
    <t>Egresos</t>
  </si>
  <si>
    <t>Administrativo</t>
  </si>
  <si>
    <t>G Financieros Deuda</t>
  </si>
  <si>
    <t>UAT</t>
  </si>
  <si>
    <t>IMPuesto</t>
  </si>
  <si>
    <t>Pag de capital Deuda</t>
  </si>
  <si>
    <t>Inversion Inicial</t>
  </si>
  <si>
    <t>Aporte Socios</t>
  </si>
  <si>
    <t xml:space="preserve">Saldo </t>
  </si>
  <si>
    <t>Desembolsos Requeridos</t>
  </si>
  <si>
    <t>Saldo de caja</t>
  </si>
  <si>
    <t>VAN  Ha  (Valor del Terreno)</t>
  </si>
  <si>
    <t>Si</t>
  </si>
  <si>
    <t>Interes</t>
  </si>
  <si>
    <t>gracia</t>
  </si>
  <si>
    <t>Capital</t>
  </si>
  <si>
    <t>pago</t>
  </si>
  <si>
    <t>Prestamo</t>
  </si>
  <si>
    <t xml:space="preserve">Año </t>
  </si>
  <si>
    <t>Prod por TM/Ha</t>
  </si>
  <si>
    <t>Equipos</t>
  </si>
  <si>
    <t>Plantación</t>
  </si>
  <si>
    <t>EBITDA</t>
  </si>
  <si>
    <t>Utilidad Contable</t>
  </si>
  <si>
    <t>Impuesto</t>
  </si>
  <si>
    <t>Pago de Capital Deuda</t>
  </si>
  <si>
    <t xml:space="preserve">Aporte Socios </t>
  </si>
  <si>
    <t>Saldo  Caja Anual</t>
  </si>
  <si>
    <t>Saldo de caja Acumulado</t>
  </si>
  <si>
    <t xml:space="preserve">VAN Financiero al 6% </t>
  </si>
  <si>
    <t>Amortización Deuda</t>
  </si>
  <si>
    <t xml:space="preserve">año                          </t>
  </si>
  <si>
    <t>Interes 7%</t>
  </si>
  <si>
    <t>Saldo Desembolsos</t>
  </si>
  <si>
    <t>Plazo      10 años</t>
  </si>
  <si>
    <t>Pago de Intereses</t>
  </si>
  <si>
    <t xml:space="preserve">Pago de Capital     </t>
  </si>
  <si>
    <t xml:space="preserve">Pago Total              </t>
  </si>
  <si>
    <t>Saldo Final de la 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</si>
</sst>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_ &quot;S/.&quot;\ * #,##0.00_ ;_ &quot;S/.&quot;\ * \-#,##0.00_ ;_ &quot;S/.&quot;\ * &quot;-&quot;??_ ;_ @_ "/>
    <numFmt numFmtId="167" formatCode="_ * #,##0.00_ ;_ * \-#,##0.00_ ;_ * &quot;-&quot;??_ ;_ @_ "/>
    <numFmt numFmtId="168" formatCode="&quot;S/.&quot;\ #,##0.00_);[Red]\(&quot;S/.&quot;\ #,##0.00\)"/>
    <numFmt numFmtId="169" formatCode="_-* #,##0.00\ _$_-;\-* #,##0.00\ _$_-;_-* &quot;-&quot;??\ _$_-;_-@_-"/>
    <numFmt numFmtId="170" formatCode="_ * #,##0_ ;_ * \-#,##0_ ;_ * &quot;-&quot;??_ ;_ @_ "/>
    <numFmt numFmtId="171" formatCode="0.0"/>
    <numFmt numFmtId="172" formatCode="_-&quot;$&quot;* #,##0.00_-;\-&quot;$&quot;* #,##0.00_-;_-&quot;$&quot;* &quot;-&quot;??_-;_-@_-"/>
    <numFmt numFmtId="173" formatCode="_([$€-2]\ * #,##0.00_);_([$€-2]\ * \(#,##0.00\);_([$€-2]\ * &quot;-&quot;??_)"/>
    <numFmt numFmtId="174" formatCode="_-* #,##0.00\ [$€]_-;\-* #,##0.00\ [$€]_-;_-* &quot;-&quot;??\ [$€]_-;_-@_-"/>
    <numFmt numFmtId="175" formatCode=";;"/>
    <numFmt numFmtId="176" formatCode="_-* #,##0.00\ _P_t_s_-;\-* #,##0.00\ _P_t_s_-;_-* &quot;-&quot;??\ _P_t_s_-;_-@_-"/>
    <numFmt numFmtId="177" formatCode="_-* #,##0.00\ _€_-;\-* #,##0.00\ _€_-;_-* &quot;-&quot;??\ _€_-;_-@_-"/>
    <numFmt numFmtId="178" formatCode="#,##0_ ;[Red]\-#,##0\ "/>
    <numFmt numFmtId="179" formatCode="_-* #,##0.0\ _$_-;\-* #,##0.0\ _$_-;_-* &quot;-&quot;??\ _$_-;_-@_-"/>
    <numFmt numFmtId="180" formatCode="_-* #,##0\ _$_-;\-* #,##0\ _$_-;_-* &quot;-&quot;??\ _$_-;_-@_-"/>
    <numFmt numFmtId="181" formatCode="0.0%"/>
  </numFmts>
  <fonts count="4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8"/>
      <name val="Trebuchet MS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6.5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2"/>
      <color rgb="FFFF0000"/>
      <name val="Arial"/>
      <family val="2"/>
    </font>
    <font>
      <b/>
      <sz val="12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3" fillId="3" borderId="0" applyNumberFormat="0" applyBorder="0" applyAlignment="0" applyProtection="0"/>
    <xf numFmtId="0" fontId="11" fillId="13" borderId="1" applyNumberFormat="0" applyAlignment="0" applyProtection="0"/>
    <xf numFmtId="0" fontId="11" fillId="13" borderId="1" applyNumberFormat="0" applyAlignment="0" applyProtection="0"/>
    <xf numFmtId="16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4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75" fontId="20" fillId="0" borderId="0">
      <protection locked="0"/>
    </xf>
    <xf numFmtId="175" fontId="20" fillId="0" borderId="0">
      <protection locked="0"/>
    </xf>
    <xf numFmtId="175" fontId="21" fillId="0" borderId="0">
      <protection locked="0"/>
    </xf>
    <xf numFmtId="175" fontId="20" fillId="0" borderId="0">
      <protection locked="0"/>
    </xf>
    <xf numFmtId="175" fontId="20" fillId="0" borderId="0">
      <protection locked="0"/>
    </xf>
    <xf numFmtId="175" fontId="20" fillId="0" borderId="0">
      <protection locked="0"/>
    </xf>
    <xf numFmtId="175" fontId="22" fillId="0" borderId="0">
      <protection locked="0"/>
    </xf>
    <xf numFmtId="0" fontId="18" fillId="0" borderId="3" applyNumberFormat="0" applyFill="0" applyAlignment="0" applyProtection="0"/>
    <xf numFmtId="0" fontId="12" fillId="0" borderId="4" applyNumberFormat="0" applyFill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6" fontId="24" fillId="0" borderId="0" applyFont="0" applyFill="0" applyBorder="0" applyAlignment="0" applyProtection="0"/>
    <xf numFmtId="167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0" fontId="29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2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4" fillId="0" borderId="0"/>
    <xf numFmtId="0" fontId="24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9" fillId="8" borderId="5" applyNumberFormat="0" applyFont="0" applyAlignment="0" applyProtection="0"/>
    <xf numFmtId="0" fontId="14" fillId="13" borderId="6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13" borderId="6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2" fillId="0" borderId="4" applyNumberFormat="0" applyFill="0" applyAlignment="0" applyProtection="0"/>
    <xf numFmtId="0" fontId="16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9" fontId="0" fillId="0" borderId="0" xfId="0" applyNumberFormat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9" fontId="1" fillId="0" borderId="9" xfId="106" applyBorder="1" applyAlignment="1">
      <alignment vertical="center"/>
    </xf>
    <xf numFmtId="169" fontId="1" fillId="0" borderId="10" xfId="106" applyBorder="1" applyAlignment="1">
      <alignment vertical="center"/>
    </xf>
    <xf numFmtId="169" fontId="1" fillId="0" borderId="9" xfId="106" applyBorder="1" applyAlignment="1">
      <alignment horizontal="center" vertical="center"/>
    </xf>
    <xf numFmtId="169" fontId="1" fillId="0" borderId="10" xfId="106" applyBorder="1" applyAlignment="1">
      <alignment horizontal="center" vertical="center"/>
    </xf>
    <xf numFmtId="169" fontId="2" fillId="0" borderId="11" xfId="106" applyFont="1" applyBorder="1" applyAlignment="1">
      <alignment horizontal="center" vertical="center"/>
    </xf>
    <xf numFmtId="169" fontId="2" fillId="0" borderId="12" xfId="106" applyFont="1" applyBorder="1" applyAlignment="1">
      <alignment vertical="center"/>
    </xf>
    <xf numFmtId="169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5" fillId="0" borderId="0" xfId="0" applyFont="1"/>
    <xf numFmtId="0" fontId="25" fillId="0" borderId="13" xfId="0" applyFont="1" applyBorder="1"/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3" fillId="0" borderId="7" xfId="0" applyFont="1" applyBorder="1"/>
    <xf numFmtId="0" fontId="25" fillId="0" borderId="9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/>
    <xf numFmtId="11" fontId="25" fillId="0" borderId="7" xfId="0" applyNumberFormat="1" applyFont="1" applyBorder="1" applyAlignment="1">
      <alignment horizontal="left" vertical="top"/>
    </xf>
    <xf numFmtId="2" fontId="25" fillId="0" borderId="0" xfId="0" applyNumberFormat="1" applyFont="1"/>
    <xf numFmtId="169" fontId="25" fillId="0" borderId="9" xfId="106" applyFont="1" applyBorder="1" applyAlignment="1">
      <alignment horizontal="center"/>
    </xf>
    <xf numFmtId="169" fontId="25" fillId="0" borderId="0" xfId="106" applyFont="1" applyBorder="1" applyAlignment="1">
      <alignment horizontal="center" vertical="center"/>
    </xf>
    <xf numFmtId="2" fontId="3" fillId="0" borderId="0" xfId="0" applyNumberFormat="1" applyFont="1"/>
    <xf numFmtId="171" fontId="3" fillId="0" borderId="0" xfId="0" applyNumberFormat="1" applyFont="1"/>
    <xf numFmtId="1" fontId="25" fillId="0" borderId="0" xfId="0" applyNumberFormat="1" applyFont="1"/>
    <xf numFmtId="0" fontId="3" fillId="0" borderId="8" xfId="0" applyFont="1" applyBorder="1"/>
    <xf numFmtId="169" fontId="3" fillId="0" borderId="11" xfId="106" applyFont="1" applyBorder="1"/>
    <xf numFmtId="169" fontId="3" fillId="0" borderId="12" xfId="106" applyFont="1" applyBorder="1"/>
    <xf numFmtId="169" fontId="3" fillId="0" borderId="11" xfId="106" applyFont="1" applyBorder="1" applyAlignment="1">
      <alignment horizontal="center"/>
    </xf>
    <xf numFmtId="171" fontId="25" fillId="0" borderId="0" xfId="0" applyNumberFormat="1" applyFont="1"/>
    <xf numFmtId="179" fontId="25" fillId="0" borderId="9" xfId="106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8" fillId="0" borderId="0" xfId="0" applyNumberFormat="1" applyFont="1"/>
    <xf numFmtId="0" fontId="27" fillId="0" borderId="0" xfId="0" applyFont="1" applyAlignment="1">
      <alignment horizontal="left"/>
    </xf>
    <xf numFmtId="0" fontId="0" fillId="0" borderId="14" xfId="0" applyBorder="1"/>
    <xf numFmtId="0" fontId="0" fillId="0" borderId="10" xfId="0" applyBorder="1"/>
    <xf numFmtId="0" fontId="0" fillId="0" borderId="9" xfId="0" applyBorder="1"/>
    <xf numFmtId="0" fontId="0" fillId="26" borderId="0" xfId="0" applyFill="1"/>
    <xf numFmtId="0" fontId="0" fillId="26" borderId="19" xfId="0" applyFill="1" applyBorder="1"/>
    <xf numFmtId="0" fontId="0" fillId="26" borderId="7" xfId="0" applyFill="1" applyBorder="1"/>
    <xf numFmtId="0" fontId="2" fillId="26" borderId="7" xfId="0" applyFont="1" applyFill="1" applyBorder="1"/>
    <xf numFmtId="3" fontId="0" fillId="0" borderId="0" xfId="0" applyNumberFormat="1"/>
    <xf numFmtId="9" fontId="0" fillId="0" borderId="0" xfId="232" applyFont="1"/>
    <xf numFmtId="0" fontId="2" fillId="26" borderId="0" xfId="0" applyFont="1" applyFill="1"/>
    <xf numFmtId="43" fontId="0" fillId="0" borderId="0" xfId="0" applyNumberFormat="1"/>
    <xf numFmtId="3" fontId="30" fillId="0" borderId="0" xfId="0" applyNumberFormat="1" applyFont="1"/>
    <xf numFmtId="0" fontId="1" fillId="0" borderId="0" xfId="0" applyFont="1"/>
    <xf numFmtId="0" fontId="33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27" xfId="0" applyBorder="1"/>
    <xf numFmtId="0" fontId="2" fillId="0" borderId="19" xfId="0" applyFont="1" applyBorder="1"/>
    <xf numFmtId="0" fontId="2" fillId="0" borderId="37" xfId="0" applyFont="1" applyBorder="1"/>
    <xf numFmtId="0" fontId="2" fillId="0" borderId="38" xfId="0" applyFont="1" applyBorder="1"/>
    <xf numFmtId="3" fontId="2" fillId="0" borderId="50" xfId="0" applyNumberFormat="1" applyFont="1" applyBorder="1"/>
    <xf numFmtId="0" fontId="2" fillId="0" borderId="47" xfId="0" applyFont="1" applyBorder="1"/>
    <xf numFmtId="3" fontId="2" fillId="0" borderId="56" xfId="0" applyNumberFormat="1" applyFont="1" applyBorder="1"/>
    <xf numFmtId="3" fontId="2" fillId="0" borderId="57" xfId="0" applyNumberFormat="1" applyFont="1" applyBorder="1"/>
    <xf numFmtId="3" fontId="2" fillId="0" borderId="0" xfId="0" applyNumberFormat="1" applyFont="1"/>
    <xf numFmtId="3" fontId="2" fillId="26" borderId="0" xfId="0" applyNumberFormat="1" applyFont="1" applyFill="1"/>
    <xf numFmtId="0" fontId="32" fillId="26" borderId="0" xfId="0" applyFont="1" applyFill="1"/>
    <xf numFmtId="1" fontId="2" fillId="26" borderId="0" xfId="0" applyNumberFormat="1" applyFont="1" applyFill="1"/>
    <xf numFmtId="0" fontId="31" fillId="26" borderId="0" xfId="0" applyFont="1" applyFill="1"/>
    <xf numFmtId="170" fontId="2" fillId="0" borderId="0" xfId="106" applyNumberFormat="1" applyFont="1" applyFill="1" applyBorder="1"/>
    <xf numFmtId="170" fontId="2" fillId="0" borderId="0" xfId="0" applyNumberFormat="1" applyFont="1"/>
    <xf numFmtId="167" fontId="2" fillId="0" borderId="0" xfId="106" applyNumberFormat="1" applyFont="1" applyFill="1" applyBorder="1"/>
    <xf numFmtId="10" fontId="2" fillId="0" borderId="0" xfId="232" applyNumberFormat="1" applyFont="1" applyFill="1" applyBorder="1"/>
    <xf numFmtId="168" fontId="2" fillId="0" borderId="0" xfId="0" applyNumberFormat="1" applyFont="1"/>
    <xf numFmtId="43" fontId="2" fillId="0" borderId="0" xfId="0" applyNumberFormat="1" applyFont="1"/>
    <xf numFmtId="3" fontId="2" fillId="0" borderId="19" xfId="0" applyNumberFormat="1" applyFont="1" applyBorder="1"/>
    <xf numFmtId="3" fontId="2" fillId="26" borderId="19" xfId="0" applyNumberFormat="1" applyFont="1" applyFill="1" applyBorder="1"/>
    <xf numFmtId="0" fontId="0" fillId="0" borderId="12" xfId="0" applyBorder="1"/>
    <xf numFmtId="0" fontId="5" fillId="26" borderId="0" xfId="0" applyFont="1" applyFill="1" applyAlignment="1">
      <alignment horizontal="center" vertical="center"/>
    </xf>
    <xf numFmtId="0" fontId="25" fillId="0" borderId="7" xfId="0" applyFont="1" applyBorder="1" applyAlignment="1">
      <alignment horizontal="center"/>
    </xf>
    <xf numFmtId="2" fontId="25" fillId="0" borderId="7" xfId="0" applyNumberFormat="1" applyFont="1" applyBorder="1" applyAlignment="1">
      <alignment horizontal="center"/>
    </xf>
    <xf numFmtId="169" fontId="25" fillId="0" borderId="7" xfId="106" applyFont="1" applyBorder="1" applyAlignment="1">
      <alignment horizontal="center"/>
    </xf>
    <xf numFmtId="0" fontId="3" fillId="28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/>
    </xf>
    <xf numFmtId="1" fontId="25" fillId="0" borderId="7" xfId="106" applyNumberFormat="1" applyFont="1" applyBorder="1" applyAlignment="1">
      <alignment horizontal="center"/>
    </xf>
    <xf numFmtId="169" fontId="25" fillId="0" borderId="24" xfId="106" applyFont="1" applyBorder="1" applyAlignment="1">
      <alignment horizontal="center"/>
    </xf>
    <xf numFmtId="0" fontId="3" fillId="28" borderId="7" xfId="0" applyFont="1" applyFill="1" applyBorder="1" applyAlignment="1">
      <alignment horizontal="center" vertical="center" wrapText="1"/>
    </xf>
    <xf numFmtId="0" fontId="25" fillId="28" borderId="47" xfId="0" applyFont="1" applyFill="1" applyBorder="1" applyAlignment="1">
      <alignment horizontal="center"/>
    </xf>
    <xf numFmtId="0" fontId="25" fillId="28" borderId="56" xfId="0" applyFont="1" applyFill="1" applyBorder="1" applyAlignment="1">
      <alignment horizontal="center"/>
    </xf>
    <xf numFmtId="2" fontId="25" fillId="28" borderId="56" xfId="0" applyNumberFormat="1" applyFont="1" applyFill="1" applyBorder="1" applyAlignment="1">
      <alignment horizontal="center"/>
    </xf>
    <xf numFmtId="169" fontId="25" fillId="28" borderId="56" xfId="106" applyFont="1" applyFill="1" applyBorder="1" applyAlignment="1">
      <alignment horizontal="center"/>
    </xf>
    <xf numFmtId="0" fontId="1" fillId="28" borderId="56" xfId="0" applyFont="1" applyFill="1" applyBorder="1"/>
    <xf numFmtId="0" fontId="0" fillId="28" borderId="56" xfId="0" applyFill="1" applyBorder="1"/>
    <xf numFmtId="169" fontId="25" fillId="28" borderId="57" xfId="106" applyFont="1" applyFill="1" applyBorder="1" applyAlignment="1">
      <alignment horizontal="center"/>
    </xf>
    <xf numFmtId="169" fontId="3" fillId="0" borderId="24" xfId="106" applyFont="1" applyBorder="1" applyAlignment="1">
      <alignment horizontal="center"/>
    </xf>
    <xf numFmtId="0" fontId="3" fillId="28" borderId="19" xfId="0" applyFont="1" applyFill="1" applyBorder="1" applyAlignment="1">
      <alignment horizontal="center" vertical="center" wrapText="1"/>
    </xf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2" fontId="35" fillId="0" borderId="52" xfId="0" applyNumberFormat="1" applyFont="1" applyBorder="1" applyAlignment="1">
      <alignment horizontal="center"/>
    </xf>
    <xf numFmtId="2" fontId="25" fillId="0" borderId="52" xfId="0" applyNumberFormat="1" applyFont="1" applyBorder="1" applyAlignment="1">
      <alignment horizontal="center"/>
    </xf>
    <xf numFmtId="169" fontId="25" fillId="0" borderId="52" xfId="106" applyFont="1" applyFill="1" applyBorder="1" applyAlignment="1">
      <alignment horizontal="center"/>
    </xf>
    <xf numFmtId="1" fontId="0" fillId="0" borderId="52" xfId="0" applyNumberFormat="1" applyBorder="1"/>
    <xf numFmtId="169" fontId="35" fillId="0" borderId="52" xfId="106" applyFont="1" applyFill="1" applyBorder="1" applyAlignment="1">
      <alignment horizontal="center"/>
    </xf>
    <xf numFmtId="169" fontId="0" fillId="0" borderId="52" xfId="0" applyNumberFormat="1" applyBorder="1"/>
    <xf numFmtId="169" fontId="25" fillId="0" borderId="53" xfId="106" applyFont="1" applyFill="1" applyBorder="1" applyAlignment="1">
      <alignment horizontal="center"/>
    </xf>
    <xf numFmtId="0" fontId="25" fillId="28" borderId="60" xfId="0" applyFont="1" applyFill="1" applyBorder="1" applyAlignment="1">
      <alignment horizontal="center"/>
    </xf>
    <xf numFmtId="0" fontId="25" fillId="28" borderId="32" xfId="0" applyFont="1" applyFill="1" applyBorder="1" applyAlignment="1">
      <alignment horizontal="center"/>
    </xf>
    <xf numFmtId="2" fontId="25" fillId="28" borderId="32" xfId="0" applyNumberFormat="1" applyFont="1" applyFill="1" applyBorder="1" applyAlignment="1">
      <alignment horizontal="center"/>
    </xf>
    <xf numFmtId="169" fontId="25" fillId="28" borderId="32" xfId="106" applyFont="1" applyFill="1" applyBorder="1" applyAlignment="1">
      <alignment horizontal="center"/>
    </xf>
    <xf numFmtId="1" fontId="0" fillId="28" borderId="32" xfId="0" applyNumberFormat="1" applyFill="1" applyBorder="1"/>
    <xf numFmtId="169" fontId="0" fillId="28" borderId="32" xfId="0" applyNumberFormat="1" applyFill="1" applyBorder="1"/>
    <xf numFmtId="169" fontId="25" fillId="28" borderId="33" xfId="106" applyFont="1" applyFill="1" applyBorder="1" applyAlignment="1">
      <alignment horizontal="center"/>
    </xf>
    <xf numFmtId="2" fontId="3" fillId="25" borderId="10" xfId="0" applyNumberFormat="1" applyFont="1" applyFill="1" applyBorder="1" applyAlignment="1">
      <alignment horizontal="center"/>
    </xf>
    <xf numFmtId="0" fontId="25" fillId="0" borderId="51" xfId="0" applyFont="1" applyBorder="1"/>
    <xf numFmtId="0" fontId="25" fillId="0" borderId="52" xfId="0" applyFont="1" applyBorder="1"/>
    <xf numFmtId="2" fontId="25" fillId="0" borderId="52" xfId="0" applyNumberFormat="1" applyFont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/>
    </xf>
    <xf numFmtId="43" fontId="25" fillId="0" borderId="0" xfId="0" applyNumberFormat="1" applyFont="1"/>
    <xf numFmtId="3" fontId="2" fillId="0" borderId="41" xfId="0" applyNumberFormat="1" applyFont="1" applyBorder="1" applyAlignment="1">
      <alignment horizontal="center"/>
    </xf>
    <xf numFmtId="3" fontId="2" fillId="0" borderId="42" xfId="0" applyNumberFormat="1" applyFont="1" applyBorder="1" applyAlignment="1">
      <alignment horizontal="center"/>
    </xf>
    <xf numFmtId="3" fontId="31" fillId="26" borderId="0" xfId="0" applyNumberFormat="1" applyFont="1" applyFill="1"/>
    <xf numFmtId="3" fontId="31" fillId="26" borderId="19" xfId="0" applyNumberFormat="1" applyFont="1" applyFill="1" applyBorder="1"/>
    <xf numFmtId="0" fontId="0" fillId="0" borderId="8" xfId="0" applyBorder="1"/>
    <xf numFmtId="0" fontId="0" fillId="0" borderId="65" xfId="0" applyBorder="1"/>
    <xf numFmtId="0" fontId="1" fillId="26" borderId="8" xfId="0" applyFont="1" applyFill="1" applyBorder="1"/>
    <xf numFmtId="0" fontId="1" fillId="26" borderId="10" xfId="0" applyFont="1" applyFill="1" applyBorder="1"/>
    <xf numFmtId="0" fontId="0" fillId="26" borderId="8" xfId="0" applyFill="1" applyBorder="1"/>
    <xf numFmtId="0" fontId="1" fillId="26" borderId="25" xfId="0" applyFont="1" applyFill="1" applyBorder="1"/>
    <xf numFmtId="0" fontId="1" fillId="26" borderId="10" xfId="0" applyFont="1" applyFill="1" applyBorder="1" applyAlignment="1">
      <alignment horizontal="center"/>
    </xf>
    <xf numFmtId="0" fontId="1" fillId="26" borderId="20" xfId="0" applyFont="1" applyFill="1" applyBorder="1"/>
    <xf numFmtId="3" fontId="0" fillId="26" borderId="16" xfId="106" applyNumberFormat="1" applyFont="1" applyFill="1" applyBorder="1"/>
    <xf numFmtId="3" fontId="0" fillId="26" borderId="21" xfId="0" applyNumberFormat="1" applyFill="1" applyBorder="1"/>
    <xf numFmtId="0" fontId="0" fillId="26" borderId="56" xfId="0" applyFill="1" applyBorder="1"/>
    <xf numFmtId="3" fontId="0" fillId="26" borderId="52" xfId="0" applyNumberFormat="1" applyFill="1" applyBorder="1"/>
    <xf numFmtId="0" fontId="1" fillId="26" borderId="56" xfId="0" applyFont="1" applyFill="1" applyBorder="1"/>
    <xf numFmtId="0" fontId="1" fillId="26" borderId="22" xfId="0" applyFont="1" applyFill="1" applyBorder="1"/>
    <xf numFmtId="3" fontId="0" fillId="26" borderId="17" xfId="0" applyNumberFormat="1" applyFill="1" applyBorder="1"/>
    <xf numFmtId="3" fontId="0" fillId="26" borderId="11" xfId="0" applyNumberFormat="1" applyFill="1" applyBorder="1"/>
    <xf numFmtId="0" fontId="1" fillId="26" borderId="24" xfId="0" applyFont="1" applyFill="1" applyBorder="1"/>
    <xf numFmtId="3" fontId="0" fillId="26" borderId="10" xfId="0" applyNumberFormat="1" applyFill="1" applyBorder="1"/>
    <xf numFmtId="0" fontId="1" fillId="26" borderId="57" xfId="0" applyFont="1" applyFill="1" applyBorder="1"/>
    <xf numFmtId="4" fontId="0" fillId="26" borderId="16" xfId="0" applyNumberFormat="1" applyFill="1" applyBorder="1"/>
    <xf numFmtId="4" fontId="0" fillId="26" borderId="53" xfId="0" applyNumberFormat="1" applyFill="1" applyBorder="1"/>
    <xf numFmtId="0" fontId="1" fillId="26" borderId="11" xfId="0" applyFont="1" applyFill="1" applyBorder="1"/>
    <xf numFmtId="0" fontId="26" fillId="26" borderId="0" xfId="0" applyFont="1" applyFill="1"/>
    <xf numFmtId="0" fontId="3" fillId="26" borderId="0" xfId="0" applyFont="1" applyFill="1"/>
    <xf numFmtId="0" fontId="31" fillId="26" borderId="0" xfId="0" applyFont="1" applyFill="1" applyAlignment="1">
      <alignment horizontal="center" vertical="center"/>
    </xf>
    <xf numFmtId="0" fontId="2" fillId="0" borderId="27" xfId="0" applyFont="1" applyBorder="1"/>
    <xf numFmtId="0" fontId="2" fillId="22" borderId="27" xfId="0" applyFont="1" applyFill="1" applyBorder="1"/>
    <xf numFmtId="2" fontId="2" fillId="23" borderId="27" xfId="0" applyNumberFormat="1" applyFont="1" applyFill="1" applyBorder="1"/>
    <xf numFmtId="170" fontId="2" fillId="0" borderId="27" xfId="106" applyNumberFormat="1" applyFont="1" applyFill="1" applyBorder="1"/>
    <xf numFmtId="170" fontId="2" fillId="23" borderId="27" xfId="106" applyNumberFormat="1" applyFont="1" applyFill="1" applyBorder="1"/>
    <xf numFmtId="170" fontId="2" fillId="22" borderId="27" xfId="106" applyNumberFormat="1" applyFont="1" applyFill="1" applyBorder="1"/>
    <xf numFmtId="170" fontId="2" fillId="0" borderId="27" xfId="106" applyNumberFormat="1" applyFont="1" applyBorder="1"/>
    <xf numFmtId="2" fontId="2" fillId="0" borderId="27" xfId="0" applyNumberFormat="1" applyFont="1" applyBorder="1"/>
    <xf numFmtId="0" fontId="2" fillId="0" borderId="27" xfId="0" applyFont="1" applyBorder="1" applyAlignment="1">
      <alignment horizontal="left" indent="1"/>
    </xf>
    <xf numFmtId="2" fontId="2" fillId="0" borderId="27" xfId="0" applyNumberFormat="1" applyFont="1" applyBorder="1" applyAlignment="1">
      <alignment horizontal="left" indent="1"/>
    </xf>
    <xf numFmtId="180" fontId="2" fillId="0" borderId="27" xfId="106" applyNumberFormat="1" applyFont="1" applyBorder="1"/>
    <xf numFmtId="180" fontId="2" fillId="22" borderId="27" xfId="106" applyNumberFormat="1" applyFont="1" applyFill="1" applyBorder="1"/>
    <xf numFmtId="0" fontId="34" fillId="0" borderId="27" xfId="0" applyFont="1" applyBorder="1"/>
    <xf numFmtId="171" fontId="2" fillId="0" borderId="27" xfId="0" applyNumberFormat="1" applyFont="1" applyBorder="1"/>
    <xf numFmtId="9" fontId="30" fillId="0" borderId="27" xfId="0" applyNumberFormat="1" applyFont="1" applyBorder="1"/>
    <xf numFmtId="9" fontId="2" fillId="0" borderId="27" xfId="0" applyNumberFormat="1" applyFont="1" applyBorder="1"/>
    <xf numFmtId="2" fontId="30" fillId="0" borderId="27" xfId="0" applyNumberFormat="1" applyFont="1" applyBorder="1"/>
    <xf numFmtId="170" fontId="2" fillId="0" borderId="27" xfId="0" applyNumberFormat="1" applyFont="1" applyBorder="1"/>
    <xf numFmtId="2" fontId="2" fillId="22" borderId="27" xfId="0" applyNumberFormat="1" applyFont="1" applyFill="1" applyBorder="1"/>
    <xf numFmtId="0" fontId="1" fillId="0" borderId="0" xfId="0" quotePrefix="1" applyFont="1"/>
    <xf numFmtId="3" fontId="0" fillId="26" borderId="0" xfId="0" applyNumberFormat="1" applyFill="1"/>
    <xf numFmtId="171" fontId="2" fillId="0" borderId="66" xfId="0" applyNumberFormat="1" applyFont="1" applyBorder="1"/>
    <xf numFmtId="0" fontId="0" fillId="26" borderId="13" xfId="0" applyFill="1" applyBorder="1"/>
    <xf numFmtId="9" fontId="2" fillId="0" borderId="28" xfId="232" applyFont="1" applyBorder="1" applyAlignment="1">
      <alignment horizontal="center"/>
    </xf>
    <xf numFmtId="3" fontId="2" fillId="0" borderId="37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3" fontId="2" fillId="30" borderId="34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right"/>
    </xf>
    <xf numFmtId="0" fontId="2" fillId="0" borderId="35" xfId="0" applyFont="1" applyBorder="1" applyAlignment="1">
      <alignment horizontal="center"/>
    </xf>
    <xf numFmtId="0" fontId="2" fillId="0" borderId="35" xfId="0" applyFont="1" applyBorder="1"/>
    <xf numFmtId="0" fontId="5" fillId="24" borderId="28" xfId="0" applyFont="1" applyFill="1" applyBorder="1" applyAlignment="1">
      <alignment horizontal="center" vertical="center"/>
    </xf>
    <xf numFmtId="0" fontId="5" fillId="24" borderId="36" xfId="0" applyFont="1" applyFill="1" applyBorder="1" applyAlignment="1">
      <alignment horizontal="center" vertical="center"/>
    </xf>
    <xf numFmtId="0" fontId="5" fillId="24" borderId="29" xfId="0" applyFont="1" applyFill="1" applyBorder="1" applyAlignment="1">
      <alignment horizontal="center" vertical="center"/>
    </xf>
    <xf numFmtId="0" fontId="5" fillId="24" borderId="30" xfId="0" applyFont="1" applyFill="1" applyBorder="1" applyAlignment="1">
      <alignment horizontal="center" vertical="center"/>
    </xf>
    <xf numFmtId="0" fontId="5" fillId="24" borderId="39" xfId="0" applyFont="1" applyFill="1" applyBorder="1" applyAlignment="1">
      <alignment horizontal="center" vertical="center"/>
    </xf>
    <xf numFmtId="0" fontId="5" fillId="24" borderId="31" xfId="0" applyFont="1" applyFill="1" applyBorder="1" applyAlignment="1">
      <alignment horizontal="center" vertical="center"/>
    </xf>
    <xf numFmtId="0" fontId="1" fillId="26" borderId="0" xfId="0" applyFont="1" applyFill="1"/>
    <xf numFmtId="3" fontId="0" fillId="26" borderId="25" xfId="0" applyNumberFormat="1" applyFill="1" applyBorder="1"/>
    <xf numFmtId="3" fontId="0" fillId="26" borderId="26" xfId="0" applyNumberFormat="1" applyFill="1" applyBorder="1"/>
    <xf numFmtId="3" fontId="27" fillId="0" borderId="38" xfId="0" applyNumberFormat="1" applyFont="1" applyBorder="1" applyAlignment="1">
      <alignment horizontal="right"/>
    </xf>
    <xf numFmtId="3" fontId="27" fillId="0" borderId="58" xfId="0" applyNumberFormat="1" applyFont="1" applyBorder="1" applyAlignment="1">
      <alignment horizontal="right"/>
    </xf>
    <xf numFmtId="3" fontId="27" fillId="30" borderId="42" xfId="0" applyNumberFormat="1" applyFont="1" applyFill="1" applyBorder="1" applyAlignment="1">
      <alignment horizontal="right"/>
    </xf>
    <xf numFmtId="3" fontId="27" fillId="0" borderId="68" xfId="0" applyNumberFormat="1" applyFont="1" applyBorder="1" applyAlignment="1">
      <alignment horizontal="right"/>
    </xf>
    <xf numFmtId="3" fontId="27" fillId="0" borderId="48" xfId="0" applyNumberFormat="1" applyFont="1" applyBorder="1"/>
    <xf numFmtId="3" fontId="27" fillId="0" borderId="45" xfId="0" applyNumberFormat="1" applyFont="1" applyBorder="1"/>
    <xf numFmtId="3" fontId="27" fillId="0" borderId="27" xfId="0" applyNumberFormat="1" applyFont="1" applyBorder="1"/>
    <xf numFmtId="3" fontId="27" fillId="0" borderId="38" xfId="0" applyNumberFormat="1" applyFont="1" applyBorder="1"/>
    <xf numFmtId="3" fontId="27" fillId="0" borderId="43" xfId="0" applyNumberFormat="1" applyFont="1" applyBorder="1"/>
    <xf numFmtId="3" fontId="27" fillId="29" borderId="61" xfId="0" applyNumberFormat="1" applyFont="1" applyFill="1" applyBorder="1"/>
    <xf numFmtId="3" fontId="27" fillId="0" borderId="67" xfId="0" applyNumberFormat="1" applyFont="1" applyBorder="1"/>
    <xf numFmtId="0" fontId="1" fillId="26" borderId="8" xfId="0" applyFont="1" applyFill="1" applyBorder="1" applyAlignment="1">
      <alignment horizontal="center"/>
    </xf>
    <xf numFmtId="0" fontId="1" fillId="26" borderId="13" xfId="0" applyFont="1" applyFill="1" applyBorder="1"/>
    <xf numFmtId="3" fontId="0" fillId="26" borderId="14" xfId="0" applyNumberFormat="1" applyFill="1" applyBorder="1"/>
    <xf numFmtId="2" fontId="0" fillId="26" borderId="10" xfId="0" applyNumberFormat="1" applyFill="1" applyBorder="1"/>
    <xf numFmtId="169" fontId="25" fillId="0" borderId="0" xfId="0" applyNumberFormat="1" applyFont="1"/>
    <xf numFmtId="2" fontId="25" fillId="25" borderId="7" xfId="0" applyNumberFormat="1" applyFont="1" applyFill="1" applyBorder="1" applyAlignment="1">
      <alignment horizontal="center"/>
    </xf>
    <xf numFmtId="169" fontId="25" fillId="25" borderId="7" xfId="106" applyFont="1" applyFill="1" applyBorder="1" applyAlignment="1">
      <alignment horizontal="center"/>
    </xf>
    <xf numFmtId="2" fontId="36" fillId="0" borderId="32" xfId="0" applyNumberFormat="1" applyFont="1" applyBorder="1" applyAlignment="1">
      <alignment horizontal="center" vertical="center"/>
    </xf>
    <xf numFmtId="169" fontId="36" fillId="28" borderId="32" xfId="106" applyFont="1" applyFill="1" applyBorder="1" applyAlignment="1">
      <alignment horizontal="center"/>
    </xf>
    <xf numFmtId="181" fontId="0" fillId="26" borderId="10" xfId="232" applyNumberFormat="1" applyFont="1" applyFill="1" applyBorder="1" applyAlignment="1">
      <alignment horizontal="center"/>
    </xf>
    <xf numFmtId="181" fontId="0" fillId="26" borderId="25" xfId="232" applyNumberFormat="1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2" fillId="0" borderId="15" xfId="0" applyFont="1" applyBorder="1"/>
    <xf numFmtId="0" fontId="2" fillId="0" borderId="13" xfId="0" applyFont="1" applyBorder="1"/>
    <xf numFmtId="0" fontId="2" fillId="0" borderId="18" xfId="0" applyFont="1" applyBorder="1"/>
    <xf numFmtId="0" fontId="2" fillId="0" borderId="24" xfId="0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0" fontId="3" fillId="26" borderId="27" xfId="0" applyFont="1" applyFill="1" applyBorder="1"/>
    <xf numFmtId="0" fontId="2" fillId="26" borderId="27" xfId="0" applyFont="1" applyFill="1" applyBorder="1"/>
    <xf numFmtId="9" fontId="2" fillId="26" borderId="0" xfId="232" applyFont="1" applyFill="1" applyBorder="1"/>
    <xf numFmtId="0" fontId="2" fillId="26" borderId="28" xfId="0" applyFont="1" applyFill="1" applyBorder="1"/>
    <xf numFmtId="3" fontId="2" fillId="26" borderId="36" xfId="0" applyNumberFormat="1" applyFont="1" applyFill="1" applyBorder="1"/>
    <xf numFmtId="9" fontId="2" fillId="26" borderId="29" xfId="232" applyFont="1" applyFill="1" applyBorder="1"/>
    <xf numFmtId="0" fontId="2" fillId="26" borderId="45" xfId="0" applyFont="1" applyFill="1" applyBorder="1"/>
    <xf numFmtId="3" fontId="2" fillId="26" borderId="27" xfId="0" applyNumberFormat="1" applyFont="1" applyFill="1" applyBorder="1"/>
    <xf numFmtId="0" fontId="2" fillId="26" borderId="37" xfId="0" applyFont="1" applyFill="1" applyBorder="1"/>
    <xf numFmtId="0" fontId="2" fillId="26" borderId="38" xfId="0" applyFont="1" applyFill="1" applyBorder="1"/>
    <xf numFmtId="0" fontId="2" fillId="26" borderId="30" xfId="0" applyFont="1" applyFill="1" applyBorder="1"/>
    <xf numFmtId="0" fontId="2" fillId="26" borderId="31" xfId="0" applyFont="1" applyFill="1" applyBorder="1"/>
    <xf numFmtId="0" fontId="2" fillId="26" borderId="44" xfId="0" applyFont="1" applyFill="1" applyBorder="1"/>
    <xf numFmtId="3" fontId="2" fillId="26" borderId="39" xfId="0" applyNumberFormat="1" applyFont="1" applyFill="1" applyBorder="1"/>
    <xf numFmtId="0" fontId="2" fillId="26" borderId="19" xfId="0" applyFont="1" applyFill="1" applyBorder="1"/>
    <xf numFmtId="0" fontId="2" fillId="26" borderId="69" xfId="0" applyFont="1" applyFill="1" applyBorder="1"/>
    <xf numFmtId="0" fontId="2" fillId="0" borderId="46" xfId="0" applyFont="1" applyBorder="1" applyAlignment="1">
      <alignment horizontal="right"/>
    </xf>
    <xf numFmtId="0" fontId="2" fillId="0" borderId="40" xfId="0" applyFont="1" applyBorder="1"/>
    <xf numFmtId="0" fontId="2" fillId="22" borderId="37" xfId="0" applyFont="1" applyFill="1" applyBorder="1"/>
    <xf numFmtId="170" fontId="2" fillId="22" borderId="38" xfId="106" applyNumberFormat="1" applyFont="1" applyFill="1" applyBorder="1"/>
    <xf numFmtId="170" fontId="2" fillId="0" borderId="38" xfId="106" applyNumberFormat="1" applyFont="1" applyBorder="1"/>
    <xf numFmtId="0" fontId="2" fillId="0" borderId="37" xfId="0" applyFont="1" applyBorder="1" applyAlignment="1">
      <alignment horizontal="left" indent="1"/>
    </xf>
    <xf numFmtId="0" fontId="0" fillId="0" borderId="38" xfId="0" applyBorder="1"/>
    <xf numFmtId="0" fontId="2" fillId="22" borderId="38" xfId="0" applyFont="1" applyFill="1" applyBorder="1"/>
    <xf numFmtId="171" fontId="2" fillId="0" borderId="38" xfId="0" applyNumberFormat="1" applyFont="1" applyBorder="1"/>
    <xf numFmtId="0" fontId="2" fillId="0" borderId="37" xfId="0" applyFont="1" applyBorder="1" applyAlignment="1">
      <alignment horizontal="right"/>
    </xf>
    <xf numFmtId="0" fontId="2" fillId="0" borderId="37" xfId="0" applyFont="1" applyBorder="1" applyAlignment="1">
      <alignment horizontal="left"/>
    </xf>
    <xf numFmtId="170" fontId="2" fillId="0" borderId="38" xfId="0" applyNumberFormat="1" applyFont="1" applyBorder="1"/>
    <xf numFmtId="170" fontId="2" fillId="0" borderId="38" xfId="106" applyNumberFormat="1" applyFont="1" applyFill="1" applyBorder="1"/>
    <xf numFmtId="170" fontId="2" fillId="0" borderId="19" xfId="106" applyNumberFormat="1" applyFont="1" applyFill="1" applyBorder="1"/>
    <xf numFmtId="0" fontId="2" fillId="24" borderId="7" xfId="0" applyFont="1" applyFill="1" applyBorder="1"/>
    <xf numFmtId="170" fontId="2" fillId="0" borderId="19" xfId="0" applyNumberFormat="1" applyFont="1" applyBorder="1"/>
    <xf numFmtId="0" fontId="2" fillId="26" borderId="24" xfId="0" applyFont="1" applyFill="1" applyBorder="1"/>
    <xf numFmtId="3" fontId="2" fillId="26" borderId="25" xfId="0" applyNumberFormat="1" applyFont="1" applyFill="1" applyBorder="1"/>
    <xf numFmtId="3" fontId="2" fillId="26" borderId="26" xfId="0" applyNumberFormat="1" applyFont="1" applyFill="1" applyBorder="1"/>
    <xf numFmtId="3" fontId="1" fillId="26" borderId="0" xfId="0" applyNumberFormat="1" applyFont="1" applyFill="1"/>
    <xf numFmtId="0" fontId="0" fillId="26" borderId="12" xfId="0" applyFill="1" applyBorder="1"/>
    <xf numFmtId="0" fontId="1" fillId="26" borderId="7" xfId="0" applyFont="1" applyFill="1" applyBorder="1"/>
    <xf numFmtId="3" fontId="0" fillId="26" borderId="9" xfId="0" applyNumberFormat="1" applyFill="1" applyBorder="1"/>
    <xf numFmtId="3" fontId="0" fillId="26" borderId="9" xfId="106" applyNumberFormat="1" applyFont="1" applyFill="1" applyBorder="1"/>
    <xf numFmtId="0" fontId="0" fillId="26" borderId="47" xfId="0" applyFill="1" applyBorder="1"/>
    <xf numFmtId="3" fontId="0" fillId="26" borderId="51" xfId="0" applyNumberFormat="1" applyFill="1" applyBorder="1"/>
    <xf numFmtId="0" fontId="27" fillId="0" borderId="34" xfId="0" applyFont="1" applyBorder="1"/>
    <xf numFmtId="3" fontId="27" fillId="0" borderId="41" xfId="0" applyNumberFormat="1" applyFont="1" applyBorder="1" applyAlignment="1">
      <alignment horizontal="center"/>
    </xf>
    <xf numFmtId="3" fontId="27" fillId="0" borderId="42" xfId="0" applyNumberFormat="1" applyFont="1" applyBorder="1" applyAlignment="1">
      <alignment horizontal="center"/>
    </xf>
    <xf numFmtId="0" fontId="27" fillId="0" borderId="55" xfId="0" applyFont="1" applyBorder="1"/>
    <xf numFmtId="3" fontId="27" fillId="0" borderId="50" xfId="0" applyNumberFormat="1" applyFont="1" applyBorder="1"/>
    <xf numFmtId="3" fontId="28" fillId="0" borderId="50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37" fillId="0" borderId="28" xfId="0" applyFont="1" applyBorder="1"/>
    <xf numFmtId="3" fontId="37" fillId="0" borderId="36" xfId="0" applyNumberFormat="1" applyFont="1" applyBorder="1"/>
    <xf numFmtId="3" fontId="37" fillId="0" borderId="29" xfId="0" applyNumberFormat="1" applyFont="1" applyBorder="1"/>
    <xf numFmtId="0" fontId="27" fillId="0" borderId="37" xfId="0" applyFont="1" applyBorder="1"/>
    <xf numFmtId="3" fontId="38" fillId="0" borderId="27" xfId="0" applyNumberFormat="1" applyFont="1" applyBorder="1"/>
    <xf numFmtId="3" fontId="38" fillId="0" borderId="38" xfId="0" applyNumberFormat="1" applyFont="1" applyBorder="1"/>
    <xf numFmtId="3" fontId="37" fillId="0" borderId="27" xfId="0" applyNumberFormat="1" applyFont="1" applyBorder="1"/>
    <xf numFmtId="3" fontId="37" fillId="0" borderId="38" xfId="0" applyNumberFormat="1" applyFont="1" applyBorder="1"/>
    <xf numFmtId="0" fontId="27" fillId="0" borderId="30" xfId="0" applyFont="1" applyBorder="1"/>
    <xf numFmtId="3" fontId="37" fillId="0" borderId="39" xfId="0" applyNumberFormat="1" applyFont="1" applyBorder="1"/>
    <xf numFmtId="3" fontId="27" fillId="0" borderId="39" xfId="0" applyNumberFormat="1" applyFont="1" applyBorder="1"/>
    <xf numFmtId="3" fontId="27" fillId="0" borderId="31" xfId="0" applyNumberFormat="1" applyFont="1" applyBorder="1"/>
    <xf numFmtId="3" fontId="38" fillId="0" borderId="41" xfId="0" applyNumberFormat="1" applyFont="1" applyBorder="1"/>
    <xf numFmtId="3" fontId="37" fillId="0" borderId="41" xfId="0" applyNumberFormat="1" applyFont="1" applyBorder="1"/>
    <xf numFmtId="3" fontId="37" fillId="0" borderId="42" xfId="0" applyNumberFormat="1" applyFont="1" applyBorder="1"/>
    <xf numFmtId="0" fontId="27" fillId="0" borderId="63" xfId="0" applyFont="1" applyBorder="1"/>
    <xf numFmtId="3" fontId="37" fillId="0" borderId="49" xfId="0" applyNumberFormat="1" applyFont="1" applyBorder="1"/>
    <xf numFmtId="3" fontId="27" fillId="0" borderId="49" xfId="0" applyNumberFormat="1" applyFont="1" applyBorder="1"/>
    <xf numFmtId="3" fontId="27" fillId="0" borderId="62" xfId="0" applyNumberFormat="1" applyFont="1" applyBorder="1"/>
    <xf numFmtId="3" fontId="27" fillId="0" borderId="41" xfId="0" applyNumberFormat="1" applyFont="1" applyBorder="1"/>
    <xf numFmtId="0" fontId="39" fillId="27" borderId="13" xfId="0" applyFont="1" applyFill="1" applyBorder="1"/>
    <xf numFmtId="3" fontId="39" fillId="27" borderId="14" xfId="0" applyNumberFormat="1" applyFont="1" applyFill="1" applyBorder="1"/>
    <xf numFmtId="3" fontId="27" fillId="26" borderId="15" xfId="0" applyNumberFormat="1" applyFont="1" applyFill="1" applyBorder="1"/>
    <xf numFmtId="3" fontId="27" fillId="26" borderId="18" xfId="0" applyNumberFormat="1" applyFont="1" applyFill="1" applyBorder="1"/>
    <xf numFmtId="0" fontId="27" fillId="0" borderId="7" xfId="0" applyFont="1" applyBorder="1"/>
    <xf numFmtId="3" fontId="2" fillId="26" borderId="8" xfId="0" applyNumberFormat="1" applyFont="1" applyFill="1" applyBorder="1"/>
    <xf numFmtId="0" fontId="40" fillId="26" borderId="22" xfId="0" applyFont="1" applyFill="1" applyBorder="1"/>
    <xf numFmtId="3" fontId="0" fillId="26" borderId="16" xfId="0" applyNumberFormat="1" applyFill="1" applyBorder="1"/>
    <xf numFmtId="0" fontId="33" fillId="26" borderId="8" xfId="0" applyFont="1" applyFill="1" applyBorder="1"/>
    <xf numFmtId="3" fontId="0" fillId="26" borderId="11" xfId="106" applyNumberFormat="1" applyFont="1" applyFill="1" applyBorder="1"/>
    <xf numFmtId="3" fontId="0" fillId="31" borderId="11" xfId="106" applyNumberFormat="1" applyFont="1" applyFill="1" applyBorder="1"/>
    <xf numFmtId="0" fontId="1" fillId="26" borderId="9" xfId="0" applyFont="1" applyFill="1" applyBorder="1"/>
    <xf numFmtId="0" fontId="1" fillId="26" borderId="9" xfId="0" applyFont="1" applyFill="1" applyBorder="1" applyAlignment="1">
      <alignment horizontal="center"/>
    </xf>
    <xf numFmtId="3" fontId="0" fillId="26" borderId="27" xfId="106" applyNumberFormat="1" applyFont="1" applyFill="1" applyBorder="1"/>
    <xf numFmtId="0" fontId="1" fillId="26" borderId="28" xfId="0" applyFont="1" applyFill="1" applyBorder="1"/>
    <xf numFmtId="3" fontId="0" fillId="26" borderId="36" xfId="106" applyNumberFormat="1" applyFont="1" applyFill="1" applyBorder="1"/>
    <xf numFmtId="3" fontId="0" fillId="26" borderId="29" xfId="106" applyNumberFormat="1" applyFont="1" applyFill="1" applyBorder="1"/>
    <xf numFmtId="0" fontId="1" fillId="26" borderId="37" xfId="0" applyFont="1" applyFill="1" applyBorder="1"/>
    <xf numFmtId="3" fontId="0" fillId="26" borderId="38" xfId="106" applyNumberFormat="1" applyFont="1" applyFill="1" applyBorder="1"/>
    <xf numFmtId="0" fontId="40" fillId="26" borderId="30" xfId="0" applyFont="1" applyFill="1" applyBorder="1"/>
    <xf numFmtId="3" fontId="0" fillId="26" borderId="39" xfId="106" applyNumberFormat="1" applyFont="1" applyFill="1" applyBorder="1"/>
    <xf numFmtId="3" fontId="0" fillId="26" borderId="31" xfId="106" applyNumberFormat="1" applyFont="1" applyFill="1" applyBorder="1"/>
    <xf numFmtId="0" fontId="33" fillId="0" borderId="24" xfId="0" applyFont="1" applyBorder="1"/>
    <xf numFmtId="3" fontId="0" fillId="0" borderId="10" xfId="106" applyNumberFormat="1" applyFont="1" applyFill="1" applyBorder="1"/>
    <xf numFmtId="3" fontId="0" fillId="31" borderId="10" xfId="106" applyNumberFormat="1" applyFont="1" applyFill="1" applyBorder="1"/>
    <xf numFmtId="0" fontId="40" fillId="26" borderId="24" xfId="0" applyFont="1" applyFill="1" applyBorder="1"/>
    <xf numFmtId="3" fontId="0" fillId="26" borderId="25" xfId="106" applyNumberFormat="1" applyFont="1" applyFill="1" applyBorder="1"/>
    <xf numFmtId="3" fontId="0" fillId="26" borderId="26" xfId="106" applyNumberFormat="1" applyFont="1" applyFill="1" applyBorder="1"/>
    <xf numFmtId="3" fontId="27" fillId="0" borderId="29" xfId="0" applyNumberFormat="1" applyFont="1" applyBorder="1" applyAlignment="1">
      <alignment horizontal="right"/>
    </xf>
    <xf numFmtId="3" fontId="27" fillId="0" borderId="71" xfId="0" applyNumberFormat="1" applyFont="1" applyBorder="1"/>
    <xf numFmtId="3" fontId="27" fillId="0" borderId="70" xfId="0" applyNumberFormat="1" applyFont="1" applyBorder="1"/>
    <xf numFmtId="3" fontId="27" fillId="0" borderId="23" xfId="0" applyNumberFormat="1" applyFont="1" applyBorder="1"/>
    <xf numFmtId="3" fontId="27" fillId="29" borderId="64" xfId="0" applyNumberFormat="1" applyFont="1" applyFill="1" applyBorder="1"/>
    <xf numFmtId="3" fontId="27" fillId="0" borderId="26" xfId="0" applyNumberFormat="1" applyFont="1" applyBorder="1"/>
    <xf numFmtId="3" fontId="2" fillId="0" borderId="55" xfId="0" applyNumberFormat="1" applyFont="1" applyBorder="1"/>
    <xf numFmtId="0" fontId="0" fillId="0" borderId="50" xfId="0" applyBorder="1"/>
    <xf numFmtId="3" fontId="2" fillId="26" borderId="50" xfId="0" applyNumberFormat="1" applyFont="1" applyFill="1" applyBorder="1"/>
    <xf numFmtId="3" fontId="2" fillId="26" borderId="54" xfId="0" applyNumberFormat="1" applyFont="1" applyFill="1" applyBorder="1"/>
    <xf numFmtId="3" fontId="2" fillId="0" borderId="34" xfId="0" applyNumberFormat="1" applyFont="1" applyBorder="1" applyAlignment="1">
      <alignment horizontal="right"/>
    </xf>
    <xf numFmtId="0" fontId="1" fillId="26" borderId="0" xfId="0" applyFont="1" applyFill="1" applyAlignment="1">
      <alignment horizontal="center"/>
    </xf>
    <xf numFmtId="3" fontId="0" fillId="0" borderId="9" xfId="106" applyNumberFormat="1" applyFont="1" applyFill="1" applyBorder="1"/>
    <xf numFmtId="3" fontId="0" fillId="0" borderId="11" xfId="106" applyNumberFormat="1" applyFont="1" applyFill="1" applyBorder="1"/>
    <xf numFmtId="3" fontId="1" fillId="26" borderId="9" xfId="106" applyNumberFormat="1" applyFont="1" applyFill="1" applyBorder="1"/>
    <xf numFmtId="0" fontId="1" fillId="0" borderId="8" xfId="0" applyFont="1" applyBorder="1"/>
    <xf numFmtId="0" fontId="0" fillId="0" borderId="64" xfId="0" applyBorder="1"/>
    <xf numFmtId="181" fontId="0" fillId="31" borderId="25" xfId="232" applyNumberFormat="1" applyFont="1" applyFill="1" applyBorder="1" applyAlignment="1">
      <alignment horizontal="center"/>
    </xf>
    <xf numFmtId="0" fontId="1" fillId="0" borderId="7" xfId="0" applyFont="1" applyBorder="1"/>
    <xf numFmtId="0" fontId="0" fillId="25" borderId="9" xfId="0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5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5" borderId="9" xfId="0" applyFont="1" applyFill="1" applyBorder="1" applyAlignment="1">
      <alignment horizontal="center" vertical="center" wrapText="1"/>
    </xf>
    <xf numFmtId="0" fontId="3" fillId="25" borderId="0" xfId="0" applyFont="1" applyFill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5" borderId="0" xfId="0" applyFont="1" applyFill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6" borderId="8" xfId="0" applyFont="1" applyFill="1" applyBorder="1" applyAlignment="1">
      <alignment horizontal="center"/>
    </xf>
    <xf numFmtId="0" fontId="1" fillId="26" borderId="12" xfId="0" applyFont="1" applyFill="1" applyBorder="1" applyAlignment="1">
      <alignment horizontal="center"/>
    </xf>
    <xf numFmtId="0" fontId="1" fillId="26" borderId="64" xfId="0" applyFont="1" applyFill="1" applyBorder="1" applyAlignment="1">
      <alignment horizontal="center"/>
    </xf>
    <xf numFmtId="0" fontId="6" fillId="24" borderId="36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4" borderId="36" xfId="0" applyFont="1" applyFill="1" applyBorder="1" applyAlignment="1">
      <alignment horizontal="center" vertical="center"/>
    </xf>
    <xf numFmtId="0" fontId="6" fillId="24" borderId="39" xfId="0" applyFont="1" applyFill="1" applyBorder="1" applyAlignment="1">
      <alignment horizontal="center" vertical="center"/>
    </xf>
  </cellXfs>
  <cellStyles count="31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 2" xfId="7" xr:uid="{00000000-0005-0000-0000-000006000000}"/>
    <cellStyle name="20% - Énfasis1 2 2" xfId="8" xr:uid="{00000000-0005-0000-0000-000007000000}"/>
    <cellStyle name="20% - Énfasis1 3" xfId="9" xr:uid="{00000000-0005-0000-0000-000008000000}"/>
    <cellStyle name="20% - Énfasis1 3 2" xfId="10" xr:uid="{00000000-0005-0000-0000-000009000000}"/>
    <cellStyle name="20% - Énfasis1 4" xfId="11" xr:uid="{00000000-0005-0000-0000-00000A000000}"/>
    <cellStyle name="20% - Énfasis1 4 2" xfId="12" xr:uid="{00000000-0005-0000-0000-00000B000000}"/>
    <cellStyle name="20% - Énfasis2 2" xfId="13" xr:uid="{00000000-0005-0000-0000-00000C000000}"/>
    <cellStyle name="20% - Énfasis2 2 2" xfId="14" xr:uid="{00000000-0005-0000-0000-00000D000000}"/>
    <cellStyle name="20% - Énfasis2 3" xfId="15" xr:uid="{00000000-0005-0000-0000-00000E000000}"/>
    <cellStyle name="20% - Énfasis2 3 2" xfId="16" xr:uid="{00000000-0005-0000-0000-00000F000000}"/>
    <cellStyle name="20% - Énfasis2 4" xfId="17" xr:uid="{00000000-0005-0000-0000-000010000000}"/>
    <cellStyle name="20% - Énfasis2 4 2" xfId="18" xr:uid="{00000000-0005-0000-0000-000011000000}"/>
    <cellStyle name="20% - Énfasis3 2" xfId="19" xr:uid="{00000000-0005-0000-0000-000012000000}"/>
    <cellStyle name="20% - Énfasis3 2 2" xfId="20" xr:uid="{00000000-0005-0000-0000-000013000000}"/>
    <cellStyle name="20% - Énfasis3 3" xfId="21" xr:uid="{00000000-0005-0000-0000-000014000000}"/>
    <cellStyle name="20% - Énfasis3 3 2" xfId="22" xr:uid="{00000000-0005-0000-0000-000015000000}"/>
    <cellStyle name="20% - Énfasis3 4" xfId="23" xr:uid="{00000000-0005-0000-0000-000016000000}"/>
    <cellStyle name="20% - Énfasis3 4 2" xfId="24" xr:uid="{00000000-0005-0000-0000-000017000000}"/>
    <cellStyle name="20% - Énfasis4 2" xfId="25" xr:uid="{00000000-0005-0000-0000-000018000000}"/>
    <cellStyle name="20% - Énfasis4 2 2" xfId="26" xr:uid="{00000000-0005-0000-0000-000019000000}"/>
    <cellStyle name="20% - Énfasis4 3" xfId="27" xr:uid="{00000000-0005-0000-0000-00001A000000}"/>
    <cellStyle name="20% - Énfasis4 3 2" xfId="28" xr:uid="{00000000-0005-0000-0000-00001B000000}"/>
    <cellStyle name="20% - Énfasis4 4" xfId="29" xr:uid="{00000000-0005-0000-0000-00001C000000}"/>
    <cellStyle name="20% - Énfasis4 4 2" xfId="30" xr:uid="{00000000-0005-0000-0000-00001D000000}"/>
    <cellStyle name="20% - Énfasis5 2" xfId="31" xr:uid="{00000000-0005-0000-0000-00001E000000}"/>
    <cellStyle name="20% - Énfasis5 2 2" xfId="32" xr:uid="{00000000-0005-0000-0000-00001F000000}"/>
    <cellStyle name="20% - Énfasis5 3" xfId="33" xr:uid="{00000000-0005-0000-0000-000020000000}"/>
    <cellStyle name="20% - Énfasis5 3 2" xfId="34" xr:uid="{00000000-0005-0000-0000-000021000000}"/>
    <cellStyle name="20% - Énfasis5 4" xfId="35" xr:uid="{00000000-0005-0000-0000-000022000000}"/>
    <cellStyle name="20% - Énfasis5 4 2" xfId="36" xr:uid="{00000000-0005-0000-0000-000023000000}"/>
    <cellStyle name="20% - Énfasis6 2" xfId="37" xr:uid="{00000000-0005-0000-0000-000024000000}"/>
    <cellStyle name="20% - Énfasis6 2 2" xfId="38" xr:uid="{00000000-0005-0000-0000-000025000000}"/>
    <cellStyle name="20% - Énfasis6 3" xfId="39" xr:uid="{00000000-0005-0000-0000-000026000000}"/>
    <cellStyle name="20% - Énfasis6 3 2" xfId="40" xr:uid="{00000000-0005-0000-0000-000027000000}"/>
    <cellStyle name="20% - Énfasis6 4" xfId="41" xr:uid="{00000000-0005-0000-0000-000028000000}"/>
    <cellStyle name="20% - Énfasis6 4 2" xfId="42" xr:uid="{00000000-0005-0000-0000-000029000000}"/>
    <cellStyle name="40% - Accent1" xfId="43" xr:uid="{00000000-0005-0000-0000-00002A000000}"/>
    <cellStyle name="40% - Accent2" xfId="44" xr:uid="{00000000-0005-0000-0000-00002B000000}"/>
    <cellStyle name="40% - Accent3" xfId="45" xr:uid="{00000000-0005-0000-0000-00002C000000}"/>
    <cellStyle name="40% - Accent4" xfId="46" xr:uid="{00000000-0005-0000-0000-00002D000000}"/>
    <cellStyle name="40% - Accent5" xfId="47" xr:uid="{00000000-0005-0000-0000-00002E000000}"/>
    <cellStyle name="40% - Accent6" xfId="48" xr:uid="{00000000-0005-0000-0000-00002F000000}"/>
    <cellStyle name="40% - Énfasis1 2" xfId="49" xr:uid="{00000000-0005-0000-0000-000030000000}"/>
    <cellStyle name="40% - Énfasis1 2 2" xfId="50" xr:uid="{00000000-0005-0000-0000-000031000000}"/>
    <cellStyle name="40% - Énfasis1 3" xfId="51" xr:uid="{00000000-0005-0000-0000-000032000000}"/>
    <cellStyle name="40% - Énfasis1 3 2" xfId="52" xr:uid="{00000000-0005-0000-0000-000033000000}"/>
    <cellStyle name="40% - Énfasis1 4" xfId="53" xr:uid="{00000000-0005-0000-0000-000034000000}"/>
    <cellStyle name="40% - Énfasis1 4 2" xfId="54" xr:uid="{00000000-0005-0000-0000-000035000000}"/>
    <cellStyle name="40% - Énfasis2 2" xfId="55" xr:uid="{00000000-0005-0000-0000-000036000000}"/>
    <cellStyle name="40% - Énfasis2 2 2" xfId="56" xr:uid="{00000000-0005-0000-0000-000037000000}"/>
    <cellStyle name="40% - Énfasis2 3" xfId="57" xr:uid="{00000000-0005-0000-0000-000038000000}"/>
    <cellStyle name="40% - Énfasis2 3 2" xfId="58" xr:uid="{00000000-0005-0000-0000-000039000000}"/>
    <cellStyle name="40% - Énfasis2 4" xfId="59" xr:uid="{00000000-0005-0000-0000-00003A000000}"/>
    <cellStyle name="40% - Énfasis2 4 2" xfId="60" xr:uid="{00000000-0005-0000-0000-00003B000000}"/>
    <cellStyle name="40% - Énfasis3 2" xfId="61" xr:uid="{00000000-0005-0000-0000-00003C000000}"/>
    <cellStyle name="40% - Énfasis3 2 2" xfId="62" xr:uid="{00000000-0005-0000-0000-00003D000000}"/>
    <cellStyle name="40% - Énfasis3 3" xfId="63" xr:uid="{00000000-0005-0000-0000-00003E000000}"/>
    <cellStyle name="40% - Énfasis3 3 2" xfId="64" xr:uid="{00000000-0005-0000-0000-00003F000000}"/>
    <cellStyle name="40% - Énfasis3 4" xfId="65" xr:uid="{00000000-0005-0000-0000-000040000000}"/>
    <cellStyle name="40% - Énfasis3 4 2" xfId="66" xr:uid="{00000000-0005-0000-0000-000041000000}"/>
    <cellStyle name="40% - Énfasis4 2" xfId="67" xr:uid="{00000000-0005-0000-0000-000042000000}"/>
    <cellStyle name="40% - Énfasis4 2 2" xfId="68" xr:uid="{00000000-0005-0000-0000-000043000000}"/>
    <cellStyle name="40% - Énfasis4 3" xfId="69" xr:uid="{00000000-0005-0000-0000-000044000000}"/>
    <cellStyle name="40% - Énfasis4 3 2" xfId="70" xr:uid="{00000000-0005-0000-0000-000045000000}"/>
    <cellStyle name="40% - Énfasis4 4" xfId="71" xr:uid="{00000000-0005-0000-0000-000046000000}"/>
    <cellStyle name="40% - Énfasis4 4 2" xfId="72" xr:uid="{00000000-0005-0000-0000-000047000000}"/>
    <cellStyle name="40% - Énfasis5 2" xfId="73" xr:uid="{00000000-0005-0000-0000-000048000000}"/>
    <cellStyle name="40% - Énfasis5 2 2" xfId="74" xr:uid="{00000000-0005-0000-0000-000049000000}"/>
    <cellStyle name="40% - Énfasis5 3" xfId="75" xr:uid="{00000000-0005-0000-0000-00004A000000}"/>
    <cellStyle name="40% - Énfasis5 3 2" xfId="76" xr:uid="{00000000-0005-0000-0000-00004B000000}"/>
    <cellStyle name="40% - Énfasis5 4" xfId="77" xr:uid="{00000000-0005-0000-0000-00004C000000}"/>
    <cellStyle name="40% - Énfasis5 4 2" xfId="78" xr:uid="{00000000-0005-0000-0000-00004D000000}"/>
    <cellStyle name="40% - Énfasis6 2" xfId="79" xr:uid="{00000000-0005-0000-0000-00004E000000}"/>
    <cellStyle name="40% - Énfasis6 2 2" xfId="80" xr:uid="{00000000-0005-0000-0000-00004F000000}"/>
    <cellStyle name="40% - Énfasis6 3" xfId="81" xr:uid="{00000000-0005-0000-0000-000050000000}"/>
    <cellStyle name="40% - Énfasis6 3 2" xfId="82" xr:uid="{00000000-0005-0000-0000-000051000000}"/>
    <cellStyle name="40% - Énfasis6 4" xfId="83" xr:uid="{00000000-0005-0000-0000-000052000000}"/>
    <cellStyle name="40% - Énfasis6 4 2" xfId="84" xr:uid="{00000000-0005-0000-0000-000053000000}"/>
    <cellStyle name="60% - Accent1" xfId="85" xr:uid="{00000000-0005-0000-0000-000054000000}"/>
    <cellStyle name="60% - Accent2" xfId="86" xr:uid="{00000000-0005-0000-0000-000055000000}"/>
    <cellStyle name="60% - Accent3" xfId="87" xr:uid="{00000000-0005-0000-0000-000056000000}"/>
    <cellStyle name="60% - Accent4" xfId="88" xr:uid="{00000000-0005-0000-0000-000057000000}"/>
    <cellStyle name="60% - Accent5" xfId="89" xr:uid="{00000000-0005-0000-0000-000058000000}"/>
    <cellStyle name="60% - Accent6" xfId="90" xr:uid="{00000000-0005-0000-0000-000059000000}"/>
    <cellStyle name="60% - Énfasis1 2" xfId="91" xr:uid="{00000000-0005-0000-0000-00005A000000}"/>
    <cellStyle name="60% - Énfasis2 2" xfId="92" xr:uid="{00000000-0005-0000-0000-00005B000000}"/>
    <cellStyle name="60% - Énfasis3 2" xfId="93" xr:uid="{00000000-0005-0000-0000-00005C000000}"/>
    <cellStyle name="60% - Énfasis4 2" xfId="94" xr:uid="{00000000-0005-0000-0000-00005D000000}"/>
    <cellStyle name="60% - Énfasis5 2" xfId="95" xr:uid="{00000000-0005-0000-0000-00005E000000}"/>
    <cellStyle name="60% - Énfasis6 2" xfId="96" xr:uid="{00000000-0005-0000-0000-00005F000000}"/>
    <cellStyle name="Accent1" xfId="97" xr:uid="{00000000-0005-0000-0000-000060000000}"/>
    <cellStyle name="Accent2" xfId="98" xr:uid="{00000000-0005-0000-0000-000061000000}"/>
    <cellStyle name="Accent3" xfId="99" xr:uid="{00000000-0005-0000-0000-000062000000}"/>
    <cellStyle name="Accent4" xfId="100" xr:uid="{00000000-0005-0000-0000-000063000000}"/>
    <cellStyle name="Accent5" xfId="101" xr:uid="{00000000-0005-0000-0000-000064000000}"/>
    <cellStyle name="Accent6" xfId="102" xr:uid="{00000000-0005-0000-0000-000065000000}"/>
    <cellStyle name="Bad" xfId="103" xr:uid="{00000000-0005-0000-0000-000066000000}"/>
    <cellStyle name="Calculation" xfId="104" xr:uid="{00000000-0005-0000-0000-000067000000}"/>
    <cellStyle name="Cálculo 2" xfId="105" xr:uid="{00000000-0005-0000-0000-000068000000}"/>
    <cellStyle name="Comma" xfId="106" builtinId="3"/>
    <cellStyle name="Comma 2" xfId="107" xr:uid="{00000000-0005-0000-0000-00006A000000}"/>
    <cellStyle name="Comma 3" xfId="108" xr:uid="{00000000-0005-0000-0000-00006B000000}"/>
    <cellStyle name="Comma 4" xfId="109" xr:uid="{00000000-0005-0000-0000-00006C000000}"/>
    <cellStyle name="Comma 4 2" xfId="110" xr:uid="{00000000-0005-0000-0000-00006D000000}"/>
    <cellStyle name="Énfasis1 2" xfId="111" xr:uid="{00000000-0005-0000-0000-00006E000000}"/>
    <cellStyle name="Énfasis2 2" xfId="112" xr:uid="{00000000-0005-0000-0000-00006F000000}"/>
    <cellStyle name="Énfasis3 2" xfId="113" xr:uid="{00000000-0005-0000-0000-000070000000}"/>
    <cellStyle name="Énfasis4 2" xfId="114" xr:uid="{00000000-0005-0000-0000-000071000000}"/>
    <cellStyle name="Énfasis5 2" xfId="115" xr:uid="{00000000-0005-0000-0000-000072000000}"/>
    <cellStyle name="Énfasis6 2" xfId="116" xr:uid="{00000000-0005-0000-0000-000073000000}"/>
    <cellStyle name="Euro" xfId="117" xr:uid="{00000000-0005-0000-0000-000074000000}"/>
    <cellStyle name="Euro 2" xfId="118" xr:uid="{00000000-0005-0000-0000-000075000000}"/>
    <cellStyle name="Euro 2 2" xfId="119" xr:uid="{00000000-0005-0000-0000-000076000000}"/>
    <cellStyle name="Euro 2 3" xfId="120" xr:uid="{00000000-0005-0000-0000-000077000000}"/>
    <cellStyle name="Euro 2 4" xfId="121" xr:uid="{00000000-0005-0000-0000-000078000000}"/>
    <cellStyle name="Euro 3" xfId="122" xr:uid="{00000000-0005-0000-0000-000079000000}"/>
    <cellStyle name="Euro 3 2" xfId="123" xr:uid="{00000000-0005-0000-0000-00007A000000}"/>
    <cellStyle name="Euro 3 3" xfId="124" xr:uid="{00000000-0005-0000-0000-00007B000000}"/>
    <cellStyle name="Euro 4" xfId="125" xr:uid="{00000000-0005-0000-0000-00007C000000}"/>
    <cellStyle name="Euro 4 2" xfId="126" xr:uid="{00000000-0005-0000-0000-00007D000000}"/>
    <cellStyle name="Euro 4 3" xfId="127" xr:uid="{00000000-0005-0000-0000-00007E000000}"/>
    <cellStyle name="Euro 5" xfId="128" xr:uid="{00000000-0005-0000-0000-00007F000000}"/>
    <cellStyle name="Euro 5 2" xfId="129" xr:uid="{00000000-0005-0000-0000-000080000000}"/>
    <cellStyle name="Euro 5 3" xfId="130" xr:uid="{00000000-0005-0000-0000-000081000000}"/>
    <cellStyle name="Euro 6" xfId="131" xr:uid="{00000000-0005-0000-0000-000082000000}"/>
    <cellStyle name="Euro 6 2" xfId="132" xr:uid="{00000000-0005-0000-0000-000083000000}"/>
    <cellStyle name="Euro 6 3" xfId="133" xr:uid="{00000000-0005-0000-0000-000084000000}"/>
    <cellStyle name="Euro 7" xfId="134" xr:uid="{00000000-0005-0000-0000-000085000000}"/>
    <cellStyle name="Euro 7 2" xfId="135" xr:uid="{00000000-0005-0000-0000-000086000000}"/>
    <cellStyle name="Euro 7 3" xfId="136" xr:uid="{00000000-0005-0000-0000-000087000000}"/>
    <cellStyle name="Euro_11.- Costos - Noviembre 2008" xfId="137" xr:uid="{00000000-0005-0000-0000-000088000000}"/>
    <cellStyle name="Explanatory Text" xfId="138" xr:uid="{00000000-0005-0000-0000-000089000000}"/>
    <cellStyle name="F2" xfId="139" xr:uid="{00000000-0005-0000-0000-00008A000000}"/>
    <cellStyle name="F3" xfId="140" xr:uid="{00000000-0005-0000-0000-00008B000000}"/>
    <cellStyle name="F4" xfId="141" xr:uid="{00000000-0005-0000-0000-00008C000000}"/>
    <cellStyle name="F5" xfId="142" xr:uid="{00000000-0005-0000-0000-00008D000000}"/>
    <cellStyle name="F6" xfId="143" xr:uid="{00000000-0005-0000-0000-00008E000000}"/>
    <cellStyle name="F7" xfId="144" xr:uid="{00000000-0005-0000-0000-00008F000000}"/>
    <cellStyle name="F8" xfId="145" xr:uid="{00000000-0005-0000-0000-000090000000}"/>
    <cellStyle name="Heading 2" xfId="146" xr:uid="{00000000-0005-0000-0000-000091000000}"/>
    <cellStyle name="Heading 3" xfId="147" xr:uid="{00000000-0005-0000-0000-000092000000}"/>
    <cellStyle name="Hyperlink 2" xfId="148" xr:uid="{00000000-0005-0000-0000-000093000000}"/>
    <cellStyle name="Incorrecto 2" xfId="149" xr:uid="{00000000-0005-0000-0000-000094000000}"/>
    <cellStyle name="Millares 10" xfId="150" xr:uid="{00000000-0005-0000-0000-000095000000}"/>
    <cellStyle name="Millares 11" xfId="151" xr:uid="{00000000-0005-0000-0000-000096000000}"/>
    <cellStyle name="Millares 2" xfId="152" xr:uid="{00000000-0005-0000-0000-000097000000}"/>
    <cellStyle name="Millares 2 2" xfId="153" xr:uid="{00000000-0005-0000-0000-000098000000}"/>
    <cellStyle name="Millares 2 2 2" xfId="154" xr:uid="{00000000-0005-0000-0000-000099000000}"/>
    <cellStyle name="Millares 2 3" xfId="155" xr:uid="{00000000-0005-0000-0000-00009A000000}"/>
    <cellStyle name="Millares 2 3 2" xfId="156" xr:uid="{00000000-0005-0000-0000-00009B000000}"/>
    <cellStyle name="Millares 2 4" xfId="157" xr:uid="{00000000-0005-0000-0000-00009C000000}"/>
    <cellStyle name="Millares 2 4 2" xfId="158" xr:uid="{00000000-0005-0000-0000-00009D000000}"/>
    <cellStyle name="Millares 2 5" xfId="159" xr:uid="{00000000-0005-0000-0000-00009E000000}"/>
    <cellStyle name="Millares 2 6" xfId="160" xr:uid="{00000000-0005-0000-0000-00009F000000}"/>
    <cellStyle name="Millares 2_11.- Costos - Noviembre 2008" xfId="161" xr:uid="{00000000-0005-0000-0000-0000A0000000}"/>
    <cellStyle name="Millares 3" xfId="162" xr:uid="{00000000-0005-0000-0000-0000A1000000}"/>
    <cellStyle name="Millares 3 2" xfId="163" xr:uid="{00000000-0005-0000-0000-0000A2000000}"/>
    <cellStyle name="Millares 3 2 2" xfId="164" xr:uid="{00000000-0005-0000-0000-0000A3000000}"/>
    <cellStyle name="Millares 3 2 3" xfId="165" xr:uid="{00000000-0005-0000-0000-0000A4000000}"/>
    <cellStyle name="Millares 3 2 4" xfId="166" xr:uid="{00000000-0005-0000-0000-0000A5000000}"/>
    <cellStyle name="Millares 3 3" xfId="167" xr:uid="{00000000-0005-0000-0000-0000A6000000}"/>
    <cellStyle name="Millares 3 4" xfId="168" xr:uid="{00000000-0005-0000-0000-0000A7000000}"/>
    <cellStyle name="Millares 3 5" xfId="169" xr:uid="{00000000-0005-0000-0000-0000A8000000}"/>
    <cellStyle name="Millares 3 5 2" xfId="170" xr:uid="{00000000-0005-0000-0000-0000A9000000}"/>
    <cellStyle name="Millares 3 6" xfId="171" xr:uid="{00000000-0005-0000-0000-0000AA000000}"/>
    <cellStyle name="Millares 3 6 2" xfId="172" xr:uid="{00000000-0005-0000-0000-0000AB000000}"/>
    <cellStyle name="Millares 3 7" xfId="173" xr:uid="{00000000-0005-0000-0000-0000AC000000}"/>
    <cellStyle name="Millares 3 7 2" xfId="174" xr:uid="{00000000-0005-0000-0000-0000AD000000}"/>
    <cellStyle name="Millares 3 8" xfId="175" xr:uid="{00000000-0005-0000-0000-0000AE000000}"/>
    <cellStyle name="Millares 4" xfId="176" xr:uid="{00000000-0005-0000-0000-0000AF000000}"/>
    <cellStyle name="Millares 4 2" xfId="177" xr:uid="{00000000-0005-0000-0000-0000B0000000}"/>
    <cellStyle name="Millares 5" xfId="178" xr:uid="{00000000-0005-0000-0000-0000B1000000}"/>
    <cellStyle name="Millares 5 2" xfId="179" xr:uid="{00000000-0005-0000-0000-0000B2000000}"/>
    <cellStyle name="Millares 6" xfId="180" xr:uid="{00000000-0005-0000-0000-0000B3000000}"/>
    <cellStyle name="Millares 7" xfId="181" xr:uid="{00000000-0005-0000-0000-0000B4000000}"/>
    <cellStyle name="Millares 7 2" xfId="182" xr:uid="{00000000-0005-0000-0000-0000B5000000}"/>
    <cellStyle name="Millares 8" xfId="183" xr:uid="{00000000-0005-0000-0000-0000B6000000}"/>
    <cellStyle name="Millares 9" xfId="184" xr:uid="{00000000-0005-0000-0000-0000B7000000}"/>
    <cellStyle name="Moneda 2" xfId="185" xr:uid="{00000000-0005-0000-0000-0000B8000000}"/>
    <cellStyle name="Moneda 2 2" xfId="186" xr:uid="{00000000-0005-0000-0000-0000B9000000}"/>
    <cellStyle name="Moneda 3" xfId="187" xr:uid="{00000000-0005-0000-0000-0000BA000000}"/>
    <cellStyle name="Moneda 4" xfId="188" xr:uid="{00000000-0005-0000-0000-0000BB000000}"/>
    <cellStyle name="Moneda 4 2" xfId="189" xr:uid="{00000000-0005-0000-0000-0000BC000000}"/>
    <cellStyle name="Normal" xfId="0" builtinId="0"/>
    <cellStyle name="Normal 10" xfId="190" xr:uid="{00000000-0005-0000-0000-0000BE000000}"/>
    <cellStyle name="Normal 2" xfId="191" xr:uid="{00000000-0005-0000-0000-0000BF000000}"/>
    <cellStyle name="Normal 2 10 2" xfId="192" xr:uid="{00000000-0005-0000-0000-0000C0000000}"/>
    <cellStyle name="Normal 2 2" xfId="193" xr:uid="{00000000-0005-0000-0000-0000C1000000}"/>
    <cellStyle name="Normal 2 2 2" xfId="194" xr:uid="{00000000-0005-0000-0000-0000C2000000}"/>
    <cellStyle name="Normal 2 2 2 2" xfId="195" xr:uid="{00000000-0005-0000-0000-0000C3000000}"/>
    <cellStyle name="Normal 2 3" xfId="196" xr:uid="{00000000-0005-0000-0000-0000C4000000}"/>
    <cellStyle name="Normal 2_FLUJEO del noviembre 09" xfId="197" xr:uid="{00000000-0005-0000-0000-0000C5000000}"/>
    <cellStyle name="Normal 3" xfId="198" xr:uid="{00000000-0005-0000-0000-0000C6000000}"/>
    <cellStyle name="Normal 3 2" xfId="199" xr:uid="{00000000-0005-0000-0000-0000C7000000}"/>
    <cellStyle name="Normal 3 2 2" xfId="200" xr:uid="{00000000-0005-0000-0000-0000C8000000}"/>
    <cellStyle name="Normal 3 2 2 2" xfId="201" xr:uid="{00000000-0005-0000-0000-0000C9000000}"/>
    <cellStyle name="Normal 3 2 2 2 2" xfId="202" xr:uid="{00000000-0005-0000-0000-0000CA000000}"/>
    <cellStyle name="Normal 3 2 2 3" xfId="203" xr:uid="{00000000-0005-0000-0000-0000CB000000}"/>
    <cellStyle name="Normal 3 2 2_0 1 CUADRO DE SEGUIMIENTO GENERAL PROSERLA ok ok ok ultimo 0807" xfId="204" xr:uid="{00000000-0005-0000-0000-0000CC000000}"/>
    <cellStyle name="Normal 3 2 3" xfId="205" xr:uid="{00000000-0005-0000-0000-0000CD000000}"/>
    <cellStyle name="Normal 3 2_0 1 CUADRO DE SEGUIMIENTO GENERAL PROSERLA ok ok ok ultimo 0807" xfId="206" xr:uid="{00000000-0005-0000-0000-0000CE000000}"/>
    <cellStyle name="Normal 3 3" xfId="207" xr:uid="{00000000-0005-0000-0000-0000CF000000}"/>
    <cellStyle name="Normal 3 3 2" xfId="208" xr:uid="{00000000-0005-0000-0000-0000D0000000}"/>
    <cellStyle name="Normal 3 4" xfId="209" xr:uid="{00000000-0005-0000-0000-0000D1000000}"/>
    <cellStyle name="Normal 3 4 2" xfId="210" xr:uid="{00000000-0005-0000-0000-0000D2000000}"/>
    <cellStyle name="Normal 3 5" xfId="211" xr:uid="{00000000-0005-0000-0000-0000D3000000}"/>
    <cellStyle name="Normal 3 5 2" xfId="212" xr:uid="{00000000-0005-0000-0000-0000D4000000}"/>
    <cellStyle name="Normal 3 6" xfId="213" xr:uid="{00000000-0005-0000-0000-0000D5000000}"/>
    <cellStyle name="Normal 3_0 1 CUADRO DE SEGUIMIENTO GENERAL PROSERLA ok ok ok ultimo 0807" xfId="214" xr:uid="{00000000-0005-0000-0000-0000D6000000}"/>
    <cellStyle name="Normal 4" xfId="215" xr:uid="{00000000-0005-0000-0000-0000D7000000}"/>
    <cellStyle name="Normal 4 2" xfId="216" xr:uid="{00000000-0005-0000-0000-0000D8000000}"/>
    <cellStyle name="Normal 4 3" xfId="217" xr:uid="{00000000-0005-0000-0000-0000D9000000}"/>
    <cellStyle name="Normal 4 3 2" xfId="218" xr:uid="{00000000-0005-0000-0000-0000DA000000}"/>
    <cellStyle name="Normal 5" xfId="219" xr:uid="{00000000-0005-0000-0000-0000DB000000}"/>
    <cellStyle name="Normal 5 2" xfId="220" xr:uid="{00000000-0005-0000-0000-0000DC000000}"/>
    <cellStyle name="Normal 5 2 2" xfId="221" xr:uid="{00000000-0005-0000-0000-0000DD000000}"/>
    <cellStyle name="Normal 5 3" xfId="222" xr:uid="{00000000-0005-0000-0000-0000DE000000}"/>
    <cellStyle name="Normal 5_0 1 CUADRO DE SEGUIMIENTO GENERAL PROSERLA ok ok ok ultimo 0807" xfId="223" xr:uid="{00000000-0005-0000-0000-0000DF000000}"/>
    <cellStyle name="Normal 6" xfId="224" xr:uid="{00000000-0005-0000-0000-0000E0000000}"/>
    <cellStyle name="Normal 6 2" xfId="225" xr:uid="{00000000-0005-0000-0000-0000E1000000}"/>
    <cellStyle name="Normal 7" xfId="226" xr:uid="{00000000-0005-0000-0000-0000E2000000}"/>
    <cellStyle name="Normal 7 2" xfId="227" xr:uid="{00000000-0005-0000-0000-0000E3000000}"/>
    <cellStyle name="Normal 8" xfId="228" xr:uid="{00000000-0005-0000-0000-0000E4000000}"/>
    <cellStyle name="Normal 9" xfId="229" xr:uid="{00000000-0005-0000-0000-0000E5000000}"/>
    <cellStyle name="Note 2" xfId="230" xr:uid="{00000000-0005-0000-0000-0000E6000000}"/>
    <cellStyle name="Output" xfId="231" xr:uid="{00000000-0005-0000-0000-0000E7000000}"/>
    <cellStyle name="Percent" xfId="232" builtinId="5"/>
    <cellStyle name="Percent 2" xfId="233" xr:uid="{00000000-0005-0000-0000-0000E9000000}"/>
    <cellStyle name="Percent 2 2" xfId="234" xr:uid="{00000000-0005-0000-0000-0000EA000000}"/>
    <cellStyle name="Percent 3" xfId="235" xr:uid="{00000000-0005-0000-0000-0000EB000000}"/>
    <cellStyle name="Percent 3 2" xfId="236" xr:uid="{00000000-0005-0000-0000-0000EC000000}"/>
    <cellStyle name="Percent 4" xfId="237" xr:uid="{00000000-0005-0000-0000-0000ED000000}"/>
    <cellStyle name="Percent 5" xfId="238" xr:uid="{00000000-0005-0000-0000-0000EE000000}"/>
    <cellStyle name="Percent 5 2" xfId="239" xr:uid="{00000000-0005-0000-0000-0000EF000000}"/>
    <cellStyle name="Porcentaje 2" xfId="240" xr:uid="{00000000-0005-0000-0000-0000F0000000}"/>
    <cellStyle name="Porcentaje 3" xfId="241" xr:uid="{00000000-0005-0000-0000-0000F1000000}"/>
    <cellStyle name="Porcentaje 4" xfId="242" xr:uid="{00000000-0005-0000-0000-0000F2000000}"/>
    <cellStyle name="Porcentual 2" xfId="243" xr:uid="{00000000-0005-0000-0000-0000F3000000}"/>
    <cellStyle name="Porcentual 2 2" xfId="244" xr:uid="{00000000-0005-0000-0000-0000F4000000}"/>
    <cellStyle name="Porcentual 2 2 2" xfId="245" xr:uid="{00000000-0005-0000-0000-0000F5000000}"/>
    <cellStyle name="Porcentual 2 2 2 2" xfId="246" xr:uid="{00000000-0005-0000-0000-0000F6000000}"/>
    <cellStyle name="Porcentual 2 3" xfId="247" xr:uid="{00000000-0005-0000-0000-0000F7000000}"/>
    <cellStyle name="Porcentual 2 3 2" xfId="248" xr:uid="{00000000-0005-0000-0000-0000F8000000}"/>
    <cellStyle name="Porcentual 3" xfId="249" xr:uid="{00000000-0005-0000-0000-0000F9000000}"/>
    <cellStyle name="Porcentual 3 2" xfId="250" xr:uid="{00000000-0005-0000-0000-0000FA000000}"/>
    <cellStyle name="Porcentual 3 2 2" xfId="251" xr:uid="{00000000-0005-0000-0000-0000FB000000}"/>
    <cellStyle name="Porcentual 3 2 2 2" xfId="252" xr:uid="{00000000-0005-0000-0000-0000FC000000}"/>
    <cellStyle name="Porcentual 3 2 2 2 2" xfId="253" xr:uid="{00000000-0005-0000-0000-0000FD000000}"/>
    <cellStyle name="Porcentual 3 2 3" xfId="254" xr:uid="{00000000-0005-0000-0000-0000FE000000}"/>
    <cellStyle name="Porcentual 3 3" xfId="255" xr:uid="{00000000-0005-0000-0000-0000FF000000}"/>
    <cellStyle name="Porcentual 3 3 2" xfId="256" xr:uid="{00000000-0005-0000-0000-000000010000}"/>
    <cellStyle name="Porcentual 3 3 2 2" xfId="257" xr:uid="{00000000-0005-0000-0000-000001010000}"/>
    <cellStyle name="Porcentual 3 3 2 2 2" xfId="258" xr:uid="{00000000-0005-0000-0000-000002010000}"/>
    <cellStyle name="Porcentual 3 3 3" xfId="259" xr:uid="{00000000-0005-0000-0000-000003010000}"/>
    <cellStyle name="Porcentual 3 4" xfId="260" xr:uid="{00000000-0005-0000-0000-000004010000}"/>
    <cellStyle name="Porcentual 3 4 2" xfId="261" xr:uid="{00000000-0005-0000-0000-000005010000}"/>
    <cellStyle name="Porcentual 3 5" xfId="262" xr:uid="{00000000-0005-0000-0000-000006010000}"/>
    <cellStyle name="Porcentual 3 6" xfId="263" xr:uid="{00000000-0005-0000-0000-000007010000}"/>
    <cellStyle name="Porcentual 4" xfId="264" xr:uid="{00000000-0005-0000-0000-000008010000}"/>
    <cellStyle name="Porcentual 4 2" xfId="265" xr:uid="{00000000-0005-0000-0000-000009010000}"/>
    <cellStyle name="Porcentual 4 2 2" xfId="266" xr:uid="{00000000-0005-0000-0000-00000A010000}"/>
    <cellStyle name="Porcentual 4 2 3" xfId="267" xr:uid="{00000000-0005-0000-0000-00000B010000}"/>
    <cellStyle name="Porcentual 4 2 4" xfId="268" xr:uid="{00000000-0005-0000-0000-00000C010000}"/>
    <cellStyle name="Porcentual 4 3" xfId="269" xr:uid="{00000000-0005-0000-0000-00000D010000}"/>
    <cellStyle name="Porcentual 4 4" xfId="270" xr:uid="{00000000-0005-0000-0000-00000E010000}"/>
    <cellStyle name="Porcentual 4 5" xfId="271" xr:uid="{00000000-0005-0000-0000-00000F010000}"/>
    <cellStyle name="Porcentual 4 5 2" xfId="272" xr:uid="{00000000-0005-0000-0000-000010010000}"/>
    <cellStyle name="Porcentual 4 6" xfId="273" xr:uid="{00000000-0005-0000-0000-000011010000}"/>
    <cellStyle name="Porcentual 4 6 2" xfId="274" xr:uid="{00000000-0005-0000-0000-000012010000}"/>
    <cellStyle name="Porcentual 4 7" xfId="275" xr:uid="{00000000-0005-0000-0000-000013010000}"/>
    <cellStyle name="Porcentual 4 7 2" xfId="276" xr:uid="{00000000-0005-0000-0000-000014010000}"/>
    <cellStyle name="Porcentual 4 8" xfId="277" xr:uid="{00000000-0005-0000-0000-000015010000}"/>
    <cellStyle name="Porcentual 5" xfId="278" xr:uid="{00000000-0005-0000-0000-000016010000}"/>
    <cellStyle name="Porcentual 5 2" xfId="279" xr:uid="{00000000-0005-0000-0000-000017010000}"/>
    <cellStyle name="Porcentual 5 2 2" xfId="280" xr:uid="{00000000-0005-0000-0000-000018010000}"/>
    <cellStyle name="Porcentual 5 2 2 2" xfId="281" xr:uid="{00000000-0005-0000-0000-000019010000}"/>
    <cellStyle name="Porcentual 5 2 2 2 2" xfId="282" xr:uid="{00000000-0005-0000-0000-00001A010000}"/>
    <cellStyle name="Porcentual 5 2 2 3" xfId="283" xr:uid="{00000000-0005-0000-0000-00001B010000}"/>
    <cellStyle name="Porcentual 5 2 2 3 2" xfId="284" xr:uid="{00000000-0005-0000-0000-00001C010000}"/>
    <cellStyle name="Porcentual 5 2 2 4" xfId="285" xr:uid="{00000000-0005-0000-0000-00001D010000}"/>
    <cellStyle name="Porcentual 5 2 3" xfId="286" xr:uid="{00000000-0005-0000-0000-00001E010000}"/>
    <cellStyle name="Porcentual 5 2 3 2" xfId="287" xr:uid="{00000000-0005-0000-0000-00001F010000}"/>
    <cellStyle name="Porcentual 5 2 4" xfId="288" xr:uid="{00000000-0005-0000-0000-000020010000}"/>
    <cellStyle name="Porcentual 5 2 4 2" xfId="289" xr:uid="{00000000-0005-0000-0000-000021010000}"/>
    <cellStyle name="Porcentual 5 2 5" xfId="290" xr:uid="{00000000-0005-0000-0000-000022010000}"/>
    <cellStyle name="Porcentual 5 2 5 2" xfId="291" xr:uid="{00000000-0005-0000-0000-000023010000}"/>
    <cellStyle name="Porcentual 5 2 5 2 2" xfId="292" xr:uid="{00000000-0005-0000-0000-000024010000}"/>
    <cellStyle name="Porcentual 5 2 5 3" xfId="293" xr:uid="{00000000-0005-0000-0000-000025010000}"/>
    <cellStyle name="Porcentual 5 2 6" xfId="294" xr:uid="{00000000-0005-0000-0000-000026010000}"/>
    <cellStyle name="Porcentual 5 3" xfId="295" xr:uid="{00000000-0005-0000-0000-000027010000}"/>
    <cellStyle name="Porcentual 5 3 2" xfId="296" xr:uid="{00000000-0005-0000-0000-000028010000}"/>
    <cellStyle name="Porcentual 5 4" xfId="297" xr:uid="{00000000-0005-0000-0000-000029010000}"/>
    <cellStyle name="Porcentual 5 4 2" xfId="298" xr:uid="{00000000-0005-0000-0000-00002A010000}"/>
    <cellStyle name="Porcentual 5 5" xfId="299" xr:uid="{00000000-0005-0000-0000-00002B010000}"/>
    <cellStyle name="Porcentual 5 5 2" xfId="300" xr:uid="{00000000-0005-0000-0000-00002C010000}"/>
    <cellStyle name="Porcentual 5 6" xfId="301" xr:uid="{00000000-0005-0000-0000-00002D010000}"/>
    <cellStyle name="Porcentual 6" xfId="302" xr:uid="{00000000-0005-0000-0000-00002E010000}"/>
    <cellStyle name="Porcentual 9" xfId="303" xr:uid="{00000000-0005-0000-0000-00002F010000}"/>
    <cellStyle name="Porcentual 9 2" xfId="304" xr:uid="{00000000-0005-0000-0000-000030010000}"/>
    <cellStyle name="Porcentual 9 3" xfId="305" xr:uid="{00000000-0005-0000-0000-000031010000}"/>
    <cellStyle name="Salida 2" xfId="306" xr:uid="{00000000-0005-0000-0000-000032010000}"/>
    <cellStyle name="Texto explicativo 2" xfId="307" xr:uid="{00000000-0005-0000-0000-000033010000}"/>
    <cellStyle name="Title" xfId="308" xr:uid="{00000000-0005-0000-0000-000034010000}"/>
    <cellStyle name="Título 1 2" xfId="309" xr:uid="{00000000-0005-0000-0000-000035010000}"/>
    <cellStyle name="Título 2 2" xfId="310" xr:uid="{00000000-0005-0000-0000-000036010000}"/>
    <cellStyle name="Título 3 2" xfId="311" xr:uid="{00000000-0005-0000-0000-000037010000}"/>
    <cellStyle name="Título 4" xfId="312" xr:uid="{00000000-0005-0000-0000-000038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DFF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zoomScale="80" zoomScaleNormal="80" workbookViewId="0">
      <selection activeCell="A4" sqref="A4:H4"/>
    </sheetView>
  </sheetViews>
  <sheetFormatPr baseColWidth="10" defaultColWidth="11.5" defaultRowHeight="13"/>
  <cols>
    <col min="1" max="1" width="71.83203125" customWidth="1"/>
    <col min="2" max="2" width="15.33203125" customWidth="1"/>
    <col min="3" max="3" width="11.33203125" customWidth="1"/>
    <col min="4" max="7" width="15.6640625" customWidth="1"/>
    <col min="8" max="8" width="14" customWidth="1"/>
    <col min="9" max="9" width="3.1640625" customWidth="1"/>
    <col min="12" max="12" width="12.83203125" style="60" bestFit="1" customWidth="1"/>
  </cols>
  <sheetData>
    <row r="1" spans="1:9">
      <c r="A1" s="41" t="s">
        <v>0</v>
      </c>
    </row>
    <row r="2" spans="1:9" ht="16">
      <c r="A2" s="40"/>
      <c r="B2" s="40"/>
      <c r="C2" s="40"/>
      <c r="D2" s="40"/>
      <c r="E2" s="40"/>
      <c r="F2" s="89"/>
      <c r="G2" s="40"/>
      <c r="H2" s="40"/>
      <c r="I2" s="40"/>
    </row>
    <row r="3" spans="1:9" ht="16">
      <c r="A3" s="40"/>
      <c r="B3" s="40"/>
      <c r="C3" s="40"/>
      <c r="D3" s="40"/>
      <c r="E3" s="40"/>
      <c r="F3" s="89"/>
      <c r="G3" s="40"/>
      <c r="H3" s="40"/>
      <c r="I3" s="40"/>
    </row>
    <row r="4" spans="1:9" ht="16">
      <c r="A4" s="347" t="s">
        <v>1</v>
      </c>
      <c r="B4" s="347"/>
      <c r="C4" s="347"/>
      <c r="D4" s="347"/>
      <c r="E4" s="347"/>
      <c r="F4" s="347"/>
      <c r="G4" s="347"/>
      <c r="H4" s="347"/>
      <c r="I4" s="40"/>
    </row>
    <row r="5" spans="1:9" ht="16">
      <c r="A5" s="40"/>
      <c r="B5" s="40"/>
      <c r="C5" s="40"/>
      <c r="D5" s="40"/>
      <c r="E5" s="40"/>
      <c r="F5" s="89"/>
      <c r="G5" s="40"/>
      <c r="H5" s="40"/>
      <c r="I5" s="40"/>
    </row>
    <row r="6" spans="1:9" ht="16">
      <c r="A6" s="4" t="s">
        <v>2</v>
      </c>
      <c r="B6" s="5">
        <v>16.52</v>
      </c>
      <c r="C6" s="19" t="s">
        <v>3</v>
      </c>
      <c r="D6" s="19"/>
      <c r="E6" s="19"/>
      <c r="F6" s="19"/>
      <c r="G6" s="19"/>
      <c r="H6" s="19"/>
      <c r="I6" s="19"/>
    </row>
    <row r="7" spans="1:9" ht="16">
      <c r="A7" s="5" t="s">
        <v>4</v>
      </c>
      <c r="B7" s="19"/>
      <c r="C7" s="19"/>
      <c r="D7" s="19"/>
      <c r="E7" s="19"/>
      <c r="F7" s="19"/>
      <c r="G7" s="19"/>
      <c r="H7" s="19"/>
      <c r="I7" s="19"/>
    </row>
    <row r="8" spans="1:9" ht="16">
      <c r="A8" s="19" t="s">
        <v>5</v>
      </c>
      <c r="B8" s="19">
        <v>6</v>
      </c>
      <c r="C8" s="19"/>
      <c r="D8" s="19"/>
      <c r="E8" s="19"/>
      <c r="F8" s="19"/>
      <c r="G8" s="19"/>
      <c r="H8" s="19"/>
      <c r="I8" s="19"/>
    </row>
    <row r="9" spans="1:9" ht="16">
      <c r="A9" s="19" t="s">
        <v>6</v>
      </c>
      <c r="B9" s="19">
        <v>3</v>
      </c>
      <c r="C9" s="19"/>
      <c r="D9" s="19"/>
      <c r="E9" s="19"/>
      <c r="F9" s="19"/>
      <c r="G9" s="19"/>
      <c r="H9" s="19"/>
      <c r="I9" s="19"/>
    </row>
    <row r="10" spans="1:9" ht="16">
      <c r="A10" s="19" t="s">
        <v>7</v>
      </c>
      <c r="B10" s="33">
        <f>10000/(B8*B9)</f>
        <v>555.55555555555554</v>
      </c>
      <c r="C10" s="19"/>
      <c r="D10" s="19"/>
      <c r="E10" s="19"/>
      <c r="F10" s="19"/>
      <c r="G10" s="19"/>
      <c r="H10" s="19"/>
      <c r="I10" s="19"/>
    </row>
    <row r="11" spans="1:9" ht="16">
      <c r="A11" s="19" t="s">
        <v>8</v>
      </c>
      <c r="B11" s="19"/>
      <c r="C11" s="19"/>
      <c r="D11" s="19"/>
      <c r="E11" s="19"/>
      <c r="F11" s="19"/>
      <c r="G11" s="19"/>
      <c r="H11" s="19"/>
      <c r="I11" s="19"/>
    </row>
    <row r="12" spans="1:9" ht="16">
      <c r="A12" s="19" t="s">
        <v>9</v>
      </c>
      <c r="B12" s="19"/>
      <c r="C12" s="19"/>
      <c r="D12" s="19"/>
      <c r="E12" s="19"/>
      <c r="F12" s="19"/>
      <c r="G12" s="19"/>
      <c r="H12" s="19"/>
      <c r="I12" s="19"/>
    </row>
    <row r="13" spans="1:9" ht="16">
      <c r="A13" s="19" t="s">
        <v>10</v>
      </c>
      <c r="B13" s="19"/>
      <c r="C13" s="19"/>
      <c r="D13" s="19"/>
      <c r="E13" s="19"/>
      <c r="F13" s="19"/>
      <c r="G13" s="19"/>
      <c r="H13" s="19"/>
      <c r="I13" s="19"/>
    </row>
    <row r="14" spans="1:9" ht="16">
      <c r="A14" s="19" t="s">
        <v>11</v>
      </c>
      <c r="B14" s="19"/>
      <c r="C14" s="19"/>
      <c r="D14" s="19"/>
      <c r="E14" s="19"/>
      <c r="F14" s="19"/>
      <c r="G14" s="19"/>
      <c r="H14" s="19"/>
      <c r="I14" s="19"/>
    </row>
    <row r="15" spans="1:9" ht="16">
      <c r="A15" s="19" t="s">
        <v>12</v>
      </c>
      <c r="B15" s="19"/>
      <c r="C15" s="19"/>
      <c r="D15" s="19"/>
      <c r="E15" s="19"/>
      <c r="F15" s="19"/>
      <c r="G15" s="19"/>
      <c r="H15" s="19"/>
      <c r="I15" s="19"/>
    </row>
    <row r="16" spans="1:9" ht="16">
      <c r="A16" s="19" t="s">
        <v>13</v>
      </c>
      <c r="B16" s="19"/>
      <c r="C16" s="19"/>
      <c r="D16" s="19"/>
      <c r="E16" s="19"/>
      <c r="F16" s="19"/>
      <c r="G16" s="19"/>
      <c r="H16" s="19"/>
      <c r="I16" s="19"/>
    </row>
    <row r="17" spans="1:12" ht="17" thickBot="1">
      <c r="A17" s="19"/>
      <c r="B17" s="19"/>
      <c r="C17" s="19"/>
      <c r="D17" s="19"/>
      <c r="E17" s="19"/>
      <c r="F17" s="19"/>
      <c r="G17" s="19"/>
      <c r="H17" s="19"/>
      <c r="I17" s="19"/>
    </row>
    <row r="18" spans="1:12" ht="15.75" customHeight="1" thickBot="1">
      <c r="A18" s="348" t="s">
        <v>14</v>
      </c>
      <c r="B18" s="348" t="s">
        <v>15</v>
      </c>
      <c r="C18" s="348" t="s">
        <v>16</v>
      </c>
      <c r="D18" s="348" t="s">
        <v>17</v>
      </c>
      <c r="E18" s="88"/>
      <c r="F18" s="90"/>
      <c r="G18" s="88" t="s">
        <v>18</v>
      </c>
      <c r="H18" s="348" t="s">
        <v>19</v>
      </c>
      <c r="I18" s="19"/>
      <c r="J18" s="341" t="s">
        <v>20</v>
      </c>
      <c r="L18" s="61" t="s">
        <v>21</v>
      </c>
    </row>
    <row r="19" spans="1:12" ht="30.75" customHeight="1" thickBot="1">
      <c r="A19" s="349"/>
      <c r="B19" s="349"/>
      <c r="C19" s="349"/>
      <c r="D19" s="349"/>
      <c r="E19" s="94" t="s">
        <v>22</v>
      </c>
      <c r="F19" s="90" t="s">
        <v>23</v>
      </c>
      <c r="G19" s="103"/>
      <c r="H19" s="350"/>
      <c r="I19" s="19"/>
      <c r="J19" s="342"/>
    </row>
    <row r="20" spans="1:12" ht="16">
      <c r="A20" s="20"/>
      <c r="B20" s="21"/>
      <c r="C20" s="22"/>
      <c r="D20" s="91"/>
      <c r="E20" s="95"/>
      <c r="F20" s="104"/>
      <c r="G20" s="113"/>
      <c r="H20" s="121"/>
      <c r="I20" s="19"/>
      <c r="J20" s="46"/>
    </row>
    <row r="21" spans="1:12" ht="16">
      <c r="A21" s="23" t="s">
        <v>24</v>
      </c>
      <c r="B21" s="24"/>
      <c r="C21" s="25"/>
      <c r="D21" s="85"/>
      <c r="E21" s="96"/>
      <c r="F21" s="105"/>
      <c r="G21" s="114"/>
      <c r="H21" s="122"/>
      <c r="I21" s="19"/>
      <c r="J21" s="343" t="s">
        <v>25</v>
      </c>
    </row>
    <row r="22" spans="1:12" ht="16">
      <c r="A22" s="26" t="s">
        <v>26</v>
      </c>
      <c r="B22" s="24">
        <v>100</v>
      </c>
      <c r="C22" s="25">
        <f>+B6</f>
        <v>16.52</v>
      </c>
      <c r="D22" s="211">
        <f>+B22*C22</f>
        <v>1652</v>
      </c>
      <c r="E22" s="97">
        <f>+D22</f>
        <v>1652</v>
      </c>
      <c r="F22" s="106"/>
      <c r="G22" s="213">
        <f>+D22/B6</f>
        <v>100</v>
      </c>
      <c r="H22" s="123">
        <f>+D22/$B$6</f>
        <v>100</v>
      </c>
      <c r="I22" s="19"/>
      <c r="J22" s="343"/>
    </row>
    <row r="23" spans="1:12" ht="16" hidden="1">
      <c r="A23" s="26" t="s">
        <v>27</v>
      </c>
      <c r="B23" s="24"/>
      <c r="C23" s="25"/>
      <c r="D23" s="85"/>
      <c r="E23" s="96"/>
      <c r="F23" s="105"/>
      <c r="G23" s="114"/>
      <c r="H23" s="123"/>
      <c r="I23" s="19"/>
      <c r="J23" s="343"/>
    </row>
    <row r="24" spans="1:12" ht="16" hidden="1">
      <c r="A24" s="27" t="s">
        <v>28</v>
      </c>
      <c r="B24" s="24"/>
      <c r="C24" s="25"/>
      <c r="D24" s="86"/>
      <c r="E24" s="97"/>
      <c r="F24" s="107"/>
      <c r="G24" s="115"/>
      <c r="H24" s="123"/>
      <c r="I24" s="28"/>
      <c r="J24" s="343"/>
    </row>
    <row r="25" spans="1:12" ht="16" hidden="1">
      <c r="A25" s="26"/>
      <c r="B25" s="29"/>
      <c r="C25" s="30"/>
      <c r="D25" s="87"/>
      <c r="E25" s="98"/>
      <c r="F25" s="108"/>
      <c r="G25" s="116"/>
      <c r="H25" s="123"/>
      <c r="I25" s="19"/>
      <c r="J25" s="48"/>
    </row>
    <row r="26" spans="1:12" ht="16">
      <c r="A26" s="23" t="s">
        <v>29</v>
      </c>
      <c r="B26" s="29"/>
      <c r="C26" s="30"/>
      <c r="D26" s="87"/>
      <c r="E26" s="98"/>
      <c r="F26" s="108"/>
      <c r="G26" s="116"/>
      <c r="H26" s="124">
        <f>+H28</f>
        <v>3950</v>
      </c>
      <c r="I26" s="19"/>
      <c r="J26" s="344" t="s">
        <v>30</v>
      </c>
    </row>
    <row r="27" spans="1:12" ht="16" hidden="1">
      <c r="A27" s="26"/>
      <c r="B27" s="29"/>
      <c r="C27" s="30"/>
      <c r="D27" s="87"/>
      <c r="E27" s="98"/>
      <c r="F27" s="108"/>
      <c r="G27" s="116"/>
      <c r="H27" s="123"/>
      <c r="I27" s="19"/>
      <c r="J27" s="345"/>
    </row>
    <row r="28" spans="1:12" ht="16">
      <c r="A28" s="26" t="s">
        <v>31</v>
      </c>
      <c r="B28" s="29">
        <v>3950</v>
      </c>
      <c r="C28" s="30">
        <f>+B6</f>
        <v>16.52</v>
      </c>
      <c r="D28" s="92">
        <f>+B28*C28</f>
        <v>65254</v>
      </c>
      <c r="E28" s="99"/>
      <c r="F28" s="109">
        <f>+D28</f>
        <v>65254</v>
      </c>
      <c r="G28" s="117"/>
      <c r="H28" s="123">
        <f>+D28/$B$6</f>
        <v>3950</v>
      </c>
      <c r="I28" s="28"/>
      <c r="J28" s="345"/>
      <c r="L28" s="60">
        <f>+H28</f>
        <v>3950</v>
      </c>
    </row>
    <row r="29" spans="1:12" ht="16">
      <c r="A29" s="26" t="s">
        <v>32</v>
      </c>
      <c r="B29" s="29"/>
      <c r="C29" s="30"/>
      <c r="D29" s="87"/>
      <c r="E29" s="98"/>
      <c r="F29" s="108"/>
      <c r="G29" s="116"/>
      <c r="H29" s="124"/>
      <c r="I29" s="19"/>
      <c r="J29" s="345"/>
    </row>
    <row r="30" spans="1:12" ht="16" hidden="1">
      <c r="A30" s="26"/>
      <c r="B30" s="29"/>
      <c r="C30" s="30"/>
      <c r="D30" s="87"/>
      <c r="E30" s="98"/>
      <c r="F30" s="108"/>
      <c r="G30" s="116"/>
      <c r="H30" s="124"/>
      <c r="I30" s="19"/>
      <c r="J30" s="48"/>
    </row>
    <row r="31" spans="1:12" ht="16">
      <c r="A31" s="23" t="s">
        <v>33</v>
      </c>
      <c r="B31" s="29"/>
      <c r="C31" s="30"/>
      <c r="D31" s="87"/>
      <c r="E31" s="98"/>
      <c r="F31" s="108"/>
      <c r="G31" s="124"/>
      <c r="H31" s="48"/>
      <c r="I31" s="28"/>
      <c r="J31" s="346" t="s">
        <v>34</v>
      </c>
    </row>
    <row r="32" spans="1:12" ht="15.75" hidden="1" customHeight="1">
      <c r="A32" s="26"/>
      <c r="B32" s="29"/>
      <c r="C32" s="30"/>
      <c r="D32" s="87"/>
      <c r="E32" s="98"/>
      <c r="F32" s="108"/>
      <c r="G32" s="116"/>
      <c r="H32" s="124"/>
      <c r="I32" s="19"/>
      <c r="J32" s="340"/>
    </row>
    <row r="33" spans="1:12" ht="16">
      <c r="A33" s="26" t="s">
        <v>35</v>
      </c>
      <c r="B33" s="29"/>
      <c r="C33" s="30"/>
      <c r="D33" s="87"/>
      <c r="E33" s="98"/>
      <c r="F33" s="108"/>
      <c r="G33" s="116"/>
      <c r="H33" s="124"/>
      <c r="I33" s="19"/>
      <c r="J33" s="340"/>
    </row>
    <row r="34" spans="1:12" ht="16">
      <c r="A34" s="26" t="s">
        <v>36</v>
      </c>
      <c r="B34" s="39">
        <v>50000</v>
      </c>
      <c r="C34" s="30">
        <v>0.5</v>
      </c>
      <c r="D34" s="212">
        <f>+B34*C34</f>
        <v>25000</v>
      </c>
      <c r="E34" s="98">
        <f>+D34</f>
        <v>25000</v>
      </c>
      <c r="F34" s="110"/>
      <c r="G34" s="213">
        <f>+D34/$B$6</f>
        <v>1513.3171912832929</v>
      </c>
      <c r="H34" s="124">
        <f>+D34/B6</f>
        <v>1513.3171912832929</v>
      </c>
      <c r="I34" s="19"/>
      <c r="J34" s="340"/>
    </row>
    <row r="35" spans="1:12" ht="16" hidden="1">
      <c r="A35" s="26"/>
      <c r="B35" s="29"/>
      <c r="C35" s="30"/>
      <c r="D35" s="87"/>
      <c r="E35" s="98"/>
      <c r="F35" s="108"/>
      <c r="G35" s="116"/>
      <c r="H35" s="124"/>
      <c r="I35" s="19"/>
      <c r="J35" s="48"/>
    </row>
    <row r="36" spans="1:12" ht="16">
      <c r="A36" s="23" t="s">
        <v>37</v>
      </c>
      <c r="B36" s="29"/>
      <c r="C36" s="30"/>
      <c r="D36" s="87">
        <f>SUM(D38:D43)</f>
        <v>29500</v>
      </c>
      <c r="E36" s="100"/>
      <c r="F36" s="111">
        <f>+D36</f>
        <v>29500</v>
      </c>
      <c r="G36" s="118"/>
      <c r="H36" s="124">
        <f>SUM(H38:H43)</f>
        <v>1785.7142857142858</v>
      </c>
      <c r="I36" s="31"/>
      <c r="J36" s="340" t="s">
        <v>30</v>
      </c>
      <c r="L36" s="60">
        <f>+H36</f>
        <v>1785.7142857142858</v>
      </c>
    </row>
    <row r="37" spans="1:12" ht="16" hidden="1">
      <c r="A37" s="26"/>
      <c r="B37" s="29"/>
      <c r="C37" s="30"/>
      <c r="D37" s="87"/>
      <c r="E37" s="98"/>
      <c r="F37" s="108"/>
      <c r="G37" s="116"/>
      <c r="H37" s="124"/>
      <c r="I37" s="19"/>
      <c r="J37" s="340"/>
    </row>
    <row r="38" spans="1:12" ht="16">
      <c r="A38" s="26" t="s">
        <v>38</v>
      </c>
      <c r="B38" s="29">
        <v>15000</v>
      </c>
      <c r="C38" s="30">
        <v>0.5</v>
      </c>
      <c r="D38" s="87">
        <f t="shared" ref="D38:D43" si="0">+B38*C38</f>
        <v>7500</v>
      </c>
      <c r="E38" s="98"/>
      <c r="F38" s="108"/>
      <c r="G38" s="116"/>
      <c r="H38" s="123">
        <f t="shared" ref="H38:H43" si="1">+D38/$B$6</f>
        <v>453.99515738498792</v>
      </c>
      <c r="I38" s="19"/>
      <c r="J38" s="340"/>
    </row>
    <row r="39" spans="1:12" ht="16">
      <c r="A39" s="26" t="s">
        <v>39</v>
      </c>
      <c r="B39" s="29">
        <v>10000</v>
      </c>
      <c r="C39" s="30">
        <f>+C38</f>
        <v>0.5</v>
      </c>
      <c r="D39" s="87">
        <f t="shared" si="0"/>
        <v>5000</v>
      </c>
      <c r="E39" s="98"/>
      <c r="F39" s="108"/>
      <c r="G39" s="116"/>
      <c r="H39" s="123">
        <f t="shared" si="1"/>
        <v>302.66343825665859</v>
      </c>
      <c r="I39" s="19"/>
      <c r="J39" s="340"/>
    </row>
    <row r="40" spans="1:12" ht="16">
      <c r="A40" s="26" t="s">
        <v>40</v>
      </c>
      <c r="B40" s="29">
        <v>12000</v>
      </c>
      <c r="C40" s="30">
        <f>+C38</f>
        <v>0.5</v>
      </c>
      <c r="D40" s="87">
        <f t="shared" si="0"/>
        <v>6000</v>
      </c>
      <c r="E40" s="98"/>
      <c r="F40" s="108"/>
      <c r="G40" s="116"/>
      <c r="H40" s="123">
        <f t="shared" si="1"/>
        <v>363.19612590799034</v>
      </c>
      <c r="I40" s="19"/>
      <c r="J40" s="340"/>
    </row>
    <row r="41" spans="1:12" ht="16">
      <c r="A41" s="26" t="s">
        <v>41</v>
      </c>
      <c r="B41" s="29">
        <v>5000</v>
      </c>
      <c r="C41" s="30">
        <f>+C38</f>
        <v>0.5</v>
      </c>
      <c r="D41" s="87">
        <f t="shared" si="0"/>
        <v>2500</v>
      </c>
      <c r="E41" s="98"/>
      <c r="F41" s="108"/>
      <c r="G41" s="116"/>
      <c r="H41" s="123">
        <f t="shared" si="1"/>
        <v>151.3317191283293</v>
      </c>
      <c r="I41" s="19"/>
      <c r="J41" s="340"/>
    </row>
    <row r="42" spans="1:12" ht="16">
      <c r="A42" s="26" t="s">
        <v>42</v>
      </c>
      <c r="B42" s="29">
        <v>12500</v>
      </c>
      <c r="C42" s="30">
        <f>+C38</f>
        <v>0.5</v>
      </c>
      <c r="D42" s="87">
        <f t="shared" si="0"/>
        <v>6250</v>
      </c>
      <c r="E42" s="98"/>
      <c r="F42" s="108"/>
      <c r="G42" s="116"/>
      <c r="H42" s="123">
        <f t="shared" si="1"/>
        <v>378.32929782082323</v>
      </c>
      <c r="I42" s="19"/>
      <c r="J42" s="340"/>
    </row>
    <row r="43" spans="1:12" ht="16">
      <c r="A43" s="26" t="s">
        <v>43</v>
      </c>
      <c r="B43" s="29">
        <v>4500</v>
      </c>
      <c r="C43" s="30">
        <f>+C38</f>
        <v>0.5</v>
      </c>
      <c r="D43" s="87">
        <f t="shared" si="0"/>
        <v>2250</v>
      </c>
      <c r="E43" s="98"/>
      <c r="F43" s="108"/>
      <c r="G43" s="116"/>
      <c r="H43" s="123">
        <f t="shared" si="1"/>
        <v>136.19854721549638</v>
      </c>
      <c r="I43" s="32"/>
      <c r="J43" s="340"/>
    </row>
    <row r="44" spans="1:12" ht="16" hidden="1">
      <c r="A44" s="26"/>
      <c r="B44" s="29"/>
      <c r="C44" s="30"/>
      <c r="D44" s="87"/>
      <c r="E44" s="98"/>
      <c r="F44" s="108"/>
      <c r="G44" s="116"/>
      <c r="H44" s="124"/>
      <c r="I44" s="19"/>
      <c r="J44" s="48"/>
    </row>
    <row r="45" spans="1:12" ht="15.75" customHeight="1">
      <c r="A45" s="23" t="s">
        <v>44</v>
      </c>
      <c r="B45" s="29"/>
      <c r="C45" s="30"/>
      <c r="D45" s="87">
        <f>SUM(D47:D50)</f>
        <v>42000</v>
      </c>
      <c r="E45" s="98"/>
      <c r="F45" s="108">
        <f>+D45</f>
        <v>42000</v>
      </c>
      <c r="G45" s="116"/>
      <c r="H45" s="124">
        <f>+H47+H48+H49+H50</f>
        <v>2542.3728813559323</v>
      </c>
      <c r="I45" s="28"/>
      <c r="J45" s="344" t="s">
        <v>30</v>
      </c>
      <c r="L45" s="60">
        <f>+H45</f>
        <v>2542.3728813559323</v>
      </c>
    </row>
    <row r="46" spans="1:12" ht="16" hidden="1">
      <c r="A46" s="26"/>
      <c r="B46" s="29"/>
      <c r="C46" s="30"/>
      <c r="D46" s="87"/>
      <c r="E46" s="98"/>
      <c r="F46" s="108"/>
      <c r="G46" s="116"/>
      <c r="H46" s="124"/>
      <c r="I46" s="19"/>
      <c r="J46" s="344"/>
    </row>
    <row r="47" spans="1:12" ht="16">
      <c r="A47" s="26" t="s">
        <v>45</v>
      </c>
      <c r="B47" s="29">
        <v>45000</v>
      </c>
      <c r="C47" s="30">
        <v>0.5</v>
      </c>
      <c r="D47" s="87">
        <f>+B47*C47</f>
        <v>22500</v>
      </c>
      <c r="E47" s="98"/>
      <c r="F47" s="108"/>
      <c r="G47" s="116"/>
      <c r="H47" s="123">
        <f>+D47/$B$6</f>
        <v>1361.9854721549636</v>
      </c>
      <c r="I47" s="19"/>
      <c r="J47" s="344"/>
    </row>
    <row r="48" spans="1:12" ht="16">
      <c r="A48" s="26" t="s">
        <v>46</v>
      </c>
      <c r="B48" s="29">
        <v>18500</v>
      </c>
      <c r="C48" s="30">
        <v>0.5</v>
      </c>
      <c r="D48" s="87">
        <f>+B48*C48</f>
        <v>9250</v>
      </c>
      <c r="E48" s="98"/>
      <c r="F48" s="108"/>
      <c r="G48" s="116"/>
      <c r="H48" s="123">
        <f>+D48/$B$6</f>
        <v>559.92736077481845</v>
      </c>
      <c r="I48" s="19"/>
      <c r="J48" s="344"/>
    </row>
    <row r="49" spans="1:12" ht="16">
      <c r="A49" s="26" t="s">
        <v>47</v>
      </c>
      <c r="B49" s="29">
        <v>17000</v>
      </c>
      <c r="C49" s="30">
        <v>0.5</v>
      </c>
      <c r="D49" s="87">
        <f>+B49*C49</f>
        <v>8500</v>
      </c>
      <c r="E49" s="98"/>
      <c r="F49" s="108"/>
      <c r="G49" s="116"/>
      <c r="H49" s="123">
        <f>+D49/$B$6</f>
        <v>514.5278450363196</v>
      </c>
      <c r="I49" s="19"/>
      <c r="J49" s="344"/>
    </row>
    <row r="50" spans="1:12" ht="16">
      <c r="A50" s="26" t="s">
        <v>48</v>
      </c>
      <c r="B50" s="29">
        <v>3500</v>
      </c>
      <c r="C50" s="30">
        <v>0.5</v>
      </c>
      <c r="D50" s="87">
        <f>+B50*C50</f>
        <v>1750</v>
      </c>
      <c r="E50" s="98"/>
      <c r="F50" s="108"/>
      <c r="G50" s="116"/>
      <c r="H50" s="123">
        <f>+D50/$B$6</f>
        <v>105.93220338983051</v>
      </c>
      <c r="I50" s="33"/>
      <c r="J50" s="344"/>
    </row>
    <row r="51" spans="1:12" ht="16">
      <c r="A51" s="26"/>
      <c r="B51" s="29"/>
      <c r="C51" s="30"/>
      <c r="D51" s="87"/>
      <c r="E51" s="98"/>
      <c r="F51" s="108"/>
      <c r="G51" s="116"/>
      <c r="H51" s="124"/>
      <c r="I51" s="33"/>
      <c r="J51" s="48"/>
    </row>
    <row r="52" spans="1:12" ht="16">
      <c r="A52" s="23" t="s">
        <v>49</v>
      </c>
      <c r="B52" s="29">
        <f>140000/3.25</f>
        <v>43076.923076923078</v>
      </c>
      <c r="C52" s="30">
        <v>1</v>
      </c>
      <c r="D52" s="212">
        <f>+B52*C52</f>
        <v>43076.923076923078</v>
      </c>
      <c r="E52" s="108">
        <f>+D52</f>
        <v>43076.923076923078</v>
      </c>
      <c r="G52" s="214">
        <f>+E52/B6</f>
        <v>2607.5619295958281</v>
      </c>
      <c r="H52" s="124">
        <f>+D52/B6</f>
        <v>2607.5619295958281</v>
      </c>
      <c r="I52" s="33"/>
      <c r="J52" s="340" t="str">
        <f>+J45</f>
        <v>POR ADQUIRIR</v>
      </c>
      <c r="K52" s="58" t="s">
        <v>50</v>
      </c>
      <c r="L52" s="60">
        <f>+H52</f>
        <v>2607.5619295958281</v>
      </c>
    </row>
    <row r="53" spans="1:12" ht="16">
      <c r="A53" s="26" t="s">
        <v>51</v>
      </c>
      <c r="B53" s="29"/>
      <c r="C53" s="30"/>
      <c r="D53" s="87"/>
      <c r="E53" s="98"/>
      <c r="F53" s="108"/>
      <c r="G53" s="116"/>
      <c r="H53" s="124"/>
      <c r="I53" s="33"/>
      <c r="J53" s="340"/>
    </row>
    <row r="54" spans="1:12" ht="17" thickBot="1">
      <c r="A54" s="26" t="s">
        <v>52</v>
      </c>
      <c r="B54" s="29"/>
      <c r="C54" s="30"/>
      <c r="D54" s="87"/>
      <c r="E54" s="98"/>
      <c r="F54" s="108"/>
      <c r="G54" s="116"/>
      <c r="H54" s="124"/>
      <c r="I54" s="33"/>
      <c r="J54" s="340"/>
    </row>
    <row r="55" spans="1:12" ht="17" hidden="1" thickBot="1">
      <c r="A55" s="26"/>
      <c r="B55" s="29"/>
      <c r="C55" s="30"/>
      <c r="D55" s="93"/>
      <c r="E55" s="101"/>
      <c r="F55" s="112"/>
      <c r="G55" s="119"/>
      <c r="H55" s="125"/>
      <c r="I55" s="19"/>
      <c r="J55" s="48"/>
    </row>
    <row r="56" spans="1:12" ht="17" thickBot="1">
      <c r="A56" s="34" t="s">
        <v>53</v>
      </c>
      <c r="B56" s="35"/>
      <c r="C56" s="36"/>
      <c r="D56" s="37">
        <f>+D52+D45+D36+D34+D28+D22</f>
        <v>206482.92307692306</v>
      </c>
      <c r="E56" s="102">
        <f>SUM(E20:E55)</f>
        <v>69728.923076923078</v>
      </c>
      <c r="F56" s="102">
        <f t="shared" ref="F56:G56" si="2">SUM(F20:F55)</f>
        <v>136754</v>
      </c>
      <c r="G56" s="102">
        <f t="shared" si="2"/>
        <v>4220.8791208791208</v>
      </c>
      <c r="H56" s="120">
        <f>+H26+G31+H36+H45</f>
        <v>8278.0871670702181</v>
      </c>
      <c r="I56" s="19"/>
      <c r="J56" s="47"/>
      <c r="L56" s="60">
        <f>SUM(L19:L55)</f>
        <v>10885.649096666046</v>
      </c>
    </row>
    <row r="57" spans="1:12" ht="16">
      <c r="A57" s="19"/>
      <c r="B57" s="19"/>
      <c r="C57" s="19"/>
      <c r="D57" s="19">
        <f>+D56/16.52</f>
        <v>12498.966287949339</v>
      </c>
      <c r="E57" s="19"/>
      <c r="F57" s="19"/>
      <c r="G57" s="19"/>
      <c r="H57" s="19"/>
      <c r="I57" s="19"/>
    </row>
    <row r="58" spans="1:12" ht="16">
      <c r="A58" s="19" t="s">
        <v>54</v>
      </c>
      <c r="B58" s="19"/>
      <c r="C58" s="19"/>
      <c r="D58" s="38"/>
      <c r="E58" s="38"/>
      <c r="F58" s="38"/>
      <c r="G58" s="38"/>
      <c r="H58" s="126">
        <f>++H56+G56</f>
        <v>12498.966287949339</v>
      </c>
      <c r="I58" s="38"/>
      <c r="J58" s="56"/>
    </row>
    <row r="59" spans="1:12" ht="16">
      <c r="A59" s="19" t="s">
        <v>55</v>
      </c>
      <c r="B59" s="19"/>
      <c r="C59" s="19"/>
      <c r="D59" s="19"/>
      <c r="E59" s="19"/>
      <c r="F59" s="210"/>
      <c r="G59" s="126"/>
      <c r="I59" s="19"/>
    </row>
    <row r="60" spans="1:12" ht="16">
      <c r="A60" s="19"/>
      <c r="B60" s="19"/>
      <c r="C60" s="19"/>
      <c r="D60" s="19"/>
      <c r="E60" s="19"/>
      <c r="F60" s="126"/>
      <c r="G60" s="38"/>
      <c r="H60" s="19"/>
      <c r="I60" s="19"/>
    </row>
    <row r="61" spans="1:12" ht="16">
      <c r="A61" s="19"/>
      <c r="B61" s="19"/>
      <c r="C61" s="19"/>
      <c r="D61" s="19"/>
      <c r="E61" s="19"/>
      <c r="F61" s="19"/>
      <c r="G61" s="19"/>
      <c r="H61" s="19"/>
      <c r="I61" s="19"/>
    </row>
    <row r="62" spans="1:12" ht="16">
      <c r="A62" s="19"/>
      <c r="B62" s="19"/>
      <c r="C62" s="19"/>
      <c r="D62" s="19"/>
      <c r="E62" s="19"/>
      <c r="F62" s="19"/>
      <c r="G62" s="19"/>
      <c r="H62" s="19"/>
      <c r="I62" s="19"/>
    </row>
    <row r="63" spans="1:12" ht="16">
      <c r="A63" s="19"/>
      <c r="B63" s="19"/>
      <c r="C63" s="19"/>
      <c r="D63" s="19"/>
      <c r="E63" s="19"/>
      <c r="F63" s="19"/>
      <c r="G63" s="19"/>
      <c r="H63" s="19"/>
      <c r="I63" s="19"/>
    </row>
    <row r="64" spans="1:12" ht="16">
      <c r="A64" s="19"/>
      <c r="B64" s="19"/>
      <c r="C64" s="19"/>
      <c r="D64" s="19"/>
      <c r="E64" s="19"/>
      <c r="F64" s="19"/>
      <c r="G64" s="19"/>
      <c r="H64" s="19"/>
      <c r="I64" s="19"/>
    </row>
    <row r="65" spans="1:9" ht="16">
      <c r="A65" s="19"/>
      <c r="B65" s="19"/>
      <c r="C65" s="19"/>
      <c r="D65" s="19"/>
      <c r="E65" s="19"/>
      <c r="F65" s="19"/>
      <c r="G65" s="19"/>
      <c r="H65" s="19"/>
      <c r="I65" s="19"/>
    </row>
    <row r="66" spans="1:9" ht="16">
      <c r="A66" s="19"/>
      <c r="B66" s="19"/>
      <c r="C66" s="19"/>
      <c r="D66" s="19"/>
      <c r="E66" s="19"/>
      <c r="F66" s="19"/>
      <c r="G66" s="19"/>
      <c r="H66" s="19"/>
      <c r="I66" s="19"/>
    </row>
    <row r="67" spans="1:9" ht="16">
      <c r="A67" s="19"/>
      <c r="B67" s="19"/>
      <c r="C67" s="19"/>
      <c r="D67" s="19"/>
      <c r="E67" s="19"/>
      <c r="F67" s="38"/>
      <c r="G67" s="19"/>
      <c r="I67" s="19"/>
    </row>
    <row r="68" spans="1:9" ht="16">
      <c r="A68" s="19"/>
      <c r="B68" s="19"/>
      <c r="C68" s="19"/>
      <c r="D68" s="19"/>
      <c r="E68" s="19"/>
      <c r="F68" s="19"/>
      <c r="G68" s="19"/>
      <c r="H68" s="19"/>
      <c r="I68" s="19"/>
    </row>
    <row r="69" spans="1:9" ht="16">
      <c r="A69" s="19"/>
      <c r="B69" s="19"/>
      <c r="C69" s="19"/>
      <c r="D69" s="19"/>
      <c r="E69" s="19"/>
      <c r="F69" s="19"/>
      <c r="G69" s="19"/>
      <c r="H69" s="19"/>
      <c r="I69" s="19"/>
    </row>
    <row r="70" spans="1:9" ht="16">
      <c r="A70" s="19"/>
      <c r="B70" s="19"/>
      <c r="C70" s="19"/>
      <c r="D70" s="19"/>
      <c r="E70" s="19"/>
      <c r="F70" s="19"/>
      <c r="G70" s="19"/>
      <c r="H70" s="19"/>
      <c r="I70" s="19"/>
    </row>
    <row r="71" spans="1:9" ht="16">
      <c r="A71" s="19"/>
      <c r="B71" s="19"/>
      <c r="C71" s="19"/>
      <c r="D71" s="19"/>
      <c r="E71" s="19"/>
      <c r="F71" s="19"/>
      <c r="G71" s="19"/>
      <c r="H71" s="19"/>
      <c r="I71" s="19"/>
    </row>
    <row r="72" spans="1:9" ht="16">
      <c r="A72" s="19"/>
      <c r="B72" s="19"/>
      <c r="C72" s="19"/>
      <c r="D72" s="19"/>
      <c r="E72" s="19"/>
      <c r="F72" s="19"/>
      <c r="G72" s="19"/>
      <c r="H72" s="19"/>
      <c r="I72" s="19"/>
    </row>
    <row r="73" spans="1:9" ht="16">
      <c r="A73" s="19"/>
      <c r="B73" s="19"/>
      <c r="C73" s="19"/>
      <c r="D73" s="19"/>
      <c r="E73" s="19"/>
      <c r="F73" s="19"/>
      <c r="G73" s="19"/>
      <c r="H73" s="19"/>
      <c r="I73" s="19"/>
    </row>
    <row r="74" spans="1:9" ht="16">
      <c r="A74" s="19"/>
      <c r="B74" s="19"/>
      <c r="C74" s="19"/>
      <c r="D74" s="19"/>
      <c r="E74" s="19"/>
      <c r="F74" s="19"/>
      <c r="G74" s="19"/>
      <c r="H74" s="19"/>
      <c r="I74" s="19"/>
    </row>
  </sheetData>
  <mergeCells count="13">
    <mergeCell ref="A4:H4"/>
    <mergeCell ref="A18:A19"/>
    <mergeCell ref="B18:B19"/>
    <mergeCell ref="C18:C19"/>
    <mergeCell ref="D18:D19"/>
    <mergeCell ref="H18:H19"/>
    <mergeCell ref="J52:J54"/>
    <mergeCell ref="J18:J19"/>
    <mergeCell ref="J21:J24"/>
    <mergeCell ref="J26:J29"/>
    <mergeCell ref="J31:J34"/>
    <mergeCell ref="J36:J43"/>
    <mergeCell ref="J45:J50"/>
  </mergeCells>
  <phoneticPr fontId="4" type="noConversion"/>
  <pageMargins left="0" right="0" top="0.35433070866141736" bottom="0.98425196850393704" header="0" footer="0"/>
  <pageSetup paperSize="9" scale="8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4" sqref="A34"/>
    </sheetView>
  </sheetViews>
  <sheetFormatPr baseColWidth="10" defaultColWidth="11.5" defaultRowHeight="13"/>
  <cols>
    <col min="1" max="1" width="48" customWidth="1"/>
    <col min="2" max="2" width="11.83203125" bestFit="1" customWidth="1"/>
    <col min="3" max="3" width="11.5" customWidth="1"/>
    <col min="4" max="4" width="15.1640625" customWidth="1"/>
    <col min="5" max="5" width="13.83203125" customWidth="1"/>
    <col min="6" max="6" width="7.5" customWidth="1"/>
  </cols>
  <sheetData>
    <row r="1" spans="1:6">
      <c r="A1" s="41" t="s">
        <v>0</v>
      </c>
    </row>
    <row r="2" spans="1:6">
      <c r="A2" s="351" t="s">
        <v>56</v>
      </c>
      <c r="B2" s="351"/>
      <c r="C2" s="351"/>
      <c r="D2" s="351"/>
      <c r="E2" s="351"/>
      <c r="F2" s="351"/>
    </row>
    <row r="3" spans="1:6">
      <c r="A3" s="351"/>
      <c r="B3" s="351"/>
      <c r="C3" s="351"/>
      <c r="D3" s="351"/>
      <c r="E3" s="351"/>
      <c r="F3" s="351"/>
    </row>
    <row r="4" spans="1:6" ht="18" customHeight="1">
      <c r="A4" s="351"/>
      <c r="B4" s="351"/>
      <c r="C4" s="351"/>
      <c r="D4" s="351"/>
      <c r="E4" s="351"/>
      <c r="F4" s="351"/>
    </row>
    <row r="6" spans="1:6" ht="14">
      <c r="A6" s="45" t="s">
        <v>2</v>
      </c>
      <c r="B6">
        <v>16.52</v>
      </c>
      <c r="C6" t="s">
        <v>57</v>
      </c>
    </row>
    <row r="7" spans="1:6" ht="14">
      <c r="A7" s="42" t="s">
        <v>4</v>
      </c>
      <c r="B7" s="43"/>
    </row>
    <row r="8" spans="1:6" ht="14">
      <c r="A8" s="43" t="s">
        <v>5</v>
      </c>
      <c r="B8" s="43">
        <v>6</v>
      </c>
    </row>
    <row r="9" spans="1:6" ht="14">
      <c r="A9" s="43" t="s">
        <v>6</v>
      </c>
      <c r="B9" s="43">
        <v>3</v>
      </c>
    </row>
    <row r="10" spans="1:6" ht="14">
      <c r="A10" s="43" t="s">
        <v>7</v>
      </c>
      <c r="B10" s="44">
        <f>10000/(B8*B9)</f>
        <v>555.55555555555554</v>
      </c>
    </row>
    <row r="11" spans="1:6" ht="14" thickBot="1"/>
    <row r="12" spans="1:6" ht="12.75" customHeight="1">
      <c r="A12" s="348" t="s">
        <v>58</v>
      </c>
      <c r="B12" s="352" t="s">
        <v>59</v>
      </c>
      <c r="C12" s="352" t="s">
        <v>60</v>
      </c>
      <c r="D12" s="352" t="s">
        <v>61</v>
      </c>
      <c r="E12" s="341" t="s">
        <v>62</v>
      </c>
    </row>
    <row r="13" spans="1:6" ht="13.5" customHeight="1">
      <c r="A13" s="350"/>
      <c r="B13" s="353"/>
      <c r="C13" s="353"/>
      <c r="D13" s="353"/>
      <c r="E13" s="355"/>
    </row>
    <row r="14" spans="1:6" ht="13.5" customHeight="1" thickBot="1">
      <c r="A14" s="349"/>
      <c r="B14" s="354"/>
      <c r="C14" s="354"/>
      <c r="D14" s="354"/>
      <c r="E14" s="342"/>
    </row>
    <row r="15" spans="1:6">
      <c r="A15" s="1"/>
      <c r="B15" s="9"/>
      <c r="C15" s="8"/>
      <c r="D15" s="9"/>
      <c r="E15" s="9"/>
    </row>
    <row r="16" spans="1:6">
      <c r="A16" s="1"/>
      <c r="B16" s="13"/>
      <c r="C16" s="11"/>
      <c r="D16" s="13"/>
      <c r="E16" s="9"/>
    </row>
    <row r="17" spans="1:5">
      <c r="A17" s="2" t="s">
        <v>63</v>
      </c>
      <c r="B17" s="13"/>
      <c r="C17" s="11"/>
      <c r="D17" s="13"/>
      <c r="E17" s="9"/>
    </row>
    <row r="18" spans="1:5">
      <c r="A18" s="1"/>
      <c r="B18" s="13"/>
      <c r="C18" s="11"/>
      <c r="D18" s="13"/>
      <c r="E18" s="9"/>
    </row>
    <row r="19" spans="1:5">
      <c r="A19" s="1" t="s">
        <v>64</v>
      </c>
      <c r="B19" s="13">
        <v>900</v>
      </c>
      <c r="C19" s="11">
        <f>+B6</f>
        <v>16.52</v>
      </c>
      <c r="D19" s="13">
        <f>+C19*B19</f>
        <v>14868</v>
      </c>
      <c r="E19" s="10">
        <f>+D19/B6</f>
        <v>900</v>
      </c>
    </row>
    <row r="20" spans="1:5">
      <c r="A20" s="1" t="s">
        <v>65</v>
      </c>
      <c r="B20" s="13"/>
      <c r="C20" s="11"/>
      <c r="D20" s="13"/>
      <c r="E20" s="9"/>
    </row>
    <row r="21" spans="1:5">
      <c r="A21" s="1"/>
      <c r="B21" s="13"/>
      <c r="C21" s="11"/>
      <c r="D21" s="13"/>
      <c r="E21" s="9"/>
    </row>
    <row r="22" spans="1:5">
      <c r="A22" s="2" t="s">
        <v>66</v>
      </c>
      <c r="B22" s="13"/>
      <c r="C22" s="11"/>
      <c r="D22" s="13"/>
      <c r="E22" s="9"/>
    </row>
    <row r="23" spans="1:5">
      <c r="A23" s="339" t="s">
        <v>67</v>
      </c>
      <c r="B23" s="13">
        <v>700</v>
      </c>
      <c r="C23" s="11">
        <f>+B6</f>
        <v>16.52</v>
      </c>
      <c r="D23" s="13">
        <f>+C23*B23</f>
        <v>11564</v>
      </c>
      <c r="E23" s="17">
        <f>+D23/B6</f>
        <v>700</v>
      </c>
    </row>
    <row r="24" spans="1:5">
      <c r="A24" s="339" t="s">
        <v>68</v>
      </c>
      <c r="B24" s="13"/>
      <c r="C24" s="11"/>
      <c r="D24" s="13"/>
      <c r="E24" s="9"/>
    </row>
    <row r="25" spans="1:5">
      <c r="A25" s="1"/>
      <c r="B25" s="13"/>
      <c r="C25" s="11"/>
      <c r="D25" s="13"/>
      <c r="E25" s="9"/>
    </row>
    <row r="26" spans="1:5">
      <c r="A26" s="2" t="s">
        <v>69</v>
      </c>
      <c r="B26" s="13">
        <f>+B10*8.26*1.05</f>
        <v>4818.333333333333</v>
      </c>
      <c r="C26" s="11">
        <f>+B6</f>
        <v>16.52</v>
      </c>
      <c r="D26" s="13">
        <f>+C26*B26</f>
        <v>79598.866666666654</v>
      </c>
      <c r="E26" s="10">
        <f>+D26/B6</f>
        <v>4818.333333333333</v>
      </c>
    </row>
    <row r="27" spans="1:5">
      <c r="A27" s="1"/>
      <c r="B27" s="13"/>
      <c r="C27" s="11"/>
      <c r="D27" s="13"/>
      <c r="E27" s="9"/>
    </row>
    <row r="28" spans="1:5">
      <c r="A28" s="2" t="s">
        <v>70</v>
      </c>
      <c r="B28" s="13">
        <f xml:space="preserve"> 0.834*150+0.0278*900</f>
        <v>150.12</v>
      </c>
      <c r="C28" s="11">
        <f>+B6</f>
        <v>16.52</v>
      </c>
      <c r="D28" s="13">
        <f>+C28*B28</f>
        <v>2479.9823999999999</v>
      </c>
      <c r="E28" s="10">
        <f>+D28/B6</f>
        <v>150.12</v>
      </c>
    </row>
    <row r="29" spans="1:5">
      <c r="A29" s="1"/>
      <c r="B29" s="13"/>
      <c r="C29" s="11"/>
      <c r="D29" s="13"/>
      <c r="E29" s="9"/>
    </row>
    <row r="30" spans="1:5" ht="14" thickBot="1">
      <c r="A30" s="1"/>
      <c r="B30" s="14"/>
      <c r="C30" s="12"/>
      <c r="D30" s="14"/>
      <c r="E30" s="9"/>
    </row>
    <row r="31" spans="1:5" ht="14" thickBot="1">
      <c r="A31" s="3" t="s">
        <v>53</v>
      </c>
      <c r="B31" s="15">
        <f>+B19+B23+B26+B28</f>
        <v>6568.4533333333329</v>
      </c>
      <c r="C31" s="16"/>
      <c r="D31" s="15">
        <f>SUM(D18:D29)</f>
        <v>108510.84906666665</v>
      </c>
      <c r="E31" s="18">
        <f>SUM(E16:E30)</f>
        <v>6568.4533333333329</v>
      </c>
    </row>
    <row r="33" spans="1:4">
      <c r="D33" s="6"/>
    </row>
    <row r="34" spans="1:4">
      <c r="A34" s="58"/>
    </row>
    <row r="35" spans="1:4">
      <c r="A35" s="58"/>
    </row>
  </sheetData>
  <mergeCells count="6">
    <mergeCell ref="A2:F4"/>
    <mergeCell ref="C12:C14"/>
    <mergeCell ref="D12:D14"/>
    <mergeCell ref="B12:B14"/>
    <mergeCell ref="A12:A14"/>
    <mergeCell ref="E12:E14"/>
  </mergeCells>
  <phoneticPr fontId="4" type="noConversion"/>
  <pageMargins left="0.82677165354330717" right="0.39370078740157483" top="0.98425196850393704" bottom="0.98425196850393704" header="0.19685039370078741" footer="0"/>
  <pageSetup paperSize="9" scale="9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40"/>
  <sheetViews>
    <sheetView zoomScaleNormal="100" workbookViewId="0">
      <selection activeCell="G34" sqref="G34"/>
    </sheetView>
  </sheetViews>
  <sheetFormatPr baseColWidth="10" defaultColWidth="8.83203125" defaultRowHeight="13"/>
  <cols>
    <col min="3" max="3" width="3.5" customWidth="1"/>
    <col min="4" max="4" width="27.5" customWidth="1"/>
    <col min="5" max="6" width="8.33203125" customWidth="1"/>
    <col min="7" max="7" width="9.6640625" customWidth="1"/>
    <col min="8" max="8" width="4.33203125" customWidth="1"/>
    <col min="11" max="11" width="33.1640625" customWidth="1"/>
    <col min="12" max="12" width="14.1640625" customWidth="1"/>
    <col min="13" max="14" width="9.1640625" customWidth="1"/>
  </cols>
  <sheetData>
    <row r="2" spans="3:15" ht="14" thickBot="1">
      <c r="C2" s="49"/>
      <c r="D2" s="49"/>
      <c r="E2" s="49"/>
      <c r="F2" s="49"/>
      <c r="G2" s="49"/>
      <c r="H2" s="49"/>
    </row>
    <row r="3" spans="3:15" ht="14" thickBot="1">
      <c r="C3" s="49"/>
      <c r="D3" s="133" t="s">
        <v>71</v>
      </c>
      <c r="E3" s="356" t="s">
        <v>72</v>
      </c>
      <c r="F3" s="357"/>
      <c r="G3" s="358"/>
      <c r="H3" s="49"/>
      <c r="K3" s="133" t="s">
        <v>71</v>
      </c>
      <c r="L3" s="356" t="s">
        <v>72</v>
      </c>
      <c r="M3" s="357"/>
      <c r="N3" s="358"/>
    </row>
    <row r="4" spans="3:15" ht="14" thickBot="1">
      <c r="C4" s="49"/>
      <c r="D4" s="135"/>
      <c r="E4" s="134" t="s">
        <v>73</v>
      </c>
      <c r="F4" s="136" t="s">
        <v>74</v>
      </c>
      <c r="G4" s="137" t="s">
        <v>75</v>
      </c>
      <c r="H4" s="49"/>
      <c r="K4" s="135"/>
      <c r="L4" s="134" t="s">
        <v>73</v>
      </c>
      <c r="M4" s="136" t="s">
        <v>74</v>
      </c>
      <c r="N4" s="137" t="s">
        <v>75</v>
      </c>
    </row>
    <row r="5" spans="3:15" ht="14" thickBot="1">
      <c r="C5" s="49"/>
      <c r="D5" s="261" t="s">
        <v>76</v>
      </c>
      <c r="E5" s="263">
        <v>350000</v>
      </c>
      <c r="F5" s="176">
        <v>0</v>
      </c>
      <c r="G5" s="145">
        <f>+F5+E5</f>
        <v>350000</v>
      </c>
      <c r="H5" s="49"/>
      <c r="K5" s="138" t="s">
        <v>77</v>
      </c>
      <c r="L5" s="139">
        <f>350000/16.52</f>
        <v>21186.440677966104</v>
      </c>
      <c r="M5" s="140">
        <v>0</v>
      </c>
      <c r="N5" s="142">
        <f>SUM(L5:M5)</f>
        <v>21186.440677966104</v>
      </c>
    </row>
    <row r="6" spans="3:15">
      <c r="C6" s="49"/>
      <c r="D6" s="264" t="s">
        <v>78</v>
      </c>
      <c r="E6" s="265">
        <f>+L6*16.52</f>
        <v>69728.923076923078</v>
      </c>
      <c r="F6" s="265">
        <f>+M6*16.52</f>
        <v>136754</v>
      </c>
      <c r="G6" s="265">
        <f>+F6+E6</f>
        <v>206482.92307692306</v>
      </c>
      <c r="H6" s="49"/>
      <c r="K6" s="141" t="s">
        <v>78</v>
      </c>
      <c r="L6" s="142">
        <f>+'Costos Agricolas 01 ha'!E88</f>
        <v>4220.8791208791208</v>
      </c>
      <c r="M6" s="142">
        <f>'Costos Agricolas 01 ha'!E90</f>
        <v>8278.0871670702181</v>
      </c>
      <c r="N6" s="142">
        <f>SUM(L6:M6)</f>
        <v>12498.966287949339</v>
      </c>
    </row>
    <row r="7" spans="3:15">
      <c r="C7" s="49"/>
      <c r="D7" s="143" t="s">
        <v>79</v>
      </c>
      <c r="E7" s="142">
        <f t="shared" ref="E7:E8" si="0">+L7*16.52</f>
        <v>0</v>
      </c>
      <c r="F7" s="142">
        <f t="shared" ref="F7:F8" si="1">+M7*16.52</f>
        <v>108510.84906666666</v>
      </c>
      <c r="G7" s="142">
        <f>+F7+E7</f>
        <v>108510.84906666666</v>
      </c>
      <c r="H7" s="49"/>
      <c r="J7" s="53">
        <f>SUM(G6:G7)</f>
        <v>314993.77214358974</v>
      </c>
      <c r="K7" s="143" t="s">
        <v>79</v>
      </c>
      <c r="L7" s="142">
        <v>0</v>
      </c>
      <c r="M7" s="142">
        <f>+'Costos Agricolas 01 ha'!F90</f>
        <v>6568.4533333333329</v>
      </c>
      <c r="N7" s="142">
        <f>SUM(L7:M7)</f>
        <v>6568.4533333333329</v>
      </c>
    </row>
    <row r="8" spans="3:15" ht="14" thickBot="1">
      <c r="C8" s="49"/>
      <c r="D8" s="144" t="s">
        <v>80</v>
      </c>
      <c r="E8" s="145">
        <f t="shared" si="0"/>
        <v>125552</v>
      </c>
      <c r="F8" s="145">
        <f t="shared" si="1"/>
        <v>181789.61700005917</v>
      </c>
      <c r="G8" s="145">
        <f>+F8+E8</f>
        <v>307341.61700005917</v>
      </c>
      <c r="H8" s="49"/>
      <c r="K8" s="144" t="s">
        <v>80</v>
      </c>
      <c r="L8" s="142">
        <f>+'Costos Agricolas 01 ha'!G88+'Costos Agricolas 01 ha'!H88</f>
        <v>7600</v>
      </c>
      <c r="M8" s="142">
        <f>-'Costos Agricolas 01 ha'!G84-'Costos Agricolas 01 ha'!H84-'Costos Agricolas 01 ha'!G88-'Costos Agricolas 01 ha'!H88</f>
        <v>11004.214104119805</v>
      </c>
      <c r="N8" s="145">
        <f>SUM(L8:M8)</f>
        <v>18604.214104119805</v>
      </c>
    </row>
    <row r="9" spans="3:15" ht="14" thickBot="1">
      <c r="C9" s="49"/>
      <c r="D9" s="133" t="s">
        <v>81</v>
      </c>
      <c r="E9" s="146">
        <f>SUM(E6:E8)</f>
        <v>195280.92307692306</v>
      </c>
      <c r="F9" s="146">
        <f t="shared" ref="F9:G9" si="2">SUM(F6:F8)</f>
        <v>427054.46606672584</v>
      </c>
      <c r="G9" s="146">
        <f t="shared" si="2"/>
        <v>622335.38914364891</v>
      </c>
      <c r="H9" s="49"/>
      <c r="K9" s="261"/>
      <c r="L9" s="262"/>
      <c r="M9" s="262"/>
      <c r="N9" s="262"/>
    </row>
    <row r="10" spans="3:15" ht="14" thickBot="1">
      <c r="C10" s="49"/>
      <c r="D10" s="133" t="s">
        <v>75</v>
      </c>
      <c r="E10" s="146">
        <f>SUM(E5:E8)</f>
        <v>545280.92307692301</v>
      </c>
      <c r="F10" s="146">
        <f t="shared" ref="F10:G10" si="3">SUM(F5:F8)</f>
        <v>427054.46606672584</v>
      </c>
      <c r="G10" s="146">
        <f t="shared" si="3"/>
        <v>972335.38914364879</v>
      </c>
      <c r="H10" s="49"/>
      <c r="J10" s="53"/>
      <c r="K10" s="206" t="s">
        <v>75</v>
      </c>
      <c r="L10" s="146">
        <f>SUM(L5:L8)</f>
        <v>33007.319798845223</v>
      </c>
      <c r="M10" s="146">
        <f t="shared" ref="M10:N10" si="4">SUM(M5:M8)</f>
        <v>25850.754604523354</v>
      </c>
      <c r="N10" s="146">
        <f t="shared" si="4"/>
        <v>58858.074403368577</v>
      </c>
    </row>
    <row r="11" spans="3:15" ht="14" thickBot="1">
      <c r="C11" s="49"/>
      <c r="D11" s="147" t="s">
        <v>82</v>
      </c>
      <c r="E11" s="215">
        <f>+E10/G10</f>
        <v>0.56079510132523369</v>
      </c>
      <c r="F11" s="216">
        <f>+F10/G10</f>
        <v>0.43920489867476642</v>
      </c>
      <c r="G11" s="148"/>
      <c r="H11" s="49"/>
      <c r="K11" s="217" t="s">
        <v>83</v>
      </c>
      <c r="L11" s="215">
        <f>+L10/N10</f>
        <v>0.56079510132523369</v>
      </c>
      <c r="M11" s="216">
        <f>+M10/N10</f>
        <v>0.43920489867476636</v>
      </c>
      <c r="N11" s="148"/>
      <c r="O11" s="54"/>
    </row>
    <row r="12" spans="3:15" ht="14" thickBot="1">
      <c r="C12" s="49"/>
      <c r="D12" s="51"/>
      <c r="E12" s="49"/>
      <c r="F12" s="176"/>
      <c r="G12" s="50"/>
      <c r="H12" s="49"/>
      <c r="J12" s="53"/>
    </row>
    <row r="13" spans="3:15" ht="14" thickBot="1">
      <c r="C13" s="49"/>
      <c r="D13" s="207" t="s">
        <v>84</v>
      </c>
      <c r="E13" s="208"/>
      <c r="F13" s="176"/>
      <c r="G13" s="50"/>
      <c r="H13" s="49"/>
      <c r="K13" s="133" t="s">
        <v>71</v>
      </c>
      <c r="L13" s="356" t="s">
        <v>72</v>
      </c>
      <c r="M13" s="357"/>
      <c r="N13" s="358"/>
    </row>
    <row r="14" spans="3:15" ht="14" thickBot="1">
      <c r="C14" s="49"/>
      <c r="D14" s="147" t="s">
        <v>85</v>
      </c>
      <c r="E14" s="209">
        <f>+G10/F10</f>
        <v>2.2768416359137773</v>
      </c>
      <c r="F14" s="176"/>
      <c r="G14" s="50"/>
      <c r="H14" s="49"/>
      <c r="K14" s="135"/>
      <c r="L14" s="134" t="s">
        <v>73</v>
      </c>
      <c r="M14" s="136" t="s">
        <v>74</v>
      </c>
      <c r="N14" s="137" t="s">
        <v>75</v>
      </c>
    </row>
    <row r="15" spans="3:15" ht="14" thickBot="1">
      <c r="C15" s="49"/>
      <c r="D15" s="138" t="s">
        <v>86</v>
      </c>
      <c r="E15" s="150">
        <f>+'Costos Agricolas 01 ha'!I113/'Costos Agricolas 01 ha'!I129</f>
        <v>2.1205925763624589</v>
      </c>
      <c r="F15" s="176"/>
      <c r="G15" s="50"/>
      <c r="H15" s="49"/>
      <c r="K15" s="261" t="s">
        <v>87</v>
      </c>
      <c r="L15" s="335">
        <f>274000/16.52</f>
        <v>16585.956416464891</v>
      </c>
      <c r="M15" s="176">
        <v>0</v>
      </c>
      <c r="N15" s="145">
        <f>SUM(L15:M15)</f>
        <v>16585.956416464891</v>
      </c>
    </row>
    <row r="16" spans="3:15" ht="14" thickBot="1">
      <c r="C16" s="49"/>
      <c r="D16" s="149" t="s">
        <v>88</v>
      </c>
      <c r="E16" s="151">
        <f>+'Costos Agricolas 01 ha'!L113/'Costos Agricolas 01 ha'!L129</f>
        <v>5.2669199468040775</v>
      </c>
      <c r="F16" s="259" t="s">
        <v>89</v>
      </c>
      <c r="G16" s="50"/>
      <c r="H16" s="49"/>
      <c r="K16" s="133" t="s">
        <v>90</v>
      </c>
      <c r="L16" s="146">
        <f>+'Costos Agricolas 01 ha'!E88</f>
        <v>4220.8791208791208</v>
      </c>
      <c r="M16" s="83"/>
      <c r="N16" s="146">
        <f>SUM(L16:M16)</f>
        <v>4220.8791208791208</v>
      </c>
    </row>
    <row r="17" spans="3:14" ht="14" thickBot="1">
      <c r="C17" s="49"/>
      <c r="D17" s="51"/>
      <c r="E17" s="176"/>
      <c r="F17" s="176"/>
      <c r="G17" s="50"/>
      <c r="H17" s="49"/>
      <c r="K17" s="138" t="s">
        <v>91</v>
      </c>
      <c r="L17" s="300"/>
      <c r="M17" s="300">
        <f>+'Costos Agricolas 01 ha'!E90</f>
        <v>8278.0871670702181</v>
      </c>
      <c r="N17" s="300">
        <f>SUM(L17:M17)</f>
        <v>8278.0871670702181</v>
      </c>
    </row>
    <row r="18" spans="3:14" ht="14" thickBot="1">
      <c r="C18" s="49"/>
      <c r="D18" s="152" t="s">
        <v>92</v>
      </c>
      <c r="E18" s="133" t="s">
        <v>93</v>
      </c>
      <c r="F18" s="260"/>
      <c r="G18" s="146">
        <f>+'Costos Agricolas 01 ha'!E123</f>
        <v>1760559.4757037568</v>
      </c>
      <c r="H18" s="49"/>
      <c r="K18" s="299" t="s">
        <v>94</v>
      </c>
      <c r="L18" s="145"/>
      <c r="M18" s="145">
        <f>+'Costos Agricolas 01 ha'!F90</f>
        <v>6568.4533333333329</v>
      </c>
      <c r="N18" s="145">
        <f>SUM(L18:M18)</f>
        <v>6568.4533333333329</v>
      </c>
    </row>
    <row r="19" spans="3:14" ht="14" thickBot="1">
      <c r="C19" s="49"/>
      <c r="D19" s="49"/>
      <c r="E19" s="49"/>
      <c r="F19" s="49"/>
      <c r="G19" s="49"/>
      <c r="H19" s="49"/>
      <c r="K19" s="301" t="s">
        <v>95</v>
      </c>
      <c r="L19" s="146">
        <f>+L15+L16</f>
        <v>20806.835537344014</v>
      </c>
      <c r="M19" s="146">
        <f>+M17+M18</f>
        <v>14846.540500403551</v>
      </c>
      <c r="N19" s="146">
        <f>+N17+N18</f>
        <v>14846.540500403551</v>
      </c>
    </row>
    <row r="20" spans="3:14" ht="14" thickBot="1">
      <c r="K20" s="133" t="s">
        <v>96</v>
      </c>
      <c r="L20" s="146">
        <v>3800</v>
      </c>
      <c r="M20" s="146">
        <f>+'Costos Agricolas 01 ha'!G90</f>
        <v>7425.9870840028343</v>
      </c>
      <c r="N20" s="146">
        <f>+L20+M20</f>
        <v>11225.987084002834</v>
      </c>
    </row>
    <row r="21" spans="3:14" ht="14" thickBot="1">
      <c r="K21" s="261" t="s">
        <v>97</v>
      </c>
      <c r="L21" s="262">
        <v>3800</v>
      </c>
      <c r="M21" s="300">
        <f>+'Costos Agricolas 01 ha'!H90</f>
        <v>8192.7270840028341</v>
      </c>
      <c r="N21" s="262">
        <f>+L21+M21</f>
        <v>11992.727084002834</v>
      </c>
    </row>
    <row r="22" spans="3:14" ht="14" thickBot="1">
      <c r="D22" s="58"/>
      <c r="K22" s="206" t="s">
        <v>75</v>
      </c>
      <c r="L22" s="146">
        <f>SUM(L19:L21)</f>
        <v>28406.835537344014</v>
      </c>
      <c r="M22" s="146">
        <f>SUM(M19:M21)</f>
        <v>30465.254668409223</v>
      </c>
      <c r="N22" s="146">
        <f>+N15+N16+N19+N20+N21</f>
        <v>58872.090205753237</v>
      </c>
    </row>
    <row r="23" spans="3:14" ht="14" thickBot="1">
      <c r="K23" s="217" t="s">
        <v>83</v>
      </c>
      <c r="L23" s="215">
        <f>+L22/N22</f>
        <v>0.482517869470311</v>
      </c>
      <c r="M23" s="216">
        <f>+M22/N22</f>
        <v>0.51748213052968906</v>
      </c>
      <c r="N23" s="148"/>
    </row>
    <row r="24" spans="3:14" ht="14" thickBot="1"/>
    <row r="25" spans="3:14" ht="14" thickBot="1">
      <c r="K25" s="133" t="s">
        <v>71</v>
      </c>
      <c r="L25" s="356" t="s">
        <v>72</v>
      </c>
      <c r="M25" s="357"/>
      <c r="N25" s="358"/>
    </row>
    <row r="26" spans="3:14" ht="14" thickBot="1">
      <c r="K26" s="178"/>
      <c r="L26" s="304" t="s">
        <v>98</v>
      </c>
      <c r="M26" s="332" t="s">
        <v>74</v>
      </c>
      <c r="N26" s="305" t="s">
        <v>75</v>
      </c>
    </row>
    <row r="27" spans="3:14">
      <c r="K27" s="307" t="s">
        <v>99</v>
      </c>
      <c r="L27" s="308">
        <f>+L15*16.52</f>
        <v>274000</v>
      </c>
      <c r="M27" s="308"/>
      <c r="N27" s="309">
        <f t="shared" ref="N27" si="5">+N15*16.52</f>
        <v>274000</v>
      </c>
    </row>
    <row r="28" spans="3:14">
      <c r="K28" s="310" t="s">
        <v>100</v>
      </c>
      <c r="L28" s="306">
        <f t="shared" ref="L28:N28" si="6">+L16*16.52</f>
        <v>69728.923076923078</v>
      </c>
      <c r="M28" s="306"/>
      <c r="N28" s="311">
        <f t="shared" si="6"/>
        <v>69728.923076923078</v>
      </c>
    </row>
    <row r="29" spans="3:14">
      <c r="K29" s="310" t="s">
        <v>101</v>
      </c>
      <c r="L29" s="306"/>
      <c r="M29" s="306">
        <f t="shared" ref="M29:N29" si="7">+M17*16.52</f>
        <v>136754</v>
      </c>
      <c r="N29" s="311">
        <f t="shared" si="7"/>
        <v>136754</v>
      </c>
    </row>
    <row r="30" spans="3:14" ht="14" thickBot="1">
      <c r="K30" s="312" t="s">
        <v>102</v>
      </c>
      <c r="L30" s="313"/>
      <c r="M30" s="313">
        <f>+M18*16.52</f>
        <v>108510.84906666666</v>
      </c>
      <c r="N30" s="314">
        <f>+N18*16.52</f>
        <v>108510.84906666666</v>
      </c>
    </row>
    <row r="31" spans="3:14" ht="6.75" customHeight="1" thickBot="1">
      <c r="K31" s="318"/>
      <c r="L31" s="319"/>
      <c r="M31" s="319"/>
      <c r="N31" s="320"/>
    </row>
    <row r="32" spans="3:14" ht="14" thickBot="1">
      <c r="K32" s="315" t="s">
        <v>103</v>
      </c>
      <c r="L32" s="316">
        <f t="shared" ref="L32:N32" si="8">+L19*16.52</f>
        <v>343728.92307692312</v>
      </c>
      <c r="M32" s="317">
        <f>+M19*16.52+M20*16.52+M21*16.52</f>
        <v>503286.00712212024</v>
      </c>
      <c r="N32" s="316">
        <f t="shared" si="8"/>
        <v>245264.84906666665</v>
      </c>
    </row>
    <row r="33" spans="11:14" ht="14" thickBot="1">
      <c r="K33" s="147" t="s">
        <v>96</v>
      </c>
      <c r="L33" s="263">
        <f t="shared" ref="L33:N33" si="9">+L20*16.52</f>
        <v>62776</v>
      </c>
      <c r="M33" s="333"/>
      <c r="N33" s="263">
        <f t="shared" si="9"/>
        <v>185453.30662772682</v>
      </c>
    </row>
    <row r="34" spans="11:14" ht="14" thickBot="1">
      <c r="K34" s="261" t="s">
        <v>97</v>
      </c>
      <c r="L34" s="302">
        <f t="shared" ref="L34:N34" si="10">+L21*16.52</f>
        <v>62776</v>
      </c>
      <c r="M34" s="334"/>
      <c r="N34" s="302">
        <f t="shared" si="10"/>
        <v>198119.85142772683</v>
      </c>
    </row>
    <row r="35" spans="11:14" ht="14" thickBot="1">
      <c r="K35" s="206" t="s">
        <v>104</v>
      </c>
      <c r="L35" s="302">
        <f t="shared" ref="L35" si="11">+L22*16.52</f>
        <v>469280.92307692306</v>
      </c>
      <c r="M35" s="303">
        <f>+M22*16.52+508816-503286</f>
        <v>508816.00712212035</v>
      </c>
      <c r="N35" s="302">
        <f>+L35+M35</f>
        <v>978096.93019904336</v>
      </c>
    </row>
    <row r="36" spans="11:14" ht="14" thickBot="1">
      <c r="K36" s="217" t="s">
        <v>83</v>
      </c>
      <c r="L36" s="215">
        <f>+L35/N35</f>
        <v>0.47978979238941494</v>
      </c>
      <c r="M36" s="338">
        <f>+M35/N35</f>
        <v>0.52021020761058512</v>
      </c>
      <c r="N36" s="148"/>
    </row>
    <row r="37" spans="11:14" ht="14" thickBot="1">
      <c r="K37" s="336" t="s">
        <v>105</v>
      </c>
      <c r="L37" s="83"/>
      <c r="M37" s="303">
        <f>508816-503286</f>
        <v>5530</v>
      </c>
      <c r="N37" s="337"/>
    </row>
    <row r="40" spans="11:14">
      <c r="L40">
        <f>+N35/L35</f>
        <v>2.0842460924811914</v>
      </c>
    </row>
  </sheetData>
  <mergeCells count="4">
    <mergeCell ref="E3:G3"/>
    <mergeCell ref="L3:N3"/>
    <mergeCell ref="L13:N13"/>
    <mergeCell ref="L25:N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AI138"/>
  <sheetViews>
    <sheetView tabSelected="1" topLeftCell="D74" zoomScale="119" zoomScaleNormal="119" workbookViewId="0">
      <selection activeCell="G85" sqref="G85"/>
    </sheetView>
  </sheetViews>
  <sheetFormatPr baseColWidth="10" defaultColWidth="11.5" defaultRowHeight="13"/>
  <cols>
    <col min="2" max="2" width="2.83203125" customWidth="1"/>
    <col min="3" max="3" width="4.5" customWidth="1"/>
    <col min="4" max="4" width="33.6640625" customWidth="1"/>
    <col min="5" max="6" width="13.33203125" customWidth="1"/>
    <col min="7" max="7" width="11.1640625" customWidth="1"/>
    <col min="8" max="11" width="10.1640625" customWidth="1"/>
    <col min="12" max="12" width="10.1640625" hidden="1" customWidth="1"/>
    <col min="13" max="13" width="9.5" hidden="1" customWidth="1"/>
    <col min="14" max="14" width="11.1640625" hidden="1" customWidth="1"/>
    <col min="15" max="15" width="11.1640625" customWidth="1"/>
    <col min="16" max="16" width="10.83203125" customWidth="1"/>
    <col min="17" max="20" width="12.33203125" hidden="1" customWidth="1"/>
    <col min="21" max="22" width="10.5" customWidth="1"/>
    <col min="24" max="27" width="11.5" customWidth="1"/>
  </cols>
  <sheetData>
    <row r="1" spans="2:23">
      <c r="B1" s="49"/>
      <c r="C1" s="192"/>
    </row>
    <row r="2" spans="2:23">
      <c r="B2" s="49"/>
      <c r="C2" s="49"/>
      <c r="D2" s="153" t="s">
        <v>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ht="16">
      <c r="B3" s="49"/>
      <c r="C3" s="49"/>
      <c r="D3" s="154" t="s">
        <v>107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72">
        <f>750/1600</f>
        <v>0.46875</v>
      </c>
      <c r="Q3" s="49"/>
      <c r="R3" s="49"/>
      <c r="S3" s="49"/>
      <c r="T3" s="49"/>
      <c r="U3" s="49"/>
      <c r="V3" s="49"/>
    </row>
    <row r="4" spans="2:23">
      <c r="B4" s="49"/>
      <c r="C4" s="49"/>
      <c r="D4" s="55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2:23">
      <c r="B5" s="49"/>
      <c r="C5" s="49"/>
      <c r="D5" s="55" t="s">
        <v>108</v>
      </c>
      <c r="E5" s="55"/>
      <c r="F5" s="55"/>
      <c r="G5" s="73">
        <f>10000/(K5*K6)</f>
        <v>555.55555555555554</v>
      </c>
      <c r="H5" s="55" t="s">
        <v>109</v>
      </c>
      <c r="I5" s="55"/>
      <c r="J5" s="55"/>
      <c r="K5" s="55">
        <v>6</v>
      </c>
      <c r="L5" s="55"/>
      <c r="M5" s="74" t="s">
        <v>110</v>
      </c>
      <c r="N5" s="74">
        <v>1</v>
      </c>
      <c r="O5" s="55">
        <v>16.52</v>
      </c>
      <c r="P5" s="73" t="s">
        <v>57</v>
      </c>
      <c r="Q5" s="73"/>
      <c r="R5" s="55"/>
      <c r="S5" s="55"/>
      <c r="T5" s="55"/>
      <c r="U5" s="74">
        <v>16.5</v>
      </c>
      <c r="V5" s="55"/>
    </row>
    <row r="6" spans="2:23">
      <c r="B6" s="55"/>
      <c r="C6" s="55"/>
      <c r="D6" s="55"/>
      <c r="E6" s="55"/>
      <c r="F6" s="55"/>
      <c r="G6" s="55"/>
      <c r="H6" s="55" t="s">
        <v>111</v>
      </c>
      <c r="I6" s="55"/>
      <c r="J6" s="55"/>
      <c r="K6" s="55">
        <v>3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2:23" ht="14" thickBot="1">
      <c r="B7" s="55"/>
      <c r="C7" s="55"/>
      <c r="D7" s="6" t="s">
        <v>112</v>
      </c>
      <c r="E7" s="55"/>
      <c r="F7" s="55"/>
      <c r="G7" s="55"/>
      <c r="H7" s="1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9"/>
    </row>
    <row r="8" spans="2:23">
      <c r="B8" s="84"/>
      <c r="C8" s="84"/>
      <c r="D8" s="186" t="s">
        <v>113</v>
      </c>
      <c r="E8" s="359" t="s">
        <v>114</v>
      </c>
      <c r="F8" s="361" t="s">
        <v>115</v>
      </c>
      <c r="G8" s="187">
        <v>2019</v>
      </c>
      <c r="H8" s="187">
        <f t="shared" ref="H8:N9" si="0">1+G8</f>
        <v>2020</v>
      </c>
      <c r="I8" s="187">
        <f t="shared" si="0"/>
        <v>2021</v>
      </c>
      <c r="J8" s="187">
        <f t="shared" si="0"/>
        <v>2022</v>
      </c>
      <c r="K8" s="187">
        <f t="shared" si="0"/>
        <v>2023</v>
      </c>
      <c r="L8" s="187">
        <f t="shared" si="0"/>
        <v>2024</v>
      </c>
      <c r="M8" s="187">
        <f t="shared" si="0"/>
        <v>2025</v>
      </c>
      <c r="N8" s="187">
        <f t="shared" si="0"/>
        <v>2026</v>
      </c>
      <c r="O8" s="187">
        <v>2015</v>
      </c>
      <c r="P8" s="187">
        <f t="shared" ref="P8:V9" si="1">1+O8</f>
        <v>2016</v>
      </c>
      <c r="Q8" s="187">
        <f t="shared" si="1"/>
        <v>2017</v>
      </c>
      <c r="R8" s="187">
        <f t="shared" si="1"/>
        <v>2018</v>
      </c>
      <c r="S8" s="187">
        <f t="shared" si="1"/>
        <v>2019</v>
      </c>
      <c r="T8" s="187">
        <f t="shared" si="1"/>
        <v>2020</v>
      </c>
      <c r="U8" s="187">
        <f t="shared" si="1"/>
        <v>2021</v>
      </c>
      <c r="V8" s="188">
        <f t="shared" si="1"/>
        <v>2022</v>
      </c>
      <c r="W8" s="59"/>
    </row>
    <row r="9" spans="2:23" ht="14" thickBot="1">
      <c r="B9" s="84"/>
      <c r="C9" s="84"/>
      <c r="D9" s="189" t="s">
        <v>116</v>
      </c>
      <c r="E9" s="360"/>
      <c r="F9" s="362"/>
      <c r="G9" s="190">
        <v>1</v>
      </c>
      <c r="H9" s="190">
        <f t="shared" si="0"/>
        <v>2</v>
      </c>
      <c r="I9" s="190">
        <f t="shared" si="0"/>
        <v>3</v>
      </c>
      <c r="J9" s="190">
        <f t="shared" si="0"/>
        <v>4</v>
      </c>
      <c r="K9" s="190">
        <f t="shared" si="0"/>
        <v>5</v>
      </c>
      <c r="L9" s="190">
        <f t="shared" si="0"/>
        <v>6</v>
      </c>
      <c r="M9" s="190">
        <f t="shared" si="0"/>
        <v>7</v>
      </c>
      <c r="N9" s="190">
        <f t="shared" si="0"/>
        <v>8</v>
      </c>
      <c r="O9" s="190">
        <v>9</v>
      </c>
      <c r="P9" s="190">
        <f t="shared" si="1"/>
        <v>10</v>
      </c>
      <c r="Q9" s="190">
        <f t="shared" si="1"/>
        <v>11</v>
      </c>
      <c r="R9" s="190">
        <f t="shared" si="1"/>
        <v>12</v>
      </c>
      <c r="S9" s="190">
        <f t="shared" si="1"/>
        <v>13</v>
      </c>
      <c r="T9" s="190">
        <f t="shared" si="1"/>
        <v>14</v>
      </c>
      <c r="U9" s="190">
        <f t="shared" si="1"/>
        <v>15</v>
      </c>
      <c r="V9" s="191">
        <f t="shared" si="1"/>
        <v>16</v>
      </c>
      <c r="W9" s="59"/>
    </row>
    <row r="10" spans="2:23" ht="19.5" customHeight="1">
      <c r="B10" s="224" t="s">
        <v>117</v>
      </c>
      <c r="C10" s="239"/>
      <c r="D10" s="240"/>
      <c r="E10" s="183"/>
      <c r="F10" s="183"/>
      <c r="G10" s="184"/>
      <c r="H10" s="184"/>
      <c r="I10" s="184"/>
      <c r="J10" s="184"/>
      <c r="K10" s="184"/>
      <c r="L10" s="184"/>
      <c r="M10" s="184"/>
      <c r="N10" s="184"/>
      <c r="O10" s="185"/>
      <c r="P10" s="185"/>
      <c r="Q10" s="185"/>
      <c r="R10" s="185"/>
      <c r="S10" s="185"/>
      <c r="T10" s="185"/>
      <c r="U10" s="185"/>
      <c r="V10" s="241"/>
    </row>
    <row r="11" spans="2:23">
      <c r="B11" s="225"/>
      <c r="C11" s="239" t="s">
        <v>118</v>
      </c>
      <c r="D11" s="242" t="s">
        <v>119</v>
      </c>
      <c r="E11" s="158">
        <f>+E29+E30+E31+E32+E33+E34</f>
        <v>12498.966287949339</v>
      </c>
      <c r="F11" s="158">
        <f>+F15+F22+F23+F31</f>
        <v>6568.4533333333329</v>
      </c>
      <c r="G11" s="160">
        <f>+G16+G17+G19+G23+G24+G26+G15+G25</f>
        <v>4496</v>
      </c>
      <c r="H11" s="160">
        <f t="shared" ref="H11:U11" si="2">+H16+H17+H19+H23+H24+H26+H15+H25</f>
        <v>5125</v>
      </c>
      <c r="I11" s="160">
        <f t="shared" si="2"/>
        <v>6062</v>
      </c>
      <c r="J11" s="160">
        <f t="shared" si="2"/>
        <v>7277</v>
      </c>
      <c r="K11" s="160">
        <f t="shared" si="2"/>
        <v>8469</v>
      </c>
      <c r="L11" s="160">
        <f t="shared" si="2"/>
        <v>8706</v>
      </c>
      <c r="M11" s="160">
        <f t="shared" si="2"/>
        <v>8540</v>
      </c>
      <c r="N11" s="160">
        <f t="shared" si="2"/>
        <v>8579</v>
      </c>
      <c r="O11" s="160">
        <f t="shared" si="2"/>
        <v>8572</v>
      </c>
      <c r="P11" s="160">
        <f t="shared" si="2"/>
        <v>8787</v>
      </c>
      <c r="Q11" s="160">
        <f t="shared" si="2"/>
        <v>8528</v>
      </c>
      <c r="R11" s="160">
        <f t="shared" si="2"/>
        <v>8531</v>
      </c>
      <c r="S11" s="160">
        <f t="shared" si="2"/>
        <v>8528</v>
      </c>
      <c r="T11" s="160">
        <f t="shared" si="2"/>
        <v>8542</v>
      </c>
      <c r="U11" s="160">
        <f t="shared" si="2"/>
        <v>8491</v>
      </c>
      <c r="V11" s="243">
        <f>+V15+V17+V18+V19+V23+V26+V24</f>
        <v>8421</v>
      </c>
      <c r="W11" s="6"/>
    </row>
    <row r="12" spans="2:23">
      <c r="B12" s="225"/>
      <c r="C12" s="239"/>
      <c r="D12" s="64"/>
      <c r="E12" s="156"/>
      <c r="F12" s="156"/>
      <c r="G12" s="159"/>
      <c r="H12" s="159"/>
      <c r="I12" s="162"/>
      <c r="J12" s="162"/>
      <c r="K12" s="162"/>
      <c r="L12" s="162"/>
      <c r="M12" s="162"/>
      <c r="N12" s="162"/>
      <c r="O12" s="156"/>
      <c r="P12" s="156"/>
      <c r="Q12" s="156"/>
      <c r="R12" s="156"/>
      <c r="S12" s="156"/>
      <c r="T12" s="156"/>
      <c r="U12" s="156"/>
      <c r="V12" s="65"/>
    </row>
    <row r="13" spans="2:23">
      <c r="B13" s="225"/>
      <c r="C13" s="239"/>
      <c r="D13" s="64" t="s">
        <v>120</v>
      </c>
      <c r="E13" s="156"/>
      <c r="F13" s="156"/>
      <c r="G13" s="159"/>
      <c r="H13" s="159"/>
      <c r="I13" s="162"/>
      <c r="J13" s="162"/>
      <c r="K13" s="162"/>
      <c r="L13" s="162"/>
      <c r="M13" s="162"/>
      <c r="N13" s="162"/>
      <c r="O13" s="156"/>
      <c r="P13" s="156"/>
      <c r="Q13" s="156"/>
      <c r="R13" s="156"/>
      <c r="S13" s="156"/>
      <c r="T13" s="156"/>
      <c r="U13" s="156"/>
      <c r="V13" s="65"/>
    </row>
    <row r="14" spans="2:23">
      <c r="B14" s="225"/>
      <c r="C14" s="239"/>
      <c r="D14" s="64" t="s">
        <v>121</v>
      </c>
      <c r="E14" s="156"/>
      <c r="F14" s="156"/>
      <c r="G14" s="159"/>
      <c r="H14" s="159"/>
      <c r="I14" s="162"/>
      <c r="J14" s="162"/>
      <c r="K14" s="162"/>
      <c r="L14" s="162"/>
      <c r="M14" s="162"/>
      <c r="N14" s="162"/>
      <c r="O14" s="156"/>
      <c r="P14" s="156"/>
      <c r="Q14" s="156"/>
      <c r="R14" s="156"/>
      <c r="S14" s="156"/>
      <c r="T14" s="156"/>
      <c r="U14" s="156"/>
      <c r="V14" s="65"/>
    </row>
    <row r="15" spans="2:23">
      <c r="B15" s="225"/>
      <c r="C15" s="239"/>
      <c r="D15" s="64" t="s">
        <v>122</v>
      </c>
      <c r="E15" s="156"/>
      <c r="F15" s="163">
        <f>+'INSTALACION Y SIEMBRA'!B19</f>
        <v>900</v>
      </c>
      <c r="G15" s="156">
        <v>350</v>
      </c>
      <c r="H15" s="159">
        <v>350</v>
      </c>
      <c r="I15" s="162">
        <v>350</v>
      </c>
      <c r="J15" s="162">
        <v>400</v>
      </c>
      <c r="K15" s="162">
        <v>400</v>
      </c>
      <c r="L15" s="162">
        <v>600</v>
      </c>
      <c r="M15" s="162">
        <v>427</v>
      </c>
      <c r="N15" s="162">
        <v>427</v>
      </c>
      <c r="O15" s="162">
        <v>427</v>
      </c>
      <c r="P15" s="162">
        <v>427</v>
      </c>
      <c r="Q15" s="162">
        <v>427</v>
      </c>
      <c r="R15" s="162">
        <v>427</v>
      </c>
      <c r="S15" s="162">
        <v>427</v>
      </c>
      <c r="T15" s="162">
        <v>427</v>
      </c>
      <c r="U15" s="162">
        <v>427</v>
      </c>
      <c r="V15" s="244">
        <v>427</v>
      </c>
    </row>
    <row r="16" spans="2:23">
      <c r="B16" s="225"/>
      <c r="C16" s="239"/>
      <c r="D16" s="64" t="s">
        <v>123</v>
      </c>
      <c r="E16" s="156"/>
      <c r="F16" s="163"/>
      <c r="G16" s="159">
        <v>200</v>
      </c>
      <c r="H16" s="159">
        <v>50</v>
      </c>
      <c r="I16" s="162">
        <v>50</v>
      </c>
      <c r="J16" s="162"/>
      <c r="K16" s="162"/>
      <c r="L16" s="162"/>
      <c r="M16" s="162"/>
      <c r="N16" s="162"/>
      <c r="O16" s="156"/>
      <c r="P16" s="156"/>
      <c r="Q16" s="156"/>
      <c r="R16" s="156"/>
      <c r="S16" s="156"/>
      <c r="T16" s="156"/>
      <c r="U16" s="156"/>
      <c r="V16" s="65"/>
    </row>
    <row r="17" spans="2:27">
      <c r="B17" s="225"/>
      <c r="C17" s="239"/>
      <c r="D17" s="64" t="s">
        <v>124</v>
      </c>
      <c r="E17" s="156"/>
      <c r="F17" s="163"/>
      <c r="G17" s="159">
        <v>1000</v>
      </c>
      <c r="H17" s="159">
        <v>1100</v>
      </c>
      <c r="I17" s="162">
        <v>1200</v>
      </c>
      <c r="J17" s="162">
        <v>1455</v>
      </c>
      <c r="K17" s="162">
        <v>1715</v>
      </c>
      <c r="L17" s="162">
        <v>1723</v>
      </c>
      <c r="M17" s="162">
        <v>1730</v>
      </c>
      <c r="N17" s="162">
        <v>1747</v>
      </c>
      <c r="O17" s="162">
        <v>1735</v>
      </c>
      <c r="P17" s="162">
        <v>1980</v>
      </c>
      <c r="Q17" s="162">
        <v>1734</v>
      </c>
      <c r="R17" s="162">
        <v>1734</v>
      </c>
      <c r="S17" s="162">
        <v>1734</v>
      </c>
      <c r="T17" s="162">
        <v>1734</v>
      </c>
      <c r="U17" s="162">
        <v>1734</v>
      </c>
      <c r="V17" s="244">
        <v>1734</v>
      </c>
    </row>
    <row r="18" spans="2:27">
      <c r="B18" s="225"/>
      <c r="C18" s="239"/>
      <c r="D18" s="64" t="s">
        <v>125</v>
      </c>
      <c r="E18" s="156"/>
      <c r="F18" s="163"/>
      <c r="G18" s="159"/>
      <c r="H18" s="159">
        <f>H45*60</f>
        <v>0</v>
      </c>
      <c r="I18" s="162">
        <f t="shared" ref="I18:U18" si="3">+I45*60</f>
        <v>720</v>
      </c>
      <c r="J18" s="162">
        <f t="shared" si="3"/>
        <v>960</v>
      </c>
      <c r="K18" s="162">
        <f t="shared" si="3"/>
        <v>1140</v>
      </c>
      <c r="L18" s="162">
        <f t="shared" si="3"/>
        <v>1380</v>
      </c>
      <c r="M18" s="162">
        <f t="shared" si="3"/>
        <v>1500</v>
      </c>
      <c r="N18" s="162">
        <f t="shared" si="3"/>
        <v>1500</v>
      </c>
      <c r="O18" s="162">
        <f t="shared" si="3"/>
        <v>1500</v>
      </c>
      <c r="P18" s="162">
        <f t="shared" si="3"/>
        <v>1500</v>
      </c>
      <c r="Q18" s="162">
        <f t="shared" si="3"/>
        <v>1500</v>
      </c>
      <c r="R18" s="162">
        <f t="shared" si="3"/>
        <v>1500</v>
      </c>
      <c r="S18" s="162">
        <f t="shared" si="3"/>
        <v>1500</v>
      </c>
      <c r="T18" s="162">
        <f t="shared" si="3"/>
        <v>1500</v>
      </c>
      <c r="U18" s="162">
        <f t="shared" si="3"/>
        <v>1500</v>
      </c>
      <c r="V18" s="244">
        <f>22*40</f>
        <v>880</v>
      </c>
    </row>
    <row r="19" spans="2:27">
      <c r="B19" s="225"/>
      <c r="C19" s="239"/>
      <c r="D19" s="245" t="s">
        <v>126</v>
      </c>
      <c r="E19" s="164"/>
      <c r="F19" s="165"/>
      <c r="G19" s="159">
        <v>121</v>
      </c>
      <c r="H19" s="159">
        <v>300</v>
      </c>
      <c r="I19" s="162">
        <v>382</v>
      </c>
      <c r="J19" s="162">
        <v>372</v>
      </c>
      <c r="K19" s="162">
        <v>454</v>
      </c>
      <c r="L19" s="162">
        <v>483</v>
      </c>
      <c r="M19" s="162">
        <v>483</v>
      </c>
      <c r="N19" s="162">
        <v>505</v>
      </c>
      <c r="O19" s="162">
        <v>510</v>
      </c>
      <c r="P19" s="162">
        <v>480</v>
      </c>
      <c r="Q19" s="162">
        <v>467</v>
      </c>
      <c r="R19" s="162">
        <v>470</v>
      </c>
      <c r="S19" s="162">
        <v>467</v>
      </c>
      <c r="T19" s="162">
        <v>481</v>
      </c>
      <c r="U19" s="162">
        <v>430</v>
      </c>
      <c r="V19" s="244">
        <v>480</v>
      </c>
    </row>
    <row r="20" spans="2:27">
      <c r="B20" s="225"/>
      <c r="C20" s="239"/>
      <c r="D20" s="64"/>
      <c r="E20" s="156"/>
      <c r="F20" s="163"/>
      <c r="G20" s="159"/>
      <c r="H20" s="159"/>
      <c r="I20" s="162"/>
      <c r="J20" s="162"/>
      <c r="K20" s="162"/>
      <c r="L20" s="162"/>
      <c r="M20" s="162"/>
      <c r="N20" s="162"/>
      <c r="O20" s="156"/>
      <c r="P20" s="156"/>
      <c r="Q20" s="156"/>
      <c r="R20" s="156" t="s">
        <v>127</v>
      </c>
      <c r="S20" s="156"/>
      <c r="T20" s="156"/>
      <c r="U20" s="156"/>
      <c r="V20" s="65"/>
    </row>
    <row r="21" spans="2:27">
      <c r="B21" s="225"/>
      <c r="C21" s="239"/>
      <c r="D21" s="64" t="s">
        <v>128</v>
      </c>
      <c r="E21" s="156"/>
      <c r="F21" s="163"/>
      <c r="G21" s="159"/>
      <c r="H21" s="159"/>
      <c r="I21" s="162"/>
      <c r="J21" s="162"/>
      <c r="K21" s="162"/>
      <c r="L21" s="162"/>
      <c r="M21" s="162"/>
      <c r="N21" s="162"/>
      <c r="O21" s="156"/>
      <c r="P21" s="156"/>
      <c r="Q21" s="156"/>
      <c r="R21" s="156"/>
      <c r="S21" s="156"/>
      <c r="T21" s="156"/>
      <c r="U21" s="156"/>
      <c r="V21" s="65"/>
    </row>
    <row r="22" spans="2:27">
      <c r="B22" s="225"/>
      <c r="C22" s="239"/>
      <c r="D22" s="64" t="s">
        <v>129</v>
      </c>
      <c r="E22" s="156"/>
      <c r="F22" s="163">
        <f>+'INSTALACION Y SIEMBRA'!B26</f>
        <v>4818.333333333333</v>
      </c>
      <c r="G22" s="159"/>
      <c r="H22" s="159"/>
      <c r="I22" s="162"/>
      <c r="J22" s="162"/>
      <c r="K22" s="162"/>
      <c r="L22" s="162"/>
      <c r="M22" s="162"/>
      <c r="N22" s="162"/>
      <c r="O22" s="156"/>
      <c r="P22" s="156"/>
      <c r="Q22" s="156"/>
      <c r="R22" s="156"/>
      <c r="S22" s="156"/>
      <c r="T22" s="156"/>
      <c r="U22" s="156"/>
      <c r="V22" s="65"/>
    </row>
    <row r="23" spans="2:27">
      <c r="B23" s="225"/>
      <c r="C23" s="239"/>
      <c r="D23" s="64" t="s">
        <v>130</v>
      </c>
      <c r="E23" s="156"/>
      <c r="F23" s="163">
        <f>+'INSTALACION Y SIEMBRA'!B28</f>
        <v>150.12</v>
      </c>
      <c r="G23" s="159">
        <v>1200</v>
      </c>
      <c r="H23" s="159">
        <v>1500</v>
      </c>
      <c r="I23" s="162">
        <v>2000</v>
      </c>
      <c r="J23" s="162">
        <v>2500</v>
      </c>
      <c r="K23" s="162">
        <v>2800</v>
      </c>
      <c r="L23" s="162">
        <v>2800</v>
      </c>
      <c r="M23" s="162">
        <v>2800</v>
      </c>
      <c r="N23" s="162">
        <v>2800</v>
      </c>
      <c r="O23" s="162">
        <v>2800</v>
      </c>
      <c r="P23" s="162">
        <v>2800</v>
      </c>
      <c r="Q23" s="162">
        <v>2800</v>
      </c>
      <c r="R23" s="162">
        <v>2800</v>
      </c>
      <c r="S23" s="162">
        <v>2800</v>
      </c>
      <c r="T23" s="162">
        <v>2800</v>
      </c>
      <c r="U23" s="162">
        <v>2800</v>
      </c>
      <c r="V23" s="244">
        <v>2200</v>
      </c>
    </row>
    <row r="24" spans="2:27">
      <c r="B24" s="225"/>
      <c r="C24" s="239"/>
      <c r="D24" s="64" t="s">
        <v>131</v>
      </c>
      <c r="E24" s="156"/>
      <c r="F24" s="163"/>
      <c r="G24" s="159">
        <v>750</v>
      </c>
      <c r="H24" s="159">
        <v>950</v>
      </c>
      <c r="I24" s="162">
        <v>980</v>
      </c>
      <c r="J24" s="162">
        <v>1000</v>
      </c>
      <c r="K24" s="162">
        <v>1200</v>
      </c>
      <c r="L24" s="162">
        <v>1200</v>
      </c>
      <c r="M24" s="162">
        <v>1200</v>
      </c>
      <c r="N24" s="162">
        <v>1200</v>
      </c>
      <c r="O24" s="162">
        <v>1200</v>
      </c>
      <c r="P24" s="162">
        <v>1200</v>
      </c>
      <c r="Q24" s="162">
        <v>1200</v>
      </c>
      <c r="R24" s="162">
        <v>1200</v>
      </c>
      <c r="S24" s="162">
        <v>1200</v>
      </c>
      <c r="T24" s="162">
        <v>1200</v>
      </c>
      <c r="U24" s="162">
        <v>1200</v>
      </c>
      <c r="V24" s="244">
        <v>1200</v>
      </c>
    </row>
    <row r="25" spans="2:27">
      <c r="B25" s="225"/>
      <c r="C25" s="239"/>
      <c r="D25" s="64" t="s">
        <v>132</v>
      </c>
      <c r="E25" s="156"/>
      <c r="F25" s="163"/>
      <c r="G25" s="159">
        <v>200</v>
      </c>
      <c r="H25" s="159">
        <v>200</v>
      </c>
      <c r="I25" s="162">
        <v>200</v>
      </c>
      <c r="J25" s="162">
        <v>200</v>
      </c>
      <c r="K25" s="162">
        <v>400</v>
      </c>
      <c r="L25" s="162">
        <v>400</v>
      </c>
      <c r="M25" s="162">
        <v>400</v>
      </c>
      <c r="N25" s="162">
        <v>400</v>
      </c>
      <c r="O25" s="162">
        <v>400</v>
      </c>
      <c r="P25" s="162">
        <v>400</v>
      </c>
      <c r="Q25" s="162">
        <v>400</v>
      </c>
      <c r="R25" s="162">
        <v>400</v>
      </c>
      <c r="S25" s="162">
        <v>400</v>
      </c>
      <c r="T25" s="162">
        <v>400</v>
      </c>
      <c r="U25" s="162">
        <v>400</v>
      </c>
      <c r="V25" s="244">
        <v>400</v>
      </c>
    </row>
    <row r="26" spans="2:27">
      <c r="B26" s="225"/>
      <c r="C26" s="239"/>
      <c r="D26" s="64" t="s">
        <v>133</v>
      </c>
      <c r="E26" s="156"/>
      <c r="F26" s="163"/>
      <c r="G26" s="159">
        <f>9000*0.075</f>
        <v>675</v>
      </c>
      <c r="H26" s="159">
        <f>9000*0.075</f>
        <v>675</v>
      </c>
      <c r="I26" s="162">
        <f>12000*0.075</f>
        <v>900</v>
      </c>
      <c r="J26" s="162">
        <f>18000*0.075</f>
        <v>1350</v>
      </c>
      <c r="K26" s="162">
        <f>20000*0.075</f>
        <v>1500</v>
      </c>
      <c r="L26" s="162">
        <f t="shared" ref="L26:V26" si="4">20000*0.075</f>
        <v>1500</v>
      </c>
      <c r="M26" s="162">
        <f t="shared" si="4"/>
        <v>1500</v>
      </c>
      <c r="N26" s="162">
        <f t="shared" si="4"/>
        <v>1500</v>
      </c>
      <c r="O26" s="162">
        <f t="shared" si="4"/>
        <v>1500</v>
      </c>
      <c r="P26" s="162">
        <f t="shared" si="4"/>
        <v>1500</v>
      </c>
      <c r="Q26" s="162">
        <f t="shared" si="4"/>
        <v>1500</v>
      </c>
      <c r="R26" s="162">
        <f t="shared" si="4"/>
        <v>1500</v>
      </c>
      <c r="S26" s="162">
        <f t="shared" si="4"/>
        <v>1500</v>
      </c>
      <c r="T26" s="162">
        <f t="shared" si="4"/>
        <v>1500</v>
      </c>
      <c r="U26" s="162">
        <f t="shared" si="4"/>
        <v>1500</v>
      </c>
      <c r="V26" s="244">
        <f t="shared" si="4"/>
        <v>1500</v>
      </c>
    </row>
    <row r="27" spans="2:27">
      <c r="B27" s="225"/>
      <c r="C27" s="239"/>
      <c r="D27" s="64"/>
      <c r="E27" s="156"/>
      <c r="F27" s="163"/>
      <c r="G27" s="159"/>
      <c r="H27" s="159"/>
      <c r="I27" s="162"/>
      <c r="J27" s="162"/>
      <c r="K27" s="162"/>
      <c r="L27" s="162"/>
      <c r="M27" s="162"/>
      <c r="N27" s="162"/>
      <c r="O27" s="156"/>
      <c r="P27" s="156"/>
      <c r="Q27" s="156"/>
      <c r="R27" s="156"/>
      <c r="S27" s="156"/>
      <c r="T27" s="156"/>
      <c r="U27" s="156"/>
      <c r="V27" s="65"/>
    </row>
    <row r="28" spans="2:27">
      <c r="B28" s="225"/>
      <c r="C28" s="239"/>
      <c r="D28" s="64" t="s">
        <v>134</v>
      </c>
      <c r="E28" s="156"/>
      <c r="F28" s="163"/>
      <c r="G28" s="159"/>
      <c r="H28" s="159"/>
      <c r="I28" s="162"/>
      <c r="J28" s="162"/>
      <c r="K28" s="162"/>
      <c r="L28" s="162"/>
      <c r="M28" s="162"/>
      <c r="N28" s="162"/>
      <c r="O28" s="156"/>
      <c r="P28" s="156"/>
      <c r="Q28" s="156"/>
      <c r="R28" s="156"/>
      <c r="S28" s="156"/>
      <c r="T28" s="156"/>
      <c r="U28" s="156"/>
      <c r="V28" s="65"/>
    </row>
    <row r="29" spans="2:27">
      <c r="B29" s="225"/>
      <c r="C29" s="239"/>
      <c r="D29" s="64" t="s">
        <v>135</v>
      </c>
      <c r="E29" s="166">
        <v>100</v>
      </c>
      <c r="F29" s="166"/>
      <c r="G29" s="159"/>
      <c r="H29" s="159"/>
      <c r="I29" s="162"/>
      <c r="J29" s="162"/>
      <c r="K29" s="162"/>
      <c r="L29" s="162"/>
      <c r="M29" s="162"/>
      <c r="N29" s="162"/>
      <c r="O29" s="156"/>
      <c r="P29" s="156"/>
      <c r="Q29" s="156"/>
      <c r="R29" s="156"/>
      <c r="S29" s="156"/>
      <c r="T29" s="156"/>
      <c r="U29" s="62"/>
      <c r="V29" s="246"/>
      <c r="W29" s="6">
        <f>+W30/25</f>
        <v>0.48</v>
      </c>
      <c r="X29" s="63">
        <f t="shared" ref="X29:AA29" si="5">+X30/25</f>
        <v>0.64</v>
      </c>
      <c r="Y29">
        <f t="shared" si="5"/>
        <v>0.76</v>
      </c>
      <c r="Z29">
        <f t="shared" si="5"/>
        <v>0.92</v>
      </c>
      <c r="AA29">
        <f t="shared" si="5"/>
        <v>1</v>
      </c>
    </row>
    <row r="30" spans="2:27">
      <c r="B30" s="225"/>
      <c r="C30" s="239"/>
      <c r="D30" s="64" t="s">
        <v>136</v>
      </c>
      <c r="E30" s="166">
        <f>+'PALTA HASS activos'!H26</f>
        <v>3950</v>
      </c>
      <c r="G30" s="159"/>
      <c r="H30" s="159"/>
      <c r="I30" s="162"/>
      <c r="J30" s="162"/>
      <c r="K30" s="162"/>
      <c r="L30" s="162"/>
      <c r="M30" s="162"/>
      <c r="N30" s="162"/>
      <c r="O30" s="156"/>
      <c r="P30" s="156"/>
      <c r="Q30" s="156"/>
      <c r="R30" s="156"/>
      <c r="S30" s="156"/>
      <c r="T30" s="156"/>
      <c r="U30" s="62"/>
      <c r="V30" s="246"/>
      <c r="W30" s="6">
        <v>12</v>
      </c>
      <c r="X30" s="63">
        <v>16</v>
      </c>
      <c r="Y30">
        <v>19</v>
      </c>
      <c r="Z30">
        <v>23</v>
      </c>
      <c r="AA30">
        <v>25</v>
      </c>
    </row>
    <row r="31" spans="2:27">
      <c r="B31" s="225"/>
      <c r="C31" s="239"/>
      <c r="D31" s="64" t="s">
        <v>137</v>
      </c>
      <c r="E31" s="166">
        <f>+'PALTA HASS activos'!G34</f>
        <v>1513.3171912832929</v>
      </c>
      <c r="F31" s="166">
        <f>+'INSTALACION Y SIEMBRA'!B23</f>
        <v>700</v>
      </c>
      <c r="G31" s="159"/>
      <c r="H31" s="159"/>
      <c r="I31" s="162"/>
      <c r="J31" s="162"/>
      <c r="K31" s="162"/>
      <c r="L31" s="162"/>
      <c r="M31" s="162"/>
      <c r="N31" s="162"/>
      <c r="O31" s="156"/>
      <c r="P31" s="156"/>
      <c r="Q31" s="156"/>
      <c r="R31" s="156"/>
      <c r="S31" s="156"/>
      <c r="T31" s="156"/>
      <c r="U31" s="62"/>
      <c r="V31" s="246"/>
      <c r="W31" s="6">
        <f>+W30/12</f>
        <v>1</v>
      </c>
      <c r="X31" s="63">
        <f t="shared" ref="X31:AA31" si="6">+X30/12</f>
        <v>1.3333333333333333</v>
      </c>
      <c r="Y31">
        <f t="shared" si="6"/>
        <v>1.5833333333333333</v>
      </c>
      <c r="Z31">
        <f t="shared" si="6"/>
        <v>1.9166666666666667</v>
      </c>
      <c r="AA31">
        <f t="shared" si="6"/>
        <v>2.0833333333333335</v>
      </c>
    </row>
    <row r="32" spans="2:27">
      <c r="B32" s="225"/>
      <c r="C32" s="239"/>
      <c r="D32" s="64" t="s">
        <v>138</v>
      </c>
      <c r="E32" s="166">
        <f>+'PALTA HASS activos'!H36</f>
        <v>1785.7142857142858</v>
      </c>
      <c r="F32" s="166"/>
      <c r="G32" s="159"/>
      <c r="H32" s="159"/>
      <c r="I32" s="162"/>
      <c r="J32" s="162"/>
      <c r="K32" s="162"/>
      <c r="L32" s="162"/>
      <c r="M32" s="162"/>
      <c r="N32" s="162"/>
      <c r="O32" s="156"/>
      <c r="P32" s="156"/>
      <c r="Q32" s="156"/>
      <c r="R32" s="156"/>
      <c r="S32" s="156"/>
      <c r="T32" s="156"/>
      <c r="U32" s="156"/>
      <c r="V32" s="65"/>
    </row>
    <row r="33" spans="2:35">
      <c r="B33" s="225"/>
      <c r="C33" s="239"/>
      <c r="D33" s="64" t="s">
        <v>139</v>
      </c>
      <c r="E33" s="166">
        <f>+'PALTA HASS activos'!H52</f>
        <v>2607.5619295958281</v>
      </c>
      <c r="F33" s="166"/>
      <c r="G33" s="159"/>
      <c r="H33" s="159"/>
      <c r="I33" s="162"/>
      <c r="J33" s="162"/>
      <c r="K33" s="162"/>
      <c r="L33" s="162"/>
      <c r="M33" s="162"/>
      <c r="N33" s="162"/>
      <c r="O33" s="156"/>
      <c r="P33" s="156"/>
      <c r="Q33" s="156"/>
      <c r="R33" s="156"/>
      <c r="S33" s="156"/>
      <c r="T33" s="156"/>
      <c r="U33" s="156"/>
      <c r="V33" s="65"/>
    </row>
    <row r="34" spans="2:35">
      <c r="B34" s="225"/>
      <c r="C34" s="239"/>
      <c r="D34" s="64" t="s">
        <v>140</v>
      </c>
      <c r="E34" s="166">
        <f>+'PALTA HASS activos'!H45</f>
        <v>2542.3728813559323</v>
      </c>
      <c r="F34" s="166"/>
      <c r="G34" s="159"/>
      <c r="H34" s="159"/>
      <c r="I34" s="162"/>
      <c r="J34" s="162"/>
      <c r="K34" s="162"/>
      <c r="L34" s="162"/>
      <c r="M34" s="162"/>
      <c r="N34" s="162"/>
      <c r="O34" s="156"/>
      <c r="P34" s="156"/>
      <c r="Q34" s="156"/>
      <c r="R34" s="156"/>
      <c r="S34" s="156"/>
      <c r="T34" s="156"/>
      <c r="U34" s="156"/>
      <c r="V34" s="65"/>
    </row>
    <row r="35" spans="2:35">
      <c r="B35" s="225"/>
      <c r="C35" s="239"/>
      <c r="D35" s="64"/>
      <c r="E35" s="166"/>
      <c r="F35" s="166"/>
      <c r="G35" s="159"/>
      <c r="H35" s="159"/>
      <c r="I35" s="162"/>
      <c r="J35" s="162"/>
      <c r="K35" s="162"/>
      <c r="L35" s="162"/>
      <c r="M35" s="162"/>
      <c r="N35" s="162"/>
      <c r="O35" s="156"/>
      <c r="P35" s="156"/>
      <c r="Q35" s="156"/>
      <c r="R35" s="156"/>
      <c r="S35" s="156"/>
      <c r="T35" s="156"/>
      <c r="U35" s="156"/>
      <c r="V35" s="65"/>
    </row>
    <row r="36" spans="2:35">
      <c r="B36" s="225"/>
      <c r="C36" s="239" t="s">
        <v>141</v>
      </c>
      <c r="D36" s="242" t="s">
        <v>142</v>
      </c>
      <c r="E36" s="167"/>
      <c r="F36" s="167"/>
      <c r="G36" s="161">
        <f>+G38+G39+G37</f>
        <v>469.76</v>
      </c>
      <c r="H36" s="161">
        <f t="shared" ref="H36:V36" si="7">+H38+H39+H37</f>
        <v>607.5</v>
      </c>
      <c r="I36" s="161">
        <f t="shared" si="7"/>
        <v>763.72</v>
      </c>
      <c r="J36" s="161">
        <f t="shared" si="7"/>
        <v>836.62</v>
      </c>
      <c r="K36" s="161">
        <f t="shared" si="7"/>
        <v>808.14</v>
      </c>
      <c r="L36" s="161">
        <f t="shared" si="7"/>
        <v>822.36</v>
      </c>
      <c r="M36" s="161">
        <f t="shared" si="7"/>
        <v>812.4</v>
      </c>
      <c r="N36" s="161">
        <f t="shared" si="7"/>
        <v>814.74</v>
      </c>
      <c r="O36" s="161">
        <f t="shared" si="7"/>
        <v>814.31999999999994</v>
      </c>
      <c r="P36" s="161">
        <f t="shared" si="7"/>
        <v>827.22</v>
      </c>
      <c r="Q36" s="161">
        <f t="shared" si="7"/>
        <v>811.68000000000006</v>
      </c>
      <c r="R36" s="161">
        <f t="shared" si="7"/>
        <v>811.8599999999999</v>
      </c>
      <c r="S36" s="161">
        <f t="shared" si="7"/>
        <v>811.68000000000006</v>
      </c>
      <c r="T36" s="161">
        <f t="shared" si="7"/>
        <v>812.52</v>
      </c>
      <c r="U36" s="161">
        <f t="shared" si="7"/>
        <v>809.46</v>
      </c>
      <c r="V36" s="243">
        <f t="shared" si="7"/>
        <v>805.26</v>
      </c>
      <c r="W36" s="6"/>
      <c r="X36" s="175"/>
    </row>
    <row r="37" spans="2:35">
      <c r="B37" s="225"/>
      <c r="C37" s="239"/>
      <c r="D37" s="64" t="s">
        <v>143</v>
      </c>
      <c r="E37" s="166"/>
      <c r="F37" s="166"/>
      <c r="G37" s="162">
        <v>200</v>
      </c>
      <c r="H37" s="162">
        <v>300</v>
      </c>
      <c r="I37" s="162">
        <v>400</v>
      </c>
      <c r="J37" s="162">
        <v>400</v>
      </c>
      <c r="K37" s="162">
        <v>300</v>
      </c>
      <c r="L37" s="162">
        <v>300</v>
      </c>
      <c r="M37" s="162">
        <v>300</v>
      </c>
      <c r="N37" s="162">
        <v>300</v>
      </c>
      <c r="O37" s="162">
        <v>300</v>
      </c>
      <c r="P37" s="162">
        <v>300</v>
      </c>
      <c r="Q37" s="162">
        <v>300</v>
      </c>
      <c r="R37" s="162">
        <v>300</v>
      </c>
      <c r="S37" s="162">
        <v>300</v>
      </c>
      <c r="T37" s="162">
        <v>300</v>
      </c>
      <c r="U37" s="162">
        <v>300</v>
      </c>
      <c r="V37" s="244">
        <v>300</v>
      </c>
    </row>
    <row r="38" spans="2:35">
      <c r="B38" s="225"/>
      <c r="C38" s="239"/>
      <c r="D38" s="64" t="s">
        <v>144</v>
      </c>
      <c r="E38" s="166"/>
      <c r="F38" s="166"/>
      <c r="G38" s="162">
        <f>+G11*0.03</f>
        <v>134.88</v>
      </c>
      <c r="H38" s="162">
        <f t="shared" ref="H38:V38" si="8">+H11*0.03</f>
        <v>153.75</v>
      </c>
      <c r="I38" s="162">
        <f t="shared" si="8"/>
        <v>181.85999999999999</v>
      </c>
      <c r="J38" s="162">
        <f t="shared" si="8"/>
        <v>218.31</v>
      </c>
      <c r="K38" s="162">
        <f t="shared" si="8"/>
        <v>254.07</v>
      </c>
      <c r="L38" s="162">
        <f t="shared" si="8"/>
        <v>261.18</v>
      </c>
      <c r="M38" s="162">
        <f t="shared" si="8"/>
        <v>256.2</v>
      </c>
      <c r="N38" s="162">
        <f t="shared" si="8"/>
        <v>257.37</v>
      </c>
      <c r="O38" s="162">
        <f t="shared" si="8"/>
        <v>257.15999999999997</v>
      </c>
      <c r="P38" s="162">
        <f t="shared" si="8"/>
        <v>263.61</v>
      </c>
      <c r="Q38" s="162">
        <f t="shared" si="8"/>
        <v>255.84</v>
      </c>
      <c r="R38" s="162">
        <f t="shared" si="8"/>
        <v>255.92999999999998</v>
      </c>
      <c r="S38" s="162">
        <f t="shared" si="8"/>
        <v>255.84</v>
      </c>
      <c r="T38" s="162">
        <f t="shared" si="8"/>
        <v>256.26</v>
      </c>
      <c r="U38" s="162">
        <f t="shared" si="8"/>
        <v>254.73</v>
      </c>
      <c r="V38" s="244">
        <f t="shared" si="8"/>
        <v>252.63</v>
      </c>
    </row>
    <row r="39" spans="2:35">
      <c r="B39" s="225"/>
      <c r="C39" s="239"/>
      <c r="D39" s="64" t="s">
        <v>145</v>
      </c>
      <c r="E39" s="166"/>
      <c r="F39" s="166"/>
      <c r="G39" s="162">
        <f>+G11*0.03</f>
        <v>134.88</v>
      </c>
      <c r="H39" s="162">
        <f t="shared" ref="H39:V39" si="9">+H11*0.03</f>
        <v>153.75</v>
      </c>
      <c r="I39" s="162">
        <f t="shared" si="9"/>
        <v>181.85999999999999</v>
      </c>
      <c r="J39" s="162">
        <f t="shared" si="9"/>
        <v>218.31</v>
      </c>
      <c r="K39" s="162">
        <f t="shared" si="9"/>
        <v>254.07</v>
      </c>
      <c r="L39" s="162">
        <f t="shared" si="9"/>
        <v>261.18</v>
      </c>
      <c r="M39" s="162">
        <f t="shared" si="9"/>
        <v>256.2</v>
      </c>
      <c r="N39" s="162">
        <f t="shared" si="9"/>
        <v>257.37</v>
      </c>
      <c r="O39" s="162">
        <f t="shared" si="9"/>
        <v>257.15999999999997</v>
      </c>
      <c r="P39" s="162">
        <f t="shared" si="9"/>
        <v>263.61</v>
      </c>
      <c r="Q39" s="162">
        <f t="shared" si="9"/>
        <v>255.84</v>
      </c>
      <c r="R39" s="162">
        <f t="shared" si="9"/>
        <v>255.92999999999998</v>
      </c>
      <c r="S39" s="162">
        <f t="shared" si="9"/>
        <v>255.84</v>
      </c>
      <c r="T39" s="162">
        <f t="shared" si="9"/>
        <v>256.26</v>
      </c>
      <c r="U39" s="162">
        <f t="shared" si="9"/>
        <v>254.73</v>
      </c>
      <c r="V39" s="244">
        <f t="shared" si="9"/>
        <v>252.63</v>
      </c>
    </row>
    <row r="40" spans="2:35">
      <c r="B40" s="225"/>
      <c r="C40" s="239"/>
      <c r="D40" s="64"/>
      <c r="E40" s="166"/>
      <c r="F40" s="166"/>
      <c r="G40" s="162"/>
      <c r="H40" s="162"/>
      <c r="I40" s="162"/>
      <c r="J40" s="162"/>
      <c r="K40" s="162"/>
      <c r="L40" s="162"/>
      <c r="M40" s="162"/>
      <c r="N40" s="162"/>
      <c r="O40" s="156"/>
      <c r="P40" s="156"/>
      <c r="Q40" s="156"/>
      <c r="R40" s="156"/>
      <c r="S40" s="156"/>
      <c r="T40" s="156"/>
      <c r="U40" s="156"/>
      <c r="V40" s="65"/>
    </row>
    <row r="41" spans="2:35">
      <c r="B41" s="225"/>
      <c r="C41" s="239" t="s">
        <v>146</v>
      </c>
      <c r="D41" s="242" t="s">
        <v>147</v>
      </c>
      <c r="E41" s="167">
        <f>+E11</f>
        <v>12498.966287949339</v>
      </c>
      <c r="F41" s="167">
        <f>+F11</f>
        <v>6568.4533333333329</v>
      </c>
      <c r="G41" s="161">
        <f>+G11+G36</f>
        <v>4965.76</v>
      </c>
      <c r="H41" s="161">
        <f t="shared" ref="H41:V41" si="10">+H11+H36</f>
        <v>5732.5</v>
      </c>
      <c r="I41" s="161">
        <f t="shared" si="10"/>
        <v>6825.72</v>
      </c>
      <c r="J41" s="161">
        <f t="shared" si="10"/>
        <v>8113.62</v>
      </c>
      <c r="K41" s="161">
        <f t="shared" si="10"/>
        <v>9277.14</v>
      </c>
      <c r="L41" s="161">
        <f t="shared" si="10"/>
        <v>9528.36</v>
      </c>
      <c r="M41" s="161">
        <f t="shared" si="10"/>
        <v>9352.4</v>
      </c>
      <c r="N41" s="161">
        <f t="shared" si="10"/>
        <v>9393.74</v>
      </c>
      <c r="O41" s="161">
        <f t="shared" si="10"/>
        <v>9386.32</v>
      </c>
      <c r="P41" s="161">
        <f t="shared" si="10"/>
        <v>9614.2199999999993</v>
      </c>
      <c r="Q41" s="161">
        <f t="shared" si="10"/>
        <v>9339.68</v>
      </c>
      <c r="R41" s="161">
        <f t="shared" si="10"/>
        <v>9342.86</v>
      </c>
      <c r="S41" s="161">
        <f t="shared" si="10"/>
        <v>9339.68</v>
      </c>
      <c r="T41" s="161">
        <f t="shared" si="10"/>
        <v>9354.52</v>
      </c>
      <c r="U41" s="161">
        <f t="shared" si="10"/>
        <v>9300.4599999999991</v>
      </c>
      <c r="V41" s="243">
        <f t="shared" si="10"/>
        <v>9226.26</v>
      </c>
      <c r="W41" s="6"/>
    </row>
    <row r="42" spans="2:35">
      <c r="B42" s="225"/>
      <c r="C42" s="239"/>
      <c r="D42" s="64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65"/>
    </row>
    <row r="43" spans="2:35" ht="16">
      <c r="B43" s="224" t="s">
        <v>148</v>
      </c>
      <c r="C43" s="239"/>
      <c r="D43" s="64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65"/>
    </row>
    <row r="44" spans="2:35">
      <c r="B44" s="225"/>
      <c r="C44" s="239" t="s">
        <v>149</v>
      </c>
      <c r="D44" s="242" t="s">
        <v>150</v>
      </c>
      <c r="E44" s="157"/>
      <c r="F44" s="157"/>
      <c r="G44" s="161"/>
      <c r="H44" s="161"/>
      <c r="I44" s="161"/>
      <c r="J44" s="161"/>
      <c r="K44" s="161"/>
      <c r="L44" s="161"/>
      <c r="M44" s="161"/>
      <c r="N44" s="161"/>
      <c r="O44" s="157"/>
      <c r="P44" s="157"/>
      <c r="Q44" s="157"/>
      <c r="R44" s="157"/>
      <c r="S44" s="157"/>
      <c r="T44" s="157"/>
      <c r="U44" s="157"/>
      <c r="V44" s="247"/>
      <c r="AB44">
        <f>+I45*16.52*1000</f>
        <v>198240</v>
      </c>
      <c r="AC44">
        <f t="shared" ref="AC44:AI44" si="11">+J45*16.52*1000</f>
        <v>264320</v>
      </c>
      <c r="AD44">
        <f t="shared" si="11"/>
        <v>313880</v>
      </c>
      <c r="AE44">
        <f t="shared" si="11"/>
        <v>379960</v>
      </c>
      <c r="AF44">
        <f t="shared" si="11"/>
        <v>413000</v>
      </c>
      <c r="AG44">
        <f t="shared" si="11"/>
        <v>413000</v>
      </c>
      <c r="AH44">
        <f t="shared" si="11"/>
        <v>413000</v>
      </c>
      <c r="AI44">
        <f t="shared" si="11"/>
        <v>413000</v>
      </c>
    </row>
    <row r="45" spans="2:35">
      <c r="B45" s="225"/>
      <c r="C45" s="239"/>
      <c r="D45" s="64" t="s">
        <v>151</v>
      </c>
      <c r="E45" s="168">
        <v>25</v>
      </c>
      <c r="F45" s="156"/>
      <c r="G45" s="169">
        <v>0</v>
      </c>
      <c r="H45" s="169">
        <v>0</v>
      </c>
      <c r="I45" s="169">
        <f>0.48*E45</f>
        <v>12</v>
      </c>
      <c r="J45" s="169">
        <f>0.64*E45</f>
        <v>16</v>
      </c>
      <c r="K45" s="169">
        <f>0.76*E45</f>
        <v>19</v>
      </c>
      <c r="L45" s="169">
        <f>0.92*E45</f>
        <v>23</v>
      </c>
      <c r="M45" s="169">
        <f>1*$E$45</f>
        <v>25</v>
      </c>
      <c r="N45" s="169">
        <f t="shared" ref="N45:V45" si="12">1*$E$45</f>
        <v>25</v>
      </c>
      <c r="O45" s="169">
        <f t="shared" si="12"/>
        <v>25</v>
      </c>
      <c r="P45" s="169">
        <f t="shared" si="12"/>
        <v>25</v>
      </c>
      <c r="Q45" s="169">
        <f t="shared" si="12"/>
        <v>25</v>
      </c>
      <c r="R45" s="169">
        <f t="shared" si="12"/>
        <v>25</v>
      </c>
      <c r="S45" s="169">
        <f t="shared" si="12"/>
        <v>25</v>
      </c>
      <c r="T45" s="169">
        <f t="shared" si="12"/>
        <v>25</v>
      </c>
      <c r="U45" s="169">
        <f t="shared" si="12"/>
        <v>25</v>
      </c>
      <c r="V45" s="248">
        <f t="shared" si="12"/>
        <v>25</v>
      </c>
      <c r="X45" s="177">
        <f>+I45*16.52</f>
        <v>198.24</v>
      </c>
      <c r="Y45" s="177">
        <f t="shared" ref="Y45:AA45" si="13">+J45*16.52</f>
        <v>264.32</v>
      </c>
      <c r="Z45" s="177">
        <f t="shared" si="13"/>
        <v>313.88</v>
      </c>
      <c r="AA45" s="177">
        <f t="shared" si="13"/>
        <v>379.96</v>
      </c>
    </row>
    <row r="46" spans="2:35">
      <c r="B46" s="225"/>
      <c r="C46" s="239"/>
      <c r="D46" s="64" t="s">
        <v>152</v>
      </c>
      <c r="E46" s="170">
        <v>0.9</v>
      </c>
      <c r="F46" s="156"/>
      <c r="G46" s="169">
        <v>0</v>
      </c>
      <c r="H46" s="169">
        <f t="shared" ref="H46:V46" si="14">+H45*$E$46</f>
        <v>0</v>
      </c>
      <c r="I46" s="169">
        <f t="shared" si="14"/>
        <v>10.8</v>
      </c>
      <c r="J46" s="169">
        <f t="shared" si="14"/>
        <v>14.4</v>
      </c>
      <c r="K46" s="169">
        <f t="shared" si="14"/>
        <v>17.100000000000001</v>
      </c>
      <c r="L46" s="169">
        <f t="shared" si="14"/>
        <v>20.7</v>
      </c>
      <c r="M46" s="169">
        <f t="shared" si="14"/>
        <v>22.5</v>
      </c>
      <c r="N46" s="169">
        <f t="shared" si="14"/>
        <v>22.5</v>
      </c>
      <c r="O46" s="169">
        <f t="shared" si="14"/>
        <v>22.5</v>
      </c>
      <c r="P46" s="169">
        <f t="shared" si="14"/>
        <v>22.5</v>
      </c>
      <c r="Q46" s="169">
        <f t="shared" si="14"/>
        <v>22.5</v>
      </c>
      <c r="R46" s="169">
        <f t="shared" si="14"/>
        <v>22.5</v>
      </c>
      <c r="S46" s="169">
        <f t="shared" si="14"/>
        <v>22.5</v>
      </c>
      <c r="T46" s="169">
        <f t="shared" si="14"/>
        <v>22.5</v>
      </c>
      <c r="U46" s="169">
        <f t="shared" si="14"/>
        <v>22.5</v>
      </c>
      <c r="V46" s="248">
        <f t="shared" si="14"/>
        <v>22.5</v>
      </c>
    </row>
    <row r="47" spans="2:35">
      <c r="B47" s="225"/>
      <c r="C47" s="239"/>
      <c r="D47" s="249" t="s">
        <v>153</v>
      </c>
      <c r="E47" s="156"/>
      <c r="F47" s="156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248"/>
    </row>
    <row r="48" spans="2:35">
      <c r="B48" s="225"/>
      <c r="C48" s="239"/>
      <c r="D48" s="250" t="s">
        <v>154</v>
      </c>
      <c r="E48" s="171">
        <f>1-E46-E50</f>
        <v>7.9999999999999974E-2</v>
      </c>
      <c r="F48" s="156"/>
      <c r="G48" s="169">
        <v>0</v>
      </c>
      <c r="H48" s="169">
        <f>+H45*$E$48</f>
        <v>0</v>
      </c>
      <c r="I48" s="169">
        <f t="shared" ref="I48:V48" si="15">+I45*$E$48</f>
        <v>0.95999999999999974</v>
      </c>
      <c r="J48" s="169">
        <f t="shared" si="15"/>
        <v>1.2799999999999996</v>
      </c>
      <c r="K48" s="169">
        <f t="shared" si="15"/>
        <v>1.5199999999999996</v>
      </c>
      <c r="L48" s="169">
        <f t="shared" si="15"/>
        <v>1.8399999999999994</v>
      </c>
      <c r="M48" s="169">
        <f t="shared" si="15"/>
        <v>1.9999999999999993</v>
      </c>
      <c r="N48" s="169">
        <f t="shared" si="15"/>
        <v>1.9999999999999993</v>
      </c>
      <c r="O48" s="169">
        <f t="shared" si="15"/>
        <v>1.9999999999999993</v>
      </c>
      <c r="P48" s="169">
        <f t="shared" si="15"/>
        <v>1.9999999999999993</v>
      </c>
      <c r="Q48" s="169">
        <f t="shared" si="15"/>
        <v>1.9999999999999993</v>
      </c>
      <c r="R48" s="169">
        <f t="shared" si="15"/>
        <v>1.9999999999999993</v>
      </c>
      <c r="S48" s="169">
        <f t="shared" si="15"/>
        <v>1.9999999999999993</v>
      </c>
      <c r="T48" s="169">
        <f t="shared" si="15"/>
        <v>1.9999999999999993</v>
      </c>
      <c r="U48" s="169">
        <f t="shared" si="15"/>
        <v>1.9999999999999993</v>
      </c>
      <c r="V48" s="248">
        <f t="shared" si="15"/>
        <v>1.9999999999999993</v>
      </c>
    </row>
    <row r="49" spans="2:23">
      <c r="B49" s="225"/>
      <c r="C49" s="239"/>
      <c r="D49" s="249" t="s">
        <v>155</v>
      </c>
      <c r="E49" s="171"/>
      <c r="F49" s="156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248"/>
    </row>
    <row r="50" spans="2:23">
      <c r="B50" s="225"/>
      <c r="C50" s="239"/>
      <c r="D50" s="64" t="s">
        <v>156</v>
      </c>
      <c r="E50" s="171">
        <v>0.02</v>
      </c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65"/>
    </row>
    <row r="51" spans="2:23">
      <c r="B51" s="225"/>
      <c r="C51" s="239" t="s">
        <v>157</v>
      </c>
      <c r="D51" s="242" t="s">
        <v>158</v>
      </c>
      <c r="E51" s="157"/>
      <c r="F51" s="157"/>
      <c r="G51" s="161"/>
      <c r="H51" s="161"/>
      <c r="I51" s="161"/>
      <c r="J51" s="161"/>
      <c r="K51" s="161"/>
      <c r="L51" s="161"/>
      <c r="M51" s="161"/>
      <c r="N51" s="161"/>
      <c r="O51" s="157"/>
      <c r="P51" s="157"/>
      <c r="Q51" s="157"/>
      <c r="R51" s="157"/>
      <c r="S51" s="157"/>
      <c r="T51" s="157"/>
      <c r="U51" s="157"/>
      <c r="V51" s="247"/>
      <c r="W51" s="6"/>
    </row>
    <row r="52" spans="2:23">
      <c r="B52" s="225"/>
      <c r="C52" s="239"/>
      <c r="D52" s="64" t="s">
        <v>159</v>
      </c>
      <c r="E52" s="163"/>
      <c r="F52" s="156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248"/>
    </row>
    <row r="53" spans="2:23">
      <c r="B53" s="225"/>
      <c r="C53" s="239"/>
      <c r="D53" s="249" t="s">
        <v>153</v>
      </c>
      <c r="E53" s="172">
        <v>1600</v>
      </c>
      <c r="F53" s="156"/>
      <c r="G53" s="169"/>
      <c r="H53" s="169">
        <f>+H46*$E$53</f>
        <v>0</v>
      </c>
      <c r="I53" s="169">
        <f t="shared" ref="I53:V53" si="16">+I46*$E$53</f>
        <v>17280</v>
      </c>
      <c r="J53" s="169">
        <f t="shared" si="16"/>
        <v>23040</v>
      </c>
      <c r="K53" s="169">
        <f t="shared" si="16"/>
        <v>27360.000000000004</v>
      </c>
      <c r="L53" s="169">
        <f t="shared" si="16"/>
        <v>33120</v>
      </c>
      <c r="M53" s="169">
        <f t="shared" si="16"/>
        <v>36000</v>
      </c>
      <c r="N53" s="169">
        <f t="shared" si="16"/>
        <v>36000</v>
      </c>
      <c r="O53" s="169">
        <f t="shared" si="16"/>
        <v>36000</v>
      </c>
      <c r="P53" s="169">
        <f t="shared" si="16"/>
        <v>36000</v>
      </c>
      <c r="Q53" s="169">
        <f t="shared" si="16"/>
        <v>36000</v>
      </c>
      <c r="R53" s="169">
        <f t="shared" si="16"/>
        <v>36000</v>
      </c>
      <c r="S53" s="169">
        <f t="shared" si="16"/>
        <v>36000</v>
      </c>
      <c r="T53" s="169">
        <f t="shared" si="16"/>
        <v>36000</v>
      </c>
      <c r="U53" s="169">
        <f t="shared" si="16"/>
        <v>36000</v>
      </c>
      <c r="V53" s="248">
        <f t="shared" si="16"/>
        <v>36000</v>
      </c>
    </row>
    <row r="54" spans="2:23">
      <c r="B54" s="225"/>
      <c r="C54" s="239"/>
      <c r="D54" s="250" t="s">
        <v>160</v>
      </c>
      <c r="E54" s="163"/>
      <c r="F54" s="156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248"/>
    </row>
    <row r="55" spans="2:23">
      <c r="B55" s="225"/>
      <c r="C55" s="239"/>
      <c r="D55" s="64" t="s">
        <v>161</v>
      </c>
      <c r="E55" s="163">
        <f>+E53*0.46875</f>
        <v>750</v>
      </c>
      <c r="F55" s="156"/>
      <c r="G55" s="169"/>
      <c r="H55" s="169">
        <f>+H48*$E$55</f>
        <v>0</v>
      </c>
      <c r="I55" s="169">
        <f t="shared" ref="I55:V55" si="17">+I48*$E$55</f>
        <v>719.99999999999977</v>
      </c>
      <c r="J55" s="169">
        <f t="shared" si="17"/>
        <v>959.99999999999966</v>
      </c>
      <c r="K55" s="169">
        <f t="shared" si="17"/>
        <v>1139.9999999999998</v>
      </c>
      <c r="L55" s="169">
        <f t="shared" si="17"/>
        <v>1379.9999999999995</v>
      </c>
      <c r="M55" s="169">
        <f t="shared" si="17"/>
        <v>1499.9999999999995</v>
      </c>
      <c r="N55" s="169">
        <f t="shared" si="17"/>
        <v>1499.9999999999995</v>
      </c>
      <c r="O55" s="169">
        <f t="shared" si="17"/>
        <v>1499.9999999999995</v>
      </c>
      <c r="P55" s="169">
        <f t="shared" si="17"/>
        <v>1499.9999999999995</v>
      </c>
      <c r="Q55" s="169">
        <f t="shared" si="17"/>
        <v>1499.9999999999995</v>
      </c>
      <c r="R55" s="169">
        <f t="shared" si="17"/>
        <v>1499.9999999999995</v>
      </c>
      <c r="S55" s="169">
        <f t="shared" si="17"/>
        <v>1499.9999999999995</v>
      </c>
      <c r="T55" s="169">
        <f t="shared" si="17"/>
        <v>1499.9999999999995</v>
      </c>
      <c r="U55" s="169">
        <f t="shared" si="17"/>
        <v>1499.9999999999995</v>
      </c>
      <c r="V55" s="248">
        <f t="shared" si="17"/>
        <v>1499.9999999999995</v>
      </c>
    </row>
    <row r="56" spans="2:23">
      <c r="B56" s="225"/>
      <c r="C56" s="239"/>
      <c r="D56" s="64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65"/>
    </row>
    <row r="57" spans="2:23">
      <c r="B57" s="225"/>
      <c r="C57" s="239" t="s">
        <v>162</v>
      </c>
      <c r="D57" s="242" t="s">
        <v>163</v>
      </c>
      <c r="E57" s="157">
        <v>0</v>
      </c>
      <c r="F57" s="157">
        <v>0</v>
      </c>
      <c r="G57" s="161">
        <v>0</v>
      </c>
      <c r="H57" s="161">
        <f>+H58</f>
        <v>0</v>
      </c>
      <c r="I57" s="161">
        <f t="shared" ref="I57:V57" si="18">+I58</f>
        <v>18000</v>
      </c>
      <c r="J57" s="161">
        <f t="shared" si="18"/>
        <v>24000</v>
      </c>
      <c r="K57" s="161">
        <f t="shared" si="18"/>
        <v>28500.000000000004</v>
      </c>
      <c r="L57" s="161">
        <f t="shared" si="18"/>
        <v>34500</v>
      </c>
      <c r="M57" s="161">
        <f t="shared" si="18"/>
        <v>37500</v>
      </c>
      <c r="N57" s="161">
        <f t="shared" si="18"/>
        <v>37500</v>
      </c>
      <c r="O57" s="161">
        <f t="shared" si="18"/>
        <v>37500</v>
      </c>
      <c r="P57" s="161">
        <f t="shared" si="18"/>
        <v>37500</v>
      </c>
      <c r="Q57" s="161">
        <f t="shared" si="18"/>
        <v>37500</v>
      </c>
      <c r="R57" s="161">
        <f t="shared" si="18"/>
        <v>37500</v>
      </c>
      <c r="S57" s="161">
        <f t="shared" si="18"/>
        <v>37500</v>
      </c>
      <c r="T57" s="161">
        <f t="shared" si="18"/>
        <v>37500</v>
      </c>
      <c r="U57" s="161">
        <f t="shared" si="18"/>
        <v>37500</v>
      </c>
      <c r="V57" s="243">
        <f t="shared" si="18"/>
        <v>37500</v>
      </c>
      <c r="W57" s="6"/>
    </row>
    <row r="58" spans="2:23">
      <c r="B58" s="225"/>
      <c r="C58" s="239"/>
      <c r="D58" s="64" t="s">
        <v>164</v>
      </c>
      <c r="E58" s="156"/>
      <c r="F58" s="156"/>
      <c r="G58" s="173"/>
      <c r="H58" s="173">
        <f>H53+H55</f>
        <v>0</v>
      </c>
      <c r="I58" s="173">
        <f t="shared" ref="I58:V58" si="19">I53+I55</f>
        <v>18000</v>
      </c>
      <c r="J58" s="173">
        <f t="shared" si="19"/>
        <v>24000</v>
      </c>
      <c r="K58" s="173">
        <f t="shared" si="19"/>
        <v>28500.000000000004</v>
      </c>
      <c r="L58" s="173">
        <f t="shared" si="19"/>
        <v>34500</v>
      </c>
      <c r="M58" s="173">
        <f t="shared" si="19"/>
        <v>37500</v>
      </c>
      <c r="N58" s="173">
        <f t="shared" si="19"/>
        <v>37500</v>
      </c>
      <c r="O58" s="173">
        <f t="shared" si="19"/>
        <v>37500</v>
      </c>
      <c r="P58" s="173">
        <f t="shared" si="19"/>
        <v>37500</v>
      </c>
      <c r="Q58" s="173">
        <f t="shared" si="19"/>
        <v>37500</v>
      </c>
      <c r="R58" s="173">
        <f t="shared" si="19"/>
        <v>37500</v>
      </c>
      <c r="S58" s="173">
        <f t="shared" si="19"/>
        <v>37500</v>
      </c>
      <c r="T58" s="173">
        <f t="shared" si="19"/>
        <v>37500</v>
      </c>
      <c r="U58" s="173">
        <f t="shared" si="19"/>
        <v>37500</v>
      </c>
      <c r="V58" s="251">
        <f t="shared" si="19"/>
        <v>37500</v>
      </c>
    </row>
    <row r="59" spans="2:23">
      <c r="B59" s="225"/>
      <c r="C59" s="239"/>
      <c r="D59" s="64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65"/>
    </row>
    <row r="60" spans="2:23">
      <c r="B60" s="225"/>
      <c r="C60" s="239" t="s">
        <v>165</v>
      </c>
      <c r="D60" s="242" t="s">
        <v>166</v>
      </c>
      <c r="E60" s="174"/>
      <c r="F60" s="157"/>
      <c r="G60" s="161">
        <f>+G57-G41</f>
        <v>-4965.76</v>
      </c>
      <c r="H60" s="161">
        <f t="shared" ref="H60:V60" si="20">+H58-H41</f>
        <v>-5732.5</v>
      </c>
      <c r="I60" s="161">
        <f t="shared" si="20"/>
        <v>11174.279999999999</v>
      </c>
      <c r="J60" s="161">
        <f t="shared" si="20"/>
        <v>15886.380000000001</v>
      </c>
      <c r="K60" s="161">
        <f t="shared" si="20"/>
        <v>19222.860000000004</v>
      </c>
      <c r="L60" s="161">
        <f t="shared" si="20"/>
        <v>24971.64</v>
      </c>
      <c r="M60" s="161">
        <f t="shared" si="20"/>
        <v>28147.599999999999</v>
      </c>
      <c r="N60" s="161">
        <f t="shared" si="20"/>
        <v>28106.260000000002</v>
      </c>
      <c r="O60" s="161">
        <f t="shared" si="20"/>
        <v>28113.68</v>
      </c>
      <c r="P60" s="161">
        <f t="shared" si="20"/>
        <v>27885.78</v>
      </c>
      <c r="Q60" s="161">
        <f t="shared" si="20"/>
        <v>28160.32</v>
      </c>
      <c r="R60" s="161">
        <f t="shared" si="20"/>
        <v>28157.14</v>
      </c>
      <c r="S60" s="161">
        <f t="shared" si="20"/>
        <v>28160.32</v>
      </c>
      <c r="T60" s="161">
        <f t="shared" si="20"/>
        <v>28145.48</v>
      </c>
      <c r="U60" s="161">
        <f t="shared" si="20"/>
        <v>28199.54</v>
      </c>
      <c r="V60" s="243">
        <f t="shared" si="20"/>
        <v>28273.739999999998</v>
      </c>
      <c r="W60" s="6"/>
    </row>
    <row r="61" spans="2:23">
      <c r="B61" s="225"/>
      <c r="C61" s="239"/>
      <c r="D61" s="64"/>
      <c r="E61" s="156"/>
      <c r="F61" s="156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252"/>
      <c r="W61" s="6"/>
    </row>
    <row r="62" spans="2:23">
      <c r="B62" s="225"/>
      <c r="C62" s="239" t="s">
        <v>167</v>
      </c>
      <c r="D62" s="64" t="s">
        <v>168</v>
      </c>
      <c r="E62" s="163"/>
      <c r="F62" s="156"/>
      <c r="G62" s="159">
        <f t="shared" ref="G62:V62" si="21">+G57-G41</f>
        <v>-4965.76</v>
      </c>
      <c r="H62" s="159">
        <f t="shared" si="21"/>
        <v>-5732.5</v>
      </c>
      <c r="I62" s="159">
        <f t="shared" si="21"/>
        <v>11174.279999999999</v>
      </c>
      <c r="J62" s="159">
        <f t="shared" si="21"/>
        <v>15886.380000000001</v>
      </c>
      <c r="K62" s="159">
        <f t="shared" si="21"/>
        <v>19222.860000000004</v>
      </c>
      <c r="L62" s="159">
        <f t="shared" si="21"/>
        <v>24971.64</v>
      </c>
      <c r="M62" s="159">
        <f t="shared" si="21"/>
        <v>28147.599999999999</v>
      </c>
      <c r="N62" s="159">
        <f t="shared" si="21"/>
        <v>28106.260000000002</v>
      </c>
      <c r="O62" s="159">
        <f t="shared" si="21"/>
        <v>28113.68</v>
      </c>
      <c r="P62" s="159">
        <f t="shared" si="21"/>
        <v>27885.78</v>
      </c>
      <c r="Q62" s="159">
        <f t="shared" si="21"/>
        <v>28160.32</v>
      </c>
      <c r="R62" s="159">
        <f t="shared" si="21"/>
        <v>28157.14</v>
      </c>
      <c r="S62" s="159">
        <f t="shared" si="21"/>
        <v>28160.32</v>
      </c>
      <c r="T62" s="159">
        <f t="shared" si="21"/>
        <v>28145.48</v>
      </c>
      <c r="U62" s="159">
        <f t="shared" si="21"/>
        <v>28199.54</v>
      </c>
      <c r="V62" s="252">
        <f t="shared" si="21"/>
        <v>28273.739999999998</v>
      </c>
      <c r="W62" s="6"/>
    </row>
    <row r="63" spans="2:23">
      <c r="B63" s="225"/>
      <c r="C63" s="239"/>
      <c r="D63" s="64"/>
      <c r="E63" s="156"/>
      <c r="F63" s="156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252"/>
      <c r="W63" s="6"/>
    </row>
    <row r="64" spans="2:23">
      <c r="B64" s="225"/>
      <c r="C64" s="239" t="s">
        <v>169</v>
      </c>
      <c r="D64" s="64" t="s">
        <v>170</v>
      </c>
      <c r="E64" s="163">
        <f>-E41</f>
        <v>-12498.966287949339</v>
      </c>
      <c r="F64" s="163">
        <f>-F41</f>
        <v>-6568.4533333333329</v>
      </c>
      <c r="G64" s="159">
        <f>+G62</f>
        <v>-4965.76</v>
      </c>
      <c r="H64" s="159">
        <f t="shared" ref="H64:V64" si="22">+H62</f>
        <v>-5732.5</v>
      </c>
      <c r="I64" s="159">
        <f t="shared" si="22"/>
        <v>11174.279999999999</v>
      </c>
      <c r="J64" s="159">
        <f t="shared" si="22"/>
        <v>15886.380000000001</v>
      </c>
      <c r="K64" s="159">
        <f t="shared" si="22"/>
        <v>19222.860000000004</v>
      </c>
      <c r="L64" s="159">
        <f t="shared" si="22"/>
        <v>24971.64</v>
      </c>
      <c r="M64" s="159">
        <f t="shared" si="22"/>
        <v>28147.599999999999</v>
      </c>
      <c r="N64" s="159">
        <f t="shared" si="22"/>
        <v>28106.260000000002</v>
      </c>
      <c r="O64" s="159">
        <f t="shared" si="22"/>
        <v>28113.68</v>
      </c>
      <c r="P64" s="159">
        <f t="shared" si="22"/>
        <v>27885.78</v>
      </c>
      <c r="Q64" s="159">
        <f t="shared" si="22"/>
        <v>28160.32</v>
      </c>
      <c r="R64" s="159">
        <f t="shared" si="22"/>
        <v>28157.14</v>
      </c>
      <c r="S64" s="159">
        <f t="shared" si="22"/>
        <v>28160.32</v>
      </c>
      <c r="T64" s="159">
        <f t="shared" si="22"/>
        <v>28145.48</v>
      </c>
      <c r="U64" s="159">
        <f t="shared" si="22"/>
        <v>28199.54</v>
      </c>
      <c r="V64" s="252">
        <f t="shared" si="22"/>
        <v>28273.739999999998</v>
      </c>
      <c r="W64" s="6"/>
    </row>
    <row r="65" spans="2:24">
      <c r="B65" s="55"/>
      <c r="C65" s="55"/>
      <c r="D65" s="2"/>
      <c r="E65" s="6"/>
      <c r="F65" s="6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253"/>
      <c r="W65" s="6"/>
    </row>
    <row r="66" spans="2:24">
      <c r="B66" s="55"/>
      <c r="C66" s="55" t="s">
        <v>171</v>
      </c>
      <c r="D66" s="2" t="s">
        <v>106</v>
      </c>
      <c r="E66" s="6"/>
      <c r="F66" s="6"/>
      <c r="G66" s="77">
        <f>NPV(16%,G64:V64)-(E41+F41)</f>
        <v>63506.278185854833</v>
      </c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253"/>
      <c r="W66" s="6"/>
    </row>
    <row r="67" spans="2:24">
      <c r="B67" s="55"/>
      <c r="C67" s="55"/>
      <c r="D67" s="2"/>
      <c r="E67" s="6"/>
      <c r="F67" s="6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253"/>
      <c r="W67" s="6"/>
    </row>
    <row r="68" spans="2:24">
      <c r="B68" s="55"/>
      <c r="C68" s="55" t="s">
        <v>172</v>
      </c>
      <c r="D68" s="2" t="s">
        <v>173</v>
      </c>
      <c r="E68" s="6"/>
      <c r="F68" s="6"/>
      <c r="G68" s="78">
        <f>IRR(E64:V64)</f>
        <v>0.35052475970842223</v>
      </c>
      <c r="H68" s="75"/>
      <c r="I68" s="75" t="s">
        <v>174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253"/>
      <c r="W68" s="6"/>
    </row>
    <row r="69" spans="2:24">
      <c r="B69" s="55"/>
      <c r="C69" s="55"/>
      <c r="D69" s="2"/>
      <c r="E69" s="6"/>
      <c r="F69" s="6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253"/>
      <c r="W69" s="6"/>
    </row>
    <row r="70" spans="2:24">
      <c r="B70" s="55"/>
      <c r="C70" s="55"/>
      <c r="D70" s="2"/>
      <c r="E70" s="6"/>
      <c r="F70" s="6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253"/>
      <c r="W70" s="6"/>
    </row>
    <row r="71" spans="2:24">
      <c r="B71" s="55"/>
      <c r="C71" s="55"/>
      <c r="D71" s="2"/>
      <c r="E71" s="6"/>
      <c r="F71" s="7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3"/>
    </row>
    <row r="72" spans="2:24">
      <c r="B72" s="55"/>
      <c r="C72" s="55"/>
      <c r="D72" s="254" t="s">
        <v>175</v>
      </c>
      <c r="E72" s="6"/>
      <c r="F72" s="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255"/>
    </row>
    <row r="73" spans="2:24">
      <c r="B73" s="55"/>
      <c r="C73" s="55"/>
      <c r="D73" s="2"/>
      <c r="E73" s="6"/>
      <c r="F73" s="6"/>
      <c r="G73" s="6"/>
      <c r="H73" s="7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3"/>
    </row>
    <row r="74" spans="2:24">
      <c r="B74" s="55"/>
      <c r="C74" s="55"/>
      <c r="D74" s="2"/>
      <c r="E74" s="6"/>
      <c r="F74" s="6"/>
      <c r="G74" s="80"/>
      <c r="H74" s="7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3"/>
    </row>
    <row r="75" spans="2:24">
      <c r="B75" s="55"/>
      <c r="C75" s="55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3"/>
    </row>
    <row r="76" spans="2:24">
      <c r="B76" s="55"/>
      <c r="C76" s="55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3"/>
    </row>
    <row r="77" spans="2:24" ht="14" thickBot="1">
      <c r="B77" s="55"/>
      <c r="C77" s="55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3"/>
    </row>
    <row r="78" spans="2:24">
      <c r="B78" s="55"/>
      <c r="C78" s="55"/>
      <c r="D78" s="219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20"/>
    </row>
    <row r="79" spans="2:24">
      <c r="B79" s="55"/>
      <c r="C79" s="55"/>
      <c r="D79" s="2" t="s">
        <v>176</v>
      </c>
      <c r="E79" s="70">
        <v>0</v>
      </c>
      <c r="F79" s="70">
        <v>0</v>
      </c>
      <c r="G79" s="70">
        <v>1</v>
      </c>
      <c r="H79" s="70">
        <v>2</v>
      </c>
      <c r="I79" s="70">
        <v>3</v>
      </c>
      <c r="J79" s="70">
        <v>4</v>
      </c>
      <c r="K79" s="70">
        <v>5</v>
      </c>
      <c r="L79" s="70">
        <v>6</v>
      </c>
      <c r="M79" s="70">
        <v>7</v>
      </c>
      <c r="N79" s="70">
        <v>8</v>
      </c>
      <c r="O79" s="70">
        <v>9</v>
      </c>
      <c r="P79" s="70">
        <v>10</v>
      </c>
      <c r="Q79" s="70">
        <v>11</v>
      </c>
      <c r="R79" s="70">
        <v>12</v>
      </c>
      <c r="S79" s="70">
        <v>13</v>
      </c>
      <c r="T79" s="70">
        <v>14</v>
      </c>
      <c r="U79" s="70">
        <v>15</v>
      </c>
      <c r="V79" s="81">
        <v>16</v>
      </c>
      <c r="W79" s="53"/>
      <c r="X79" s="53"/>
    </row>
    <row r="80" spans="2:24">
      <c r="B80" s="55"/>
      <c r="C80" s="55"/>
      <c r="D80" s="2" t="s">
        <v>177</v>
      </c>
      <c r="E80" s="70">
        <f>+'Costos Agricolas 01 ha'!E57</f>
        <v>0</v>
      </c>
      <c r="F80" s="70">
        <f>+'Costos Agricolas 01 ha'!F57</f>
        <v>0</v>
      </c>
      <c r="G80" s="70">
        <f>+'Costos Agricolas 01 ha'!G57</f>
        <v>0</v>
      </c>
      <c r="H80" s="70">
        <f>+'Costos Agricolas 01 ha'!H57</f>
        <v>0</v>
      </c>
      <c r="I80" s="70">
        <f>+'Costos Agricolas 01 ha'!I57</f>
        <v>18000</v>
      </c>
      <c r="J80" s="70">
        <f>+'Costos Agricolas 01 ha'!J57</f>
        <v>24000</v>
      </c>
      <c r="K80" s="70">
        <f>+'Costos Agricolas 01 ha'!K57</f>
        <v>28500.000000000004</v>
      </c>
      <c r="L80" s="70">
        <f>+'Costos Agricolas 01 ha'!L57</f>
        <v>34500</v>
      </c>
      <c r="M80" s="70">
        <f>+'Costos Agricolas 01 ha'!M57</f>
        <v>37500</v>
      </c>
      <c r="N80" s="70">
        <f>+'Costos Agricolas 01 ha'!N57</f>
        <v>37500</v>
      </c>
      <c r="O80" s="70">
        <f>+'Costos Agricolas 01 ha'!O57</f>
        <v>37500</v>
      </c>
      <c r="P80" s="70">
        <f>+'Costos Agricolas 01 ha'!P57</f>
        <v>37500</v>
      </c>
      <c r="Q80" s="70">
        <f>+'Costos Agricolas 01 ha'!Q57</f>
        <v>37500</v>
      </c>
      <c r="R80" s="70">
        <f>+'Costos Agricolas 01 ha'!R57</f>
        <v>37500</v>
      </c>
      <c r="S80" s="70">
        <f>+'Costos Agricolas 01 ha'!S57</f>
        <v>37500</v>
      </c>
      <c r="T80" s="70">
        <f>+'Costos Agricolas 01 ha'!T57</f>
        <v>37500</v>
      </c>
      <c r="U80" s="70">
        <f>+'Costos Agricolas 01 ha'!U57</f>
        <v>37500</v>
      </c>
      <c r="V80" s="81">
        <f>+'Costos Agricolas 01 ha'!V57</f>
        <v>37500</v>
      </c>
      <c r="W80" s="53"/>
      <c r="X80" s="53"/>
    </row>
    <row r="81" spans="2:25">
      <c r="B81" s="55"/>
      <c r="C81" s="55"/>
      <c r="D81" s="2" t="s">
        <v>178</v>
      </c>
      <c r="E81" s="70"/>
      <c r="F81" s="70"/>
      <c r="G81" s="70">
        <f>+'Costos Agricolas 01 ha'!G41</f>
        <v>4965.76</v>
      </c>
      <c r="H81" s="70">
        <f>+'Costos Agricolas 01 ha'!H41</f>
        <v>5732.5</v>
      </c>
      <c r="I81" s="70">
        <f>+'Costos Agricolas 01 ha'!I41</f>
        <v>6825.72</v>
      </c>
      <c r="J81" s="70">
        <f>+'Costos Agricolas 01 ha'!J41</f>
        <v>8113.62</v>
      </c>
      <c r="K81" s="70">
        <f>+'Costos Agricolas 01 ha'!K41</f>
        <v>9277.14</v>
      </c>
      <c r="L81" s="70">
        <f>+'Costos Agricolas 01 ha'!L41</f>
        <v>9528.36</v>
      </c>
      <c r="M81" s="70">
        <f>+'Costos Agricolas 01 ha'!M41</f>
        <v>9352.4</v>
      </c>
      <c r="N81" s="70">
        <f>+'Costos Agricolas 01 ha'!N41</f>
        <v>9393.74</v>
      </c>
      <c r="O81" s="70">
        <f>+'Costos Agricolas 01 ha'!O41</f>
        <v>9386.32</v>
      </c>
      <c r="P81" s="70">
        <f>+'Costos Agricolas 01 ha'!P41</f>
        <v>9614.2199999999993</v>
      </c>
      <c r="Q81" s="70">
        <f>+'Costos Agricolas 01 ha'!Q41</f>
        <v>9339.68</v>
      </c>
      <c r="R81" s="70">
        <f>+'Costos Agricolas 01 ha'!R41</f>
        <v>9342.86</v>
      </c>
      <c r="S81" s="70">
        <f>+'Costos Agricolas 01 ha'!S41</f>
        <v>9339.68</v>
      </c>
      <c r="T81" s="70">
        <f>+'Costos Agricolas 01 ha'!T41</f>
        <v>9354.52</v>
      </c>
      <c r="U81" s="70">
        <f>+'Costos Agricolas 01 ha'!U41</f>
        <v>9300.4599999999991</v>
      </c>
      <c r="V81" s="81">
        <f>+'Costos Agricolas 01 ha'!V41</f>
        <v>9226.26</v>
      </c>
      <c r="W81" s="53"/>
      <c r="X81" s="53"/>
    </row>
    <row r="82" spans="2:25">
      <c r="B82" s="55"/>
      <c r="C82" s="55"/>
      <c r="D82" s="2" t="s">
        <v>179</v>
      </c>
      <c r="E82" s="70"/>
      <c r="F82" s="70"/>
      <c r="G82" s="70">
        <f t="shared" ref="G82:V82" si="23">30000/16</f>
        <v>1875</v>
      </c>
      <c r="H82" s="70">
        <f t="shared" si="23"/>
        <v>1875</v>
      </c>
      <c r="I82" s="70">
        <f t="shared" si="23"/>
        <v>1875</v>
      </c>
      <c r="J82" s="70">
        <f t="shared" si="23"/>
        <v>1875</v>
      </c>
      <c r="K82" s="70">
        <f t="shared" si="23"/>
        <v>1875</v>
      </c>
      <c r="L82" s="70">
        <f t="shared" si="23"/>
        <v>1875</v>
      </c>
      <c r="M82" s="70">
        <f t="shared" si="23"/>
        <v>1875</v>
      </c>
      <c r="N82" s="70">
        <f t="shared" si="23"/>
        <v>1875</v>
      </c>
      <c r="O82" s="70">
        <f t="shared" si="23"/>
        <v>1875</v>
      </c>
      <c r="P82" s="70">
        <f t="shared" si="23"/>
        <v>1875</v>
      </c>
      <c r="Q82" s="70">
        <f t="shared" si="23"/>
        <v>1875</v>
      </c>
      <c r="R82" s="70">
        <f t="shared" si="23"/>
        <v>1875</v>
      </c>
      <c r="S82" s="70">
        <f t="shared" si="23"/>
        <v>1875</v>
      </c>
      <c r="T82" s="70">
        <f t="shared" si="23"/>
        <v>1875</v>
      </c>
      <c r="U82" s="70">
        <f t="shared" si="23"/>
        <v>1875</v>
      </c>
      <c r="V82" s="81">
        <f t="shared" si="23"/>
        <v>1875</v>
      </c>
      <c r="W82" s="53"/>
      <c r="X82" s="53"/>
    </row>
    <row r="83" spans="2:25">
      <c r="B83" s="55"/>
      <c r="C83" s="55"/>
      <c r="D83" s="2" t="s">
        <v>180</v>
      </c>
      <c r="E83" s="70"/>
      <c r="F83" s="70"/>
      <c r="G83" s="70">
        <f t="shared" ref="G83:L83" si="24">+J95</f>
        <v>2156</v>
      </c>
      <c r="H83" s="70">
        <f t="shared" si="24"/>
        <v>1999.954104119802</v>
      </c>
      <c r="I83" s="70">
        <f t="shared" si="24"/>
        <v>1832.9849955279899</v>
      </c>
      <c r="J83" s="70">
        <f t="shared" si="24"/>
        <v>1654.3280493347509</v>
      </c>
      <c r="K83" s="70">
        <f t="shared" si="24"/>
        <v>1463.1651169079853</v>
      </c>
      <c r="L83" s="70">
        <f t="shared" si="24"/>
        <v>1258.620779211346</v>
      </c>
      <c r="M83" s="70">
        <f t="shared" ref="M83" si="25">+P95</f>
        <v>1039.7583378759418</v>
      </c>
      <c r="N83" s="70">
        <f t="shared" ref="N83" si="26">+Q95</f>
        <v>805.57552564705941</v>
      </c>
      <c r="O83" s="70">
        <f t="shared" ref="O83" si="27">+R95</f>
        <v>554.99991656215514</v>
      </c>
      <c r="P83" s="70">
        <f t="shared" ref="P83" si="28">+S95</f>
        <v>286.88401484130765</v>
      </c>
      <c r="Q83" s="70"/>
      <c r="R83" s="70"/>
      <c r="S83" s="70"/>
      <c r="T83" s="70"/>
      <c r="U83" s="70"/>
      <c r="V83" s="81"/>
      <c r="W83" s="53"/>
      <c r="X83" s="53"/>
    </row>
    <row r="84" spans="2:25">
      <c r="B84" s="55"/>
      <c r="C84" s="55"/>
      <c r="D84" s="2" t="s">
        <v>181</v>
      </c>
      <c r="E84" s="70"/>
      <c r="F84" s="70"/>
      <c r="G84" s="70">
        <f t="shared" ref="G84:V84" si="29">+G80-G81-G82-G83</f>
        <v>-8996.76</v>
      </c>
      <c r="H84" s="70">
        <f t="shared" si="29"/>
        <v>-9607.4541041198027</v>
      </c>
      <c r="I84" s="70">
        <f t="shared" si="29"/>
        <v>7466.2950044720092</v>
      </c>
      <c r="J84" s="70">
        <f t="shared" si="29"/>
        <v>12357.051950665251</v>
      </c>
      <c r="K84" s="70">
        <f t="shared" si="29"/>
        <v>15884.694883092019</v>
      </c>
      <c r="L84" s="70">
        <f t="shared" si="29"/>
        <v>21838.019220788654</v>
      </c>
      <c r="M84" s="70">
        <f t="shared" si="29"/>
        <v>25232.841662124058</v>
      </c>
      <c r="N84" s="70">
        <f t="shared" si="29"/>
        <v>25425.684474352944</v>
      </c>
      <c r="O84" s="70">
        <f t="shared" si="29"/>
        <v>25683.680083437845</v>
      </c>
      <c r="P84" s="70">
        <f t="shared" si="29"/>
        <v>25723.895985158691</v>
      </c>
      <c r="Q84" s="70">
        <f t="shared" si="29"/>
        <v>26285.32</v>
      </c>
      <c r="R84" s="70">
        <f t="shared" si="29"/>
        <v>26282.14</v>
      </c>
      <c r="S84" s="70">
        <f t="shared" si="29"/>
        <v>26285.32</v>
      </c>
      <c r="T84" s="70">
        <f t="shared" si="29"/>
        <v>26270.48</v>
      </c>
      <c r="U84" s="70">
        <f t="shared" si="29"/>
        <v>26324.54</v>
      </c>
      <c r="V84" s="81">
        <f t="shared" si="29"/>
        <v>26398.739999999998</v>
      </c>
      <c r="W84" s="53"/>
      <c r="X84" s="53"/>
    </row>
    <row r="85" spans="2:25">
      <c r="B85" s="55"/>
      <c r="C85" s="55"/>
      <c r="D85" s="2" t="s">
        <v>182</v>
      </c>
      <c r="E85" s="70"/>
      <c r="F85" s="70"/>
      <c r="G85" s="70">
        <v>0</v>
      </c>
      <c r="H85" s="70">
        <v>0</v>
      </c>
      <c r="I85" s="70">
        <v>0</v>
      </c>
      <c r="J85" s="70">
        <f>+(J84+I84+H84+G84)*0.15</f>
        <v>182.86992765261883</v>
      </c>
      <c r="K85" s="70">
        <f t="shared" ref="K85:V85" si="30">+K84*0.15</f>
        <v>2382.7042324638028</v>
      </c>
      <c r="L85" s="70">
        <f t="shared" si="30"/>
        <v>3275.7028831182979</v>
      </c>
      <c r="M85" s="70">
        <f t="shared" si="30"/>
        <v>3784.9262493186084</v>
      </c>
      <c r="N85" s="70">
        <f t="shared" si="30"/>
        <v>3813.8526711529412</v>
      </c>
      <c r="O85" s="70">
        <f t="shared" si="30"/>
        <v>3852.5520125156763</v>
      </c>
      <c r="P85" s="70">
        <f t="shared" si="30"/>
        <v>3858.5843977738036</v>
      </c>
      <c r="Q85" s="70">
        <f t="shared" si="30"/>
        <v>3942.7979999999998</v>
      </c>
      <c r="R85" s="70">
        <f t="shared" si="30"/>
        <v>3942.3209999999999</v>
      </c>
      <c r="S85" s="70">
        <f t="shared" si="30"/>
        <v>3942.7979999999998</v>
      </c>
      <c r="T85" s="70">
        <f t="shared" si="30"/>
        <v>3940.5719999999997</v>
      </c>
      <c r="U85" s="70">
        <f t="shared" si="30"/>
        <v>3948.681</v>
      </c>
      <c r="V85" s="81">
        <f t="shared" si="30"/>
        <v>3959.8109999999997</v>
      </c>
      <c r="W85" s="53"/>
      <c r="X85" s="53"/>
    </row>
    <row r="86" spans="2:25">
      <c r="B86" s="55"/>
      <c r="C86" s="55"/>
      <c r="D86" s="2" t="s">
        <v>183</v>
      </c>
      <c r="E86" s="70"/>
      <c r="F86" s="70"/>
      <c r="G86" s="70">
        <f t="shared" ref="G86:L86" si="31">+J96</f>
        <v>2229.2270840028332</v>
      </c>
      <c r="H86" s="70">
        <f t="shared" si="31"/>
        <v>2385.2729798830314</v>
      </c>
      <c r="I86" s="70">
        <f t="shared" si="31"/>
        <v>2552.2420884748435</v>
      </c>
      <c r="J86" s="70">
        <f t="shared" si="31"/>
        <v>2730.8990346680821</v>
      </c>
      <c r="K86" s="70">
        <f t="shared" si="31"/>
        <v>2922.0619670948481</v>
      </c>
      <c r="L86" s="70">
        <f t="shared" si="31"/>
        <v>3126.6063047914872</v>
      </c>
      <c r="M86" s="70">
        <f t="shared" ref="M86" si="32">+P96</f>
        <v>3345.4687461268913</v>
      </c>
      <c r="N86" s="70">
        <f t="shared" ref="N86" si="33">+Q96</f>
        <v>3579.6515583557739</v>
      </c>
      <c r="O86" s="70">
        <f t="shared" ref="O86" si="34">+R96</f>
        <v>3830.2271674406779</v>
      </c>
      <c r="P86" s="70">
        <f t="shared" ref="P86" si="35">+S96</f>
        <v>4098.3430691615258</v>
      </c>
      <c r="Q86" s="70"/>
      <c r="R86" s="70"/>
      <c r="S86" s="70"/>
      <c r="T86" s="70"/>
      <c r="U86" s="70"/>
      <c r="V86" s="81"/>
      <c r="W86" s="53"/>
      <c r="X86" s="53"/>
    </row>
    <row r="87" spans="2:25">
      <c r="B87" s="55"/>
      <c r="C87" s="55"/>
      <c r="D87" s="2" t="s">
        <v>184</v>
      </c>
      <c r="E87" s="70">
        <f>+'Costos Agricolas 01 ha'!E41</f>
        <v>12498.966287949339</v>
      </c>
      <c r="F87" s="70">
        <f>+'Costos Agricolas 01 ha'!F41</f>
        <v>6568.4533333333329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81"/>
      <c r="W87" s="53"/>
      <c r="X87" s="53">
        <f>+E87+F87</f>
        <v>19067.419621282672</v>
      </c>
      <c r="Y87">
        <f>+X87*16.52</f>
        <v>314993.77214358974</v>
      </c>
    </row>
    <row r="88" spans="2:25">
      <c r="B88" s="55"/>
      <c r="C88" s="55"/>
      <c r="D88" s="2" t="s">
        <v>185</v>
      </c>
      <c r="E88" s="70">
        <f>+'PALTA HASS activos'!H52+'PALTA HASS activos'!H22+'PALTA HASS activos'!G34</f>
        <v>4220.8791208791208</v>
      </c>
      <c r="F88" s="70"/>
      <c r="G88" s="70">
        <v>3800</v>
      </c>
      <c r="H88" s="70">
        <v>3800</v>
      </c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81"/>
      <c r="W88" s="53"/>
      <c r="X88" s="53"/>
    </row>
    <row r="89" spans="2:25">
      <c r="B89" s="55"/>
      <c r="C89" s="55"/>
      <c r="D89" s="2" t="s">
        <v>186</v>
      </c>
      <c r="E89" s="70">
        <f>+E84-E85-E86-E87+E88</f>
        <v>-8278.0871670702181</v>
      </c>
      <c r="F89" s="70">
        <f t="shared" ref="F89:V89" si="36">+F84-F85-F86-F87+F88</f>
        <v>-6568.4533333333329</v>
      </c>
      <c r="G89" s="70">
        <f>+G84-G85-G86-G87+G88</f>
        <v>-7425.9870840028343</v>
      </c>
      <c r="H89" s="70">
        <f t="shared" si="36"/>
        <v>-8192.7270840028341</v>
      </c>
      <c r="I89" s="70">
        <f t="shared" si="36"/>
        <v>4914.0529159971657</v>
      </c>
      <c r="J89" s="70">
        <f t="shared" si="36"/>
        <v>9443.2829883445502</v>
      </c>
      <c r="K89" s="70">
        <f t="shared" si="36"/>
        <v>10579.92868353337</v>
      </c>
      <c r="L89" s="70">
        <f t="shared" si="36"/>
        <v>15435.710032878869</v>
      </c>
      <c r="M89" s="70">
        <f t="shared" si="36"/>
        <v>18102.446666678559</v>
      </c>
      <c r="N89" s="70">
        <f t="shared" si="36"/>
        <v>18032.180244844229</v>
      </c>
      <c r="O89" s="70">
        <f t="shared" si="36"/>
        <v>18000.900903481492</v>
      </c>
      <c r="P89" s="70">
        <f t="shared" si="36"/>
        <v>17766.968518223362</v>
      </c>
      <c r="Q89" s="70">
        <f t="shared" si="36"/>
        <v>22342.522000000001</v>
      </c>
      <c r="R89" s="70">
        <f t="shared" si="36"/>
        <v>22339.819</v>
      </c>
      <c r="S89" s="70">
        <f t="shared" si="36"/>
        <v>22342.522000000001</v>
      </c>
      <c r="T89" s="70">
        <f t="shared" si="36"/>
        <v>22329.907999999999</v>
      </c>
      <c r="U89" s="70">
        <f t="shared" si="36"/>
        <v>22375.859</v>
      </c>
      <c r="V89" s="81">
        <f t="shared" si="36"/>
        <v>22438.928999999996</v>
      </c>
      <c r="W89" s="53"/>
      <c r="X89" s="53"/>
    </row>
    <row r="90" spans="2:25">
      <c r="B90" s="55"/>
      <c r="C90" s="55"/>
      <c r="D90" s="2" t="s">
        <v>187</v>
      </c>
      <c r="E90" s="57">
        <f>-E89</f>
        <v>8278.0871670702181</v>
      </c>
      <c r="F90" s="57">
        <f>-F89</f>
        <v>6568.4533333333329</v>
      </c>
      <c r="G90" s="57">
        <f>-G89</f>
        <v>7425.9870840028343</v>
      </c>
      <c r="H90" s="57">
        <f>-H89</f>
        <v>8192.7270840028341</v>
      </c>
      <c r="I90" s="57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81"/>
      <c r="W90" s="53"/>
      <c r="X90" s="53"/>
    </row>
    <row r="91" spans="2:25" ht="14" thickBot="1">
      <c r="B91" s="55"/>
      <c r="C91" s="55"/>
      <c r="D91" s="221" t="s">
        <v>188</v>
      </c>
      <c r="E91" s="222">
        <f>+E90+E89</f>
        <v>0</v>
      </c>
      <c r="F91" s="222">
        <f>+F90+F89</f>
        <v>0</v>
      </c>
      <c r="G91" s="222">
        <f>+G90+G89</f>
        <v>0</v>
      </c>
      <c r="H91" s="222">
        <f>+H90+H89</f>
        <v>0</v>
      </c>
      <c r="I91" s="222">
        <f>+I90+I89</f>
        <v>4914.0529159971657</v>
      </c>
      <c r="J91" s="222">
        <f t="shared" ref="J91:V91" si="37">+I91+J89</f>
        <v>14357.335904341715</v>
      </c>
      <c r="K91" s="222">
        <f t="shared" si="37"/>
        <v>24937.264587875085</v>
      </c>
      <c r="L91" s="222">
        <f t="shared" si="37"/>
        <v>40372.974620753957</v>
      </c>
      <c r="M91" s="222">
        <f t="shared" si="37"/>
        <v>58475.421287432517</v>
      </c>
      <c r="N91" s="222">
        <f t="shared" si="37"/>
        <v>76507.601532276749</v>
      </c>
      <c r="O91" s="222">
        <f t="shared" si="37"/>
        <v>94508.502435758244</v>
      </c>
      <c r="P91" s="222">
        <f t="shared" si="37"/>
        <v>112275.47095398161</v>
      </c>
      <c r="Q91" s="222">
        <f t="shared" si="37"/>
        <v>134617.99295398162</v>
      </c>
      <c r="R91" s="222">
        <f t="shared" si="37"/>
        <v>156957.81195398161</v>
      </c>
      <c r="S91" s="222">
        <f t="shared" si="37"/>
        <v>179300.33395398161</v>
      </c>
      <c r="T91" s="222">
        <f t="shared" si="37"/>
        <v>201630.2419539816</v>
      </c>
      <c r="U91" s="222">
        <f t="shared" si="37"/>
        <v>224006.1009539816</v>
      </c>
      <c r="V91" s="223">
        <f t="shared" si="37"/>
        <v>246445.0299539816</v>
      </c>
      <c r="W91" s="53"/>
      <c r="X91" s="53"/>
    </row>
    <row r="92" spans="2:25">
      <c r="B92" s="55"/>
      <c r="C92" s="55"/>
      <c r="D92" s="52" t="s">
        <v>189</v>
      </c>
      <c r="E92" s="71">
        <f>NPV(0.06,G89:V89)+E89+F89</f>
        <v>106571.39683436783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82"/>
      <c r="W92" s="53"/>
      <c r="X92" s="53"/>
    </row>
    <row r="93" spans="2:25" ht="14" thickBot="1">
      <c r="B93" s="55"/>
      <c r="C93" s="55"/>
      <c r="D93" s="52" t="s">
        <v>173</v>
      </c>
      <c r="E93" s="226">
        <f>IRR(E89:V89)</f>
        <v>0.27284539363387106</v>
      </c>
      <c r="F93" s="71"/>
      <c r="G93" s="55"/>
      <c r="H93" s="55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82"/>
      <c r="W93" s="53"/>
      <c r="X93" s="53"/>
    </row>
    <row r="94" spans="2:25" ht="14" thickBot="1">
      <c r="B94" s="55"/>
      <c r="C94" s="55"/>
      <c r="D94" s="52"/>
      <c r="E94" s="71"/>
      <c r="F94" s="71"/>
      <c r="G94" s="55"/>
      <c r="H94" s="55"/>
      <c r="I94" s="227" t="s">
        <v>190</v>
      </c>
      <c r="J94" s="228">
        <v>30800</v>
      </c>
      <c r="K94" s="228">
        <f>+J94-J96</f>
        <v>28570.772915997168</v>
      </c>
      <c r="L94" s="228">
        <f t="shared" ref="L94:S94" si="38">+K94-K96</f>
        <v>26185.499936114138</v>
      </c>
      <c r="M94" s="228">
        <f t="shared" si="38"/>
        <v>23633.257847639296</v>
      </c>
      <c r="N94" s="228">
        <f t="shared" si="38"/>
        <v>20902.358812971215</v>
      </c>
      <c r="O94" s="228">
        <f t="shared" si="38"/>
        <v>17980.296845876368</v>
      </c>
      <c r="P94" s="228">
        <f t="shared" si="38"/>
        <v>14853.690541084881</v>
      </c>
      <c r="Q94" s="228">
        <f t="shared" si="38"/>
        <v>11508.22179495799</v>
      </c>
      <c r="R94" s="228">
        <f t="shared" si="38"/>
        <v>7928.570236602216</v>
      </c>
      <c r="S94" s="228">
        <f t="shared" si="38"/>
        <v>4098.3430691615376</v>
      </c>
      <c r="T94" s="71"/>
      <c r="U94" s="71"/>
      <c r="V94" s="82"/>
      <c r="W94" s="53"/>
      <c r="X94" s="53"/>
    </row>
    <row r="95" spans="2:25">
      <c r="B95" s="55"/>
      <c r="C95" s="55"/>
      <c r="D95" s="52"/>
      <c r="E95" s="71"/>
      <c r="F95" s="71"/>
      <c r="G95" s="227" t="s">
        <v>191</v>
      </c>
      <c r="H95" s="229">
        <v>7.0000000000000007E-2</v>
      </c>
      <c r="I95" s="230" t="s">
        <v>191</v>
      </c>
      <c r="J95" s="231">
        <f>+J94*$H$95</f>
        <v>2156</v>
      </c>
      <c r="K95" s="231">
        <f>+K94*$H$95</f>
        <v>1999.954104119802</v>
      </c>
      <c r="L95" s="231">
        <f t="shared" ref="L95:S95" si="39">+L94*$H$95</f>
        <v>1832.9849955279899</v>
      </c>
      <c r="M95" s="231">
        <f t="shared" si="39"/>
        <v>1654.3280493347509</v>
      </c>
      <c r="N95" s="231">
        <f t="shared" si="39"/>
        <v>1463.1651169079853</v>
      </c>
      <c r="O95" s="231">
        <f t="shared" si="39"/>
        <v>1258.620779211346</v>
      </c>
      <c r="P95" s="231">
        <f t="shared" si="39"/>
        <v>1039.7583378759418</v>
      </c>
      <c r="Q95" s="231">
        <f t="shared" si="39"/>
        <v>805.57552564705941</v>
      </c>
      <c r="R95" s="231">
        <f t="shared" si="39"/>
        <v>554.99991656215514</v>
      </c>
      <c r="S95" s="231">
        <f t="shared" si="39"/>
        <v>286.88401484130765</v>
      </c>
      <c r="T95" s="71"/>
      <c r="U95" s="71"/>
      <c r="V95" s="82"/>
      <c r="W95" s="53"/>
      <c r="X95" s="53"/>
    </row>
    <row r="96" spans="2:25">
      <c r="B96" s="55"/>
      <c r="C96" s="55"/>
      <c r="D96" s="52"/>
      <c r="E96" s="55"/>
      <c r="F96" s="71"/>
      <c r="G96" s="232" t="s">
        <v>192</v>
      </c>
      <c r="H96" s="233">
        <v>2</v>
      </c>
      <c r="I96" s="230" t="s">
        <v>193</v>
      </c>
      <c r="J96" s="231">
        <f>+J97-J95</f>
        <v>2229.2270840028332</v>
      </c>
      <c r="K96" s="231">
        <f>+K97-K95</f>
        <v>2385.2729798830314</v>
      </c>
      <c r="L96" s="231">
        <f t="shared" ref="L96:S96" si="40">+L97-L95</f>
        <v>2552.2420884748435</v>
      </c>
      <c r="M96" s="231">
        <f t="shared" si="40"/>
        <v>2730.8990346680821</v>
      </c>
      <c r="N96" s="231">
        <f t="shared" si="40"/>
        <v>2922.0619670948481</v>
      </c>
      <c r="O96" s="231">
        <f t="shared" si="40"/>
        <v>3126.6063047914872</v>
      </c>
      <c r="P96" s="231">
        <f t="shared" si="40"/>
        <v>3345.4687461268913</v>
      </c>
      <c r="Q96" s="231">
        <f t="shared" si="40"/>
        <v>3579.6515583557739</v>
      </c>
      <c r="R96" s="231">
        <f t="shared" si="40"/>
        <v>3830.2271674406779</v>
      </c>
      <c r="S96" s="231">
        <f t="shared" si="40"/>
        <v>4098.3430691615258</v>
      </c>
      <c r="T96" s="71"/>
      <c r="U96" s="71"/>
      <c r="V96" s="82"/>
      <c r="W96" s="53"/>
      <c r="X96" s="53"/>
    </row>
    <row r="97" spans="2:28" ht="14" thickBot="1">
      <c r="B97" s="55"/>
      <c r="C97" s="55"/>
      <c r="D97" s="256"/>
      <c r="E97" s="257"/>
      <c r="F97" s="257"/>
      <c r="G97" s="234" t="s">
        <v>194</v>
      </c>
      <c r="H97" s="235">
        <v>4</v>
      </c>
      <c r="I97" s="236" t="s">
        <v>75</v>
      </c>
      <c r="J97" s="237">
        <f>PMT(H95,10,-F98)</f>
        <v>4385.2270840028332</v>
      </c>
      <c r="K97" s="237">
        <f>+J97</f>
        <v>4385.2270840028332</v>
      </c>
      <c r="L97" s="237">
        <f t="shared" ref="L97:S97" si="41">+K97</f>
        <v>4385.2270840028332</v>
      </c>
      <c r="M97" s="237">
        <f t="shared" si="41"/>
        <v>4385.2270840028332</v>
      </c>
      <c r="N97" s="237">
        <f t="shared" si="41"/>
        <v>4385.2270840028332</v>
      </c>
      <c r="O97" s="237">
        <f t="shared" si="41"/>
        <v>4385.2270840028332</v>
      </c>
      <c r="P97" s="237">
        <f t="shared" si="41"/>
        <v>4385.2270840028332</v>
      </c>
      <c r="Q97" s="237">
        <f t="shared" si="41"/>
        <v>4385.2270840028332</v>
      </c>
      <c r="R97" s="237">
        <f t="shared" si="41"/>
        <v>4385.2270840028332</v>
      </c>
      <c r="S97" s="237">
        <f t="shared" si="41"/>
        <v>4385.2270840028332</v>
      </c>
      <c r="T97" s="257"/>
      <c r="U97" s="257"/>
      <c r="V97" s="258"/>
      <c r="W97" s="53"/>
      <c r="X97" s="53"/>
    </row>
    <row r="98" spans="2:28">
      <c r="B98" s="55"/>
      <c r="C98" s="55"/>
      <c r="D98" s="52"/>
      <c r="E98" s="55" t="s">
        <v>195</v>
      </c>
      <c r="F98" s="71">
        <v>30800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71">
        <f>SUM(J97:S97)</f>
        <v>43852.270840028337</v>
      </c>
      <c r="T98" s="55"/>
      <c r="U98" s="55"/>
      <c r="V98" s="238"/>
    </row>
    <row r="99" spans="2:28">
      <c r="B99" s="55"/>
      <c r="C99" s="55"/>
      <c r="D99" s="52"/>
      <c r="E99" s="55"/>
      <c r="F99" s="71">
        <f>SUM(E89:H89)</f>
        <v>-30465.254668409223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238"/>
    </row>
    <row r="100" spans="2:28">
      <c r="B100" s="55"/>
      <c r="C100" s="55"/>
      <c r="D100" s="52"/>
      <c r="E100" s="55"/>
      <c r="F100" s="55"/>
      <c r="G100" s="55"/>
      <c r="H100" s="55"/>
      <c r="I100" s="55"/>
      <c r="J100" s="71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238"/>
    </row>
    <row r="101" spans="2:28">
      <c r="B101" s="55"/>
      <c r="C101" s="55"/>
      <c r="D101" s="2"/>
      <c r="E101" s="6"/>
      <c r="F101" s="6"/>
      <c r="G101" s="6"/>
      <c r="H101" s="6"/>
      <c r="I101" s="6"/>
      <c r="J101" s="70"/>
      <c r="K101" s="70"/>
      <c r="L101" s="70"/>
      <c r="M101" s="6"/>
      <c r="N101" s="6"/>
      <c r="O101" s="6"/>
      <c r="P101" s="6"/>
      <c r="Q101" s="6"/>
      <c r="R101" s="6"/>
      <c r="S101" s="6"/>
      <c r="T101" s="6"/>
      <c r="U101" s="6"/>
      <c r="V101" s="63"/>
    </row>
    <row r="102" spans="2:28">
      <c r="B102" s="55"/>
      <c r="C102" s="55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3"/>
    </row>
    <row r="103" spans="2:28">
      <c r="B103" s="55"/>
      <c r="C103" s="55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3"/>
    </row>
    <row r="104" spans="2:28">
      <c r="B104" s="55"/>
      <c r="C104" s="55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3"/>
    </row>
    <row r="105" spans="2:28">
      <c r="B105" s="55"/>
      <c r="C105" s="55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3"/>
    </row>
    <row r="106" spans="2:28">
      <c r="B106" s="55"/>
      <c r="C106" s="55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3"/>
    </row>
    <row r="107" spans="2:28" ht="12.75" customHeight="1" thickBot="1">
      <c r="B107" s="55"/>
      <c r="C107" s="55"/>
      <c r="D107" s="297"/>
      <c r="E107" s="42"/>
      <c r="F107" s="42"/>
      <c r="G107" s="42">
        <v>2019</v>
      </c>
      <c r="H107" s="42">
        <f>+G107+1</f>
        <v>2020</v>
      </c>
      <c r="I107" s="42">
        <f t="shared" ref="I107:V107" si="42">+H107+1</f>
        <v>2021</v>
      </c>
      <c r="J107" s="42">
        <f t="shared" si="42"/>
        <v>2022</v>
      </c>
      <c r="K107" s="42">
        <f t="shared" si="42"/>
        <v>2023</v>
      </c>
      <c r="L107" s="42">
        <f t="shared" si="42"/>
        <v>2024</v>
      </c>
      <c r="M107" s="42">
        <f t="shared" si="42"/>
        <v>2025</v>
      </c>
      <c r="N107" s="42">
        <f t="shared" si="42"/>
        <v>2026</v>
      </c>
      <c r="O107" s="42">
        <f t="shared" si="42"/>
        <v>2027</v>
      </c>
      <c r="P107" s="42">
        <f t="shared" si="42"/>
        <v>2028</v>
      </c>
      <c r="Q107" s="42">
        <f t="shared" si="42"/>
        <v>2029</v>
      </c>
      <c r="R107" s="42">
        <f t="shared" si="42"/>
        <v>2030</v>
      </c>
      <c r="S107" s="42">
        <f t="shared" si="42"/>
        <v>2031</v>
      </c>
      <c r="T107" s="42">
        <f t="shared" si="42"/>
        <v>2032</v>
      </c>
      <c r="U107" s="42">
        <f t="shared" si="42"/>
        <v>2033</v>
      </c>
      <c r="V107" s="42">
        <f t="shared" si="42"/>
        <v>2034</v>
      </c>
    </row>
    <row r="108" spans="2:28" ht="15" thickBot="1">
      <c r="B108" s="55"/>
      <c r="C108" s="55"/>
      <c r="D108" s="266" t="s">
        <v>196</v>
      </c>
      <c r="E108" s="267">
        <v>0</v>
      </c>
      <c r="F108" s="267">
        <v>0</v>
      </c>
      <c r="G108" s="267">
        <v>1</v>
      </c>
      <c r="H108" s="267">
        <v>2</v>
      </c>
      <c r="I108" s="267">
        <v>3</v>
      </c>
      <c r="J108" s="267">
        <v>4</v>
      </c>
      <c r="K108" s="267">
        <v>5</v>
      </c>
      <c r="L108" s="267">
        <v>6</v>
      </c>
      <c r="M108" s="267">
        <v>7</v>
      </c>
      <c r="N108" s="267">
        <v>8</v>
      </c>
      <c r="O108" s="267">
        <v>9</v>
      </c>
      <c r="P108" s="267">
        <v>10</v>
      </c>
      <c r="Q108" s="267">
        <v>11</v>
      </c>
      <c r="R108" s="267">
        <v>12</v>
      </c>
      <c r="S108" s="267">
        <v>13</v>
      </c>
      <c r="T108" s="267">
        <v>14</v>
      </c>
      <c r="U108" s="267">
        <v>15</v>
      </c>
      <c r="V108" s="268">
        <v>16</v>
      </c>
    </row>
    <row r="109" spans="2:28" ht="15" thickBot="1">
      <c r="B109" s="55"/>
      <c r="C109" s="55"/>
      <c r="D109" s="269" t="s">
        <v>197</v>
      </c>
      <c r="E109" s="270" t="s">
        <v>198</v>
      </c>
      <c r="F109" s="270" t="s">
        <v>199</v>
      </c>
      <c r="G109" s="271">
        <f>+G45</f>
        <v>0</v>
      </c>
      <c r="H109" s="271">
        <f t="shared" ref="H109:V109" si="43">+H45</f>
        <v>0</v>
      </c>
      <c r="I109" s="271">
        <f t="shared" si="43"/>
        <v>12</v>
      </c>
      <c r="J109" s="271">
        <f t="shared" si="43"/>
        <v>16</v>
      </c>
      <c r="K109" s="271">
        <f t="shared" si="43"/>
        <v>19</v>
      </c>
      <c r="L109" s="271">
        <f t="shared" si="43"/>
        <v>23</v>
      </c>
      <c r="M109" s="271">
        <f t="shared" si="43"/>
        <v>25</v>
      </c>
      <c r="N109" s="271">
        <f t="shared" si="43"/>
        <v>25</v>
      </c>
      <c r="O109" s="271">
        <f t="shared" si="43"/>
        <v>25</v>
      </c>
      <c r="P109" s="271">
        <f t="shared" si="43"/>
        <v>25</v>
      </c>
      <c r="Q109" s="271">
        <f t="shared" si="43"/>
        <v>25</v>
      </c>
      <c r="R109" s="271">
        <f t="shared" si="43"/>
        <v>25</v>
      </c>
      <c r="S109" s="271">
        <f t="shared" si="43"/>
        <v>25</v>
      </c>
      <c r="T109" s="271">
        <f t="shared" si="43"/>
        <v>25</v>
      </c>
      <c r="U109" s="271">
        <f t="shared" si="43"/>
        <v>25</v>
      </c>
      <c r="V109" s="272">
        <f t="shared" si="43"/>
        <v>25</v>
      </c>
    </row>
    <row r="110" spans="2:28" ht="14">
      <c r="B110" s="55"/>
      <c r="C110" s="55"/>
      <c r="D110" s="273" t="s">
        <v>177</v>
      </c>
      <c r="E110" s="274"/>
      <c r="F110" s="274"/>
      <c r="G110" s="274">
        <f t="shared" ref="G110:V110" si="44">+G80*16.52</f>
        <v>0</v>
      </c>
      <c r="H110" s="274">
        <f t="shared" si="44"/>
        <v>0</v>
      </c>
      <c r="I110" s="274">
        <f t="shared" si="44"/>
        <v>297360</v>
      </c>
      <c r="J110" s="274">
        <f t="shared" si="44"/>
        <v>396480</v>
      </c>
      <c r="K110" s="274">
        <f t="shared" si="44"/>
        <v>470820.00000000006</v>
      </c>
      <c r="L110" s="274">
        <f t="shared" si="44"/>
        <v>569940</v>
      </c>
      <c r="M110" s="274">
        <f t="shared" si="44"/>
        <v>619500</v>
      </c>
      <c r="N110" s="274">
        <f t="shared" si="44"/>
        <v>619500</v>
      </c>
      <c r="O110" s="274">
        <f t="shared" si="44"/>
        <v>619500</v>
      </c>
      <c r="P110" s="274">
        <f t="shared" si="44"/>
        <v>619500</v>
      </c>
      <c r="Q110" s="274">
        <f t="shared" si="44"/>
        <v>619500</v>
      </c>
      <c r="R110" s="274">
        <f t="shared" si="44"/>
        <v>619500</v>
      </c>
      <c r="S110" s="274">
        <f t="shared" si="44"/>
        <v>619500</v>
      </c>
      <c r="T110" s="274">
        <f t="shared" si="44"/>
        <v>619500</v>
      </c>
      <c r="U110" s="274">
        <f t="shared" si="44"/>
        <v>619500</v>
      </c>
      <c r="V110" s="275">
        <f t="shared" si="44"/>
        <v>619500</v>
      </c>
    </row>
    <row r="111" spans="2:28" ht="14">
      <c r="B111" s="55"/>
      <c r="C111" s="55"/>
      <c r="D111" s="276" t="s">
        <v>178</v>
      </c>
      <c r="E111" s="201"/>
      <c r="F111" s="201"/>
      <c r="G111" s="277">
        <f t="shared" ref="G111:V111" si="45">+G81*16.52</f>
        <v>82034.355200000005</v>
      </c>
      <c r="H111" s="277">
        <f t="shared" si="45"/>
        <v>94700.9</v>
      </c>
      <c r="I111" s="277">
        <f t="shared" si="45"/>
        <v>112760.8944</v>
      </c>
      <c r="J111" s="277">
        <f t="shared" si="45"/>
        <v>134037.0024</v>
      </c>
      <c r="K111" s="277">
        <f t="shared" si="45"/>
        <v>153258.35279999999</v>
      </c>
      <c r="L111" s="277">
        <f t="shared" si="45"/>
        <v>157408.50719999999</v>
      </c>
      <c r="M111" s="277">
        <f t="shared" si="45"/>
        <v>154501.64799999999</v>
      </c>
      <c r="N111" s="277">
        <f t="shared" si="45"/>
        <v>155184.58479999998</v>
      </c>
      <c r="O111" s="277">
        <f t="shared" si="45"/>
        <v>155062.00639999998</v>
      </c>
      <c r="P111" s="277">
        <f t="shared" si="45"/>
        <v>158826.91439999998</v>
      </c>
      <c r="Q111" s="277">
        <f t="shared" si="45"/>
        <v>154291.51360000001</v>
      </c>
      <c r="R111" s="277">
        <f t="shared" si="45"/>
        <v>154344.0472</v>
      </c>
      <c r="S111" s="277">
        <f t="shared" si="45"/>
        <v>154291.51360000001</v>
      </c>
      <c r="T111" s="277">
        <f t="shared" si="45"/>
        <v>154536.6704</v>
      </c>
      <c r="U111" s="277">
        <f t="shared" si="45"/>
        <v>153643.59919999997</v>
      </c>
      <c r="V111" s="278">
        <f t="shared" si="45"/>
        <v>152417.81520000001</v>
      </c>
    </row>
    <row r="112" spans="2:28" ht="14">
      <c r="B112" s="55"/>
      <c r="C112" s="55"/>
      <c r="D112" s="276" t="s">
        <v>179</v>
      </c>
      <c r="E112" s="201"/>
      <c r="F112" s="201"/>
      <c r="G112" s="277">
        <f t="shared" ref="G112:V112" si="46">+G82*16.52</f>
        <v>30975</v>
      </c>
      <c r="H112" s="277">
        <f t="shared" si="46"/>
        <v>30975</v>
      </c>
      <c r="I112" s="277">
        <f t="shared" si="46"/>
        <v>30975</v>
      </c>
      <c r="J112" s="277">
        <f t="shared" si="46"/>
        <v>30975</v>
      </c>
      <c r="K112" s="277">
        <f t="shared" si="46"/>
        <v>30975</v>
      </c>
      <c r="L112" s="277">
        <f t="shared" si="46"/>
        <v>30975</v>
      </c>
      <c r="M112" s="277">
        <f t="shared" si="46"/>
        <v>30975</v>
      </c>
      <c r="N112" s="277">
        <f t="shared" si="46"/>
        <v>30975</v>
      </c>
      <c r="O112" s="277">
        <f t="shared" si="46"/>
        <v>30975</v>
      </c>
      <c r="P112" s="277">
        <f t="shared" si="46"/>
        <v>30975</v>
      </c>
      <c r="Q112" s="277">
        <f t="shared" si="46"/>
        <v>30975</v>
      </c>
      <c r="R112" s="277">
        <f t="shared" si="46"/>
        <v>30975</v>
      </c>
      <c r="S112" s="277">
        <f t="shared" si="46"/>
        <v>30975</v>
      </c>
      <c r="T112" s="277">
        <f t="shared" si="46"/>
        <v>30975</v>
      </c>
      <c r="U112" s="277">
        <f t="shared" si="46"/>
        <v>30975</v>
      </c>
      <c r="V112" s="278">
        <f t="shared" si="46"/>
        <v>30975</v>
      </c>
      <c r="AB112" s="53"/>
    </row>
    <row r="113" spans="2:28" ht="14">
      <c r="B113" s="55"/>
      <c r="C113" s="55"/>
      <c r="D113" s="276" t="s">
        <v>200</v>
      </c>
      <c r="E113" s="201"/>
      <c r="F113" s="201"/>
      <c r="G113" s="277">
        <f>+G110-G111-G112</f>
        <v>-113009.35520000001</v>
      </c>
      <c r="H113" s="277">
        <f t="shared" ref="H113:V113" si="47">+H110-H111-H112</f>
        <v>-125675.9</v>
      </c>
      <c r="I113" s="279">
        <f t="shared" si="47"/>
        <v>153624.10560000001</v>
      </c>
      <c r="J113" s="279">
        <f t="shared" si="47"/>
        <v>231467.9976</v>
      </c>
      <c r="K113" s="279">
        <f t="shared" si="47"/>
        <v>286586.64720000006</v>
      </c>
      <c r="L113" s="279">
        <f t="shared" si="47"/>
        <v>381556.49280000001</v>
      </c>
      <c r="M113" s="279">
        <f t="shared" si="47"/>
        <v>434023.35200000001</v>
      </c>
      <c r="N113" s="279">
        <f t="shared" si="47"/>
        <v>433340.41520000005</v>
      </c>
      <c r="O113" s="279">
        <f t="shared" si="47"/>
        <v>433462.99360000005</v>
      </c>
      <c r="P113" s="279">
        <f t="shared" si="47"/>
        <v>429698.08559999999</v>
      </c>
      <c r="Q113" s="279">
        <f t="shared" si="47"/>
        <v>434233.48639999999</v>
      </c>
      <c r="R113" s="279">
        <f t="shared" si="47"/>
        <v>434180.95279999997</v>
      </c>
      <c r="S113" s="279">
        <f t="shared" si="47"/>
        <v>434233.48639999999</v>
      </c>
      <c r="T113" s="279">
        <f t="shared" si="47"/>
        <v>433988.3296</v>
      </c>
      <c r="U113" s="279">
        <f t="shared" si="47"/>
        <v>434881.40080000006</v>
      </c>
      <c r="V113" s="280">
        <f t="shared" si="47"/>
        <v>436107.18479999999</v>
      </c>
    </row>
    <row r="114" spans="2:28" ht="14">
      <c r="B114" s="55"/>
      <c r="C114" s="55"/>
      <c r="D114" s="276" t="s">
        <v>180</v>
      </c>
      <c r="E114" s="201"/>
      <c r="F114" s="201"/>
      <c r="G114" s="277">
        <f t="shared" ref="G114:P114" si="48">+G83*16.52</f>
        <v>35617.120000000003</v>
      </c>
      <c r="H114" s="277">
        <f t="shared" si="48"/>
        <v>33039.241800059128</v>
      </c>
      <c r="I114" s="277">
        <f t="shared" si="48"/>
        <v>30280.912126122392</v>
      </c>
      <c r="J114" s="277">
        <f t="shared" si="48"/>
        <v>27329.499375010084</v>
      </c>
      <c r="K114" s="277">
        <f t="shared" si="48"/>
        <v>24171.487731319918</v>
      </c>
      <c r="L114" s="277">
        <f t="shared" si="48"/>
        <v>20792.415272571434</v>
      </c>
      <c r="M114" s="277">
        <f t="shared" si="48"/>
        <v>17176.80774171056</v>
      </c>
      <c r="N114" s="277">
        <f t="shared" si="48"/>
        <v>13308.107683689421</v>
      </c>
      <c r="O114" s="277">
        <f t="shared" si="48"/>
        <v>9168.5986216068031</v>
      </c>
      <c r="P114" s="277">
        <f t="shared" si="48"/>
        <v>4739.3239251784025</v>
      </c>
      <c r="Q114" s="201"/>
      <c r="R114" s="201"/>
      <c r="S114" s="201"/>
      <c r="T114" s="201"/>
      <c r="U114" s="201"/>
      <c r="V114" s="202"/>
    </row>
    <row r="115" spans="2:28" ht="14">
      <c r="B115" s="55"/>
      <c r="C115" s="55"/>
      <c r="D115" s="276" t="s">
        <v>201</v>
      </c>
      <c r="E115" s="201"/>
      <c r="F115" s="201"/>
      <c r="G115" s="277">
        <f t="shared" ref="G115:V115" si="49">+G84*16.52</f>
        <v>-148626.47519999999</v>
      </c>
      <c r="H115" s="277">
        <f t="shared" si="49"/>
        <v>-158715.14180005912</v>
      </c>
      <c r="I115" s="279">
        <f t="shared" si="49"/>
        <v>123343.19347387759</v>
      </c>
      <c r="J115" s="279">
        <f t="shared" si="49"/>
        <v>204138.49822498995</v>
      </c>
      <c r="K115" s="279">
        <f t="shared" si="49"/>
        <v>262415.15946868015</v>
      </c>
      <c r="L115" s="279">
        <f t="shared" si="49"/>
        <v>360764.07752742857</v>
      </c>
      <c r="M115" s="279">
        <f t="shared" si="49"/>
        <v>416846.54425828945</v>
      </c>
      <c r="N115" s="279">
        <f t="shared" si="49"/>
        <v>420032.3075163106</v>
      </c>
      <c r="O115" s="279">
        <f t="shared" si="49"/>
        <v>424294.39497839316</v>
      </c>
      <c r="P115" s="279">
        <f t="shared" si="49"/>
        <v>424958.76167482155</v>
      </c>
      <c r="Q115" s="279">
        <f t="shared" si="49"/>
        <v>434233.48639999999</v>
      </c>
      <c r="R115" s="279">
        <f t="shared" si="49"/>
        <v>434180.95279999997</v>
      </c>
      <c r="S115" s="279">
        <f t="shared" si="49"/>
        <v>434233.48639999999</v>
      </c>
      <c r="T115" s="279">
        <f t="shared" si="49"/>
        <v>433988.3296</v>
      </c>
      <c r="U115" s="279">
        <f t="shared" si="49"/>
        <v>434881.4008</v>
      </c>
      <c r="V115" s="280">
        <f t="shared" si="49"/>
        <v>436107.18479999993</v>
      </c>
    </row>
    <row r="116" spans="2:28" ht="14">
      <c r="B116" s="55"/>
      <c r="C116" s="55"/>
      <c r="D116" s="276" t="s">
        <v>202</v>
      </c>
      <c r="E116" s="201"/>
      <c r="F116" s="201"/>
      <c r="G116" s="201"/>
      <c r="H116" s="201"/>
      <c r="I116" s="201"/>
      <c r="J116" s="277">
        <f t="shared" ref="J116:V116" si="50">+J85*16.52</f>
        <v>3021.0112048212632</v>
      </c>
      <c r="K116" s="277">
        <f t="shared" si="50"/>
        <v>39362.273920302017</v>
      </c>
      <c r="L116" s="277">
        <f t="shared" si="50"/>
        <v>54114.611629114283</v>
      </c>
      <c r="M116" s="277">
        <f t="shared" si="50"/>
        <v>62526.981638743411</v>
      </c>
      <c r="N116" s="277">
        <f t="shared" si="50"/>
        <v>63004.846127446588</v>
      </c>
      <c r="O116" s="277">
        <f t="shared" si="50"/>
        <v>63644.159246758973</v>
      </c>
      <c r="P116" s="277">
        <f t="shared" si="50"/>
        <v>63743.814251223237</v>
      </c>
      <c r="Q116" s="277">
        <f t="shared" si="50"/>
        <v>65135.022959999995</v>
      </c>
      <c r="R116" s="277">
        <f t="shared" si="50"/>
        <v>65127.142919999998</v>
      </c>
      <c r="S116" s="277">
        <f t="shared" si="50"/>
        <v>65135.022959999995</v>
      </c>
      <c r="T116" s="277">
        <f t="shared" si="50"/>
        <v>65098.249439999992</v>
      </c>
      <c r="U116" s="277">
        <f t="shared" si="50"/>
        <v>65232.210119999996</v>
      </c>
      <c r="V116" s="278">
        <f t="shared" si="50"/>
        <v>65416.077719999994</v>
      </c>
      <c r="X116" s="53">
        <f>SUM(J113:J114)</f>
        <v>258797.49697501009</v>
      </c>
      <c r="Y116" s="53">
        <f t="shared" ref="Y116:AA116" si="51">SUM(K113:K114)</f>
        <v>310758.13493131998</v>
      </c>
      <c r="Z116" s="53">
        <f t="shared" si="51"/>
        <v>402348.90807257144</v>
      </c>
      <c r="AA116" s="53">
        <f t="shared" si="51"/>
        <v>451200.15974171058</v>
      </c>
    </row>
    <row r="117" spans="2:28" ht="14">
      <c r="B117" s="55"/>
      <c r="C117" s="55"/>
      <c r="D117" s="276" t="s">
        <v>203</v>
      </c>
      <c r="E117" s="201"/>
      <c r="F117" s="201"/>
      <c r="G117" s="277">
        <f t="shared" ref="G117:H117" si="52">+G86*16.52</f>
        <v>36826.8314277268</v>
      </c>
      <c r="H117" s="277">
        <f t="shared" si="52"/>
        <v>39404.709627667675</v>
      </c>
      <c r="I117" s="277">
        <f>+I86*16.52</f>
        <v>42163.039301604411</v>
      </c>
      <c r="J117" s="277">
        <f>+J86*16.52</f>
        <v>45114.452052716711</v>
      </c>
      <c r="K117" s="277">
        <f>+K86*16.52</f>
        <v>48272.463696406892</v>
      </c>
      <c r="L117" s="277">
        <f>+L86*16.52</f>
        <v>51651.536155155365</v>
      </c>
      <c r="M117" s="277">
        <f t="shared" ref="M117:P117" si="53">+M86*16.52</f>
        <v>55267.143686016243</v>
      </c>
      <c r="N117" s="277">
        <f t="shared" si="53"/>
        <v>59135.843744037382</v>
      </c>
      <c r="O117" s="277">
        <f t="shared" si="53"/>
        <v>63275.352806119998</v>
      </c>
      <c r="P117" s="277">
        <f t="shared" si="53"/>
        <v>67704.627502548406</v>
      </c>
      <c r="Q117" s="277"/>
      <c r="R117" s="201"/>
      <c r="S117" s="201"/>
      <c r="T117" s="201"/>
      <c r="U117" s="201"/>
      <c r="V117" s="202"/>
    </row>
    <row r="118" spans="2:28" ht="14">
      <c r="B118" s="55"/>
      <c r="C118" s="55"/>
      <c r="D118" s="276" t="s">
        <v>184</v>
      </c>
      <c r="E118" s="277">
        <f>+E87*16.52</f>
        <v>206482.92307692306</v>
      </c>
      <c r="F118" s="277">
        <f>+F87*16.52</f>
        <v>108510.84906666666</v>
      </c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2"/>
    </row>
    <row r="119" spans="2:28" ht="15" thickBot="1">
      <c r="B119" s="55"/>
      <c r="C119" s="55"/>
      <c r="D119" s="281" t="s">
        <v>204</v>
      </c>
      <c r="E119" s="282">
        <f>+E88*16.52</f>
        <v>69728.923076923078</v>
      </c>
      <c r="F119" s="283"/>
      <c r="G119" s="282">
        <f t="shared" ref="G119:H121" si="54">+G88*16.52</f>
        <v>62776</v>
      </c>
      <c r="H119" s="282">
        <f t="shared" si="54"/>
        <v>62776</v>
      </c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4"/>
    </row>
    <row r="120" spans="2:28" ht="15" thickBot="1">
      <c r="B120" s="55"/>
      <c r="C120" s="55"/>
      <c r="D120" s="266" t="s">
        <v>205</v>
      </c>
      <c r="E120" s="285">
        <f>+E89*16.52</f>
        <v>-136754</v>
      </c>
      <c r="F120" s="285">
        <f>+F89*16.52</f>
        <v>-108510.84906666666</v>
      </c>
      <c r="G120" s="285">
        <f t="shared" si="54"/>
        <v>-122677.30662772682</v>
      </c>
      <c r="H120" s="285">
        <f t="shared" si="54"/>
        <v>-135343.85142772683</v>
      </c>
      <c r="I120" s="286">
        <f t="shared" ref="I120:V120" si="55">+I89*16.52</f>
        <v>81180.154172273178</v>
      </c>
      <c r="J120" s="286">
        <f t="shared" si="55"/>
        <v>156003.03496745197</v>
      </c>
      <c r="K120" s="286">
        <f t="shared" si="55"/>
        <v>174780.42185197127</v>
      </c>
      <c r="L120" s="286">
        <f t="shared" si="55"/>
        <v>254997.92974315892</v>
      </c>
      <c r="M120" s="286">
        <f t="shared" si="55"/>
        <v>299052.41893352981</v>
      </c>
      <c r="N120" s="286">
        <f t="shared" si="55"/>
        <v>297891.61764482665</v>
      </c>
      <c r="O120" s="286">
        <f t="shared" si="55"/>
        <v>297374.88292551425</v>
      </c>
      <c r="P120" s="286">
        <f t="shared" si="55"/>
        <v>293510.31992104993</v>
      </c>
      <c r="Q120" s="286">
        <f t="shared" si="55"/>
        <v>369098.46344000002</v>
      </c>
      <c r="R120" s="286">
        <f t="shared" si="55"/>
        <v>369053.80987999996</v>
      </c>
      <c r="S120" s="286">
        <f t="shared" si="55"/>
        <v>369098.46344000002</v>
      </c>
      <c r="T120" s="286">
        <f t="shared" si="55"/>
        <v>368890.08015999995</v>
      </c>
      <c r="U120" s="286">
        <f t="shared" si="55"/>
        <v>369649.19068</v>
      </c>
      <c r="V120" s="287">
        <f t="shared" si="55"/>
        <v>370691.10707999993</v>
      </c>
      <c r="AB120" s="7"/>
    </row>
    <row r="121" spans="2:28" ht="15" thickBot="1">
      <c r="B121" s="55"/>
      <c r="C121" s="55"/>
      <c r="D121" s="288" t="s">
        <v>187</v>
      </c>
      <c r="E121" s="289">
        <f>+E90*16.52</f>
        <v>136754</v>
      </c>
      <c r="F121" s="289">
        <f>+F90*16.52</f>
        <v>108510.84906666666</v>
      </c>
      <c r="G121" s="289">
        <f t="shared" si="54"/>
        <v>122677.30662772682</v>
      </c>
      <c r="H121" s="289">
        <f t="shared" si="54"/>
        <v>135343.85142772683</v>
      </c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1"/>
      <c r="Y121" s="53">
        <f>SUM(E118:F118)</f>
        <v>314993.77214358974</v>
      </c>
    </row>
    <row r="122" spans="2:28" ht="15" thickBot="1">
      <c r="B122" s="55"/>
      <c r="C122" s="55"/>
      <c r="D122" s="266" t="s">
        <v>206</v>
      </c>
      <c r="E122" s="292">
        <f>+E91*16</f>
        <v>0</v>
      </c>
      <c r="F122" s="292">
        <f>+F91*16</f>
        <v>0</v>
      </c>
      <c r="G122" s="292">
        <f>+G91*16</f>
        <v>0</v>
      </c>
      <c r="H122" s="292">
        <f>+H91*16</f>
        <v>0</v>
      </c>
      <c r="I122" s="286">
        <f>+I91*16.52</f>
        <v>81180.154172273178</v>
      </c>
      <c r="J122" s="286">
        <f t="shared" ref="J122:V122" si="56">+J91*16.52</f>
        <v>237183.18913972512</v>
      </c>
      <c r="K122" s="286">
        <f t="shared" si="56"/>
        <v>411963.61099169636</v>
      </c>
      <c r="L122" s="286">
        <f t="shared" si="56"/>
        <v>666961.54073485534</v>
      </c>
      <c r="M122" s="286">
        <f t="shared" si="56"/>
        <v>966013.9596683851</v>
      </c>
      <c r="N122" s="286">
        <f t="shared" si="56"/>
        <v>1263905.5773132117</v>
      </c>
      <c r="O122" s="286">
        <f t="shared" si="56"/>
        <v>1561280.4602387261</v>
      </c>
      <c r="P122" s="286">
        <f t="shared" si="56"/>
        <v>1854790.7801597761</v>
      </c>
      <c r="Q122" s="286">
        <f t="shared" si="56"/>
        <v>2223889.2435997762</v>
      </c>
      <c r="R122" s="286">
        <f t="shared" si="56"/>
        <v>2592943.0534797763</v>
      </c>
      <c r="S122" s="286">
        <f t="shared" si="56"/>
        <v>2962041.5169197759</v>
      </c>
      <c r="T122" s="286">
        <f t="shared" si="56"/>
        <v>3330931.5970797762</v>
      </c>
      <c r="U122" s="286">
        <f t="shared" si="56"/>
        <v>3700580.7877597758</v>
      </c>
      <c r="V122" s="287">
        <f t="shared" si="56"/>
        <v>4071271.8948397762</v>
      </c>
      <c r="X122" s="53"/>
      <c r="Y122" s="53"/>
    </row>
    <row r="123" spans="2:28" ht="15" thickBot="1">
      <c r="B123" s="55"/>
      <c r="C123" s="55"/>
      <c r="D123" s="293" t="s">
        <v>207</v>
      </c>
      <c r="E123" s="294">
        <f>NPV(0.06,G120:V120)+E120+F120</f>
        <v>1760559.4757037568</v>
      </c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6"/>
      <c r="Y123" s="53">
        <f>-G115-H115</f>
        <v>307341.61700005911</v>
      </c>
    </row>
    <row r="124" spans="2:28" ht="14" thickBot="1">
      <c r="B124" s="55"/>
      <c r="C124" s="55"/>
      <c r="D124" s="178"/>
      <c r="E124" s="178"/>
      <c r="F124" s="327"/>
      <c r="G124" s="66" t="s">
        <v>208</v>
      </c>
      <c r="H124" s="328"/>
      <c r="I124" s="328"/>
      <c r="J124" s="66"/>
      <c r="K124" s="66"/>
      <c r="L124" s="66"/>
      <c r="M124" s="329"/>
      <c r="N124" s="329"/>
      <c r="O124" s="329"/>
      <c r="P124" s="330"/>
      <c r="Q124" s="71"/>
      <c r="R124" s="71"/>
      <c r="S124" s="71"/>
      <c r="T124" s="71"/>
      <c r="U124" s="71"/>
      <c r="V124" s="82"/>
      <c r="Y124" s="53">
        <f>SUM(Y121:Y123)</f>
        <v>622335.38914364879</v>
      </c>
    </row>
    <row r="125" spans="2:28" ht="14" thickBot="1">
      <c r="B125" s="55"/>
      <c r="C125" s="55"/>
      <c r="D125" s="52"/>
      <c r="E125" s="298"/>
      <c r="F125" s="331" t="s">
        <v>209</v>
      </c>
      <c r="G125" s="127">
        <v>1</v>
      </c>
      <c r="H125" s="127">
        <v>2</v>
      </c>
      <c r="I125" s="127">
        <v>3</v>
      </c>
      <c r="J125" s="127">
        <v>4</v>
      </c>
      <c r="K125" s="127">
        <v>5</v>
      </c>
      <c r="L125" s="127">
        <v>6</v>
      </c>
      <c r="M125" s="127">
        <v>7</v>
      </c>
      <c r="N125" s="127">
        <v>8</v>
      </c>
      <c r="O125" s="127">
        <v>9</v>
      </c>
      <c r="P125" s="128">
        <v>10</v>
      </c>
      <c r="Q125" s="71"/>
      <c r="R125" s="71"/>
      <c r="S125" s="71"/>
      <c r="T125" s="71"/>
      <c r="U125" s="71"/>
      <c r="V125" s="82"/>
      <c r="W125" s="53"/>
    </row>
    <row r="126" spans="2:28" ht="14">
      <c r="B126" s="55"/>
      <c r="C126" s="55"/>
      <c r="D126" s="67" t="s">
        <v>210</v>
      </c>
      <c r="E126" s="179"/>
      <c r="F126" s="321" t="s">
        <v>211</v>
      </c>
      <c r="G126" s="199">
        <f t="shared" ref="G126:G128" si="57">+J94*16.52</f>
        <v>508816</v>
      </c>
      <c r="H126" s="199">
        <f t="shared" ref="H126:H129" si="58">+K94*16.52</f>
        <v>471989.16857227322</v>
      </c>
      <c r="I126" s="199">
        <f t="shared" ref="I126:I129" si="59">+L94*16.52</f>
        <v>432584.45894460555</v>
      </c>
      <c r="J126" s="199">
        <f t="shared" ref="J126:J129" si="60">+M94*16.52</f>
        <v>390421.41964300117</v>
      </c>
      <c r="K126" s="199">
        <f t="shared" ref="K126:K129" si="61">+N94*16.52</f>
        <v>345306.96759028448</v>
      </c>
      <c r="L126" s="199">
        <f t="shared" ref="L126:L129" si="62">+O94*16.52</f>
        <v>297034.50389387761</v>
      </c>
      <c r="M126" s="199">
        <f t="shared" ref="M126:M129" si="63">+P94*16.52</f>
        <v>245382.96773872222</v>
      </c>
      <c r="N126" s="199">
        <f t="shared" ref="N126:N129" si="64">+Q94*16.52</f>
        <v>190115.82405270598</v>
      </c>
      <c r="O126" s="199">
        <f t="shared" ref="O126:O129" si="65">+R94*16.52</f>
        <v>130979.9803086686</v>
      </c>
      <c r="P126" s="322">
        <f>+S94*16.52</f>
        <v>67704.627502548596</v>
      </c>
      <c r="Q126" s="71"/>
      <c r="R126" s="71"/>
      <c r="S126" s="71"/>
      <c r="T126" s="71"/>
      <c r="U126" s="71"/>
      <c r="V126" s="82"/>
      <c r="W126" s="53"/>
    </row>
    <row r="127" spans="2:28" ht="14">
      <c r="B127" s="55"/>
      <c r="C127" s="55"/>
      <c r="D127" s="68" t="s">
        <v>212</v>
      </c>
      <c r="E127" s="180"/>
      <c r="F127" s="195" t="s">
        <v>213</v>
      </c>
      <c r="G127" s="200">
        <f t="shared" si="57"/>
        <v>35617.120000000003</v>
      </c>
      <c r="H127" s="200">
        <f t="shared" si="58"/>
        <v>33039.241800059128</v>
      </c>
      <c r="I127" s="200">
        <f t="shared" si="59"/>
        <v>30280.912126122392</v>
      </c>
      <c r="J127" s="200">
        <f t="shared" si="60"/>
        <v>27329.499375010084</v>
      </c>
      <c r="K127" s="200">
        <f t="shared" si="61"/>
        <v>24171.487731319918</v>
      </c>
      <c r="L127" s="200">
        <f t="shared" si="62"/>
        <v>20792.415272571434</v>
      </c>
      <c r="M127" s="200">
        <f t="shared" si="63"/>
        <v>17176.80774171056</v>
      </c>
      <c r="N127" s="200">
        <f t="shared" si="64"/>
        <v>13308.107683689421</v>
      </c>
      <c r="O127" s="200">
        <f t="shared" si="65"/>
        <v>9168.5986216068031</v>
      </c>
      <c r="P127" s="323">
        <f t="shared" ref="P127:P129" si="66">+S95*16.52</f>
        <v>4739.3239251784025</v>
      </c>
      <c r="Q127" s="71"/>
      <c r="R127" s="71"/>
      <c r="S127" s="71"/>
      <c r="T127" s="71"/>
      <c r="U127" s="71"/>
      <c r="V127" s="82"/>
      <c r="W127" s="53"/>
    </row>
    <row r="128" spans="2:28" ht="15" thickBot="1">
      <c r="B128" s="55"/>
      <c r="C128" s="55"/>
      <c r="D128" s="68"/>
      <c r="E128" s="181"/>
      <c r="F128" s="196" t="s">
        <v>214</v>
      </c>
      <c r="G128" s="203">
        <f t="shared" si="57"/>
        <v>36826.8314277268</v>
      </c>
      <c r="H128" s="203">
        <f t="shared" si="58"/>
        <v>39404.709627667675</v>
      </c>
      <c r="I128" s="203">
        <f t="shared" si="59"/>
        <v>42163.039301604411</v>
      </c>
      <c r="J128" s="203">
        <f t="shared" si="60"/>
        <v>45114.452052716711</v>
      </c>
      <c r="K128" s="203">
        <f t="shared" si="61"/>
        <v>48272.463696406892</v>
      </c>
      <c r="L128" s="203">
        <f t="shared" si="62"/>
        <v>51651.536155155365</v>
      </c>
      <c r="M128" s="203">
        <f t="shared" si="63"/>
        <v>55267.143686016243</v>
      </c>
      <c r="N128" s="203">
        <f t="shared" si="64"/>
        <v>59135.843744037382</v>
      </c>
      <c r="O128" s="203">
        <f t="shared" si="65"/>
        <v>63275.352806119998</v>
      </c>
      <c r="P128" s="324">
        <f t="shared" si="66"/>
        <v>67704.627502548406</v>
      </c>
      <c r="Q128" s="129"/>
      <c r="R128" s="129"/>
      <c r="S128" s="129"/>
      <c r="T128" s="129"/>
      <c r="U128" s="129"/>
      <c r="V128" s="130"/>
      <c r="W128" s="53"/>
    </row>
    <row r="129" spans="2:26" ht="15" thickBot="1">
      <c r="B129" s="55"/>
      <c r="C129" s="55"/>
      <c r="D129" s="69"/>
      <c r="E129" s="182"/>
      <c r="F129" s="197" t="s">
        <v>215</v>
      </c>
      <c r="G129" s="204">
        <f t="shared" ref="G129" si="67">+J97*16.52</f>
        <v>72443.951427726803</v>
      </c>
      <c r="H129" s="204">
        <f t="shared" si="58"/>
        <v>72443.951427726803</v>
      </c>
      <c r="I129" s="204">
        <f t="shared" si="59"/>
        <v>72443.951427726803</v>
      </c>
      <c r="J129" s="204">
        <f t="shared" si="60"/>
        <v>72443.951427726803</v>
      </c>
      <c r="K129" s="204">
        <f t="shared" si="61"/>
        <v>72443.951427726803</v>
      </c>
      <c r="L129" s="204">
        <f t="shared" si="62"/>
        <v>72443.951427726803</v>
      </c>
      <c r="M129" s="204">
        <f t="shared" si="63"/>
        <v>72443.951427726803</v>
      </c>
      <c r="N129" s="204">
        <f t="shared" si="64"/>
        <v>72443.951427726803</v>
      </c>
      <c r="O129" s="204">
        <f t="shared" si="65"/>
        <v>72443.951427726803</v>
      </c>
      <c r="P129" s="325">
        <f t="shared" si="66"/>
        <v>72443.951427726803</v>
      </c>
      <c r="Q129" s="129"/>
      <c r="R129" s="129"/>
      <c r="S129" s="129"/>
      <c r="T129" s="129"/>
      <c r="U129" s="129"/>
      <c r="V129" s="130"/>
      <c r="W129" s="53"/>
    </row>
    <row r="130" spans="2:26" ht="15" thickBot="1">
      <c r="B130" s="49"/>
      <c r="C130" s="49"/>
      <c r="D130" s="131"/>
      <c r="E130" s="132"/>
      <c r="F130" s="198" t="s">
        <v>216</v>
      </c>
      <c r="G130" s="205">
        <f>+H126</f>
        <v>471989.16857227322</v>
      </c>
      <c r="H130" s="205">
        <f t="shared" ref="H130:P130" si="68">+I126</f>
        <v>432584.45894460555</v>
      </c>
      <c r="I130" s="205">
        <f t="shared" si="68"/>
        <v>390421.41964300117</v>
      </c>
      <c r="J130" s="205">
        <f t="shared" si="68"/>
        <v>345306.96759028448</v>
      </c>
      <c r="K130" s="205">
        <f t="shared" si="68"/>
        <v>297034.50389387761</v>
      </c>
      <c r="L130" s="205">
        <f t="shared" si="68"/>
        <v>245382.96773872222</v>
      </c>
      <c r="M130" s="205">
        <f t="shared" si="68"/>
        <v>190115.82405270598</v>
      </c>
      <c r="N130" s="205">
        <f t="shared" si="68"/>
        <v>130979.9803086686</v>
      </c>
      <c r="O130" s="205">
        <f t="shared" si="68"/>
        <v>67704.627502548596</v>
      </c>
      <c r="P130" s="326">
        <f t="shared" si="68"/>
        <v>0</v>
      </c>
      <c r="Q130" s="193"/>
      <c r="R130" s="193"/>
      <c r="S130" s="193"/>
      <c r="T130" s="193"/>
      <c r="U130" s="193"/>
      <c r="V130" s="194"/>
    </row>
    <row r="131" spans="2:26">
      <c r="B131" s="49"/>
      <c r="C131" s="49"/>
      <c r="N131" s="53"/>
      <c r="O131" s="53"/>
      <c r="P131" s="53"/>
      <c r="Q131" s="53"/>
      <c r="R131" s="53"/>
      <c r="S131" s="53"/>
      <c r="T131" s="53"/>
      <c r="U131" s="53"/>
      <c r="V131" s="53"/>
    </row>
    <row r="132" spans="2:26">
      <c r="N132" s="53"/>
      <c r="O132" s="53"/>
      <c r="P132" s="53"/>
      <c r="Q132" s="53"/>
      <c r="R132" s="53"/>
      <c r="S132" s="53"/>
      <c r="T132" s="53"/>
      <c r="U132" s="53"/>
      <c r="V132" s="53"/>
      <c r="Z132" s="53"/>
    </row>
    <row r="133" spans="2:26">
      <c r="E133" s="53"/>
      <c r="F133" s="53"/>
      <c r="G133" s="60">
        <f>+I113/I129</f>
        <v>2.1205925763624589</v>
      </c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</row>
    <row r="134" spans="2:26">
      <c r="E134" s="53"/>
      <c r="F134" s="53"/>
      <c r="G134" s="60">
        <f>+I113/I127</f>
        <v>5.0732984845417954</v>
      </c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</row>
    <row r="135" spans="2:26"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</row>
    <row r="136" spans="2:26"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</row>
    <row r="137" spans="2:26"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</row>
    <row r="138" spans="2:26"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</row>
  </sheetData>
  <mergeCells count="2">
    <mergeCell ref="E8:E9"/>
    <mergeCell ref="F8:F9"/>
  </mergeCells>
  <phoneticPr fontId="4" type="noConversion"/>
  <pageMargins left="0.74803149606299213" right="0.74803149606299213" top="0.98425196850393704" bottom="0.98425196850393704" header="0" footer="0"/>
  <pageSetup scale="90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PALTA HASS activos</vt:lpstr>
      <vt:lpstr>INSTALACION Y SIEMBRA</vt:lpstr>
      <vt:lpstr>Invversión Financiación</vt:lpstr>
      <vt:lpstr>Costos Agricolas 01 ha</vt:lpstr>
    </vt:vector>
  </TitlesOfParts>
  <Manager/>
  <Company>The houze!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WinuE</dc:creator>
  <cp:keywords/>
  <dc:description/>
  <cp:lastModifiedBy>alvaro pupuche</cp:lastModifiedBy>
  <cp:revision/>
  <dcterms:created xsi:type="dcterms:W3CDTF">2007-03-22T22:28:05Z</dcterms:created>
  <dcterms:modified xsi:type="dcterms:W3CDTF">2025-05-13T15:40:09Z</dcterms:modified>
  <cp:category/>
  <cp:contentStatus/>
</cp:coreProperties>
</file>