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ías\Desktop\Trabajo\"/>
    </mc:Choice>
  </mc:AlternateContent>
  <xr:revisionPtr revIDLastSave="0" documentId="13_ncr:1_{A1472763-4540-4A22-B33B-6A1345F46526}" xr6:coauthVersionLast="47" xr6:coauthVersionMax="47" xr10:uidLastSave="{00000000-0000-0000-0000-000000000000}"/>
  <bookViews>
    <workbookView xWindow="19200" yWindow="0" windowWidth="19200" windowHeight="21000" firstSheet="3" activeTab="17" xr2:uid="{00000000-000D-0000-FFFF-FFFF00000000}"/>
  </bookViews>
  <sheets>
    <sheet name="B_F" sheetId="19" state="hidden" r:id="rId1"/>
    <sheet name="E-R" sheetId="3" state="hidden" r:id="rId2"/>
    <sheet name="BT - 2022 (5)" sheetId="89" r:id="rId3"/>
    <sheet name="BT - 2023" sheetId="88" r:id="rId4"/>
    <sheet name="BT - 2022 (3)" sheetId="86" state="hidden" r:id="rId5"/>
    <sheet name="BT - 2022 (2)" sheetId="81" state="hidden" r:id="rId6"/>
    <sheet name="Resumen" sheetId="69" state="hidden" r:id="rId7"/>
    <sheet name="RRE-Final-2017" sheetId="68" state="hidden" r:id="rId8"/>
    <sheet name="BT IMPRESION" sheetId="2" state="hidden" r:id="rId9"/>
    <sheet name="Hoja1" sheetId="76" state="hidden" r:id="rId10"/>
    <sheet name="B_T para pago" sheetId="73" state="hidden" r:id="rId11"/>
    <sheet name="B_T IMPRESION" sheetId="74" state="hidden" r:id="rId12"/>
    <sheet name="1948" sheetId="75" state="hidden" r:id="rId13"/>
    <sheet name="NO IMP DJ1887" sheetId="78" state="hidden" r:id="rId14"/>
    <sheet name="BT - 2022 - IMPRI" sheetId="79" state="hidden" r:id="rId15"/>
    <sheet name="BT - 2022 IMPRI" sheetId="84" state="hidden" r:id="rId16"/>
    <sheet name="MAYOR" sheetId="1" r:id="rId17"/>
    <sheet name="DATOS" sheetId="31" r:id="rId18"/>
    <sheet name="C_P" sheetId="4" state="hidden" r:id="rId19"/>
    <sheet name="RLI" sheetId="6" state="hidden" r:id="rId20"/>
    <sheet name="FUT" sheetId="20" state="hidden" r:id="rId21"/>
    <sheet name="FUT-2016" sheetId="66" state="hidden" r:id="rId22"/>
    <sheet name="PPM" sheetId="25" r:id="rId23"/>
    <sheet name="Hoja4" sheetId="83" state="hidden" r:id="rId24"/>
    <sheet name="Hoja3" sheetId="87" state="hidden" r:id="rId25"/>
    <sheet name="PTMO-3-Cero" sheetId="85" r:id="rId26"/>
    <sheet name="REMU- 2022" sheetId="80" r:id="rId27"/>
    <sheet name="DJ1879" sheetId="65" state="hidden" r:id="rId28"/>
    <sheet name="Ret10%" sheetId="44" state="hidden" r:id="rId29"/>
    <sheet name="ITAU-120" sheetId="52" state="hidden" r:id="rId30"/>
    <sheet name="RET" sheetId="26" state="hidden" r:id="rId31"/>
    <sheet name="A-F-BIEN RAIZ" sheetId="77" state="hidden" r:id="rId32"/>
    <sheet name="Eq. y Otros" sheetId="50" r:id="rId33"/>
    <sheet name="Hoja2" sheetId="55" state="hidden" r:id="rId34"/>
  </sheets>
  <externalReferences>
    <externalReference r:id="rId35"/>
    <externalReference r:id="rId36"/>
  </externalReferences>
  <definedNames>
    <definedName name="________ZZ2" localSheetId="31">#REF!</definedName>
    <definedName name="________ZZ2" localSheetId="11">#REF!</definedName>
    <definedName name="________ZZ2" localSheetId="10">#REF!</definedName>
    <definedName name="________ZZ2" localSheetId="14">#REF!</definedName>
    <definedName name="________ZZ2" localSheetId="5">#REF!</definedName>
    <definedName name="________ZZ2" localSheetId="4">#REF!</definedName>
    <definedName name="________ZZ2" localSheetId="2">#REF!</definedName>
    <definedName name="________ZZ2" localSheetId="15">#REF!</definedName>
    <definedName name="________ZZ2" localSheetId="3">#REF!</definedName>
    <definedName name="________ZZ2" localSheetId="25">#REF!</definedName>
    <definedName name="________ZZ2" localSheetId="26">#REF!</definedName>
    <definedName name="________ZZ2" localSheetId="6">#REF!</definedName>
    <definedName name="________ZZ2" localSheetId="7">#REF!</definedName>
    <definedName name="________ZZ2">#REF!</definedName>
    <definedName name="_______ZZ2" localSheetId="31">#REF!</definedName>
    <definedName name="_______ZZ2" localSheetId="11">#REF!</definedName>
    <definedName name="_______ZZ2" localSheetId="10">#REF!</definedName>
    <definedName name="_______ZZ2" localSheetId="14">#REF!</definedName>
    <definedName name="_______ZZ2" localSheetId="5">#REF!</definedName>
    <definedName name="_______ZZ2" localSheetId="4">#REF!</definedName>
    <definedName name="_______ZZ2" localSheetId="2">#REF!</definedName>
    <definedName name="_______ZZ2" localSheetId="15">#REF!</definedName>
    <definedName name="_______ZZ2" localSheetId="3">#REF!</definedName>
    <definedName name="_______ZZ2" localSheetId="27">#REF!</definedName>
    <definedName name="_______ZZ2" localSheetId="25">#REF!</definedName>
    <definedName name="_______ZZ2" localSheetId="26">#REF!</definedName>
    <definedName name="_______ZZ2" localSheetId="6">#REF!</definedName>
    <definedName name="_______ZZ2" localSheetId="7">#REF!</definedName>
    <definedName name="_______ZZ2">#REF!</definedName>
    <definedName name="_____ZZ2" localSheetId="31">#REF!</definedName>
    <definedName name="_____ZZ2" localSheetId="11">#REF!</definedName>
    <definedName name="_____ZZ2" localSheetId="10">#REF!</definedName>
    <definedName name="_____ZZ2" localSheetId="14">#REF!</definedName>
    <definedName name="_____ZZ2" localSheetId="5">#REF!</definedName>
    <definedName name="_____ZZ2" localSheetId="4">#REF!</definedName>
    <definedName name="_____ZZ2" localSheetId="2">#REF!</definedName>
    <definedName name="_____ZZ2" localSheetId="15">#REF!</definedName>
    <definedName name="_____ZZ2" localSheetId="3">#REF!</definedName>
    <definedName name="_____ZZ2" localSheetId="27">#REF!</definedName>
    <definedName name="_____ZZ2" localSheetId="25">#REF!</definedName>
    <definedName name="_____ZZ2" localSheetId="26">#REF!</definedName>
    <definedName name="_____ZZ2" localSheetId="6">#REF!</definedName>
    <definedName name="_____ZZ2" localSheetId="7">#REF!</definedName>
    <definedName name="_____ZZ2">#REF!</definedName>
    <definedName name="____ZZ2" localSheetId="11">#REF!</definedName>
    <definedName name="____ZZ2" localSheetId="10">#REF!</definedName>
    <definedName name="____ZZ2" localSheetId="14">#REF!</definedName>
    <definedName name="____ZZ2" localSheetId="5">#REF!</definedName>
    <definedName name="____ZZ2" localSheetId="4">#REF!</definedName>
    <definedName name="____ZZ2" localSheetId="2">#REF!</definedName>
    <definedName name="____ZZ2" localSheetId="15">#REF!</definedName>
    <definedName name="____ZZ2" localSheetId="3">#REF!</definedName>
    <definedName name="____ZZ2" localSheetId="26">#REF!</definedName>
    <definedName name="____ZZ2" localSheetId="6">#REF!</definedName>
    <definedName name="____ZZ2" localSheetId="7">#REF!</definedName>
    <definedName name="____ZZ2">#REF!</definedName>
    <definedName name="___ZZ2" localSheetId="31">#REF!</definedName>
    <definedName name="___ZZ2" localSheetId="11">#REF!</definedName>
    <definedName name="___ZZ2" localSheetId="10">#REF!</definedName>
    <definedName name="___ZZ2" localSheetId="14">#REF!</definedName>
    <definedName name="___ZZ2" localSheetId="5">#REF!</definedName>
    <definedName name="___ZZ2" localSheetId="4">#REF!</definedName>
    <definedName name="___ZZ2" localSheetId="2">#REF!</definedName>
    <definedName name="___ZZ2" localSheetId="15">#REF!</definedName>
    <definedName name="___ZZ2" localSheetId="3">#REF!</definedName>
    <definedName name="___ZZ2" localSheetId="26">#REF!</definedName>
    <definedName name="___ZZ2" localSheetId="6">#REF!</definedName>
    <definedName name="___ZZ2" localSheetId="7">#REF!</definedName>
    <definedName name="___ZZ2">#REF!</definedName>
    <definedName name="__ZZ2" localSheetId="31">#REF!</definedName>
    <definedName name="__ZZ2" localSheetId="11">#REF!</definedName>
    <definedName name="__ZZ2" localSheetId="10">#REF!</definedName>
    <definedName name="__ZZ2" localSheetId="14">#REF!</definedName>
    <definedName name="__ZZ2" localSheetId="5">#REF!</definedName>
    <definedName name="__ZZ2" localSheetId="4">#REF!</definedName>
    <definedName name="__ZZ2" localSheetId="2">#REF!</definedName>
    <definedName name="__ZZ2" localSheetId="15">#REF!</definedName>
    <definedName name="__ZZ2" localSheetId="3">#REF!</definedName>
    <definedName name="__ZZ2" localSheetId="21">#REF!</definedName>
    <definedName name="__ZZ2" localSheetId="26">#REF!</definedName>
    <definedName name="__ZZ2" localSheetId="6">#REF!</definedName>
    <definedName name="__ZZ2" localSheetId="7">#REF!</definedName>
    <definedName name="__ZZ2">#REF!</definedName>
    <definedName name="_2EAD" localSheetId="31">#REF!</definedName>
    <definedName name="_2EAD" localSheetId="11">#REF!</definedName>
    <definedName name="_2EAD" localSheetId="10">#REF!</definedName>
    <definedName name="_2EAD" localSheetId="14">#REF!</definedName>
    <definedName name="_2EAD" localSheetId="5">#REF!</definedName>
    <definedName name="_2EAD" localSheetId="4">#REF!</definedName>
    <definedName name="_2EAD" localSheetId="2">#REF!</definedName>
    <definedName name="_2EAD" localSheetId="15">#REF!</definedName>
    <definedName name="_2EAD" localSheetId="3">#REF!</definedName>
    <definedName name="_2EAD" localSheetId="26">#REF!</definedName>
    <definedName name="_2EAD" localSheetId="6">#REF!</definedName>
    <definedName name="_2EAD" localSheetId="7">#REF!</definedName>
    <definedName name="_2EAD">#REF!</definedName>
    <definedName name="_xlnm._FilterDatabase" localSheetId="11" hidden="1">#REF!</definedName>
    <definedName name="_xlnm._FilterDatabase" localSheetId="10" hidden="1">#REF!</definedName>
    <definedName name="_xlnm._FilterDatabase" localSheetId="14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2" hidden="1">#REF!</definedName>
    <definedName name="_xlnm._FilterDatabase" localSheetId="15" hidden="1">#REF!</definedName>
    <definedName name="_xlnm._FilterDatabase" localSheetId="3" hidden="1">#REF!</definedName>
    <definedName name="_xlnm._FilterDatabase" localSheetId="26" hidden="1">#REF!</definedName>
    <definedName name="_xlnm._FilterDatabase" hidden="1">#REF!</definedName>
    <definedName name="_Key1" localSheetId="31" hidden="1">#REF!</definedName>
    <definedName name="_Key1" localSheetId="11" hidden="1">#REF!</definedName>
    <definedName name="_Key1" localSheetId="10" hidden="1">#REF!</definedName>
    <definedName name="_Key1" localSheetId="14" hidden="1">#REF!</definedName>
    <definedName name="_Key1" localSheetId="5" hidden="1">#REF!</definedName>
    <definedName name="_Key1" localSheetId="4" hidden="1">#REF!</definedName>
    <definedName name="_Key1" localSheetId="2" hidden="1">#REF!</definedName>
    <definedName name="_Key1" localSheetId="15" hidden="1">#REF!</definedName>
    <definedName name="_Key1" localSheetId="3" hidden="1">#REF!</definedName>
    <definedName name="_Key1" localSheetId="21" hidden="1">#REF!</definedName>
    <definedName name="_Key1" localSheetId="25" hidden="1">#REF!</definedName>
    <definedName name="_Key1" localSheetId="26" hidden="1">#REF!</definedName>
    <definedName name="_Key1" localSheetId="6" hidden="1">#REF!</definedName>
    <definedName name="_Key1" localSheetId="7" hidden="1">#REF!</definedName>
    <definedName name="_Key1" hidden="1">#REF!</definedName>
    <definedName name="_Order1" hidden="1">255</definedName>
    <definedName name="_RET" localSheetId="31" hidden="1">#REF!</definedName>
    <definedName name="_RET" localSheetId="11" hidden="1">#REF!</definedName>
    <definedName name="_RET" localSheetId="10" hidden="1">#REF!</definedName>
    <definedName name="_RET" localSheetId="14" hidden="1">#REF!</definedName>
    <definedName name="_RET" localSheetId="5" hidden="1">#REF!</definedName>
    <definedName name="_RET" localSheetId="4" hidden="1">#REF!</definedName>
    <definedName name="_RET" localSheetId="2" hidden="1">#REF!</definedName>
    <definedName name="_RET" localSheetId="15" hidden="1">#REF!</definedName>
    <definedName name="_RET" localSheetId="3" hidden="1">#REF!</definedName>
    <definedName name="_RET" localSheetId="25" hidden="1">#REF!</definedName>
    <definedName name="_RET" localSheetId="26" hidden="1">#REF!</definedName>
    <definedName name="_RET" localSheetId="6" hidden="1">#REF!</definedName>
    <definedName name="_RET" localSheetId="7" hidden="1">#REF!</definedName>
    <definedName name="_RET" hidden="1">#REF!</definedName>
    <definedName name="_Sort" localSheetId="31" hidden="1">#REF!</definedName>
    <definedName name="_Sort" localSheetId="11" hidden="1">#REF!</definedName>
    <definedName name="_Sort" localSheetId="10" hidden="1">#REF!</definedName>
    <definedName name="_Sort" localSheetId="14" hidden="1">#REF!</definedName>
    <definedName name="_Sort" localSheetId="5" hidden="1">#REF!</definedName>
    <definedName name="_Sort" localSheetId="4" hidden="1">#REF!</definedName>
    <definedName name="_Sort" localSheetId="2" hidden="1">#REF!</definedName>
    <definedName name="_Sort" localSheetId="15" hidden="1">#REF!</definedName>
    <definedName name="_Sort" localSheetId="3" hidden="1">#REF!</definedName>
    <definedName name="_Sort" localSheetId="21" hidden="1">#REF!</definedName>
    <definedName name="_Sort" localSheetId="25" hidden="1">#REF!</definedName>
    <definedName name="_Sort" localSheetId="26" hidden="1">#REF!</definedName>
    <definedName name="_Sort" localSheetId="6" hidden="1">#REF!</definedName>
    <definedName name="_Sort" localSheetId="7" hidden="1">#REF!</definedName>
    <definedName name="_Sort" hidden="1">#REF!</definedName>
    <definedName name="_ZZ2" localSheetId="31">#REF!</definedName>
    <definedName name="_ZZ2" localSheetId="11">#REF!</definedName>
    <definedName name="_ZZ2" localSheetId="10">#REF!</definedName>
    <definedName name="_ZZ2" localSheetId="14">#REF!</definedName>
    <definedName name="_ZZ2" localSheetId="5">#REF!</definedName>
    <definedName name="_ZZ2" localSheetId="4">#REF!</definedName>
    <definedName name="_ZZ2" localSheetId="2">#REF!</definedName>
    <definedName name="_ZZ2" localSheetId="15">#REF!</definedName>
    <definedName name="_ZZ2" localSheetId="3">#REF!</definedName>
    <definedName name="_ZZ2" localSheetId="21">#REF!</definedName>
    <definedName name="_ZZ2" localSheetId="26">#REF!</definedName>
    <definedName name="_ZZ2" localSheetId="6">#REF!</definedName>
    <definedName name="_ZZ2" localSheetId="7">#REF!</definedName>
    <definedName name="_ZZ2">#REF!</definedName>
    <definedName name="A_impresión_IM" localSheetId="31">#REF!</definedName>
    <definedName name="A_impresión_IM" localSheetId="11">#REF!</definedName>
    <definedName name="A_impresión_IM" localSheetId="10">#REF!</definedName>
    <definedName name="A_impresión_IM" localSheetId="14">#REF!</definedName>
    <definedName name="A_impresión_IM" localSheetId="5">#REF!</definedName>
    <definedName name="A_impresión_IM" localSheetId="4">#REF!</definedName>
    <definedName name="A_impresión_IM" localSheetId="2">#REF!</definedName>
    <definedName name="A_impresión_IM" localSheetId="15">#REF!</definedName>
    <definedName name="A_impresión_IM" localSheetId="3">#REF!</definedName>
    <definedName name="A_impresión_IM" localSheetId="21">#REF!</definedName>
    <definedName name="A_impresión_IM" localSheetId="26">#REF!</definedName>
    <definedName name="A_impresión_IM" localSheetId="6">#REF!</definedName>
    <definedName name="A_impresión_IM" localSheetId="7">#REF!</definedName>
    <definedName name="A_impresión_IM">#REF!</definedName>
    <definedName name="Abril" localSheetId="11">#REF!</definedName>
    <definedName name="Abril" localSheetId="10">#REF!</definedName>
    <definedName name="Abril" localSheetId="14">#REF!</definedName>
    <definedName name="Abril" localSheetId="5">#REF!</definedName>
    <definedName name="Abril" localSheetId="4">#REF!</definedName>
    <definedName name="Abril" localSheetId="2">#REF!</definedName>
    <definedName name="Abril" localSheetId="15">#REF!</definedName>
    <definedName name="Abril" localSheetId="3">#REF!</definedName>
    <definedName name="Abril" localSheetId="26">#REF!</definedName>
    <definedName name="Abril">#REF!</definedName>
    <definedName name="_xlnm.Print_Area" localSheetId="31">'A-F-BIEN RAIZ'!$B$132:$O$158</definedName>
    <definedName name="_xlnm.Print_Area" localSheetId="0">B_F!$A$1:$P$53</definedName>
    <definedName name="_xlnm.Print_Area" localSheetId="11">'B_T IMPRESION'!$A$1:$L$59</definedName>
    <definedName name="_xlnm.Print_Area" localSheetId="10">'B_T para pago'!$A$1:$L$60</definedName>
    <definedName name="_xlnm.Print_Area" localSheetId="14">'BT - 2022 - IMPRI'!$A$1:$I$71</definedName>
    <definedName name="_xlnm.Print_Area" localSheetId="5">'BT - 2022 (2)'!$A$1:$I$73</definedName>
    <definedName name="_xlnm.Print_Area" localSheetId="4">'BT - 2022 (3)'!$A$1:$I$63</definedName>
    <definedName name="_xlnm.Print_Area" localSheetId="2">'BT - 2022 (5)'!$A$1:$I$63</definedName>
    <definedName name="_xlnm.Print_Area" localSheetId="15">'BT - 2022 IMPRI'!$A$1:$I$69</definedName>
    <definedName name="_xlnm.Print_Area" localSheetId="3">#REF!</definedName>
    <definedName name="_xlnm.Print_Area" localSheetId="18">C_P!$A$1:$K$60</definedName>
    <definedName name="_xlnm.Print_Area" localSheetId="17">DATOS!$A$1:$Q$51</definedName>
    <definedName name="_xlnm.Print_Area" localSheetId="27">'DJ1879'!#REF!</definedName>
    <definedName name="_xlnm.Print_Area" localSheetId="32">'Eq. y Otros'!$B$1:$N$43</definedName>
    <definedName name="_xlnm.Print_Area" localSheetId="1">'E-R'!$A$1:$J$51</definedName>
    <definedName name="_xlnm.Print_Area" localSheetId="20">FUT!$B$1:$O$45</definedName>
    <definedName name="_xlnm.Print_Area" localSheetId="21">'FUT-2016'!$A$1:$M$41</definedName>
    <definedName name="_xlnm.Print_Area" localSheetId="29">'ITAU-120'!$B$2:$H$157</definedName>
    <definedName name="_xlnm.Print_Area" localSheetId="16">MAYOR!$A$1:$EL$229</definedName>
    <definedName name="_xlnm.Print_Area" localSheetId="22">PPM!$A$1:$G$41</definedName>
    <definedName name="_xlnm.Print_Area" localSheetId="25">#REF!</definedName>
    <definedName name="_xlnm.Print_Area" localSheetId="26">#REF!</definedName>
    <definedName name="_xlnm.Print_Area" localSheetId="28">'Ret10%'!#REF!</definedName>
    <definedName name="_xlnm.Print_Area" localSheetId="19">RLI!$A$1:$K$55</definedName>
    <definedName name="_xlnm.Print_Area" localSheetId="7">'RRE-Final-2017'!#REF!</definedName>
    <definedName name="_xlnm.Print_Area">#REF!</definedName>
    <definedName name="ASD" localSheetId="31">#REF!</definedName>
    <definedName name="ASD" localSheetId="11">#REF!</definedName>
    <definedName name="ASD" localSheetId="10">#REF!</definedName>
    <definedName name="ASD" localSheetId="14">#REF!</definedName>
    <definedName name="ASD" localSheetId="5">#REF!</definedName>
    <definedName name="ASD" localSheetId="4">#REF!</definedName>
    <definedName name="ASD" localSheetId="2">#REF!</definedName>
    <definedName name="ASD" localSheetId="15">#REF!</definedName>
    <definedName name="ASD" localSheetId="3">#REF!</definedName>
    <definedName name="ASD" localSheetId="26">#REF!</definedName>
    <definedName name="ASD" localSheetId="6">#REF!</definedName>
    <definedName name="ASD" localSheetId="7">#REF!</definedName>
    <definedName name="ASD">#REF!</definedName>
    <definedName name="Base_datos_IM" localSheetId="31">#REF!</definedName>
    <definedName name="Base_datos_IM" localSheetId="11">#REF!</definedName>
    <definedName name="Base_datos_IM" localSheetId="10">#REF!</definedName>
    <definedName name="Base_datos_IM" localSheetId="14">#REF!</definedName>
    <definedName name="Base_datos_IM" localSheetId="5">#REF!</definedName>
    <definedName name="Base_datos_IM" localSheetId="4">#REF!</definedName>
    <definedName name="Base_datos_IM" localSheetId="2">#REF!</definedName>
    <definedName name="Base_datos_IM" localSheetId="15">#REF!</definedName>
    <definedName name="Base_datos_IM" localSheetId="3">#REF!</definedName>
    <definedName name="Base_datos_IM" localSheetId="21">#REF!</definedName>
    <definedName name="Base_datos_IM" localSheetId="26">#REF!</definedName>
    <definedName name="Base_datos_IM" localSheetId="6">#REF!</definedName>
    <definedName name="Base_datos_IM" localSheetId="7">#REF!</definedName>
    <definedName name="Base_datos_IM">#REF!</definedName>
    <definedName name="_xlnm.Database" localSheetId="31">#REF!</definedName>
    <definedName name="_xlnm.Database" localSheetId="11">#REF!</definedName>
    <definedName name="_xlnm.Database" localSheetId="10">#REF!</definedName>
    <definedName name="_xlnm.Database" localSheetId="14">#REF!</definedName>
    <definedName name="_xlnm.Database" localSheetId="5">#REF!</definedName>
    <definedName name="_xlnm.Database" localSheetId="4">#REF!</definedName>
    <definedName name="_xlnm.Database" localSheetId="2">#REF!</definedName>
    <definedName name="_xlnm.Database" localSheetId="15">#REF!</definedName>
    <definedName name="_xlnm.Database" localSheetId="3">#REF!</definedName>
    <definedName name="_xlnm.Database" localSheetId="21">#REF!</definedName>
    <definedName name="_xlnm.Database" localSheetId="26">#REF!</definedName>
    <definedName name="_xlnm.Database" localSheetId="6">#REF!</definedName>
    <definedName name="_xlnm.Database" localSheetId="7">#REF!</definedName>
    <definedName name="_xlnm.Database">#REF!</definedName>
    <definedName name="Cheques" localSheetId="11">#REF!</definedName>
    <definedName name="Cheques" localSheetId="10">#REF!</definedName>
    <definedName name="Cheques" localSheetId="14">#REF!</definedName>
    <definedName name="Cheques" localSheetId="5">#REF!</definedName>
    <definedName name="Cheques" localSheetId="4">#REF!</definedName>
    <definedName name="Cheques" localSheetId="2">#REF!</definedName>
    <definedName name="Cheques" localSheetId="15">#REF!</definedName>
    <definedName name="Cheques" localSheetId="3">#REF!</definedName>
    <definedName name="Cheques" localSheetId="26">#REF!</definedName>
    <definedName name="Cheques">#REF!</definedName>
    <definedName name="contador1">5</definedName>
    <definedName name="contador2">5</definedName>
    <definedName name="d" localSheetId="31">#REF!</definedName>
    <definedName name="d" localSheetId="11">#REF!</definedName>
    <definedName name="d" localSheetId="10">#REF!</definedName>
    <definedName name="d" localSheetId="14">#REF!</definedName>
    <definedName name="d" localSheetId="5">#REF!</definedName>
    <definedName name="d" localSheetId="4">#REF!</definedName>
    <definedName name="d" localSheetId="2">#REF!</definedName>
    <definedName name="d" localSheetId="15">#REF!</definedName>
    <definedName name="d" localSheetId="3">#REF!</definedName>
    <definedName name="d" localSheetId="25">#REF!</definedName>
    <definedName name="d" localSheetId="26">#REF!</definedName>
    <definedName name="d" localSheetId="7">#REF!</definedName>
    <definedName name="d">#REF!</definedName>
    <definedName name="dolares1" localSheetId="31">#REF!</definedName>
    <definedName name="dolares1" localSheetId="11">#REF!</definedName>
    <definedName name="dolares1" localSheetId="10">#REF!</definedName>
    <definedName name="dolares1" localSheetId="14">#REF!</definedName>
    <definedName name="dolares1" localSheetId="5">#REF!</definedName>
    <definedName name="dolares1" localSheetId="4">#REF!</definedName>
    <definedName name="dolares1" localSheetId="2">#REF!</definedName>
    <definedName name="dolares1" localSheetId="15">#REF!</definedName>
    <definedName name="dolares1" localSheetId="3">#REF!</definedName>
    <definedName name="dolares1" localSheetId="21">#REF!</definedName>
    <definedName name="dolares1" localSheetId="25">#REF!</definedName>
    <definedName name="dolares1" localSheetId="26">#REF!</definedName>
    <definedName name="dolares1" localSheetId="6">#REF!</definedName>
    <definedName name="dolares1" localSheetId="7">#REF!</definedName>
    <definedName name="dolares1">#REF!</definedName>
    <definedName name="dolares2" localSheetId="31">#REF!</definedName>
    <definedName name="dolares2" localSheetId="11">#REF!</definedName>
    <definedName name="dolares2" localSheetId="10">#REF!</definedName>
    <definedName name="dolares2" localSheetId="14">#REF!</definedName>
    <definedName name="dolares2" localSheetId="5">#REF!</definedName>
    <definedName name="dolares2" localSheetId="4">#REF!</definedName>
    <definedName name="dolares2" localSheetId="2">#REF!</definedName>
    <definedName name="dolares2" localSheetId="15">#REF!</definedName>
    <definedName name="dolares2" localSheetId="3">#REF!</definedName>
    <definedName name="dolares2" localSheetId="21">#REF!</definedName>
    <definedName name="dolares2" localSheetId="25">#REF!</definedName>
    <definedName name="dolares2" localSheetId="26">#REF!</definedName>
    <definedName name="dolares2" localSheetId="6">#REF!</definedName>
    <definedName name="dolares2" localSheetId="7">#REF!</definedName>
    <definedName name="dolares2">#REF!</definedName>
    <definedName name="dolares3" localSheetId="31">#REF!</definedName>
    <definedName name="dolares3" localSheetId="11">#REF!</definedName>
    <definedName name="dolares3" localSheetId="10">#REF!</definedName>
    <definedName name="dolares3" localSheetId="14">#REF!</definedName>
    <definedName name="dolares3" localSheetId="5">#REF!</definedName>
    <definedName name="dolares3" localSheetId="4">#REF!</definedName>
    <definedName name="dolares3" localSheetId="2">#REF!</definedName>
    <definedName name="dolares3" localSheetId="15">#REF!</definedName>
    <definedName name="dolares3" localSheetId="3">#REF!</definedName>
    <definedName name="dolares3" localSheetId="21">#REF!</definedName>
    <definedName name="dolares3" localSheetId="26">#REF!</definedName>
    <definedName name="dolares3" localSheetId="6">#REF!</definedName>
    <definedName name="dolares3" localSheetId="7">#REF!</definedName>
    <definedName name="dolares3">#REF!</definedName>
    <definedName name="Efectivo" localSheetId="11">#REF!</definedName>
    <definedName name="Efectivo" localSheetId="10">#REF!</definedName>
    <definedName name="Efectivo" localSheetId="14">#REF!</definedName>
    <definedName name="Efectivo" localSheetId="5">#REF!</definedName>
    <definedName name="Efectivo" localSheetId="4">#REF!</definedName>
    <definedName name="Efectivo" localSheetId="2">#REF!</definedName>
    <definedName name="Efectivo" localSheetId="15">#REF!</definedName>
    <definedName name="Efectivo" localSheetId="3">#REF!</definedName>
    <definedName name="Efectivo" localSheetId="26">#REF!</definedName>
    <definedName name="Efectivo">#REF!</definedName>
    <definedName name="fff" localSheetId="31">#REF!</definedName>
    <definedName name="fff" localSheetId="11">#REF!</definedName>
    <definedName name="fff" localSheetId="10">#REF!</definedName>
    <definedName name="fff" localSheetId="14">#REF!</definedName>
    <definedName name="fff" localSheetId="5">#REF!</definedName>
    <definedName name="fff" localSheetId="4">#REF!</definedName>
    <definedName name="fff" localSheetId="2">#REF!</definedName>
    <definedName name="fff" localSheetId="15">#REF!</definedName>
    <definedName name="fff" localSheetId="3">#REF!</definedName>
    <definedName name="fff" localSheetId="26">#REF!</definedName>
    <definedName name="fff" localSheetId="6">#REF!</definedName>
    <definedName name="fff" localSheetId="7">#REF!</definedName>
    <definedName name="fff">#REF!</definedName>
    <definedName name="FORM" localSheetId="31">#REF!</definedName>
    <definedName name="FORM" localSheetId="11">#REF!</definedName>
    <definedName name="FORM" localSheetId="10">#REF!</definedName>
    <definedName name="FORM" localSheetId="14">#REF!</definedName>
    <definedName name="FORM" localSheetId="5">#REF!</definedName>
    <definedName name="FORM" localSheetId="4">#REF!</definedName>
    <definedName name="FORM" localSheetId="2">#REF!</definedName>
    <definedName name="FORM" localSheetId="15">#REF!</definedName>
    <definedName name="FORM" localSheetId="3">#REF!</definedName>
    <definedName name="FORM" localSheetId="26">#REF!</definedName>
    <definedName name="FORM" localSheetId="6">#REF!</definedName>
    <definedName name="FORM" localSheetId="7">#REF!</definedName>
    <definedName name="FORM">#REF!</definedName>
    <definedName name="FORM4" localSheetId="31">#REF!</definedName>
    <definedName name="FORM4" localSheetId="11">#REF!</definedName>
    <definedName name="FORM4" localSheetId="10">#REF!</definedName>
    <definedName name="FORM4" localSheetId="14">#REF!</definedName>
    <definedName name="FORM4" localSheetId="5">#REF!</definedName>
    <definedName name="FORM4" localSheetId="4">#REF!</definedName>
    <definedName name="FORM4" localSheetId="2">#REF!</definedName>
    <definedName name="FORM4" localSheetId="15">#REF!</definedName>
    <definedName name="FORM4" localSheetId="3">#REF!</definedName>
    <definedName name="FORM4" localSheetId="26">#REF!</definedName>
    <definedName name="FORM4" localSheetId="6">#REF!</definedName>
    <definedName name="FORM4" localSheetId="7">#REF!</definedName>
    <definedName name="FORM4">#REF!</definedName>
    <definedName name="FUT" localSheetId="31">#REF!</definedName>
    <definedName name="FUT" localSheetId="11">#REF!</definedName>
    <definedName name="FUT" localSheetId="10">#REF!</definedName>
    <definedName name="FUT" localSheetId="14">#REF!</definedName>
    <definedName name="FUT" localSheetId="5">#REF!</definedName>
    <definedName name="FUT" localSheetId="4">#REF!</definedName>
    <definedName name="FUT" localSheetId="2">#REF!</definedName>
    <definedName name="FUT" localSheetId="15">#REF!</definedName>
    <definedName name="FUT" localSheetId="3">#REF!</definedName>
    <definedName name="FUT" localSheetId="26">#REF!</definedName>
    <definedName name="FUT" localSheetId="6">#REF!</definedName>
    <definedName name="FUT" localSheetId="7">#REF!</definedName>
    <definedName name="FUT">#REF!</definedName>
    <definedName name="GC" localSheetId="3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27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2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2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2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2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28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7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hoja1" localSheetId="31">#REF!</definedName>
    <definedName name="hoja1" localSheetId="11">#REF!</definedName>
    <definedName name="hoja1" localSheetId="10">#REF!</definedName>
    <definedName name="hoja1" localSheetId="14">#REF!</definedName>
    <definedName name="hoja1" localSheetId="5">#REF!</definedName>
    <definedName name="hoja1" localSheetId="4">#REF!</definedName>
    <definedName name="hoja1" localSheetId="2">#REF!</definedName>
    <definedName name="hoja1" localSheetId="15">#REF!</definedName>
    <definedName name="hoja1" localSheetId="3">#REF!</definedName>
    <definedName name="hoja1" localSheetId="21">#REF!</definedName>
    <definedName name="hoja1" localSheetId="25">#REF!</definedName>
    <definedName name="hoja1" localSheetId="26">#REF!</definedName>
    <definedName name="hoja1" localSheetId="6">#REF!</definedName>
    <definedName name="hoja1" localSheetId="7">#REF!</definedName>
    <definedName name="hoja1">#REF!</definedName>
    <definedName name="hoja2" localSheetId="31">#REF!</definedName>
    <definedName name="hoja2" localSheetId="11">#REF!</definedName>
    <definedName name="hoja2" localSheetId="10">#REF!</definedName>
    <definedName name="hoja2" localSheetId="14">#REF!</definedName>
    <definedName name="hoja2" localSheetId="5">#REF!</definedName>
    <definedName name="hoja2" localSheetId="4">#REF!</definedName>
    <definedName name="hoja2" localSheetId="2">#REF!</definedName>
    <definedName name="hoja2" localSheetId="15">#REF!</definedName>
    <definedName name="hoja2" localSheetId="3">#REF!</definedName>
    <definedName name="hoja2" localSheetId="21">#REF!</definedName>
    <definedName name="hoja2" localSheetId="25">#REF!</definedName>
    <definedName name="hoja2" localSheetId="26">#REF!</definedName>
    <definedName name="hoja2" localSheetId="6">#REF!</definedName>
    <definedName name="hoja2" localSheetId="7">#REF!</definedName>
    <definedName name="hoja2">#REF!</definedName>
    <definedName name="Lista" localSheetId="31">{1,2,3,4;5,6,7,8;9,10,11,12;13,14,15,16}</definedName>
    <definedName name="Lista" localSheetId="17">{1,2,3,4;5,6,7,8;9,10,11,12;13,14,15,16}</definedName>
    <definedName name="Lista" localSheetId="27">{1,2,3,4;5,6,7,8;9,10,11,12;13,14,15,16}</definedName>
    <definedName name="Lista" localSheetId="32">{1,2,3,4;5,6,7,8;9,10,11,12;13,14,15,16}</definedName>
    <definedName name="Lista" localSheetId="20">{1,2,3,4;5,6,7,8;9,10,11,12;13,14,15,16}</definedName>
    <definedName name="Lista" localSheetId="21">{1,2,3,4;5,6,7,8;9,10,11,12;13,14,15,16}</definedName>
    <definedName name="Lista" localSheetId="29">{1,2,3,4;5,6,7,8;9,10,11,12;13,14,15,16}</definedName>
    <definedName name="Lista" localSheetId="25">{1,2,3,4;5,6,7,8;9,10,11,12;13,14,15,16}</definedName>
    <definedName name="Lista" localSheetId="26">{1,2,3,4;5,6,7,8;9,10,11,12;13,14,15,16}</definedName>
    <definedName name="Lista" localSheetId="6">{1,2,3,4;5,6,7,8;9,10,11,12;13,14,15,16}</definedName>
    <definedName name="Lista" localSheetId="28">{1,2,3,4;5,6,7,8;9,10,11,12;13,14,15,16}</definedName>
    <definedName name="Lista" localSheetId="7">{1,2,3,4;5,6,7,8;9,10,11,12;13,14,15,16}</definedName>
    <definedName name="Lista">{1,2,3,4;5,6,7,8;9,10,11,12;13,14,15,16}</definedName>
    <definedName name="Pagos" localSheetId="11">#REF!</definedName>
    <definedName name="Pagos" localSheetId="10">#REF!</definedName>
    <definedName name="Pagos" localSheetId="14">#REF!</definedName>
    <definedName name="Pagos" localSheetId="5">#REF!</definedName>
    <definedName name="Pagos" localSheetId="4">#REF!</definedName>
    <definedName name="Pagos" localSheetId="2">#REF!</definedName>
    <definedName name="Pagos" localSheetId="15">#REF!</definedName>
    <definedName name="Pagos" localSheetId="3">#REF!</definedName>
    <definedName name="Pagos" localSheetId="25">#REF!</definedName>
    <definedName name="Pagos" localSheetId="26">#REF!</definedName>
    <definedName name="Pagos">#REF!</definedName>
    <definedName name="Pagos_por_año" localSheetId="31">#REF!</definedName>
    <definedName name="Pagos_por_año" localSheetId="11">#REF!</definedName>
    <definedName name="Pagos_por_año" localSheetId="10">#REF!</definedName>
    <definedName name="Pagos_por_año" localSheetId="14">#REF!</definedName>
    <definedName name="Pagos_por_año" localSheetId="5">#REF!</definedName>
    <definedName name="Pagos_por_año" localSheetId="4">#REF!</definedName>
    <definedName name="Pagos_por_año" localSheetId="2">#REF!</definedName>
    <definedName name="Pagos_por_año" localSheetId="15">#REF!</definedName>
    <definedName name="Pagos_por_año" localSheetId="3">#REF!</definedName>
    <definedName name="Pagos_por_año" localSheetId="21">#REF!</definedName>
    <definedName name="Pagos_por_año" localSheetId="25">#REF!</definedName>
    <definedName name="Pagos_por_año" localSheetId="26">#REF!</definedName>
    <definedName name="Pagos_por_año" localSheetId="6">#REF!</definedName>
    <definedName name="Pagos_por_año" localSheetId="7">#REF!</definedName>
    <definedName name="Pagos_por_año">#REF!</definedName>
    <definedName name="par" localSheetId="31">#REF!</definedName>
    <definedName name="par" localSheetId="11">#REF!</definedName>
    <definedName name="par" localSheetId="10">#REF!</definedName>
    <definedName name="par" localSheetId="14">#REF!</definedName>
    <definedName name="par" localSheetId="5">#REF!</definedName>
    <definedName name="par" localSheetId="4">#REF!</definedName>
    <definedName name="par" localSheetId="2">#REF!</definedName>
    <definedName name="par" localSheetId="15">#REF!</definedName>
    <definedName name="par" localSheetId="3">#REF!</definedName>
    <definedName name="par" localSheetId="21">#REF!</definedName>
    <definedName name="par" localSheetId="25">#REF!</definedName>
    <definedName name="par" localSheetId="26">#REF!</definedName>
    <definedName name="par" localSheetId="6">#REF!</definedName>
    <definedName name="par" localSheetId="7">#REF!</definedName>
    <definedName name="par">#REF!</definedName>
    <definedName name="pesos1" localSheetId="31">#REF!</definedName>
    <definedName name="pesos1" localSheetId="11">#REF!</definedName>
    <definedName name="pesos1" localSheetId="10">#REF!</definedName>
    <definedName name="pesos1" localSheetId="14">#REF!</definedName>
    <definedName name="pesos1" localSheetId="5">#REF!</definedName>
    <definedName name="pesos1" localSheetId="4">#REF!</definedName>
    <definedName name="pesos1" localSheetId="2">#REF!</definedName>
    <definedName name="pesos1" localSheetId="15">#REF!</definedName>
    <definedName name="pesos1" localSheetId="3">#REF!</definedName>
    <definedName name="pesos1" localSheetId="21">#REF!</definedName>
    <definedName name="pesos1" localSheetId="26">#REF!</definedName>
    <definedName name="pesos1" localSheetId="6">#REF!</definedName>
    <definedName name="pesos1" localSheetId="7">#REF!</definedName>
    <definedName name="pesos1">#REF!</definedName>
    <definedName name="pesos2" localSheetId="31">#REF!</definedName>
    <definedName name="pesos2" localSheetId="11">#REF!</definedName>
    <definedName name="pesos2" localSheetId="10">#REF!</definedName>
    <definedName name="pesos2" localSheetId="14">#REF!</definedName>
    <definedName name="pesos2" localSheetId="5">#REF!</definedName>
    <definedName name="pesos2" localSheetId="4">#REF!</definedName>
    <definedName name="pesos2" localSheetId="2">#REF!</definedName>
    <definedName name="pesos2" localSheetId="15">#REF!</definedName>
    <definedName name="pesos2" localSheetId="3">#REF!</definedName>
    <definedName name="pesos2" localSheetId="26">#REF!</definedName>
    <definedName name="pesos2" localSheetId="6">#REF!</definedName>
    <definedName name="pesos2" localSheetId="7">#REF!</definedName>
    <definedName name="pesos2">#REF!</definedName>
    <definedName name="PICO" localSheetId="31">#REF!</definedName>
    <definedName name="PICO" localSheetId="11">#REF!</definedName>
    <definedName name="PICO" localSheetId="10">#REF!</definedName>
    <definedName name="PICO" localSheetId="14">#REF!</definedName>
    <definedName name="PICO" localSheetId="5">#REF!</definedName>
    <definedName name="PICO" localSheetId="4">#REF!</definedName>
    <definedName name="PICO" localSheetId="2">#REF!</definedName>
    <definedName name="PICO" localSheetId="15">#REF!</definedName>
    <definedName name="PICO" localSheetId="3">#REF!</definedName>
    <definedName name="PICO" localSheetId="26">#REF!</definedName>
    <definedName name="PICO" localSheetId="6">#REF!</definedName>
    <definedName name="PICO" localSheetId="7">#REF!</definedName>
    <definedName name="PICO">#REF!</definedName>
    <definedName name="Play">656277505</definedName>
    <definedName name="Plazo_años" localSheetId="31">#REF!</definedName>
    <definedName name="Plazo_años" localSheetId="11">#REF!</definedName>
    <definedName name="Plazo_años" localSheetId="10">#REF!</definedName>
    <definedName name="Plazo_años" localSheetId="14">#REF!</definedName>
    <definedName name="Plazo_años" localSheetId="5">#REF!</definedName>
    <definedName name="Plazo_años" localSheetId="4">#REF!</definedName>
    <definedName name="Plazo_años" localSheetId="2">#REF!</definedName>
    <definedName name="Plazo_años" localSheetId="15">#REF!</definedName>
    <definedName name="Plazo_años" localSheetId="3">#REF!</definedName>
    <definedName name="Plazo_años" localSheetId="21">#REF!</definedName>
    <definedName name="Plazo_años" localSheetId="25">#REF!</definedName>
    <definedName name="Plazo_años" localSheetId="26">#REF!</definedName>
    <definedName name="Plazo_años" localSheetId="6">#REF!</definedName>
    <definedName name="Plazo_años" localSheetId="7">#REF!</definedName>
    <definedName name="Plazo_años">#REF!</definedName>
    <definedName name="PPP" localSheetId="4">#REF!</definedName>
    <definedName name="PPP" localSheetId="2">#REF!</definedName>
    <definedName name="PPP" localSheetId="3">#REF!</definedName>
    <definedName name="PPP">#REF!</definedName>
    <definedName name="QAQ" localSheetId="31">#REF!</definedName>
    <definedName name="QAQ" localSheetId="11">#REF!</definedName>
    <definedName name="QAQ" localSheetId="10">#REF!</definedName>
    <definedName name="QAQ" localSheetId="14">#REF!</definedName>
    <definedName name="QAQ" localSheetId="5">#REF!</definedName>
    <definedName name="QAQ" localSheetId="4">#REF!</definedName>
    <definedName name="QAQ" localSheetId="2">#REF!</definedName>
    <definedName name="QAQ" localSheetId="15">#REF!</definedName>
    <definedName name="QAQ" localSheetId="3">#REF!</definedName>
    <definedName name="QAQ" localSheetId="26">#REF!</definedName>
    <definedName name="QAQ" localSheetId="6">#REF!</definedName>
    <definedName name="QAQ" localSheetId="7">#REF!</definedName>
    <definedName name="QAQ">#REF!</definedName>
    <definedName name="RODR" localSheetId="31">#REF!</definedName>
    <definedName name="RODR" localSheetId="11">#REF!</definedName>
    <definedName name="RODR" localSheetId="10">#REF!</definedName>
    <definedName name="RODR" localSheetId="14">#REF!</definedName>
    <definedName name="RODR" localSheetId="5">#REF!</definedName>
    <definedName name="RODR" localSheetId="4">#REF!</definedName>
    <definedName name="RODR" localSheetId="2">#REF!</definedName>
    <definedName name="RODR" localSheetId="15">#REF!</definedName>
    <definedName name="RODR" localSheetId="3">#REF!</definedName>
    <definedName name="RODR" localSheetId="26">#REF!</definedName>
    <definedName name="RODR" localSheetId="6">#REF!</definedName>
    <definedName name="RODR" localSheetId="7">#REF!</definedName>
    <definedName name="RODR">#REF!</definedName>
    <definedName name="RODRIGO" localSheetId="31">#REF!</definedName>
    <definedName name="RODRIGO" localSheetId="11">#REF!</definedName>
    <definedName name="RODRIGO" localSheetId="10">#REF!</definedName>
    <definedName name="RODRIGO" localSheetId="14">#REF!</definedName>
    <definedName name="RODRIGO" localSheetId="5">#REF!</definedName>
    <definedName name="RODRIGO" localSheetId="4">#REF!</definedName>
    <definedName name="RODRIGO" localSheetId="2">#REF!</definedName>
    <definedName name="RODRIGO" localSheetId="15">#REF!</definedName>
    <definedName name="RODRIGO" localSheetId="3">#REF!</definedName>
    <definedName name="RODRIGO" localSheetId="26">#REF!</definedName>
    <definedName name="RODRIGO" localSheetId="6">#REF!</definedName>
    <definedName name="RODRIGO" localSheetId="7">#REF!</definedName>
    <definedName name="RODRIGO">#REF!</definedName>
    <definedName name="rr" localSheetId="31">#REF!</definedName>
    <definedName name="rr" localSheetId="11">#REF!</definedName>
    <definedName name="rr" localSheetId="10">#REF!</definedName>
    <definedName name="rr" localSheetId="14">#REF!</definedName>
    <definedName name="rr" localSheetId="5">#REF!</definedName>
    <definedName name="rr" localSheetId="4">#REF!</definedName>
    <definedName name="rr" localSheetId="2">#REF!</definedName>
    <definedName name="rr" localSheetId="15">#REF!</definedName>
    <definedName name="rr" localSheetId="3">#REF!</definedName>
    <definedName name="rr" localSheetId="26">#REF!</definedName>
    <definedName name="rr" localSheetId="6">#REF!</definedName>
    <definedName name="rr" localSheetId="7">#REF!</definedName>
    <definedName name="rr">#REF!</definedName>
    <definedName name="Tasa_Periódica" localSheetId="31">#REF!/12</definedName>
    <definedName name="Tasa_Periódica" localSheetId="11">#REF!/12</definedName>
    <definedName name="Tasa_Periódica" localSheetId="10">#REF!/12</definedName>
    <definedName name="Tasa_Periódica" localSheetId="14">#REF!/12</definedName>
    <definedName name="Tasa_Periódica" localSheetId="5">#REF!/12</definedName>
    <definedName name="Tasa_Periódica" localSheetId="4">#REF!/12</definedName>
    <definedName name="Tasa_Periódica" localSheetId="2">#REF!/12</definedName>
    <definedName name="Tasa_Periódica" localSheetId="15">#REF!/12</definedName>
    <definedName name="Tasa_Periódica" localSheetId="3">#REF!/12</definedName>
    <definedName name="Tasa_Periódica" localSheetId="21">#REF!/12</definedName>
    <definedName name="Tasa_Periódica" localSheetId="26">#REF!/12</definedName>
    <definedName name="Tasa_Periódica" localSheetId="6">#REF!/12</definedName>
    <definedName name="Tasa_Periódica" localSheetId="7">#REF!/12</definedName>
    <definedName name="Tasa_Periódica">#REF!/12</definedName>
    <definedName name="_xlnm.Print_Titles" localSheetId="16">MAYOR!$B:$E,MAYOR!$1:$7</definedName>
    <definedName name="_xlnm.Print_Titles" localSheetId="7">#REF!</definedName>
    <definedName name="_xlnm.Print_Titles">#N/A</definedName>
    <definedName name="toneladas" localSheetId="31">#REF!</definedName>
    <definedName name="toneladas" localSheetId="11">#REF!</definedName>
    <definedName name="toneladas" localSheetId="10">#REF!</definedName>
    <definedName name="toneladas" localSheetId="14">#REF!</definedName>
    <definedName name="toneladas" localSheetId="5">#REF!</definedName>
    <definedName name="toneladas" localSheetId="4">#REF!</definedName>
    <definedName name="toneladas" localSheetId="2">#REF!</definedName>
    <definedName name="toneladas" localSheetId="15">#REF!</definedName>
    <definedName name="toneladas" localSheetId="3">#REF!</definedName>
    <definedName name="toneladas" localSheetId="21">#REF!</definedName>
    <definedName name="toneladas" localSheetId="25">#REF!</definedName>
    <definedName name="toneladas" localSheetId="26">#REF!</definedName>
    <definedName name="toneladas" localSheetId="6">#REF!</definedName>
    <definedName name="toneladas" localSheetId="7">#REF!</definedName>
    <definedName name="toneladas">#REF!</definedName>
    <definedName name="valor_índice">16</definedName>
    <definedName name="vpprel.xls" localSheetId="31">{1,2,3,4;5,6,7,8;9,10,11,12;13,14,15,16}</definedName>
    <definedName name="vpprel.xls" localSheetId="17">{1,2,3,4;5,6,7,8;9,10,11,12;13,14,15,16}</definedName>
    <definedName name="vpprel.xls" localSheetId="27">{1,2,3,4;5,6,7,8;9,10,11,12;13,14,15,16}</definedName>
    <definedName name="vpprel.xls" localSheetId="32">{1,2,3,4;5,6,7,8;9,10,11,12;13,14,15,16}</definedName>
    <definedName name="vpprel.xls" localSheetId="20">{1,2,3,4;5,6,7,8;9,10,11,12;13,14,15,16}</definedName>
    <definedName name="vpprel.xls" localSheetId="21">{1,2,3,4;5,6,7,8;9,10,11,12;13,14,15,16}</definedName>
    <definedName name="vpprel.xls" localSheetId="29">{1,2,3,4;5,6,7,8;9,10,11,12;13,14,15,16}</definedName>
    <definedName name="vpprel.xls" localSheetId="25">{1,2,3,4;5,6,7,8;9,10,11,12;13,14,15,16}</definedName>
    <definedName name="vpprel.xls" localSheetId="26">{1,2,3,4;5,6,7,8;9,10,11,12;13,14,15,16}</definedName>
    <definedName name="vpprel.xls" localSheetId="6">{1,2,3,4;5,6,7,8;9,10,11,12;13,14,15,16}</definedName>
    <definedName name="vpprel.xls" localSheetId="28">{1,2,3,4;5,6,7,8;9,10,11,12;13,14,15,16}</definedName>
    <definedName name="vpprel.xls" localSheetId="7">{1,2,3,4;5,6,7,8;9,10,11,12;13,14,15,16}</definedName>
    <definedName name="vpprel.xls">{1,2,3,4;5,6,7,8;9,10,11,12;13,14,15,16}</definedName>
    <definedName name="wrn.Informe._.RLI." localSheetId="3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27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2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2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2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2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28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7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w" localSheetId="11" hidden="1">#REF!</definedName>
    <definedName name="ww" localSheetId="10" hidden="1">#REF!</definedName>
    <definedName name="ww" localSheetId="14" hidden="1">#REF!</definedName>
    <definedName name="ww" localSheetId="5" hidden="1">#REF!</definedName>
    <definedName name="ww" localSheetId="4" hidden="1">#REF!</definedName>
    <definedName name="ww" localSheetId="2" hidden="1">#REF!</definedName>
    <definedName name="ww" localSheetId="15" hidden="1">#REF!</definedName>
    <definedName name="ww" localSheetId="3" hidden="1">#REF!</definedName>
    <definedName name="ww" localSheetId="25" hidden="1">#REF!</definedName>
    <definedName name="ww" localSheetId="26" hidden="1">#REF!</definedName>
    <definedName name="ww" hidden="1">#REF!</definedName>
    <definedName name="xxx" localSheetId="11" hidden="1">#REF!</definedName>
    <definedName name="xxx" localSheetId="10" hidden="1">#REF!</definedName>
    <definedName name="xxx" localSheetId="14" hidden="1">#REF!</definedName>
    <definedName name="xxx" localSheetId="5" hidden="1">#REF!</definedName>
    <definedName name="xxx" localSheetId="4" hidden="1">#REF!</definedName>
    <definedName name="xxx" localSheetId="2" hidden="1">#REF!</definedName>
    <definedName name="xxx" localSheetId="15" hidden="1">#REF!</definedName>
    <definedName name="xxx" localSheetId="3" hidden="1">#REF!</definedName>
    <definedName name="xxx" localSheetId="25" hidden="1">#REF!</definedName>
    <definedName name="xxx" localSheetId="26" hidden="1">#REF!</definedName>
    <definedName name="xxx" hidden="1">#REF!</definedName>
    <definedName name="xxxx" localSheetId="11">#REF!</definedName>
    <definedName name="xxxx" localSheetId="10">#REF!</definedName>
    <definedName name="xxxx" localSheetId="14">#REF!</definedName>
    <definedName name="xxxx" localSheetId="5">#REF!</definedName>
    <definedName name="xxxx" localSheetId="4">#REF!</definedName>
    <definedName name="xxxx" localSheetId="2">#REF!</definedName>
    <definedName name="xxxx" localSheetId="15">#REF!</definedName>
    <definedName name="xxxx" localSheetId="3">#REF!</definedName>
    <definedName name="xxxx">#REF!</definedName>
    <definedName name="ZZZ" localSheetId="31">#REF!</definedName>
    <definedName name="ZZZ" localSheetId="11">#REF!</definedName>
    <definedName name="ZZZ" localSheetId="10">#REF!</definedName>
    <definedName name="ZZZ" localSheetId="14">#REF!</definedName>
    <definedName name="ZZZ" localSheetId="5">#REF!</definedName>
    <definedName name="ZZZ" localSheetId="4">#REF!</definedName>
    <definedName name="ZZZ" localSheetId="2">#REF!</definedName>
    <definedName name="ZZZ" localSheetId="15">#REF!</definedName>
    <definedName name="ZZZ" localSheetId="3">#REF!</definedName>
    <definedName name="ZZZ" localSheetId="21">#REF!</definedName>
    <definedName name="ZZZ" localSheetId="25">#REF!</definedName>
    <definedName name="ZZZ" localSheetId="26">#REF!</definedName>
    <definedName name="ZZZ" localSheetId="6">#REF!</definedName>
    <definedName name="ZZZ" localSheetId="7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C15" i="31" l="1"/>
  <c r="C16" i="31"/>
  <c r="C17" i="31"/>
  <c r="C18" i="31"/>
  <c r="C19" i="31"/>
  <c r="C20" i="31"/>
  <c r="C21" i="31"/>
  <c r="C22" i="31"/>
  <c r="H131" i="89"/>
  <c r="G129" i="89"/>
  <c r="G71" i="89"/>
  <c r="A68" i="89"/>
  <c r="I67" i="89"/>
  <c r="A60" i="89"/>
  <c r="A59" i="89"/>
  <c r="A58" i="89"/>
  <c r="A57" i="89"/>
  <c r="A56" i="89"/>
  <c r="A55" i="89"/>
  <c r="A54" i="89"/>
  <c r="A53" i="89"/>
  <c r="A48" i="89"/>
  <c r="A47" i="89"/>
  <c r="A46" i="89"/>
  <c r="A45" i="89"/>
  <c r="A44" i="89"/>
  <c r="C43" i="89"/>
  <c r="A43" i="89"/>
  <c r="A42" i="89"/>
  <c r="A41" i="89"/>
  <c r="A40" i="89"/>
  <c r="A39" i="89"/>
  <c r="A38" i="89"/>
  <c r="K37" i="89"/>
  <c r="A37" i="89"/>
  <c r="A36" i="89"/>
  <c r="A35" i="89"/>
  <c r="L34" i="89"/>
  <c r="A34" i="89"/>
  <c r="A33" i="89"/>
  <c r="A32" i="89"/>
  <c r="A31" i="89"/>
  <c r="A30" i="89"/>
  <c r="A29" i="89"/>
  <c r="A28" i="89"/>
  <c r="A27" i="89"/>
  <c r="K26" i="89"/>
  <c r="A26" i="89"/>
  <c r="A25" i="89"/>
  <c r="A24" i="89"/>
  <c r="A23" i="89"/>
  <c r="A22" i="89"/>
  <c r="A21" i="89"/>
  <c r="A20" i="89"/>
  <c r="A18" i="89"/>
  <c r="A17" i="89"/>
  <c r="A16" i="89"/>
  <c r="A15" i="89"/>
  <c r="A14" i="89"/>
  <c r="A13" i="89"/>
  <c r="A12" i="89"/>
  <c r="F6" i="89"/>
  <c r="G218" i="1"/>
  <c r="G225" i="1"/>
  <c r="G220" i="1"/>
  <c r="F221" i="1"/>
  <c r="G223" i="1"/>
  <c r="EK214" i="1"/>
  <c r="BF217" i="1"/>
  <c r="EL215" i="1"/>
  <c r="P127" i="50"/>
  <c r="J128" i="50"/>
  <c r="L128" i="50" s="1"/>
  <c r="J129" i="50"/>
  <c r="L129" i="50" s="1"/>
  <c r="J127" i="50"/>
  <c r="L127" i="50" s="1"/>
  <c r="G152" i="50" l="1"/>
  <c r="E158" i="50"/>
  <c r="F156" i="50" s="1"/>
  <c r="G156" i="50" s="1"/>
  <c r="H156" i="50" s="1"/>
  <c r="K138" i="50"/>
  <c r="J138" i="50"/>
  <c r="I139" i="50" s="1"/>
  <c r="G143" i="50" s="1"/>
  <c r="H144" i="50" s="1"/>
  <c r="I138" i="50"/>
  <c r="E138" i="50"/>
  <c r="F128" i="50"/>
  <c r="F129" i="50" s="1"/>
  <c r="H127" i="50"/>
  <c r="G127" i="50" s="1"/>
  <c r="F154" i="50" l="1"/>
  <c r="F155" i="50"/>
  <c r="G155" i="50" s="1"/>
  <c r="H155" i="50" s="1"/>
  <c r="H128" i="50"/>
  <c r="G128" i="50" s="1"/>
  <c r="M127" i="50"/>
  <c r="H129" i="50"/>
  <c r="H131" i="88"/>
  <c r="G129" i="88"/>
  <c r="G71" i="88"/>
  <c r="A68" i="88"/>
  <c r="I67" i="88"/>
  <c r="A60" i="88"/>
  <c r="A59" i="88"/>
  <c r="A58" i="88"/>
  <c r="A57" i="88"/>
  <c r="A56" i="88"/>
  <c r="A55" i="88"/>
  <c r="A54" i="88"/>
  <c r="A53" i="88"/>
  <c r="A48" i="88"/>
  <c r="A47" i="88"/>
  <c r="A46" i="88"/>
  <c r="A45" i="88"/>
  <c r="A44" i="88"/>
  <c r="C43" i="88"/>
  <c r="A43" i="88"/>
  <c r="A42" i="88"/>
  <c r="A41" i="88"/>
  <c r="A40" i="88"/>
  <c r="A39" i="88"/>
  <c r="A38" i="88"/>
  <c r="K37" i="88"/>
  <c r="A37" i="88"/>
  <c r="A36" i="88"/>
  <c r="A35" i="88"/>
  <c r="L34" i="88"/>
  <c r="A34" i="88"/>
  <c r="A33" i="88"/>
  <c r="A32" i="88"/>
  <c r="A31" i="88"/>
  <c r="A30" i="88"/>
  <c r="A29" i="88"/>
  <c r="A28" i="88"/>
  <c r="A27" i="88"/>
  <c r="K26" i="88"/>
  <c r="A26" i="88"/>
  <c r="A25" i="88"/>
  <c r="A24" i="88"/>
  <c r="A23" i="88"/>
  <c r="A22" i="88"/>
  <c r="A21" i="88"/>
  <c r="A20" i="88"/>
  <c r="A18" i="88"/>
  <c r="A17" i="88"/>
  <c r="A16" i="88"/>
  <c r="A15" i="88"/>
  <c r="A14" i="88"/>
  <c r="A13" i="88"/>
  <c r="A12" i="88"/>
  <c r="F6" i="88"/>
  <c r="M128" i="50" l="1"/>
  <c r="G154" i="50"/>
  <c r="F158" i="50"/>
  <c r="G129" i="50"/>
  <c r="G138" i="50" s="1"/>
  <c r="G141" i="50" s="1"/>
  <c r="M129" i="50"/>
  <c r="M138" i="50" s="1"/>
  <c r="H138" i="50"/>
  <c r="H154" i="50" l="1"/>
  <c r="H158" i="50" s="1"/>
  <c r="G158" i="50"/>
  <c r="L138" i="50"/>
  <c r="G145" i="50" s="1"/>
  <c r="H146" i="50" s="1"/>
  <c r="H142" i="50"/>
  <c r="G147" i="50"/>
  <c r="G30" i="31"/>
  <c r="K37" i="86"/>
  <c r="L55" i="31"/>
  <c r="H147" i="50" l="1"/>
  <c r="L170" i="1"/>
  <c r="G226" i="1" l="1"/>
  <c r="A23" i="86"/>
  <c r="AW154" i="1"/>
  <c r="BU59" i="1"/>
  <c r="BU26" i="1"/>
  <c r="A32" i="86" l="1"/>
  <c r="A22" i="86"/>
  <c r="A20" i="86"/>
  <c r="A18" i="86"/>
  <c r="A21" i="86"/>
  <c r="EN8" i="1"/>
  <c r="A17" i="86"/>
  <c r="EO8" i="1"/>
  <c r="H131" i="86" l="1"/>
  <c r="G129" i="86"/>
  <c r="G71" i="86"/>
  <c r="A68" i="86"/>
  <c r="I67" i="86"/>
  <c r="A60" i="86"/>
  <c r="A59" i="86"/>
  <c r="A58" i="86"/>
  <c r="A57" i="86"/>
  <c r="A56" i="86"/>
  <c r="A55" i="86"/>
  <c r="A54" i="86"/>
  <c r="A53" i="86"/>
  <c r="A48" i="86"/>
  <c r="A47" i="86"/>
  <c r="A46" i="86"/>
  <c r="A45" i="86"/>
  <c r="A44" i="86"/>
  <c r="C43" i="86"/>
  <c r="A43" i="86"/>
  <c r="A42" i="86"/>
  <c r="A41" i="86"/>
  <c r="A40" i="86"/>
  <c r="A39" i="86"/>
  <c r="A38" i="86"/>
  <c r="A37" i="86"/>
  <c r="A36" i="86"/>
  <c r="A35" i="86"/>
  <c r="L34" i="86"/>
  <c r="A34" i="86"/>
  <c r="A33" i="86"/>
  <c r="A31" i="86"/>
  <c r="A30" i="86"/>
  <c r="A29" i="86"/>
  <c r="A28" i="86"/>
  <c r="A27" i="86"/>
  <c r="K26" i="86"/>
  <c r="A26" i="86"/>
  <c r="A25" i="86"/>
  <c r="A24" i="86"/>
  <c r="A16" i="86"/>
  <c r="A15" i="86"/>
  <c r="A14" i="86"/>
  <c r="A13" i="86"/>
  <c r="A12" i="86"/>
  <c r="F6" i="86"/>
  <c r="C21" i="81" l="1"/>
  <c r="C17" i="81"/>
  <c r="A32" i="81" l="1"/>
  <c r="EI225" i="1"/>
  <c r="A30" i="81"/>
  <c r="AC74" i="31"/>
  <c r="AC73" i="31"/>
  <c r="AC72" i="31"/>
  <c r="AC71" i="31"/>
  <c r="AC70" i="31"/>
  <c r="AC69" i="31"/>
  <c r="AC68" i="31"/>
  <c r="AC67" i="31"/>
  <c r="AC66" i="31"/>
  <c r="AC65" i="31"/>
  <c r="AC64" i="31"/>
  <c r="AC63" i="31"/>
  <c r="T77" i="31"/>
  <c r="S77" i="31"/>
  <c r="H16" i="85"/>
  <c r="C17" i="85"/>
  <c r="E14" i="85" s="1"/>
  <c r="E23" i="85"/>
  <c r="L23" i="85" s="1"/>
  <c r="F23" i="85"/>
  <c r="I23" i="85" s="1"/>
  <c r="B24" i="85"/>
  <c r="B25" i="85" s="1"/>
  <c r="C24" i="85"/>
  <c r="C25" i="85" s="1"/>
  <c r="C26" i="85" s="1"/>
  <c r="C27" i="85" s="1"/>
  <c r="C28" i="85" s="1"/>
  <c r="C29" i="85" s="1"/>
  <c r="C30" i="85" s="1"/>
  <c r="C31" i="85" s="1"/>
  <c r="C32" i="85" s="1"/>
  <c r="C33" i="85" s="1"/>
  <c r="C34" i="85" s="1"/>
  <c r="C35" i="85" s="1"/>
  <c r="C36" i="85" s="1"/>
  <c r="C37" i="85" s="1"/>
  <c r="C38" i="85" s="1"/>
  <c r="C39" i="85" s="1"/>
  <c r="C40" i="85" s="1"/>
  <c r="C41" i="85" s="1"/>
  <c r="C42" i="85" s="1"/>
  <c r="C43" i="85" s="1"/>
  <c r="C44" i="85" s="1"/>
  <c r="C45" i="85" s="1"/>
  <c r="C46" i="85" s="1"/>
  <c r="E24" i="85"/>
  <c r="L24" i="85" s="1"/>
  <c r="F24" i="85"/>
  <c r="T78" i="31" l="1"/>
  <c r="I24" i="85"/>
  <c r="AC77" i="31"/>
  <c r="AC79" i="31" s="1"/>
  <c r="E25" i="85"/>
  <c r="B26" i="85"/>
  <c r="B27" i="85" s="1"/>
  <c r="F25" i="85"/>
  <c r="I25" i="85" s="1"/>
  <c r="D30" i="85"/>
  <c r="D29" i="85"/>
  <c r="D28" i="85"/>
  <c r="D27" i="85"/>
  <c r="D26" i="85"/>
  <c r="D46" i="85"/>
  <c r="D25" i="85"/>
  <c r="H25" i="85" s="1"/>
  <c r="D45" i="85"/>
  <c r="D44" i="85"/>
  <c r="D43" i="85"/>
  <c r="D42" i="85"/>
  <c r="D41" i="85"/>
  <c r="D40" i="85"/>
  <c r="D39" i="85"/>
  <c r="D38" i="85"/>
  <c r="D37" i="85"/>
  <c r="D36" i="85"/>
  <c r="D35" i="85"/>
  <c r="D34" i="85"/>
  <c r="D33" i="85"/>
  <c r="D32" i="85"/>
  <c r="D31" i="85"/>
  <c r="D24" i="85"/>
  <c r="H24" i="85" s="1"/>
  <c r="D23" i="85"/>
  <c r="E17" i="85"/>
  <c r="EN179" i="1"/>
  <c r="EN180" i="1"/>
  <c r="EO180" i="1"/>
  <c r="EN162" i="1"/>
  <c r="EN145" i="1"/>
  <c r="EN146" i="1"/>
  <c r="EO146" i="1"/>
  <c r="EN147" i="1"/>
  <c r="EN128" i="1"/>
  <c r="EP180" i="1" l="1"/>
  <c r="EP146" i="1"/>
  <c r="E26" i="85"/>
  <c r="H26" i="85" s="1"/>
  <c r="F26" i="85"/>
  <c r="I26" i="85" s="1"/>
  <c r="E27" i="85"/>
  <c r="H27" i="85" s="1"/>
  <c r="F27" i="85"/>
  <c r="B28" i="85"/>
  <c r="D53" i="85"/>
  <c r="D69" i="85"/>
  <c r="D71" i="85"/>
  <c r="E72" i="85" s="1"/>
  <c r="I16" i="85"/>
  <c r="M23" i="85"/>
  <c r="H23" i="85"/>
  <c r="D51" i="85"/>
  <c r="BA38" i="31"/>
  <c r="AY38" i="31"/>
  <c r="AV38" i="31"/>
  <c r="AT38" i="31"/>
  <c r="AR38" i="31"/>
  <c r="AS38" i="31"/>
  <c r="AU38" i="31"/>
  <c r="AW38" i="31"/>
  <c r="AX38" i="31"/>
  <c r="AZ38" i="31"/>
  <c r="BB38" i="31"/>
  <c r="AQ38" i="31"/>
  <c r="AP40" i="31"/>
  <c r="I27" i="85" l="1"/>
  <c r="AQ42" i="31"/>
  <c r="E28" i="85"/>
  <c r="H28" i="85" s="1"/>
  <c r="B29" i="85"/>
  <c r="F28" i="85"/>
  <c r="I28" i="85" s="1"/>
  <c r="E70" i="85"/>
  <c r="D73" i="85"/>
  <c r="H127" i="84"/>
  <c r="G125" i="84"/>
  <c r="G67" i="84"/>
  <c r="A57" i="84"/>
  <c r="A56" i="84"/>
  <c r="A55" i="84"/>
  <c r="A54" i="84"/>
  <c r="A53" i="84"/>
  <c r="A52" i="84"/>
  <c r="A51" i="84"/>
  <c r="A50" i="84"/>
  <c r="A48" i="84"/>
  <c r="A47" i="84"/>
  <c r="A46" i="84"/>
  <c r="A45" i="84"/>
  <c r="A44" i="84"/>
  <c r="C43" i="84"/>
  <c r="A43" i="84"/>
  <c r="A42" i="84"/>
  <c r="A41" i="84"/>
  <c r="A40" i="84"/>
  <c r="A39" i="84"/>
  <c r="A38" i="84"/>
  <c r="A37" i="84"/>
  <c r="A36" i="84"/>
  <c r="A35" i="84"/>
  <c r="A34" i="84"/>
  <c r="A33" i="84"/>
  <c r="A31" i="84"/>
  <c r="A30" i="84"/>
  <c r="A29" i="84"/>
  <c r="A28" i="84"/>
  <c r="A27" i="84"/>
  <c r="A26" i="84"/>
  <c r="A25" i="84"/>
  <c r="A24" i="84"/>
  <c r="A23" i="84"/>
  <c r="A22" i="84"/>
  <c r="A21" i="84"/>
  <c r="A20" i="84"/>
  <c r="E18" i="84"/>
  <c r="G18" i="84" s="1"/>
  <c r="I18" i="84" s="1"/>
  <c r="D18" i="84"/>
  <c r="F18" i="84" s="1"/>
  <c r="H18" i="84" s="1"/>
  <c r="A16" i="84"/>
  <c r="A15" i="84"/>
  <c r="A14" i="84"/>
  <c r="A13" i="84"/>
  <c r="A12" i="84"/>
  <c r="E29" i="85" l="1"/>
  <c r="H29" i="85" s="1"/>
  <c r="F29" i="85"/>
  <c r="I29" i="85" s="1"/>
  <c r="B30" i="85"/>
  <c r="E73" i="85"/>
  <c r="F30" i="85" l="1"/>
  <c r="I30" i="85" s="1"/>
  <c r="B31" i="85"/>
  <c r="E30" i="85"/>
  <c r="AD37" i="31"/>
  <c r="AD38" i="31"/>
  <c r="AD39" i="31"/>
  <c r="AD40" i="31"/>
  <c r="AD41" i="31"/>
  <c r="AD42" i="31"/>
  <c r="AD43" i="31"/>
  <c r="AD44" i="31"/>
  <c r="AD45" i="31"/>
  <c r="AD46" i="31"/>
  <c r="AD47" i="31"/>
  <c r="AD36" i="31"/>
  <c r="H30" i="85" l="1"/>
  <c r="B32" i="85"/>
  <c r="F31" i="85"/>
  <c r="I31" i="85" s="1"/>
  <c r="E31" i="85"/>
  <c r="H31" i="85" s="1"/>
  <c r="AX195" i="1"/>
  <c r="DS195" i="1" s="1"/>
  <c r="F160" i="1"/>
  <c r="B33" i="85" l="1"/>
  <c r="F32" i="85"/>
  <c r="I32" i="85" s="1"/>
  <c r="E32" i="85"/>
  <c r="H32" i="85" s="1"/>
  <c r="L26" i="31"/>
  <c r="M92" i="83"/>
  <c r="N92" i="83" s="1"/>
  <c r="M91" i="83"/>
  <c r="N91" i="83" s="1"/>
  <c r="M90" i="83"/>
  <c r="N90" i="83" s="1"/>
  <c r="N93" i="83" s="1"/>
  <c r="L25" i="31"/>
  <c r="L24" i="31"/>
  <c r="M77" i="83"/>
  <c r="N77" i="83" s="1"/>
  <c r="M78" i="83"/>
  <c r="N78" i="83" s="1"/>
  <c r="M76" i="83"/>
  <c r="N76" i="83" s="1"/>
  <c r="L23" i="31"/>
  <c r="M68" i="83"/>
  <c r="M69" i="83" s="1"/>
  <c r="L22" i="31"/>
  <c r="M60" i="83"/>
  <c r="N60" i="83" s="1"/>
  <c r="N61" i="83" s="1"/>
  <c r="L21" i="31"/>
  <c r="M49" i="83"/>
  <c r="N49" i="83" s="1"/>
  <c r="M47" i="83"/>
  <c r="N47" i="83" s="1"/>
  <c r="M48" i="83"/>
  <c r="N48" i="83" s="1"/>
  <c r="J50" i="83"/>
  <c r="K50" i="83"/>
  <c r="I50" i="83"/>
  <c r="L20" i="31"/>
  <c r="L19" i="31"/>
  <c r="M34" i="83"/>
  <c r="N34" i="83" s="1"/>
  <c r="N35" i="83" s="1"/>
  <c r="M39" i="83"/>
  <c r="N39" i="83" s="1"/>
  <c r="L17" i="31"/>
  <c r="M5" i="83"/>
  <c r="M6" i="83" s="1"/>
  <c r="M13" i="83"/>
  <c r="N13" i="83" s="1"/>
  <c r="M14" i="83"/>
  <c r="N14" i="83" s="1"/>
  <c r="M15" i="83"/>
  <c r="N15" i="83" s="1"/>
  <c r="M16" i="83"/>
  <c r="N16" i="83" s="1"/>
  <c r="M17" i="83"/>
  <c r="N17" i="83" s="1"/>
  <c r="M18" i="83"/>
  <c r="N18" i="83" s="1"/>
  <c r="M19" i="83"/>
  <c r="N19" i="83" s="1"/>
  <c r="M12" i="83"/>
  <c r="N12" i="83" s="1"/>
  <c r="K25" i="83"/>
  <c r="J22" i="83"/>
  <c r="J23" i="83" s="1"/>
  <c r="M79" i="83" l="1"/>
  <c r="M35" i="83"/>
  <c r="N79" i="83"/>
  <c r="N80" i="83" s="1"/>
  <c r="F33" i="85"/>
  <c r="I33" i="85" s="1"/>
  <c r="E33" i="85"/>
  <c r="H33" i="85" s="1"/>
  <c r="B34" i="85"/>
  <c r="K30" i="85"/>
  <c r="N50" i="83"/>
  <c r="N36" i="83"/>
  <c r="M50" i="83"/>
  <c r="M61" i="83"/>
  <c r="N62" i="83" s="1"/>
  <c r="N68" i="83"/>
  <c r="N69" i="83" s="1"/>
  <c r="N70" i="83" s="1"/>
  <c r="M93" i="83"/>
  <c r="N94" i="83" s="1"/>
  <c r="N5" i="83"/>
  <c r="N6" i="83" s="1"/>
  <c r="N7" i="83" s="1"/>
  <c r="M20" i="83"/>
  <c r="L18" i="31" s="1"/>
  <c r="N20" i="83"/>
  <c r="H131" i="81"/>
  <c r="G129" i="81"/>
  <c r="G71" i="81"/>
  <c r="A60" i="81"/>
  <c r="A59" i="81"/>
  <c r="A58" i="81"/>
  <c r="A57" i="81"/>
  <c r="A56" i="81"/>
  <c r="A55" i="81"/>
  <c r="A54" i="81"/>
  <c r="A53" i="81"/>
  <c r="A48" i="81"/>
  <c r="A47" i="81"/>
  <c r="A46" i="81"/>
  <c r="A45" i="81"/>
  <c r="A44" i="81"/>
  <c r="C43" i="81"/>
  <c r="A43" i="81"/>
  <c r="A42" i="81"/>
  <c r="A41" i="81"/>
  <c r="A40" i="81"/>
  <c r="A39" i="81"/>
  <c r="A38" i="81"/>
  <c r="A37" i="81"/>
  <c r="A36" i="81"/>
  <c r="A35" i="81"/>
  <c r="L34" i="81"/>
  <c r="A34" i="81"/>
  <c r="A33" i="81"/>
  <c r="A31" i="81"/>
  <c r="A29" i="81"/>
  <c r="A28" i="81"/>
  <c r="A27" i="81"/>
  <c r="A26" i="81"/>
  <c r="K25" i="81"/>
  <c r="A25" i="81"/>
  <c r="A24" i="81"/>
  <c r="A23" i="81"/>
  <c r="A20" i="81"/>
  <c r="E18" i="81"/>
  <c r="G18" i="81" s="1"/>
  <c r="I18" i="81" s="1"/>
  <c r="D18" i="81"/>
  <c r="F18" i="81" s="1"/>
  <c r="H18" i="81" s="1"/>
  <c r="A16" i="81"/>
  <c r="A15" i="81"/>
  <c r="A14" i="81"/>
  <c r="A13" i="81"/>
  <c r="A12" i="81"/>
  <c r="BU170" i="1"/>
  <c r="F126" i="1"/>
  <c r="BU135" i="1"/>
  <c r="F112" i="1"/>
  <c r="BU120" i="1"/>
  <c r="BU106" i="1"/>
  <c r="BU90" i="1"/>
  <c r="BU74" i="1"/>
  <c r="F32" i="1"/>
  <c r="BU44" i="1"/>
  <c r="N51" i="83" l="1"/>
  <c r="F34" i="85"/>
  <c r="I34" i="85" s="1"/>
  <c r="E34" i="85"/>
  <c r="H34" i="85" s="1"/>
  <c r="B35" i="85"/>
  <c r="N21" i="83"/>
  <c r="EL176" i="1"/>
  <c r="EL159" i="1"/>
  <c r="EL125" i="1"/>
  <c r="B36" i="85" l="1"/>
  <c r="F35" i="85"/>
  <c r="I35" i="85" s="1"/>
  <c r="E35" i="85"/>
  <c r="H35" i="85" s="1"/>
  <c r="H91" i="80"/>
  <c r="G91" i="80"/>
  <c r="F91" i="80"/>
  <c r="E91" i="80"/>
  <c r="D91" i="80"/>
  <c r="J87" i="80" s="1"/>
  <c r="C91" i="80"/>
  <c r="H83" i="80"/>
  <c r="G83" i="80"/>
  <c r="F83" i="80"/>
  <c r="E83" i="80"/>
  <c r="D83" i="80"/>
  <c r="C83" i="80"/>
  <c r="I79" i="80" s="1"/>
  <c r="H75" i="80"/>
  <c r="G75" i="80"/>
  <c r="F75" i="80"/>
  <c r="E75" i="80"/>
  <c r="D75" i="80"/>
  <c r="C75" i="80"/>
  <c r="B37" i="85" l="1"/>
  <c r="F36" i="85"/>
  <c r="I36" i="85" s="1"/>
  <c r="E36" i="85"/>
  <c r="H36" i="85" s="1"/>
  <c r="I71" i="80"/>
  <c r="J71" i="80"/>
  <c r="J79" i="80"/>
  <c r="I87" i="80"/>
  <c r="H67" i="80"/>
  <c r="G67" i="80"/>
  <c r="F67" i="80"/>
  <c r="E67" i="80"/>
  <c r="D67" i="80"/>
  <c r="C67" i="80"/>
  <c r="H59" i="80"/>
  <c r="G59" i="80"/>
  <c r="F59" i="80"/>
  <c r="E59" i="80"/>
  <c r="D59" i="80"/>
  <c r="C59" i="80"/>
  <c r="B38" i="85" l="1"/>
  <c r="F37" i="85"/>
  <c r="I37" i="85" s="1"/>
  <c r="E37" i="85"/>
  <c r="H37" i="85" s="1"/>
  <c r="J63" i="80"/>
  <c r="I63" i="80"/>
  <c r="I55" i="80"/>
  <c r="J55" i="80"/>
  <c r="B39" i="85" l="1"/>
  <c r="F38" i="85"/>
  <c r="I38" i="85" s="1"/>
  <c r="E38" i="85"/>
  <c r="H38" i="85" s="1"/>
  <c r="L59" i="1"/>
  <c r="BA59" i="1"/>
  <c r="BE59" i="1"/>
  <c r="BM59" i="1"/>
  <c r="CW60" i="1"/>
  <c r="K61" i="1"/>
  <c r="CO61" i="1"/>
  <c r="EL62" i="1"/>
  <c r="G63" i="1"/>
  <c r="EK63" i="1"/>
  <c r="EL63" i="1"/>
  <c r="AX64" i="1"/>
  <c r="AQ65" i="1"/>
  <c r="BB65" i="1"/>
  <c r="BA74" i="1" s="1"/>
  <c r="BQ66" i="1"/>
  <c r="BU66" i="1"/>
  <c r="BW66" i="1"/>
  <c r="BY66" i="1"/>
  <c r="G66" i="1" s="1"/>
  <c r="AI67" i="1"/>
  <c r="AK67" i="1"/>
  <c r="DW68" i="1"/>
  <c r="G68" i="1" s="1"/>
  <c r="M69" i="1"/>
  <c r="Y69" i="1"/>
  <c r="BO69" i="1"/>
  <c r="L74" i="1"/>
  <c r="J75" i="1"/>
  <c r="EG75" i="1" s="1"/>
  <c r="CW75" i="1"/>
  <c r="K76" i="1"/>
  <c r="CM76" i="1" s="1"/>
  <c r="CO76" i="1"/>
  <c r="EL77" i="1"/>
  <c r="G78" i="1"/>
  <c r="AX79" i="1"/>
  <c r="AQ80" i="1"/>
  <c r="G81" i="1"/>
  <c r="BQ82" i="1"/>
  <c r="BU82" i="1"/>
  <c r="BW82" i="1"/>
  <c r="BY82" i="1"/>
  <c r="G82" i="1" s="1"/>
  <c r="G83" i="1"/>
  <c r="AI83" i="1"/>
  <c r="AK83" i="1"/>
  <c r="G84" i="1"/>
  <c r="DW85" i="1"/>
  <c r="G85" i="1" s="1"/>
  <c r="L90" i="1"/>
  <c r="J91" i="1"/>
  <c r="EG91" i="1" s="1"/>
  <c r="BK91" i="1"/>
  <c r="CW91" i="1"/>
  <c r="K92" i="1"/>
  <c r="CO92" i="1"/>
  <c r="EL93" i="1"/>
  <c r="G94" i="1"/>
  <c r="AQ95" i="1"/>
  <c r="AV95" i="1"/>
  <c r="AU105" i="1" s="1"/>
  <c r="G105" i="1" s="1"/>
  <c r="BB95" i="1"/>
  <c r="DU95" i="1"/>
  <c r="DY95" i="1"/>
  <c r="BQ96" i="1"/>
  <c r="BU96" i="1"/>
  <c r="BW96" i="1"/>
  <c r="BY96" i="1"/>
  <c r="G96" i="1" s="1"/>
  <c r="AI97" i="1"/>
  <c r="AK97" i="1"/>
  <c r="AX98" i="1"/>
  <c r="G100" i="1"/>
  <c r="DW101" i="1"/>
  <c r="G101" i="1" s="1"/>
  <c r="L106" i="1"/>
  <c r="BA106" i="1"/>
  <c r="J107" i="1"/>
  <c r="EG107" i="1" s="1"/>
  <c r="CW107" i="1"/>
  <c r="K108" i="1"/>
  <c r="CO108" i="1"/>
  <c r="G109" i="1"/>
  <c r="EL109" i="1"/>
  <c r="G110" i="1"/>
  <c r="AX111" i="1"/>
  <c r="AQ112" i="1"/>
  <c r="AV112" i="1"/>
  <c r="AU119" i="1" s="1"/>
  <c r="G119" i="1" s="1"/>
  <c r="BB112" i="1"/>
  <c r="BA120" i="1" s="1"/>
  <c r="DU112" i="1"/>
  <c r="DY112" i="1"/>
  <c r="BQ113" i="1"/>
  <c r="BU113" i="1"/>
  <c r="BW113" i="1"/>
  <c r="BY113" i="1"/>
  <c r="G113" i="1" s="1"/>
  <c r="AI114" i="1"/>
  <c r="AK114" i="1"/>
  <c r="DW115" i="1"/>
  <c r="G115" i="1" s="1"/>
  <c r="F116" i="1"/>
  <c r="DS116" i="1"/>
  <c r="G116" i="1" s="1"/>
  <c r="L120" i="1"/>
  <c r="BE120" i="1"/>
  <c r="BM120" i="1"/>
  <c r="J121" i="1"/>
  <c r="EG121" i="1" s="1"/>
  <c r="CW121" i="1"/>
  <c r="K122" i="1"/>
  <c r="CO122" i="1"/>
  <c r="G123" i="1"/>
  <c r="EL123" i="1"/>
  <c r="G124" i="1"/>
  <c r="G125" i="1"/>
  <c r="AQ126" i="1"/>
  <c r="AV126" i="1"/>
  <c r="AU134" i="1" s="1"/>
  <c r="G134" i="1" s="1"/>
  <c r="BB126" i="1"/>
  <c r="BA135" i="1" s="1"/>
  <c r="DU126" i="1"/>
  <c r="DY126" i="1"/>
  <c r="BQ127" i="1"/>
  <c r="BU127" i="1"/>
  <c r="BW127" i="1"/>
  <c r="BY127" i="1"/>
  <c r="AI128" i="1"/>
  <c r="AK128" i="1"/>
  <c r="AX129" i="1"/>
  <c r="DS129" i="1" s="1"/>
  <c r="DW130" i="1"/>
  <c r="G130" i="1" s="1"/>
  <c r="DS131" i="1"/>
  <c r="DS149" i="1" s="1"/>
  <c r="G149" i="1" s="1"/>
  <c r="L135" i="1"/>
  <c r="BE135" i="1"/>
  <c r="BM135" i="1"/>
  <c r="J136" i="1"/>
  <c r="CW136" i="1"/>
  <c r="K137" i="1"/>
  <c r="CO137" i="1"/>
  <c r="G138" i="1"/>
  <c r="EL138" i="1"/>
  <c r="G139" i="1"/>
  <c r="AX140" i="1"/>
  <c r="DS140" i="1" s="1"/>
  <c r="G142" i="1"/>
  <c r="AQ143" i="1"/>
  <c r="AV143" i="1"/>
  <c r="AU153" i="1" s="1"/>
  <c r="G153" i="1" s="1"/>
  <c r="BB143" i="1"/>
  <c r="BA154" i="1" s="1"/>
  <c r="DU143" i="1"/>
  <c r="DY143" i="1"/>
  <c r="BQ144" i="1"/>
  <c r="BU144" i="1"/>
  <c r="BW144" i="1"/>
  <c r="BY144" i="1"/>
  <c r="AI145" i="1"/>
  <c r="AK145" i="1"/>
  <c r="DW147" i="1"/>
  <c r="G147" i="1" s="1"/>
  <c r="EO147" i="1" s="1"/>
  <c r="EP147" i="1" s="1"/>
  <c r="F148" i="1"/>
  <c r="DS148" i="1"/>
  <c r="G148" i="1" s="1"/>
  <c r="F149" i="1"/>
  <c r="G150" i="1"/>
  <c r="L154" i="1"/>
  <c r="BE154" i="1"/>
  <c r="BM154" i="1"/>
  <c r="J155" i="1"/>
  <c r="EG155" i="1" s="1"/>
  <c r="CW155" i="1"/>
  <c r="K156" i="1"/>
  <c r="CM156" i="1" s="1"/>
  <c r="CO156" i="1"/>
  <c r="G157" i="1"/>
  <c r="EL157" i="1"/>
  <c r="G158" i="1"/>
  <c r="AQ160" i="1"/>
  <c r="AV160" i="1"/>
  <c r="BB160" i="1"/>
  <c r="BA170" i="1" s="1"/>
  <c r="DU160" i="1"/>
  <c r="DY160" i="1"/>
  <c r="BQ161" i="1"/>
  <c r="BU161" i="1"/>
  <c r="BW161" i="1"/>
  <c r="BY161" i="1"/>
  <c r="G162" i="1"/>
  <c r="AI162" i="1"/>
  <c r="AK162" i="1"/>
  <c r="AX163" i="1"/>
  <c r="DW164" i="1"/>
  <c r="G164" i="1" s="1"/>
  <c r="BE170" i="1"/>
  <c r="BM170" i="1"/>
  <c r="J171" i="1"/>
  <c r="EG171" i="1" s="1"/>
  <c r="CW171" i="1"/>
  <c r="K172" i="1"/>
  <c r="CM172" i="1" s="1"/>
  <c r="CO172" i="1"/>
  <c r="G173" i="1"/>
  <c r="G174" i="1"/>
  <c r="EL174" i="1"/>
  <c r="AX175" i="1"/>
  <c r="AW190" i="1" s="1"/>
  <c r="G176" i="1"/>
  <c r="AQ177" i="1"/>
  <c r="AV177" i="1"/>
  <c r="AU189" i="1" s="1"/>
  <c r="BB177" i="1"/>
  <c r="BA190" i="1" s="1"/>
  <c r="DU177" i="1"/>
  <c r="DY177" i="1"/>
  <c r="BQ178" i="1"/>
  <c r="BS178" i="1"/>
  <c r="BU178" i="1"/>
  <c r="BW178" i="1"/>
  <c r="BY178" i="1"/>
  <c r="AG179" i="1"/>
  <c r="EO179" i="1" s="1"/>
  <c r="EP179" i="1" s="1"/>
  <c r="AI179" i="1"/>
  <c r="AK179" i="1"/>
  <c r="DW181" i="1"/>
  <c r="G181" i="1" s="1"/>
  <c r="EL182" i="1"/>
  <c r="G184" i="1"/>
  <c r="DS186" i="1"/>
  <c r="G186" i="1" s="1"/>
  <c r="L190" i="1"/>
  <c r="BM190" i="1"/>
  <c r="J191" i="1"/>
  <c r="EG191" i="1" s="1"/>
  <c r="CW191" i="1"/>
  <c r="K192" i="1"/>
  <c r="CM192" i="1" s="1"/>
  <c r="CO192" i="1"/>
  <c r="ED194" i="1"/>
  <c r="G195" i="1"/>
  <c r="G196" i="1"/>
  <c r="BN196" i="1"/>
  <c r="EL196" i="1"/>
  <c r="G197" i="1"/>
  <c r="DW198" i="1"/>
  <c r="G198" i="1" s="1"/>
  <c r="AQ199" i="1"/>
  <c r="AV199" i="1"/>
  <c r="BB199" i="1"/>
  <c r="DU199" i="1"/>
  <c r="DY199" i="1"/>
  <c r="BQ200" i="1"/>
  <c r="BS200" i="1"/>
  <c r="BU200" i="1"/>
  <c r="BW200" i="1"/>
  <c r="BY200" i="1"/>
  <c r="G200" i="1" s="1"/>
  <c r="G201" i="1"/>
  <c r="AG201" i="1"/>
  <c r="AI201" i="1"/>
  <c r="AK201" i="1"/>
  <c r="EL203" i="1"/>
  <c r="G207" i="1"/>
  <c r="L207" i="1"/>
  <c r="AZ207" i="1" s="1"/>
  <c r="EK209" i="1"/>
  <c r="BP210" i="1"/>
  <c r="EK210" i="1"/>
  <c r="Y211" i="1"/>
  <c r="ED211" i="1"/>
  <c r="X212" i="1"/>
  <c r="EL212" i="1"/>
  <c r="I213" i="1"/>
  <c r="EC213" i="1"/>
  <c r="EI216" i="1"/>
  <c r="EL216" i="1"/>
  <c r="Y217" i="1"/>
  <c r="EL217" i="1"/>
  <c r="G224" i="1"/>
  <c r="F225" i="1"/>
  <c r="AV226" i="1"/>
  <c r="EE227" i="1"/>
  <c r="L44" i="1"/>
  <c r="BE44" i="1"/>
  <c r="J45" i="1"/>
  <c r="EG45" i="1" s="1"/>
  <c r="CW45" i="1"/>
  <c r="K46" i="1"/>
  <c r="CM46" i="1" s="1"/>
  <c r="CO46" i="1"/>
  <c r="G47" i="1"/>
  <c r="EL47" i="1"/>
  <c r="AX48" i="1"/>
  <c r="G49" i="1"/>
  <c r="AQ50" i="1"/>
  <c r="BB50" i="1"/>
  <c r="BQ51" i="1"/>
  <c r="BU51" i="1"/>
  <c r="BW51" i="1"/>
  <c r="BY51" i="1"/>
  <c r="G51" i="1" s="1"/>
  <c r="AI52" i="1"/>
  <c r="AK52" i="1"/>
  <c r="EL53" i="1"/>
  <c r="DW54" i="1"/>
  <c r="G54" i="1" s="1"/>
  <c r="F55" i="1"/>
  <c r="L26" i="1"/>
  <c r="BE26" i="1"/>
  <c r="J27" i="1"/>
  <c r="EG27" i="1" s="1"/>
  <c r="CW27" i="1"/>
  <c r="K28" i="1"/>
  <c r="CM28" i="1" s="1"/>
  <c r="CO28" i="1"/>
  <c r="G29" i="1"/>
  <c r="EL29" i="1"/>
  <c r="AX30" i="1"/>
  <c r="AQ32" i="1"/>
  <c r="BB32" i="1"/>
  <c r="BA44" i="1" s="1"/>
  <c r="BQ33" i="1"/>
  <c r="BU33" i="1"/>
  <c r="BW33" i="1"/>
  <c r="BY33" i="1"/>
  <c r="G33" i="1" s="1"/>
  <c r="AI34" i="1"/>
  <c r="AK34" i="1"/>
  <c r="DW35" i="1"/>
  <c r="G35" i="1" s="1"/>
  <c r="BE36" i="1"/>
  <c r="G37" i="1"/>
  <c r="CW37" i="1" s="1"/>
  <c r="EL39" i="1"/>
  <c r="A51" i="79"/>
  <c r="H21" i="80"/>
  <c r="F21" i="80"/>
  <c r="E21" i="80"/>
  <c r="D21" i="80"/>
  <c r="C21" i="80"/>
  <c r="H51" i="80"/>
  <c r="DU80" i="1" s="1"/>
  <c r="G51" i="80"/>
  <c r="F51" i="80"/>
  <c r="E51" i="80"/>
  <c r="D51" i="80"/>
  <c r="C51" i="80"/>
  <c r="H14" i="80"/>
  <c r="G14" i="80"/>
  <c r="F14" i="80"/>
  <c r="E14" i="80"/>
  <c r="D14" i="80"/>
  <c r="C14" i="80"/>
  <c r="A3" i="80"/>
  <c r="A2" i="80"/>
  <c r="A1" i="80"/>
  <c r="G190" i="1" l="1"/>
  <c r="AW59" i="1"/>
  <c r="DS48" i="1"/>
  <c r="G48" i="1" s="1"/>
  <c r="AW170" i="1"/>
  <c r="G170" i="1" s="1"/>
  <c r="DS163" i="1"/>
  <c r="G163" i="1" s="1"/>
  <c r="EO163" i="1" s="1"/>
  <c r="CM137" i="1"/>
  <c r="F137" i="1" s="1"/>
  <c r="J154" i="1"/>
  <c r="G154" i="1" s="1"/>
  <c r="DS79" i="1"/>
  <c r="G79" i="1" s="1"/>
  <c r="BP70" i="1"/>
  <c r="F70" i="1" s="1"/>
  <c r="G69" i="1"/>
  <c r="DS64" i="1"/>
  <c r="G64" i="1" s="1"/>
  <c r="AW44" i="1"/>
  <c r="G44" i="1" s="1"/>
  <c r="DS30" i="1"/>
  <c r="G30" i="1" s="1"/>
  <c r="G189" i="1"/>
  <c r="CM122" i="1"/>
  <c r="F122" i="1" s="1"/>
  <c r="J135" i="1"/>
  <c r="DS111" i="1"/>
  <c r="G111" i="1" s="1"/>
  <c r="DS98" i="1"/>
  <c r="G98" i="1" s="1"/>
  <c r="G95" i="1"/>
  <c r="EO95" i="1" s="1"/>
  <c r="AU169" i="1"/>
  <c r="G169" i="1" s="1"/>
  <c r="CM108" i="1"/>
  <c r="F108" i="1" s="1"/>
  <c r="J120" i="1"/>
  <c r="DS175" i="1"/>
  <c r="G175" i="1" s="1"/>
  <c r="G129" i="1"/>
  <c r="EO129" i="1" s="1"/>
  <c r="EN129" i="1"/>
  <c r="G178" i="1"/>
  <c r="EO178" i="1" s="1"/>
  <c r="EN178" i="1"/>
  <c r="EN161" i="1"/>
  <c r="G161" i="1"/>
  <c r="EO161" i="1" s="1"/>
  <c r="G144" i="1"/>
  <c r="EO144" i="1" s="1"/>
  <c r="EN144" i="1"/>
  <c r="EN127" i="1"/>
  <c r="G127" i="1"/>
  <c r="EO127" i="1" s="1"/>
  <c r="B40" i="85"/>
  <c r="F39" i="85"/>
  <c r="I39" i="85" s="1"/>
  <c r="E39" i="85"/>
  <c r="H39" i="85" s="1"/>
  <c r="G27" i="1"/>
  <c r="F46" i="1"/>
  <c r="EA179" i="1"/>
  <c r="AW90" i="1"/>
  <c r="G90" i="1" s="1"/>
  <c r="AW74" i="1"/>
  <c r="G74" i="1" s="1"/>
  <c r="G75" i="1"/>
  <c r="I10" i="80"/>
  <c r="F28" i="1"/>
  <c r="G45" i="1"/>
  <c r="F76" i="1"/>
  <c r="G107" i="1"/>
  <c r="G199" i="1"/>
  <c r="EA201" i="1"/>
  <c r="G59" i="1"/>
  <c r="G171" i="1"/>
  <c r="G160" i="1"/>
  <c r="F156" i="1"/>
  <c r="G140" i="1"/>
  <c r="EO140" i="1" s="1"/>
  <c r="EN140" i="1"/>
  <c r="G177" i="1"/>
  <c r="F172" i="1"/>
  <c r="G155" i="1"/>
  <c r="G143" i="1"/>
  <c r="EG136" i="1"/>
  <c r="G136" i="1" s="1"/>
  <c r="G126" i="1"/>
  <c r="AW135" i="1"/>
  <c r="G112" i="1"/>
  <c r="J10" i="80"/>
  <c r="G91" i="1"/>
  <c r="CM92" i="1"/>
  <c r="F92" i="1" s="1"/>
  <c r="F192" i="1"/>
  <c r="G191" i="1"/>
  <c r="G131" i="1"/>
  <c r="G121" i="1"/>
  <c r="AW120" i="1"/>
  <c r="CM61" i="1"/>
  <c r="F61" i="1" s="1"/>
  <c r="AW106" i="1"/>
  <c r="G106" i="1" s="1"/>
  <c r="J46" i="80"/>
  <c r="I46" i="80"/>
  <c r="G120" i="1" l="1"/>
  <c r="G135" i="1"/>
  <c r="EN163" i="1"/>
  <c r="EP163" i="1" s="1"/>
  <c r="DY80" i="1"/>
  <c r="EN80" i="1" s="1"/>
  <c r="EP129" i="1"/>
  <c r="EP144" i="1"/>
  <c r="EP178" i="1"/>
  <c r="EP127" i="1"/>
  <c r="EP161" i="1"/>
  <c r="B41" i="85"/>
  <c r="F40" i="85"/>
  <c r="I40" i="85" s="1"/>
  <c r="E40" i="85"/>
  <c r="H40" i="85" s="1"/>
  <c r="AV80" i="1"/>
  <c r="H42" i="80"/>
  <c r="DU65" i="1" s="1"/>
  <c r="G42" i="80"/>
  <c r="F42" i="80"/>
  <c r="E42" i="80"/>
  <c r="D42" i="80"/>
  <c r="C42" i="80"/>
  <c r="H33" i="80"/>
  <c r="DU50" i="1" s="1"/>
  <c r="G33" i="80"/>
  <c r="F33" i="80"/>
  <c r="E33" i="80"/>
  <c r="D33" i="80"/>
  <c r="C33" i="80"/>
  <c r="H24" i="80"/>
  <c r="DU32" i="1" s="1"/>
  <c r="G24" i="80"/>
  <c r="F24" i="80"/>
  <c r="E24" i="80"/>
  <c r="D24" i="80"/>
  <c r="C24" i="80"/>
  <c r="G80" i="1" l="1"/>
  <c r="B42" i="85"/>
  <c r="F41" i="85"/>
  <c r="I41" i="85" s="1"/>
  <c r="E41" i="85"/>
  <c r="H41" i="85" s="1"/>
  <c r="AU89" i="1"/>
  <c r="G89" i="1" s="1"/>
  <c r="I37" i="80"/>
  <c r="I28" i="80"/>
  <c r="I18" i="80"/>
  <c r="J37" i="80"/>
  <c r="J28" i="80"/>
  <c r="J18" i="80"/>
  <c r="DY32" i="1" l="1"/>
  <c r="EN32" i="1" s="1"/>
  <c r="DY50" i="1"/>
  <c r="EN50" i="1" s="1"/>
  <c r="DY65" i="1"/>
  <c r="EN65" i="1" s="1"/>
  <c r="B43" i="85"/>
  <c r="F42" i="85"/>
  <c r="I42" i="85" s="1"/>
  <c r="E42" i="85"/>
  <c r="H42" i="85" s="1"/>
  <c r="AV32" i="1"/>
  <c r="AU43" i="1" s="1"/>
  <c r="G43" i="1" s="1"/>
  <c r="AV65" i="1"/>
  <c r="A16" i="79"/>
  <c r="J60" i="1"/>
  <c r="AU73" i="1" l="1"/>
  <c r="G73" i="1" s="1"/>
  <c r="G65" i="1"/>
  <c r="AV50" i="1"/>
  <c r="B44" i="85"/>
  <c r="F43" i="85"/>
  <c r="I43" i="85" s="1"/>
  <c r="E43" i="85"/>
  <c r="H43" i="85" s="1"/>
  <c r="G32" i="1"/>
  <c r="EG60" i="1"/>
  <c r="G60" i="1" s="1"/>
  <c r="Q228" i="1"/>
  <c r="P228" i="1"/>
  <c r="B16" i="86" l="1"/>
  <c r="B16" i="89"/>
  <c r="B16" i="88"/>
  <c r="C16" i="89"/>
  <c r="C16" i="88"/>
  <c r="AU58" i="1"/>
  <c r="G58" i="1" s="1"/>
  <c r="G50" i="1"/>
  <c r="C16" i="84"/>
  <c r="C16" i="86"/>
  <c r="E16" i="86" s="1"/>
  <c r="G16" i="86" s="1"/>
  <c r="I16" i="86" s="1"/>
  <c r="B16" i="81"/>
  <c r="B16" i="84"/>
  <c r="D16" i="84" s="1"/>
  <c r="F16" i="84" s="1"/>
  <c r="H16" i="84" s="1"/>
  <c r="F44" i="85"/>
  <c r="I44" i="85" s="1"/>
  <c r="E44" i="85"/>
  <c r="B45" i="85"/>
  <c r="E16" i="84"/>
  <c r="G16" i="84" s="1"/>
  <c r="I16" i="84" s="1"/>
  <c r="C16" i="79"/>
  <c r="C16" i="81"/>
  <c r="P229" i="1"/>
  <c r="Q229" i="1" s="1"/>
  <c r="B16" i="79"/>
  <c r="H128" i="79"/>
  <c r="G126" i="79"/>
  <c r="G68" i="79"/>
  <c r="A57" i="79"/>
  <c r="A56" i="79"/>
  <c r="A55" i="79"/>
  <c r="A54" i="79"/>
  <c r="A53" i="79"/>
  <c r="A52" i="79"/>
  <c r="A50" i="79"/>
  <c r="A48" i="79"/>
  <c r="A47" i="79"/>
  <c r="A46" i="79"/>
  <c r="A45" i="79"/>
  <c r="A44" i="79"/>
  <c r="C43" i="79"/>
  <c r="A43" i="79"/>
  <c r="A42" i="79"/>
  <c r="A41" i="79"/>
  <c r="A40" i="79"/>
  <c r="A39" i="79"/>
  <c r="A38" i="79"/>
  <c r="A37" i="79"/>
  <c r="A36" i="79"/>
  <c r="A35" i="79"/>
  <c r="A34" i="79"/>
  <c r="A33" i="79"/>
  <c r="A31" i="79"/>
  <c r="A30" i="79"/>
  <c r="A29" i="79"/>
  <c r="A28" i="79"/>
  <c r="A27" i="79"/>
  <c r="A26" i="79"/>
  <c r="A25" i="79"/>
  <c r="A24" i="79"/>
  <c r="A23" i="79"/>
  <c r="A22" i="79"/>
  <c r="A21" i="79"/>
  <c r="A20" i="79"/>
  <c r="E18" i="79"/>
  <c r="G18" i="79" s="1"/>
  <c r="I18" i="79" s="1"/>
  <c r="D18" i="79"/>
  <c r="F18" i="79" s="1"/>
  <c r="H18" i="79" s="1"/>
  <c r="A15" i="79"/>
  <c r="A14" i="79"/>
  <c r="A13" i="79"/>
  <c r="A12" i="79"/>
  <c r="E16" i="88" l="1"/>
  <c r="G16" i="88" s="1"/>
  <c r="I16" i="88" s="1"/>
  <c r="D16" i="88"/>
  <c r="F16" i="88" s="1"/>
  <c r="H16" i="88" s="1"/>
  <c r="D16" i="89"/>
  <c r="F16" i="89" s="1"/>
  <c r="H16" i="89" s="1"/>
  <c r="E16" i="89"/>
  <c r="G16" i="89" s="1"/>
  <c r="I16" i="89" s="1"/>
  <c r="E16" i="81"/>
  <c r="G16" i="81" s="1"/>
  <c r="I16" i="81" s="1"/>
  <c r="D16" i="86"/>
  <c r="F16" i="86" s="1"/>
  <c r="H16" i="86" s="1"/>
  <c r="E16" i="79"/>
  <c r="G16" i="79" s="1"/>
  <c r="I16" i="79" s="1"/>
  <c r="F45" i="85"/>
  <c r="I45" i="85" s="1"/>
  <c r="E45" i="85"/>
  <c r="H45" i="85" s="1"/>
  <c r="B46" i="85"/>
  <c r="H44" i="85"/>
  <c r="D16" i="81"/>
  <c r="F16" i="81" s="1"/>
  <c r="H16" i="81" s="1"/>
  <c r="D16" i="79"/>
  <c r="F16" i="79" s="1"/>
  <c r="H16" i="79" s="1"/>
  <c r="I63" i="2"/>
  <c r="E18" i="2"/>
  <c r="G18" i="2" s="1"/>
  <c r="I18" i="2" s="1"/>
  <c r="D18" i="2"/>
  <c r="F18" i="2" s="1"/>
  <c r="H18" i="2" s="1"/>
  <c r="C43" i="2"/>
  <c r="B16" i="2"/>
  <c r="E16" i="2" s="1"/>
  <c r="G16" i="2" s="1"/>
  <c r="I16" i="2" s="1"/>
  <c r="A15" i="2"/>
  <c r="K25" i="2"/>
  <c r="L34" i="2"/>
  <c r="I76" i="77"/>
  <c r="I78" i="77" s="1"/>
  <c r="M21" i="78"/>
  <c r="M22" i="78" s="1"/>
  <c r="A64" i="2"/>
  <c r="E29" i="77"/>
  <c r="F29" i="77"/>
  <c r="D29" i="77"/>
  <c r="O23" i="77"/>
  <c r="G23" i="77"/>
  <c r="H23" i="77"/>
  <c r="G25" i="77"/>
  <c r="H25" i="77"/>
  <c r="G26" i="77"/>
  <c r="H26" i="77"/>
  <c r="G24" i="77"/>
  <c r="I24" i="77" s="1"/>
  <c r="H24" i="77"/>
  <c r="O25" i="77"/>
  <c r="O26" i="77"/>
  <c r="O24" i="77"/>
  <c r="M33" i="77"/>
  <c r="H69" i="77"/>
  <c r="H65" i="77"/>
  <c r="K56" i="77"/>
  <c r="L56" i="77" s="1"/>
  <c r="H56" i="77"/>
  <c r="G17" i="77"/>
  <c r="G18" i="77"/>
  <c r="G19" i="77"/>
  <c r="O15" i="77"/>
  <c r="G15" i="77"/>
  <c r="D13" i="77"/>
  <c r="C17" i="77" s="1"/>
  <c r="E17" i="77" s="1"/>
  <c r="D21" i="77"/>
  <c r="AA28" i="77"/>
  <c r="D10" i="77"/>
  <c r="G10" i="77" s="1"/>
  <c r="E10" i="77"/>
  <c r="G9" i="77"/>
  <c r="H9" i="77"/>
  <c r="H10" i="77"/>
  <c r="G280" i="77"/>
  <c r="E280" i="77"/>
  <c r="H276" i="77"/>
  <c r="G264" i="77"/>
  <c r="E264" i="77"/>
  <c r="E268" i="77"/>
  <c r="E270" i="77" s="1"/>
  <c r="G254" i="77"/>
  <c r="E254" i="77"/>
  <c r="H250" i="77"/>
  <c r="J228" i="77"/>
  <c r="D239" i="77" s="1"/>
  <c r="K228" i="77"/>
  <c r="E239" i="77" s="1"/>
  <c r="E235" i="77"/>
  <c r="E237" i="77" s="1"/>
  <c r="I234" i="77"/>
  <c r="I235" i="77" s="1"/>
  <c r="K229" i="77"/>
  <c r="K230" i="77"/>
  <c r="K231" i="77"/>
  <c r="J229" i="77"/>
  <c r="J230" i="77"/>
  <c r="J231" i="77"/>
  <c r="I232" i="77"/>
  <c r="E228" i="77"/>
  <c r="E229" i="77"/>
  <c r="E230" i="77"/>
  <c r="E231" i="77"/>
  <c r="D228" i="77"/>
  <c r="D229" i="77"/>
  <c r="D230" i="77"/>
  <c r="D231" i="77"/>
  <c r="D232" i="77" s="1"/>
  <c r="C232" i="77"/>
  <c r="F224" i="77"/>
  <c r="D220" i="77"/>
  <c r="E220" i="77" s="1"/>
  <c r="E221" i="77"/>
  <c r="E222" i="77"/>
  <c r="E223" i="77"/>
  <c r="G197" i="77"/>
  <c r="G198" i="77"/>
  <c r="G199" i="77"/>
  <c r="D204" i="77"/>
  <c r="H197" i="77"/>
  <c r="H198" i="77"/>
  <c r="H199" i="77"/>
  <c r="E204" i="77"/>
  <c r="F204" i="77"/>
  <c r="O199" i="77"/>
  <c r="O198" i="77"/>
  <c r="O197" i="77"/>
  <c r="H192" i="77"/>
  <c r="O182" i="77"/>
  <c r="G182" i="77"/>
  <c r="H182" i="77"/>
  <c r="O181" i="77"/>
  <c r="G181" i="77"/>
  <c r="H181" i="77"/>
  <c r="O180" i="77"/>
  <c r="G180" i="77"/>
  <c r="H180" i="77"/>
  <c r="O179" i="77"/>
  <c r="G179" i="77"/>
  <c r="H179" i="77"/>
  <c r="I179" i="77" s="1"/>
  <c r="O175" i="77"/>
  <c r="G175" i="77"/>
  <c r="H175" i="77"/>
  <c r="H171" i="77"/>
  <c r="G140" i="77"/>
  <c r="D141" i="77"/>
  <c r="G141" i="77" s="1"/>
  <c r="H140" i="77"/>
  <c r="E141" i="77"/>
  <c r="H141" i="77" s="1"/>
  <c r="F143" i="77"/>
  <c r="O141" i="77"/>
  <c r="O140" i="77"/>
  <c r="H136" i="77"/>
  <c r="AA45" i="77"/>
  <c r="AA46" i="77" s="1"/>
  <c r="AC45" i="77"/>
  <c r="AB45" i="77"/>
  <c r="R10" i="77"/>
  <c r="O10" i="77"/>
  <c r="R9" i="77"/>
  <c r="O9" i="77"/>
  <c r="R8" i="77"/>
  <c r="H5" i="77"/>
  <c r="E67" i="50"/>
  <c r="E68" i="50" s="1"/>
  <c r="H115" i="50"/>
  <c r="K106" i="50"/>
  <c r="L106" i="50" s="1"/>
  <c r="H106" i="50"/>
  <c r="H55" i="50"/>
  <c r="F56" i="50"/>
  <c r="F57" i="50" s="1"/>
  <c r="H57" i="50" s="1"/>
  <c r="I78" i="50"/>
  <c r="K93" i="50" s="1"/>
  <c r="N56" i="50"/>
  <c r="N57" i="50"/>
  <c r="N58" i="50"/>
  <c r="K78" i="50"/>
  <c r="J78" i="50"/>
  <c r="EN203" i="1"/>
  <c r="EO203" i="1"/>
  <c r="E203" i="1"/>
  <c r="R228" i="1"/>
  <c r="S228" i="1"/>
  <c r="A14" i="2"/>
  <c r="J10" i="76"/>
  <c r="CL228" i="1"/>
  <c r="CN228" i="1"/>
  <c r="K28" i="31"/>
  <c r="E86" i="25"/>
  <c r="C86" i="25"/>
  <c r="K10" i="75"/>
  <c r="M10" i="75" s="1"/>
  <c r="K9" i="75"/>
  <c r="M9" i="75" s="1"/>
  <c r="M11" i="75" s="1"/>
  <c r="J10" i="75"/>
  <c r="J9" i="75"/>
  <c r="L11" i="75"/>
  <c r="A3" i="75"/>
  <c r="A2" i="75"/>
  <c r="A1" i="75"/>
  <c r="E14" i="25"/>
  <c r="F14" i="25" s="1"/>
  <c r="H29" i="25"/>
  <c r="K29" i="25" s="1"/>
  <c r="L30" i="25" s="1"/>
  <c r="L32" i="25" s="1"/>
  <c r="L35" i="25" s="1"/>
  <c r="I21" i="25"/>
  <c r="I22" i="25" s="1"/>
  <c r="G66" i="25"/>
  <c r="G68" i="25" s="1"/>
  <c r="AA238" i="1"/>
  <c r="AA240" i="1" s="1"/>
  <c r="Z238" i="1"/>
  <c r="DC234" i="1"/>
  <c r="G53" i="31"/>
  <c r="AH48" i="31"/>
  <c r="CE2" i="1"/>
  <c r="O4" i="1"/>
  <c r="AU9" i="1"/>
  <c r="G9" i="1" s="1"/>
  <c r="M31" i="31"/>
  <c r="M52" i="31"/>
  <c r="EL21" i="1"/>
  <c r="EO21" i="1" s="1"/>
  <c r="E53" i="1"/>
  <c r="H127" i="2"/>
  <c r="G125" i="2"/>
  <c r="A30" i="2"/>
  <c r="A29" i="2"/>
  <c r="A34" i="2"/>
  <c r="A21" i="2"/>
  <c r="A20" i="2"/>
  <c r="E175" i="1"/>
  <c r="EO111" i="1"/>
  <c r="E98" i="1"/>
  <c r="EO48" i="1"/>
  <c r="AX14" i="1"/>
  <c r="DS14" i="1" s="1"/>
  <c r="E8" i="1"/>
  <c r="G67" i="2"/>
  <c r="G56" i="74"/>
  <c r="A45" i="74"/>
  <c r="A44" i="74"/>
  <c r="A43" i="74"/>
  <c r="A42" i="74"/>
  <c r="A41" i="74"/>
  <c r="A40" i="74"/>
  <c r="A39" i="74"/>
  <c r="A38" i="74"/>
  <c r="A37" i="74"/>
  <c r="A36" i="74"/>
  <c r="A35" i="74"/>
  <c r="A34" i="74"/>
  <c r="A33" i="74"/>
  <c r="C32" i="74"/>
  <c r="A32" i="74"/>
  <c r="A31" i="74"/>
  <c r="A30" i="74"/>
  <c r="A29" i="74"/>
  <c r="A28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G57" i="73"/>
  <c r="I52" i="73"/>
  <c r="A45" i="73"/>
  <c r="A44" i="73"/>
  <c r="A43" i="73"/>
  <c r="A42" i="73"/>
  <c r="A41" i="73"/>
  <c r="A40" i="73"/>
  <c r="A39" i="73"/>
  <c r="A38" i="73"/>
  <c r="A37" i="73"/>
  <c r="A36" i="73"/>
  <c r="A35" i="73"/>
  <c r="A34" i="73"/>
  <c r="A33" i="73"/>
  <c r="C32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20" i="69"/>
  <c r="A20" i="68"/>
  <c r="A20" i="1"/>
  <c r="A21" i="31"/>
  <c r="A20" i="4"/>
  <c r="A27" i="2"/>
  <c r="E241" i="1"/>
  <c r="H243" i="1" s="1"/>
  <c r="E244" i="1"/>
  <c r="CE235" i="1"/>
  <c r="F34" i="69"/>
  <c r="H34" i="69"/>
  <c r="H32" i="69"/>
  <c r="F32" i="69"/>
  <c r="C25" i="69"/>
  <c r="F47" i="69"/>
  <c r="H45" i="69"/>
  <c r="F45" i="69"/>
  <c r="F37" i="69"/>
  <c r="D36" i="69"/>
  <c r="J27" i="69"/>
  <c r="I27" i="69"/>
  <c r="H27" i="69"/>
  <c r="G27" i="69"/>
  <c r="K25" i="69"/>
  <c r="L25" i="69" s="1"/>
  <c r="L27" i="69" s="1"/>
  <c r="L17" i="69"/>
  <c r="K17" i="69"/>
  <c r="J17" i="69"/>
  <c r="I17" i="69"/>
  <c r="G17" i="69"/>
  <c r="N14" i="69"/>
  <c r="N13" i="69"/>
  <c r="P12" i="69"/>
  <c r="N12" i="69"/>
  <c r="P11" i="69"/>
  <c r="N11" i="69"/>
  <c r="H10" i="69"/>
  <c r="H17" i="69" s="1"/>
  <c r="P9" i="69"/>
  <c r="M33" i="68"/>
  <c r="E32" i="68"/>
  <c r="E33" i="68" s="1"/>
  <c r="F30" i="68"/>
  <c r="H24" i="68"/>
  <c r="E20" i="68"/>
  <c r="M19" i="68"/>
  <c r="M20" i="68" s="1"/>
  <c r="M30" i="68" s="1"/>
  <c r="K19" i="68"/>
  <c r="K20" i="68" s="1"/>
  <c r="J19" i="68"/>
  <c r="J20" i="68" s="1"/>
  <c r="H10" i="68"/>
  <c r="AF6" i="68"/>
  <c r="AF5" i="68"/>
  <c r="H5" i="68"/>
  <c r="A33" i="2"/>
  <c r="A48" i="2"/>
  <c r="X239" i="1"/>
  <c r="A28" i="2"/>
  <c r="L29" i="66"/>
  <c r="L28" i="66"/>
  <c r="M38" i="66"/>
  <c r="L38" i="66"/>
  <c r="B4" i="66"/>
  <c r="B3" i="66"/>
  <c r="B2" i="66"/>
  <c r="B1" i="66"/>
  <c r="D16" i="66"/>
  <c r="F16" i="66" s="1"/>
  <c r="L13" i="66"/>
  <c r="L14" i="66" s="1"/>
  <c r="F13" i="66"/>
  <c r="F14" i="66" s="1"/>
  <c r="E13" i="66"/>
  <c r="F49" i="31"/>
  <c r="S235" i="1"/>
  <c r="G158" i="66"/>
  <c r="F158" i="66"/>
  <c r="E158" i="66"/>
  <c r="H157" i="66"/>
  <c r="H158" i="66" s="1"/>
  <c r="K156" i="66"/>
  <c r="G149" i="66"/>
  <c r="I111" i="66"/>
  <c r="G111" i="66"/>
  <c r="G113" i="66" s="1"/>
  <c r="H38" i="66"/>
  <c r="J38" i="66"/>
  <c r="J39" i="66" s="1"/>
  <c r="L27" i="66"/>
  <c r="M27" i="66" s="1"/>
  <c r="L21" i="66"/>
  <c r="M21" i="66" s="1"/>
  <c r="F17" i="66"/>
  <c r="J13" i="66"/>
  <c r="J14" i="66" s="1"/>
  <c r="J23" i="66"/>
  <c r="J25" i="66" s="1"/>
  <c r="J32" i="66" s="1"/>
  <c r="I13" i="66"/>
  <c r="I14" i="66" s="1"/>
  <c r="I23" i="66" s="1"/>
  <c r="I25" i="66" s="1"/>
  <c r="I32" i="66" s="1"/>
  <c r="H13" i="66"/>
  <c r="H14" i="66" s="1"/>
  <c r="G13" i="66"/>
  <c r="G14" i="66" s="1"/>
  <c r="E14" i="66"/>
  <c r="E23" i="66" s="1"/>
  <c r="E25" i="66" s="1"/>
  <c r="E32" i="66" s="1"/>
  <c r="M13" i="66"/>
  <c r="D12" i="66"/>
  <c r="N5" i="66"/>
  <c r="I5" i="66"/>
  <c r="I6" i="66" s="1"/>
  <c r="N4" i="66"/>
  <c r="F4" i="66"/>
  <c r="E4" i="66"/>
  <c r="N3" i="66"/>
  <c r="M14" i="66"/>
  <c r="K35" i="66"/>
  <c r="EN77" i="1"/>
  <c r="EO62" i="1"/>
  <c r="EO93" i="1"/>
  <c r="EN93" i="1"/>
  <c r="E93" i="1"/>
  <c r="EO77" i="1"/>
  <c r="E77" i="1"/>
  <c r="EN62" i="1"/>
  <c r="E62" i="1"/>
  <c r="N31" i="31"/>
  <c r="H185" i="65"/>
  <c r="H184" i="65"/>
  <c r="H183" i="65"/>
  <c r="H182" i="65"/>
  <c r="H181" i="65"/>
  <c r="H180" i="65"/>
  <c r="H179" i="65"/>
  <c r="H178" i="65"/>
  <c r="H177" i="65"/>
  <c r="M176" i="65"/>
  <c r="H176" i="65"/>
  <c r="H175" i="65"/>
  <c r="H174" i="65"/>
  <c r="H173" i="65"/>
  <c r="H172" i="65"/>
  <c r="H171" i="65"/>
  <c r="H170" i="65"/>
  <c r="H169" i="65"/>
  <c r="H168" i="65"/>
  <c r="H167" i="65"/>
  <c r="H166" i="65"/>
  <c r="H165" i="65"/>
  <c r="H164" i="65"/>
  <c r="H156" i="65"/>
  <c r="H25" i="65" s="1"/>
  <c r="I25" i="65" s="1"/>
  <c r="H143" i="65"/>
  <c r="H144" i="65" s="1"/>
  <c r="H24" i="65" s="1"/>
  <c r="I24" i="65" s="1"/>
  <c r="G143" i="65"/>
  <c r="I143" i="65" s="1"/>
  <c r="H136" i="65"/>
  <c r="I136" i="65" s="1"/>
  <c r="H135" i="65"/>
  <c r="G135" i="65"/>
  <c r="H125" i="65"/>
  <c r="H126" i="65" s="1"/>
  <c r="H22" i="65" s="1"/>
  <c r="I22" i="65" s="1"/>
  <c r="G125" i="65"/>
  <c r="H113" i="65"/>
  <c r="I113" i="65" s="1"/>
  <c r="H112" i="65"/>
  <c r="H115" i="65" s="1"/>
  <c r="H21" i="65" s="1"/>
  <c r="I21" i="65" s="1"/>
  <c r="I104" i="65"/>
  <c r="H103" i="65"/>
  <c r="I103" i="65" s="1"/>
  <c r="H92" i="65"/>
  <c r="I92" i="65" s="1"/>
  <c r="H84" i="65"/>
  <c r="H18" i="65" s="1"/>
  <c r="I18" i="65" s="1"/>
  <c r="H68" i="65"/>
  <c r="H61" i="65"/>
  <c r="H16" i="65" s="1"/>
  <c r="I16" i="65" s="1"/>
  <c r="I60" i="65"/>
  <c r="I51" i="65"/>
  <c r="H50" i="65"/>
  <c r="H52" i="65" s="1"/>
  <c r="H15" i="65" s="1"/>
  <c r="I15" i="65" s="1"/>
  <c r="H42" i="65"/>
  <c r="H14" i="65" s="1"/>
  <c r="I14" i="65" s="1"/>
  <c r="I41" i="65"/>
  <c r="I40" i="65"/>
  <c r="I39" i="65"/>
  <c r="D28" i="65"/>
  <c r="F25" i="65"/>
  <c r="G25" i="65" s="1"/>
  <c r="F24" i="65"/>
  <c r="G24" i="65" s="1"/>
  <c r="F23" i="65"/>
  <c r="G23" i="65" s="1"/>
  <c r="F22" i="65"/>
  <c r="G22" i="65" s="1"/>
  <c r="F21" i="65"/>
  <c r="G21" i="65" s="1"/>
  <c r="F20" i="65"/>
  <c r="G20" i="65" s="1"/>
  <c r="F19" i="65"/>
  <c r="G19" i="65" s="1"/>
  <c r="F18" i="65"/>
  <c r="I17" i="65"/>
  <c r="F17" i="65"/>
  <c r="G17" i="65" s="1"/>
  <c r="F16" i="65"/>
  <c r="G16" i="65" s="1"/>
  <c r="F15" i="65"/>
  <c r="G15" i="65" s="1"/>
  <c r="F14" i="65"/>
  <c r="G14" i="65" s="1"/>
  <c r="C4" i="65"/>
  <c r="C3" i="65"/>
  <c r="C2" i="65"/>
  <c r="C1" i="65"/>
  <c r="Z46" i="31"/>
  <c r="Z47" i="31"/>
  <c r="Z45" i="31"/>
  <c r="X46" i="31"/>
  <c r="X47" i="31"/>
  <c r="X45" i="31"/>
  <c r="EO198" i="1"/>
  <c r="EN198" i="1"/>
  <c r="E198" i="1"/>
  <c r="EN150" i="1"/>
  <c r="EO150" i="1"/>
  <c r="E150" i="1"/>
  <c r="DC22" i="1"/>
  <c r="E22" i="1" s="1"/>
  <c r="A47" i="2"/>
  <c r="E55" i="1"/>
  <c r="EO116" i="1"/>
  <c r="EN116" i="1"/>
  <c r="E148" i="1"/>
  <c r="O49" i="31"/>
  <c r="E116" i="1"/>
  <c r="H72" i="31"/>
  <c r="H71" i="31"/>
  <c r="H70" i="31"/>
  <c r="H69" i="31"/>
  <c r="H68" i="31"/>
  <c r="H67" i="31"/>
  <c r="H66" i="31"/>
  <c r="H65" i="31"/>
  <c r="H64" i="31"/>
  <c r="H63" i="31"/>
  <c r="AG162" i="1"/>
  <c r="AG145" i="1"/>
  <c r="AG128" i="1"/>
  <c r="AG114" i="1"/>
  <c r="EA114" i="1" s="1"/>
  <c r="AG97" i="1"/>
  <c r="EA97" i="1" s="1"/>
  <c r="AG83" i="1"/>
  <c r="EA83" i="1" s="1"/>
  <c r="AG67" i="1"/>
  <c r="EA67" i="1" s="1"/>
  <c r="AG52" i="1"/>
  <c r="EA52" i="1" s="1"/>
  <c r="AG34" i="1"/>
  <c r="EA34" i="1" s="1"/>
  <c r="F72" i="31"/>
  <c r="BS161" i="1" s="1"/>
  <c r="F71" i="31"/>
  <c r="BS144" i="1" s="1"/>
  <c r="F70" i="31"/>
  <c r="BS127" i="1" s="1"/>
  <c r="F69" i="31"/>
  <c r="BS113" i="1" s="1"/>
  <c r="F68" i="31"/>
  <c r="BS96" i="1" s="1"/>
  <c r="F67" i="31"/>
  <c r="BS82" i="1" s="1"/>
  <c r="F66" i="31"/>
  <c r="BS66" i="1" s="1"/>
  <c r="F65" i="31"/>
  <c r="BS51" i="1" s="1"/>
  <c r="F64" i="31"/>
  <c r="BS33" i="1" s="1"/>
  <c r="F63" i="31"/>
  <c r="BS17" i="1" s="1"/>
  <c r="H113" i="31"/>
  <c r="G113" i="31"/>
  <c r="F113" i="31"/>
  <c r="H94" i="31"/>
  <c r="G94" i="31"/>
  <c r="F94" i="31"/>
  <c r="AK18" i="1"/>
  <c r="EN82" i="1"/>
  <c r="EN200" i="1"/>
  <c r="BY17" i="1"/>
  <c r="BW17" i="1"/>
  <c r="BU17" i="1"/>
  <c r="P76" i="31"/>
  <c r="AK233" i="1" s="1"/>
  <c r="O76" i="31"/>
  <c r="P81" i="31" s="1"/>
  <c r="N76" i="31"/>
  <c r="M76" i="31"/>
  <c r="AK232" i="1" s="1"/>
  <c r="L76" i="31"/>
  <c r="K76" i="31"/>
  <c r="J76" i="31"/>
  <c r="AK231" i="1" s="1"/>
  <c r="I76" i="31"/>
  <c r="AG18" i="1"/>
  <c r="EO18" i="1" s="1"/>
  <c r="EO227" i="1"/>
  <c r="EN226" i="1"/>
  <c r="EN224" i="1"/>
  <c r="EO223" i="1"/>
  <c r="EN223" i="1"/>
  <c r="EO222" i="1"/>
  <c r="EN222" i="1"/>
  <c r="EO221" i="1"/>
  <c r="EN221" i="1"/>
  <c r="EN220" i="1"/>
  <c r="EO219" i="1"/>
  <c r="EN219" i="1"/>
  <c r="EN217" i="1"/>
  <c r="EN215" i="1"/>
  <c r="EO214" i="1"/>
  <c r="EN214" i="1"/>
  <c r="EN213" i="1"/>
  <c r="EN211" i="1"/>
  <c r="EO206" i="1"/>
  <c r="EN206" i="1"/>
  <c r="EO205" i="1"/>
  <c r="EN205" i="1"/>
  <c r="EO204" i="1"/>
  <c r="EN204" i="1"/>
  <c r="EO202" i="1"/>
  <c r="EN202" i="1"/>
  <c r="EN201" i="1"/>
  <c r="EN197" i="1"/>
  <c r="EN196" i="1"/>
  <c r="EO194" i="1"/>
  <c r="EN194" i="1"/>
  <c r="EO193" i="1"/>
  <c r="EN193" i="1"/>
  <c r="EO188" i="1"/>
  <c r="EN188" i="1"/>
  <c r="EO187" i="1"/>
  <c r="EN187" i="1"/>
  <c r="EO185" i="1"/>
  <c r="EN185" i="1"/>
  <c r="EN184" i="1"/>
  <c r="EO183" i="1"/>
  <c r="EN183" i="1"/>
  <c r="EN182" i="1"/>
  <c r="EN181" i="1"/>
  <c r="EN176" i="1"/>
  <c r="EN174" i="1"/>
  <c r="EN173" i="1"/>
  <c r="EO168" i="1"/>
  <c r="EN168" i="1"/>
  <c r="EO167" i="1"/>
  <c r="EN167" i="1"/>
  <c r="EO166" i="1"/>
  <c r="EN166" i="1"/>
  <c r="EO165" i="1"/>
  <c r="EN165" i="1"/>
  <c r="EN164" i="1"/>
  <c r="EO159" i="1"/>
  <c r="EN159" i="1"/>
  <c r="EN158" i="1"/>
  <c r="EN157" i="1"/>
  <c r="EO152" i="1"/>
  <c r="EN152" i="1"/>
  <c r="EO151" i="1"/>
  <c r="EN151" i="1"/>
  <c r="EN142" i="1"/>
  <c r="EO141" i="1"/>
  <c r="EN141" i="1"/>
  <c r="EN139" i="1"/>
  <c r="EN138" i="1"/>
  <c r="EO133" i="1"/>
  <c r="EN133" i="1"/>
  <c r="EO132" i="1"/>
  <c r="EN132" i="1"/>
  <c r="EN130" i="1"/>
  <c r="EN125" i="1"/>
  <c r="EN124" i="1"/>
  <c r="EN123" i="1"/>
  <c r="EO118" i="1"/>
  <c r="EN118" i="1"/>
  <c r="EO117" i="1"/>
  <c r="EN117" i="1"/>
  <c r="EN115" i="1"/>
  <c r="EN110" i="1"/>
  <c r="EN109" i="1"/>
  <c r="EO104" i="1"/>
  <c r="EN104" i="1"/>
  <c r="EO103" i="1"/>
  <c r="EN103" i="1"/>
  <c r="EP103" i="1" s="1"/>
  <c r="EO102" i="1"/>
  <c r="EN102" i="1"/>
  <c r="EN101" i="1"/>
  <c r="EN100" i="1"/>
  <c r="EO99" i="1"/>
  <c r="EN99" i="1"/>
  <c r="EN94" i="1"/>
  <c r="EO88" i="1"/>
  <c r="EN88" i="1"/>
  <c r="EO87" i="1"/>
  <c r="EN87" i="1"/>
  <c r="EO86" i="1"/>
  <c r="EN86" i="1"/>
  <c r="EN85" i="1"/>
  <c r="EN84" i="1"/>
  <c r="EN83" i="1"/>
  <c r="EN78" i="1"/>
  <c r="EO72" i="1"/>
  <c r="EN72" i="1"/>
  <c r="EO71" i="1"/>
  <c r="EN71" i="1"/>
  <c r="EN68" i="1"/>
  <c r="EO57" i="1"/>
  <c r="EN57" i="1"/>
  <c r="EO56" i="1"/>
  <c r="EN56" i="1"/>
  <c r="EO55" i="1"/>
  <c r="EN55" i="1"/>
  <c r="EN54" i="1"/>
  <c r="EN49" i="1"/>
  <c r="EN47" i="1"/>
  <c r="EO42" i="1"/>
  <c r="EN42" i="1"/>
  <c r="EO41" i="1"/>
  <c r="EN41" i="1"/>
  <c r="EO40" i="1"/>
  <c r="EN40" i="1"/>
  <c r="EN39" i="1"/>
  <c r="EO38" i="1"/>
  <c r="EN38" i="1"/>
  <c r="EO36" i="1"/>
  <c r="EN35" i="1"/>
  <c r="EO31" i="1"/>
  <c r="EN31" i="1"/>
  <c r="EN29" i="1"/>
  <c r="EO24" i="1"/>
  <c r="EN24" i="1"/>
  <c r="EO23" i="1"/>
  <c r="EN23" i="1"/>
  <c r="EN21" i="1"/>
  <c r="EO20" i="1"/>
  <c r="EN20" i="1"/>
  <c r="EN19" i="1"/>
  <c r="EN15" i="1"/>
  <c r="BT228" i="1"/>
  <c r="C30" i="84" s="1"/>
  <c r="BR228" i="1"/>
  <c r="BV228" i="1"/>
  <c r="EO82" i="1"/>
  <c r="E76" i="31"/>
  <c r="AI18" i="1"/>
  <c r="D76" i="31"/>
  <c r="BQ17" i="1"/>
  <c r="C76" i="31"/>
  <c r="EO200" i="1"/>
  <c r="EO209" i="1"/>
  <c r="BG10" i="1"/>
  <c r="AY10" i="1"/>
  <c r="AY228" i="1" s="1"/>
  <c r="AW10" i="1"/>
  <c r="J10" i="1"/>
  <c r="K14" i="25"/>
  <c r="L14" i="25" s="1"/>
  <c r="K15" i="25"/>
  <c r="L15" i="25" s="1"/>
  <c r="K16" i="25"/>
  <c r="L16" i="25" s="1"/>
  <c r="K17" i="25"/>
  <c r="L17" i="25" s="1"/>
  <c r="K18" i="25"/>
  <c r="L18" i="25" s="1"/>
  <c r="K19" i="25"/>
  <c r="L19" i="25" s="1"/>
  <c r="K20" i="25"/>
  <c r="L20" i="25" s="1"/>
  <c r="K21" i="25"/>
  <c r="L21" i="25" s="1"/>
  <c r="K22" i="25"/>
  <c r="L22" i="25" s="1"/>
  <c r="K23" i="25"/>
  <c r="L23" i="25" s="1"/>
  <c r="K24" i="25"/>
  <c r="L24" i="25" s="1"/>
  <c r="K25" i="25"/>
  <c r="L25" i="25" s="1"/>
  <c r="K13" i="25"/>
  <c r="L13" i="25" s="1"/>
  <c r="EO70" i="1"/>
  <c r="F264" i="1"/>
  <c r="C23" i="31"/>
  <c r="C24" i="31"/>
  <c r="C25" i="31"/>
  <c r="C26" i="31"/>
  <c r="D28" i="31"/>
  <c r="E28" i="31"/>
  <c r="F28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F49" i="6"/>
  <c r="G54" i="4"/>
  <c r="L51" i="19"/>
  <c r="G48" i="3" s="1"/>
  <c r="B4" i="1"/>
  <c r="A4" i="89" s="1"/>
  <c r="B3" i="1"/>
  <c r="A3" i="89" s="1"/>
  <c r="B2" i="1"/>
  <c r="B1" i="1"/>
  <c r="A1" i="89" s="1"/>
  <c r="EN233" i="1"/>
  <c r="EO224" i="1"/>
  <c r="DY16" i="1"/>
  <c r="EO220" i="1"/>
  <c r="E223" i="1"/>
  <c r="EN36" i="1"/>
  <c r="EO212" i="1"/>
  <c r="E101" i="1"/>
  <c r="E19" i="1"/>
  <c r="E39" i="1"/>
  <c r="E21" i="1"/>
  <c r="EO182" i="1"/>
  <c r="EO39" i="1"/>
  <c r="A43" i="2"/>
  <c r="H49" i="31"/>
  <c r="I49" i="31"/>
  <c r="K49" i="31"/>
  <c r="L49" i="31"/>
  <c r="BB16" i="1"/>
  <c r="BA26" i="1" s="1"/>
  <c r="AQ16" i="1"/>
  <c r="E202" i="1"/>
  <c r="E196" i="1"/>
  <c r="E174" i="1"/>
  <c r="E157" i="1"/>
  <c r="E160" i="1"/>
  <c r="E138" i="1"/>
  <c r="E123" i="1"/>
  <c r="E109" i="1"/>
  <c r="E47" i="1"/>
  <c r="E29" i="1"/>
  <c r="G13" i="1"/>
  <c r="EO123" i="1"/>
  <c r="EO157" i="1"/>
  <c r="EO196" i="1"/>
  <c r="EO47" i="1"/>
  <c r="EO109" i="1"/>
  <c r="EO138" i="1"/>
  <c r="EO174" i="1"/>
  <c r="J49" i="31"/>
  <c r="EN95" i="1"/>
  <c r="E95" i="1"/>
  <c r="AV16" i="1"/>
  <c r="M49" i="31"/>
  <c r="E222" i="1"/>
  <c r="DW19" i="1"/>
  <c r="G19" i="1" s="1"/>
  <c r="EO19" i="1" s="1"/>
  <c r="EP19" i="1" s="1"/>
  <c r="E85" i="1"/>
  <c r="E38" i="1"/>
  <c r="E31" i="1"/>
  <c r="EO35" i="1"/>
  <c r="EO68" i="1"/>
  <c r="EO54" i="1"/>
  <c r="EO85" i="1"/>
  <c r="EO101" i="1"/>
  <c r="EO115" i="1"/>
  <c r="EO130" i="1"/>
  <c r="EO164" i="1"/>
  <c r="EN177" i="1"/>
  <c r="DU16" i="1"/>
  <c r="E16" i="1" s="1"/>
  <c r="CW11" i="1"/>
  <c r="CO12" i="1"/>
  <c r="C24" i="25"/>
  <c r="E24" i="25" s="1"/>
  <c r="F24" i="25" s="1"/>
  <c r="C22" i="25"/>
  <c r="E22" i="25" s="1"/>
  <c r="F22" i="25" s="1"/>
  <c r="EN63" i="1"/>
  <c r="K12" i="1"/>
  <c r="CM12" i="1" s="1"/>
  <c r="J11" i="1"/>
  <c r="EG11" i="1" s="1"/>
  <c r="C5" i="52"/>
  <c r="E63" i="1"/>
  <c r="E177" i="1"/>
  <c r="EO181" i="1"/>
  <c r="E75" i="1"/>
  <c r="EN112" i="1"/>
  <c r="E126" i="1"/>
  <c r="E143" i="1"/>
  <c r="EO143" i="1"/>
  <c r="EN199" i="1"/>
  <c r="E199" i="1"/>
  <c r="N10" i="19"/>
  <c r="EN225" i="1"/>
  <c r="AH228" i="1"/>
  <c r="C13" i="74"/>
  <c r="U228" i="1"/>
  <c r="C16" i="74" s="1"/>
  <c r="V228" i="1"/>
  <c r="W228" i="1"/>
  <c r="AL228" i="1"/>
  <c r="G149" i="20"/>
  <c r="K156" i="20"/>
  <c r="H157" i="20"/>
  <c r="H158" i="20" s="1"/>
  <c r="G158" i="20"/>
  <c r="F158" i="20"/>
  <c r="E158" i="20"/>
  <c r="F4" i="20"/>
  <c r="E4" i="20"/>
  <c r="BK228" i="1"/>
  <c r="BL228" i="1"/>
  <c r="C18" i="52"/>
  <c r="E63" i="52" s="1"/>
  <c r="P28" i="52"/>
  <c r="P29" i="52"/>
  <c r="P30" i="52"/>
  <c r="K3" i="52"/>
  <c r="K4" i="52"/>
  <c r="K5" i="52"/>
  <c r="K6" i="52"/>
  <c r="K7" i="52"/>
  <c r="K8" i="52"/>
  <c r="K9" i="52"/>
  <c r="K10" i="52"/>
  <c r="K11" i="52"/>
  <c r="C24" i="52"/>
  <c r="C25" i="52" s="1"/>
  <c r="C26" i="52" s="1"/>
  <c r="C27" i="52" s="1"/>
  <c r="C28" i="52" s="1"/>
  <c r="C29" i="52" s="1"/>
  <c r="C30" i="52" s="1"/>
  <c r="C31" i="52" s="1"/>
  <c r="C32" i="52" s="1"/>
  <c r="C33" i="52" s="1"/>
  <c r="C34" i="52" s="1"/>
  <c r="C35" i="52" s="1"/>
  <c r="C36" i="52" s="1"/>
  <c r="C37" i="52" s="1"/>
  <c r="C38" i="52" s="1"/>
  <c r="C39" i="52" s="1"/>
  <c r="C40" i="52" s="1"/>
  <c r="C41" i="52" s="1"/>
  <c r="C42" i="52" s="1"/>
  <c r="C43" i="52" s="1"/>
  <c r="C44" i="52" s="1"/>
  <c r="C45" i="52" s="1"/>
  <c r="C46" i="52" s="1"/>
  <c r="C47" i="52" s="1"/>
  <c r="C48" i="52" s="1"/>
  <c r="C49" i="52" s="1"/>
  <c r="C50" i="52" s="1"/>
  <c r="C51" i="52" s="1"/>
  <c r="C52" i="52" s="1"/>
  <c r="C53" i="52" s="1"/>
  <c r="C54" i="52" s="1"/>
  <c r="C55" i="52" s="1"/>
  <c r="C56" i="52" s="1"/>
  <c r="C57" i="52" s="1"/>
  <c r="C58" i="52" s="1"/>
  <c r="C59" i="52" s="1"/>
  <c r="C60" i="52" s="1"/>
  <c r="C61" i="52" s="1"/>
  <c r="C62" i="52" s="1"/>
  <c r="C63" i="52" s="1"/>
  <c r="C64" i="52" s="1"/>
  <c r="C65" i="52" s="1"/>
  <c r="C66" i="52" s="1"/>
  <c r="C67" i="52" s="1"/>
  <c r="C68" i="52" s="1"/>
  <c r="C69" i="52" s="1"/>
  <c r="C70" i="52" s="1"/>
  <c r="C71" i="52" s="1"/>
  <c r="C72" i="52" s="1"/>
  <c r="C73" i="52" s="1"/>
  <c r="C74" i="52" s="1"/>
  <c r="C75" i="52" s="1"/>
  <c r="C76" i="52" s="1"/>
  <c r="C77" i="52" s="1"/>
  <c r="C78" i="52" s="1"/>
  <c r="C79" i="52" s="1"/>
  <c r="C80" i="52" s="1"/>
  <c r="C81" i="52" s="1"/>
  <c r="C82" i="52" s="1"/>
  <c r="C83" i="52" s="1"/>
  <c r="C84" i="52" s="1"/>
  <c r="C85" i="52" s="1"/>
  <c r="C86" i="52" s="1"/>
  <c r="C87" i="52" s="1"/>
  <c r="C88" i="52" s="1"/>
  <c r="C89" i="52" s="1"/>
  <c r="C90" i="52" s="1"/>
  <c r="C91" i="52" s="1"/>
  <c r="C92" i="52" s="1"/>
  <c r="C93" i="52" s="1"/>
  <c r="C94" i="52" s="1"/>
  <c r="C95" i="52" s="1"/>
  <c r="C96" i="52" s="1"/>
  <c r="C97" i="52" s="1"/>
  <c r="C98" i="52" s="1"/>
  <c r="C99" i="52" s="1"/>
  <c r="C100" i="52" s="1"/>
  <c r="C101" i="52" s="1"/>
  <c r="C102" i="52" s="1"/>
  <c r="C103" i="52" s="1"/>
  <c r="C104" i="52" s="1"/>
  <c r="C105" i="52" s="1"/>
  <c r="C106" i="52" s="1"/>
  <c r="C107" i="52" s="1"/>
  <c r="C108" i="52" s="1"/>
  <c r="C109" i="52" s="1"/>
  <c r="C110" i="52" s="1"/>
  <c r="C111" i="52" s="1"/>
  <c r="C112" i="52" s="1"/>
  <c r="C113" i="52" s="1"/>
  <c r="C114" i="52" s="1"/>
  <c r="C115" i="52" s="1"/>
  <c r="C116" i="52" s="1"/>
  <c r="C117" i="52" s="1"/>
  <c r="C118" i="52" s="1"/>
  <c r="C119" i="52" s="1"/>
  <c r="C120" i="52" s="1"/>
  <c r="C121" i="52" s="1"/>
  <c r="C122" i="52" s="1"/>
  <c r="C123" i="52" s="1"/>
  <c r="C124" i="52" s="1"/>
  <c r="C125" i="52" s="1"/>
  <c r="C126" i="52" s="1"/>
  <c r="C127" i="52" s="1"/>
  <c r="C128" i="52" s="1"/>
  <c r="C129" i="52" s="1"/>
  <c r="C130" i="52" s="1"/>
  <c r="C131" i="52" s="1"/>
  <c r="C132" i="52" s="1"/>
  <c r="C133" i="52" s="1"/>
  <c r="C134" i="52" s="1"/>
  <c r="C135" i="52" s="1"/>
  <c r="C136" i="52" s="1"/>
  <c r="C137" i="52" s="1"/>
  <c r="C138" i="52" s="1"/>
  <c r="C139" i="52" s="1"/>
  <c r="C140" i="52" s="1"/>
  <c r="C141" i="52" s="1"/>
  <c r="C142" i="52" s="1"/>
  <c r="D187" i="52"/>
  <c r="E191" i="52"/>
  <c r="AF228" i="1"/>
  <c r="EO216" i="1"/>
  <c r="E215" i="1"/>
  <c r="F14" i="50"/>
  <c r="F15" i="50" s="1"/>
  <c r="F16" i="50" s="1"/>
  <c r="F17" i="50" s="1"/>
  <c r="H17" i="50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H13" i="50"/>
  <c r="L13" i="50" s="1"/>
  <c r="M13" i="50" s="1"/>
  <c r="N14" i="50"/>
  <c r="N15" i="50"/>
  <c r="N16" i="50"/>
  <c r="E24" i="50"/>
  <c r="I24" i="50"/>
  <c r="K39" i="50" s="1"/>
  <c r="J24" i="50"/>
  <c r="K24" i="50"/>
  <c r="G30" i="20"/>
  <c r="E30" i="20"/>
  <c r="D29" i="20"/>
  <c r="H36" i="20" s="1"/>
  <c r="D28" i="20"/>
  <c r="H37" i="20" s="1"/>
  <c r="L28" i="20"/>
  <c r="J37" i="20" s="1"/>
  <c r="T228" i="1"/>
  <c r="EJ228" i="1"/>
  <c r="G15" i="1"/>
  <c r="EO15" i="1"/>
  <c r="EP15" i="1" s="1"/>
  <c r="EN30" i="1"/>
  <c r="EO37" i="1"/>
  <c r="EO49" i="1"/>
  <c r="EN58" i="1"/>
  <c r="E64" i="1"/>
  <c r="EN73" i="1"/>
  <c r="EO78" i="1"/>
  <c r="EO84" i="1"/>
  <c r="EN89" i="1"/>
  <c r="EO94" i="1"/>
  <c r="EO100" i="1"/>
  <c r="EN106" i="1"/>
  <c r="EO107" i="1"/>
  <c r="EO110" i="1"/>
  <c r="E111" i="1"/>
  <c r="EO121" i="1"/>
  <c r="EO124" i="1"/>
  <c r="EO125" i="1"/>
  <c r="EN134" i="1"/>
  <c r="EO139" i="1"/>
  <c r="EO142" i="1"/>
  <c r="EO158" i="1"/>
  <c r="E169" i="1"/>
  <c r="EN169" i="1"/>
  <c r="EO171" i="1"/>
  <c r="EO173" i="1"/>
  <c r="EO176" i="1"/>
  <c r="EP176" i="1" s="1"/>
  <c r="EO184" i="1"/>
  <c r="E186" i="1"/>
  <c r="EN189" i="1"/>
  <c r="EO190" i="1"/>
  <c r="EN191" i="1"/>
  <c r="EO197" i="1"/>
  <c r="EO201" i="1"/>
  <c r="EO225" i="1"/>
  <c r="H228" i="1"/>
  <c r="C16" i="25"/>
  <c r="E16" i="25" s="1"/>
  <c r="F16" i="25" s="1"/>
  <c r="C17" i="25"/>
  <c r="E17" i="25" s="1"/>
  <c r="F17" i="25" s="1"/>
  <c r="C18" i="25"/>
  <c r="E18" i="25" s="1"/>
  <c r="F18" i="25" s="1"/>
  <c r="C19" i="25"/>
  <c r="E19" i="25" s="1"/>
  <c r="F19" i="25" s="1"/>
  <c r="C23" i="25"/>
  <c r="E23" i="25" s="1"/>
  <c r="F23" i="25" s="1"/>
  <c r="C25" i="25"/>
  <c r="E25" i="25" s="1"/>
  <c r="M228" i="1"/>
  <c r="N228" i="1"/>
  <c r="O228" i="1"/>
  <c r="Z228" i="1"/>
  <c r="AA228" i="1"/>
  <c r="EN212" i="1"/>
  <c r="EO211" i="1"/>
  <c r="AB228" i="1"/>
  <c r="AC228" i="1"/>
  <c r="AD228" i="1"/>
  <c r="AE228" i="1"/>
  <c r="AJ228" i="1"/>
  <c r="AK228" i="1"/>
  <c r="AN228" i="1"/>
  <c r="AO228" i="1"/>
  <c r="AM228" i="1"/>
  <c r="AP228" i="1"/>
  <c r="AR228" i="1"/>
  <c r="AS228" i="1"/>
  <c r="BN228" i="1"/>
  <c r="AZ228" i="1"/>
  <c r="C27" i="89" s="1"/>
  <c r="BC228" i="1"/>
  <c r="BD228" i="1"/>
  <c r="BD233" i="1" s="1"/>
  <c r="E36" i="1"/>
  <c r="BF228" i="1"/>
  <c r="C32" i="89" s="1"/>
  <c r="BG228" i="1"/>
  <c r="BH228" i="1"/>
  <c r="BI228" i="1"/>
  <c r="BJ228" i="1"/>
  <c r="BO228" i="1"/>
  <c r="CC228" i="1"/>
  <c r="CD228" i="1"/>
  <c r="CE228" i="1"/>
  <c r="CF228" i="1"/>
  <c r="CG228" i="1"/>
  <c r="CH228" i="1"/>
  <c r="CI228" i="1"/>
  <c r="CJ228" i="1"/>
  <c r="B29" i="74"/>
  <c r="CP228" i="1"/>
  <c r="CQ228" i="1"/>
  <c r="CR228" i="1"/>
  <c r="CS228" i="1"/>
  <c r="DV228" i="1"/>
  <c r="DZ228" i="1"/>
  <c r="EB228" i="1"/>
  <c r="CT228" i="1"/>
  <c r="CU228" i="1"/>
  <c r="CW18" i="1"/>
  <c r="EN18" i="1"/>
  <c r="CX228" i="1"/>
  <c r="CY228" i="1"/>
  <c r="CZ228" i="1"/>
  <c r="C39" i="74" s="1"/>
  <c r="DA228" i="1"/>
  <c r="DB228" i="1"/>
  <c r="DD228" i="1"/>
  <c r="DE228" i="1"/>
  <c r="DF228" i="1"/>
  <c r="DG228" i="1"/>
  <c r="DH228" i="1"/>
  <c r="DI228" i="1"/>
  <c r="DJ228" i="1"/>
  <c r="DK228" i="1"/>
  <c r="DL228" i="1"/>
  <c r="DM228" i="1"/>
  <c r="DN228" i="1"/>
  <c r="DX228" i="1"/>
  <c r="DQ228" i="1"/>
  <c r="DR228" i="1"/>
  <c r="DT228" i="1"/>
  <c r="EK13" i="1"/>
  <c r="EN13" i="1" s="1"/>
  <c r="EN209" i="1"/>
  <c r="EP209" i="1" s="1"/>
  <c r="EN210" i="1"/>
  <c r="EL13" i="1"/>
  <c r="EO29" i="1"/>
  <c r="EO63" i="1"/>
  <c r="EF228" i="1"/>
  <c r="L29" i="20"/>
  <c r="D16" i="20"/>
  <c r="H16" i="20" s="1"/>
  <c r="E13" i="20"/>
  <c r="E14" i="20" s="1"/>
  <c r="E23" i="20" s="1"/>
  <c r="E25" i="20" s="1"/>
  <c r="I5" i="20"/>
  <c r="I6" i="20" s="1"/>
  <c r="M12" i="20"/>
  <c r="M13" i="20" s="1"/>
  <c r="M14" i="20" s="1"/>
  <c r="L13" i="20"/>
  <c r="L14" i="20" s="1"/>
  <c r="G13" i="20"/>
  <c r="G14" i="20" s="1"/>
  <c r="G23" i="20" s="1"/>
  <c r="G25" i="20" s="1"/>
  <c r="G32" i="20" s="1"/>
  <c r="H13" i="20"/>
  <c r="H14" i="20" s="1"/>
  <c r="DY234" i="1"/>
  <c r="BX228" i="1"/>
  <c r="BZ228" i="1"/>
  <c r="CA228" i="1"/>
  <c r="CB228" i="1"/>
  <c r="L27" i="20"/>
  <c r="M27" i="20" s="1"/>
  <c r="D12" i="20"/>
  <c r="F13" i="20"/>
  <c r="F14" i="20" s="1"/>
  <c r="D37" i="19"/>
  <c r="D35" i="19"/>
  <c r="K37" i="19"/>
  <c r="A24" i="2"/>
  <c r="K19" i="19" s="1"/>
  <c r="AB234" i="1"/>
  <c r="C26" i="25"/>
  <c r="E26" i="25" s="1"/>
  <c r="N5" i="20"/>
  <c r="N4" i="20"/>
  <c r="N3" i="20"/>
  <c r="F17" i="20"/>
  <c r="BD238" i="1"/>
  <c r="I236" i="1"/>
  <c r="C26" i="19"/>
  <c r="CW233" i="1"/>
  <c r="F14" i="44"/>
  <c r="G14" i="44" s="1"/>
  <c r="F15" i="44"/>
  <c r="G15" i="44" s="1"/>
  <c r="F16" i="44"/>
  <c r="G16" i="44" s="1"/>
  <c r="F17" i="44"/>
  <c r="G17" i="44" s="1"/>
  <c r="F18" i="44"/>
  <c r="G18" i="44" s="1"/>
  <c r="F19" i="44"/>
  <c r="G19" i="44" s="1"/>
  <c r="F20" i="44"/>
  <c r="G20" i="44" s="1"/>
  <c r="F21" i="44"/>
  <c r="G21" i="44" s="1"/>
  <c r="F22" i="44"/>
  <c r="G22" i="44" s="1"/>
  <c r="F23" i="44"/>
  <c r="G23" i="44" s="1"/>
  <c r="F24" i="44"/>
  <c r="G24" i="44" s="1"/>
  <c r="F25" i="44"/>
  <c r="G25" i="44" s="1"/>
  <c r="D28" i="44"/>
  <c r="A39" i="2"/>
  <c r="E181" i="1"/>
  <c r="E164" i="1"/>
  <c r="E147" i="1"/>
  <c r="E130" i="1"/>
  <c r="E115" i="1"/>
  <c r="E99" i="1"/>
  <c r="E68" i="1"/>
  <c r="E54" i="1"/>
  <c r="E35" i="1"/>
  <c r="A52" i="2"/>
  <c r="E183" i="1"/>
  <c r="AG234" i="1"/>
  <c r="AF234" i="1"/>
  <c r="BW237" i="1"/>
  <c r="E226" i="1"/>
  <c r="DO228" i="1"/>
  <c r="DP228" i="1"/>
  <c r="E201" i="1"/>
  <c r="E184" i="1"/>
  <c r="E100" i="1"/>
  <c r="E182" i="1"/>
  <c r="E185" i="1"/>
  <c r="E84" i="1"/>
  <c r="E83" i="1"/>
  <c r="A38" i="2"/>
  <c r="A37" i="2"/>
  <c r="B30" i="3"/>
  <c r="K15" i="19"/>
  <c r="K26" i="19"/>
  <c r="A31" i="2"/>
  <c r="A22" i="2"/>
  <c r="D36" i="19"/>
  <c r="C25" i="19"/>
  <c r="C16" i="19"/>
  <c r="E214" i="1"/>
  <c r="A53" i="2"/>
  <c r="A36" i="2"/>
  <c r="A35" i="2"/>
  <c r="H69" i="20"/>
  <c r="I66" i="20"/>
  <c r="I68" i="20"/>
  <c r="N49" i="31"/>
  <c r="E49" i="31"/>
  <c r="G49" i="31"/>
  <c r="E14" i="26"/>
  <c r="F14" i="26" s="1"/>
  <c r="C15" i="26"/>
  <c r="C16" i="26" s="1"/>
  <c r="E16" i="26" s="1"/>
  <c r="F16" i="26" s="1"/>
  <c r="E25" i="26"/>
  <c r="F25" i="26" s="1"/>
  <c r="I13" i="20"/>
  <c r="I14" i="20" s="1"/>
  <c r="J13" i="20"/>
  <c r="J14" i="20" s="1"/>
  <c r="L21" i="20"/>
  <c r="M21" i="20" s="1"/>
  <c r="G111" i="20"/>
  <c r="G113" i="20" s="1"/>
  <c r="I111" i="20"/>
  <c r="G28" i="4"/>
  <c r="A12" i="2"/>
  <c r="C17" i="19"/>
  <c r="K18" i="19"/>
  <c r="A13" i="2"/>
  <c r="C18" i="19" s="1"/>
  <c r="A23" i="2"/>
  <c r="C19" i="19" s="1"/>
  <c r="A25" i="2"/>
  <c r="A26" i="2"/>
  <c r="A40" i="2"/>
  <c r="A41" i="2"/>
  <c r="A42" i="2"/>
  <c r="A44" i="2"/>
  <c r="A45" i="2"/>
  <c r="A46" i="2"/>
  <c r="A50" i="2"/>
  <c r="A51" i="2"/>
  <c r="A54" i="2"/>
  <c r="A55" i="2"/>
  <c r="A56" i="2"/>
  <c r="B48" i="3"/>
  <c r="B49" i="3"/>
  <c r="EO9" i="1"/>
  <c r="E15" i="1"/>
  <c r="E24" i="1"/>
  <c r="E42" i="1"/>
  <c r="E49" i="1"/>
  <c r="E57" i="1"/>
  <c r="E72" i="1"/>
  <c r="E74" i="1"/>
  <c r="E78" i="1"/>
  <c r="E88" i="1"/>
  <c r="E94" i="1"/>
  <c r="E104" i="1"/>
  <c r="E110" i="1"/>
  <c r="E118" i="1"/>
  <c r="E124" i="1"/>
  <c r="E125" i="1"/>
  <c r="E133" i="1"/>
  <c r="E139" i="1"/>
  <c r="E141" i="1"/>
  <c r="E142" i="1"/>
  <c r="E152" i="1"/>
  <c r="E158" i="1"/>
  <c r="E159" i="1"/>
  <c r="E162" i="1"/>
  <c r="E168" i="1"/>
  <c r="E173" i="1"/>
  <c r="E176" i="1"/>
  <c r="E188" i="1"/>
  <c r="E193" i="1"/>
  <c r="E194" i="1"/>
  <c r="E197" i="1"/>
  <c r="E211" i="1"/>
  <c r="E224" i="1"/>
  <c r="E227" i="1"/>
  <c r="L234" i="1"/>
  <c r="G239" i="1"/>
  <c r="E27" i="52"/>
  <c r="J27" i="52" s="1"/>
  <c r="E111" i="52"/>
  <c r="E79" i="52"/>
  <c r="E139" i="52"/>
  <c r="E107" i="52"/>
  <c r="E75" i="52"/>
  <c r="E191" i="1"/>
  <c r="E47" i="52"/>
  <c r="F130" i="52"/>
  <c r="E59" i="52"/>
  <c r="F142" i="52"/>
  <c r="F110" i="52"/>
  <c r="E37" i="1"/>
  <c r="E135" i="52"/>
  <c r="E119" i="52"/>
  <c r="E103" i="52"/>
  <c r="E71" i="52"/>
  <c r="E55" i="52"/>
  <c r="D55" i="52" s="1"/>
  <c r="E39" i="52"/>
  <c r="F122" i="52"/>
  <c r="F106" i="52"/>
  <c r="E25" i="52"/>
  <c r="J25" i="52" s="1"/>
  <c r="E115" i="52"/>
  <c r="E99" i="52"/>
  <c r="E83" i="52"/>
  <c r="E51" i="52"/>
  <c r="E35" i="52"/>
  <c r="F134" i="52"/>
  <c r="F100" i="52"/>
  <c r="F92" i="52"/>
  <c r="C33" i="73"/>
  <c r="E210" i="1"/>
  <c r="B29" i="73"/>
  <c r="C13" i="73"/>
  <c r="E209" i="1"/>
  <c r="EO215" i="1"/>
  <c r="EO217" i="1"/>
  <c r="EP217" i="1" s="1"/>
  <c r="E18" i="1"/>
  <c r="E23" i="52"/>
  <c r="J23" i="52" s="1"/>
  <c r="F27" i="52"/>
  <c r="K27" i="52" s="1"/>
  <c r="E140" i="52"/>
  <c r="E136" i="52"/>
  <c r="D136" i="52" s="1"/>
  <c r="E128" i="52"/>
  <c r="E124" i="52"/>
  <c r="E120" i="52"/>
  <c r="E112" i="52"/>
  <c r="E108" i="52"/>
  <c r="E104" i="52"/>
  <c r="E96" i="52"/>
  <c r="E92" i="52"/>
  <c r="E88" i="52"/>
  <c r="E80" i="52"/>
  <c r="E76" i="52"/>
  <c r="E72" i="52"/>
  <c r="E64" i="52"/>
  <c r="E60" i="52"/>
  <c r="E56" i="52"/>
  <c r="E48" i="52"/>
  <c r="E44" i="52"/>
  <c r="E40" i="52"/>
  <c r="E32" i="52"/>
  <c r="E28" i="52"/>
  <c r="F139" i="52"/>
  <c r="F131" i="52"/>
  <c r="F127" i="52"/>
  <c r="F119" i="52"/>
  <c r="D119" i="52" s="1"/>
  <c r="F115" i="52"/>
  <c r="F107" i="52"/>
  <c r="F102" i="52"/>
  <c r="F79" i="52"/>
  <c r="D79" i="52" s="1"/>
  <c r="F39" i="52"/>
  <c r="H14" i="50"/>
  <c r="G14" i="50" s="1"/>
  <c r="F24" i="52"/>
  <c r="K24" i="52" s="1"/>
  <c r="F26" i="52"/>
  <c r="K26" i="52" s="1"/>
  <c r="E142" i="52"/>
  <c r="E138" i="52"/>
  <c r="E134" i="52"/>
  <c r="E126" i="52"/>
  <c r="E122" i="52"/>
  <c r="E114" i="52"/>
  <c r="E110" i="52"/>
  <c r="E106" i="52"/>
  <c r="D106" i="52" s="1"/>
  <c r="E98" i="52"/>
  <c r="E94" i="52"/>
  <c r="E90" i="52"/>
  <c r="E82" i="52"/>
  <c r="E78" i="52"/>
  <c r="E74" i="52"/>
  <c r="E66" i="52"/>
  <c r="E62" i="52"/>
  <c r="E58" i="52"/>
  <c r="E50" i="52"/>
  <c r="D50" i="52" s="1"/>
  <c r="E46" i="52"/>
  <c r="E42" i="52"/>
  <c r="E34" i="52"/>
  <c r="E30" i="52"/>
  <c r="F141" i="52"/>
  <c r="F133" i="52"/>
  <c r="D133" i="52" s="1"/>
  <c r="F129" i="52"/>
  <c r="F125" i="52"/>
  <c r="F117" i="52"/>
  <c r="F113" i="52"/>
  <c r="D113" i="52" s="1"/>
  <c r="F109" i="52"/>
  <c r="F98" i="52"/>
  <c r="F89" i="52"/>
  <c r="F59" i="52"/>
  <c r="D59" i="52" s="1"/>
  <c r="E225" i="1"/>
  <c r="H15" i="50"/>
  <c r="G15" i="50" s="1"/>
  <c r="C17" i="52"/>
  <c r="E26" i="52"/>
  <c r="J26" i="52" s="1"/>
  <c r="E137" i="52"/>
  <c r="E133" i="52"/>
  <c r="E129" i="52"/>
  <c r="E121" i="52"/>
  <c r="E117" i="52"/>
  <c r="E113" i="52"/>
  <c r="E105" i="52"/>
  <c r="E101" i="52"/>
  <c r="D101" i="52" s="1"/>
  <c r="E97" i="52"/>
  <c r="E89" i="52"/>
  <c r="E85" i="52"/>
  <c r="E81" i="52"/>
  <c r="E73" i="52"/>
  <c r="E69" i="52"/>
  <c r="E65" i="52"/>
  <c r="E61" i="52"/>
  <c r="D61" i="52" s="1"/>
  <c r="E57" i="52"/>
  <c r="E53" i="52"/>
  <c r="E49" i="52"/>
  <c r="E45" i="52"/>
  <c r="E41" i="52"/>
  <c r="E37" i="52"/>
  <c r="E33" i="52"/>
  <c r="E29" i="52"/>
  <c r="D29" i="52" s="1"/>
  <c r="F140" i="52"/>
  <c r="F136" i="52"/>
  <c r="F132" i="52"/>
  <c r="F128" i="52"/>
  <c r="D128" i="52" s="1"/>
  <c r="F124" i="52"/>
  <c r="F120" i="52"/>
  <c r="D120" i="52" s="1"/>
  <c r="F116" i="52"/>
  <c r="F112" i="52"/>
  <c r="F108" i="52"/>
  <c r="F104" i="52"/>
  <c r="F96" i="52"/>
  <c r="F84" i="52"/>
  <c r="F51" i="52"/>
  <c r="F101" i="52"/>
  <c r="F97" i="52"/>
  <c r="F93" i="52"/>
  <c r="F87" i="52"/>
  <c r="F75" i="52"/>
  <c r="F55" i="52"/>
  <c r="F35" i="52"/>
  <c r="D35" i="52" s="1"/>
  <c r="F103" i="52"/>
  <c r="F99" i="52"/>
  <c r="F95" i="52"/>
  <c r="F91" i="52"/>
  <c r="F81" i="52"/>
  <c r="F67" i="52"/>
  <c r="F43" i="52"/>
  <c r="F63" i="52"/>
  <c r="F47" i="52"/>
  <c r="D47" i="52" s="1"/>
  <c r="F31" i="52"/>
  <c r="E121" i="1"/>
  <c r="E107" i="1"/>
  <c r="BP228" i="1"/>
  <c r="EO210" i="1"/>
  <c r="EO226" i="1"/>
  <c r="EP226" i="1" s="1"/>
  <c r="EO186" i="1"/>
  <c r="EN186" i="1"/>
  <c r="EN111" i="1"/>
  <c r="EO98" i="1"/>
  <c r="EN98" i="1"/>
  <c r="EO81" i="1"/>
  <c r="EN81" i="1"/>
  <c r="EO64" i="1"/>
  <c r="EN64" i="1"/>
  <c r="EO137" i="1"/>
  <c r="I228" i="1"/>
  <c r="EO213" i="1"/>
  <c r="EO175" i="1"/>
  <c r="EN175" i="1"/>
  <c r="EO131" i="1"/>
  <c r="EN131" i="1"/>
  <c r="EO192" i="1"/>
  <c r="EN156" i="1"/>
  <c r="EO156" i="1"/>
  <c r="EN122" i="1"/>
  <c r="EO92" i="1"/>
  <c r="E216" i="1"/>
  <c r="EN216" i="1"/>
  <c r="EE228" i="1"/>
  <c r="EN227" i="1"/>
  <c r="E129" i="1"/>
  <c r="F90" i="52"/>
  <c r="D90" i="52" s="1"/>
  <c r="F88" i="52"/>
  <c r="F85" i="52"/>
  <c r="F83" i="52"/>
  <c r="F80" i="52"/>
  <c r="F76" i="52"/>
  <c r="D76" i="52" s="1"/>
  <c r="F72" i="52"/>
  <c r="F68" i="52"/>
  <c r="F64" i="52"/>
  <c r="F60" i="52"/>
  <c r="F56" i="52"/>
  <c r="F52" i="52"/>
  <c r="F48" i="52"/>
  <c r="F44" i="52"/>
  <c r="F40" i="52"/>
  <c r="F36" i="52"/>
  <c r="F32" i="52"/>
  <c r="D32" i="52" s="1"/>
  <c r="F28" i="52"/>
  <c r="D28" i="52" s="1"/>
  <c r="X228" i="1"/>
  <c r="EO134" i="1"/>
  <c r="E13" i="1"/>
  <c r="EO169" i="1"/>
  <c r="EO189" i="1"/>
  <c r="E189" i="1"/>
  <c r="BM228" i="1"/>
  <c r="E131" i="1"/>
  <c r="EN149" i="1"/>
  <c r="EI228" i="1"/>
  <c r="B58" i="89" s="1"/>
  <c r="EO191" i="1"/>
  <c r="E81" i="1"/>
  <c r="ED228" i="1"/>
  <c r="Y228" i="1"/>
  <c r="E15" i="26"/>
  <c r="F15" i="26" s="1"/>
  <c r="EP205" i="1"/>
  <c r="EP100" i="1"/>
  <c r="EP152" i="1"/>
  <c r="C17" i="26"/>
  <c r="C18" i="26" s="1"/>
  <c r="J36" i="20"/>
  <c r="H23" i="20"/>
  <c r="H25" i="20" s="1"/>
  <c r="H32" i="20" s="1"/>
  <c r="K34" i="20"/>
  <c r="L30" i="20"/>
  <c r="J38" i="20" s="1"/>
  <c r="F19" i="19"/>
  <c r="CH235" i="1"/>
  <c r="BE228" i="1"/>
  <c r="H16" i="50"/>
  <c r="G16" i="50" s="1"/>
  <c r="G13" i="50"/>
  <c r="F77" i="52"/>
  <c r="F73" i="52"/>
  <c r="D73" i="52" s="1"/>
  <c r="F69" i="52"/>
  <c r="F65" i="52"/>
  <c r="D65" i="52" s="1"/>
  <c r="F61" i="52"/>
  <c r="F57" i="52"/>
  <c r="F53" i="52"/>
  <c r="F49" i="52"/>
  <c r="D49" i="52" s="1"/>
  <c r="F45" i="52"/>
  <c r="F41" i="52"/>
  <c r="D41" i="52" s="1"/>
  <c r="F37" i="52"/>
  <c r="F33" i="52"/>
  <c r="F29" i="52"/>
  <c r="F86" i="52"/>
  <c r="F82" i="52"/>
  <c r="F78" i="52"/>
  <c r="F74" i="52"/>
  <c r="D74" i="52" s="1"/>
  <c r="F70" i="52"/>
  <c r="F66" i="52"/>
  <c r="D66" i="52" s="1"/>
  <c r="F62" i="52"/>
  <c r="F58" i="52"/>
  <c r="F54" i="52"/>
  <c r="F50" i="52"/>
  <c r="F46" i="52"/>
  <c r="F42" i="52"/>
  <c r="F38" i="52"/>
  <c r="F34" i="52"/>
  <c r="D34" i="52" s="1"/>
  <c r="EN37" i="1"/>
  <c r="D57" i="52"/>
  <c r="D89" i="52"/>
  <c r="E156" i="1"/>
  <c r="D60" i="52"/>
  <c r="D80" i="52"/>
  <c r="E106" i="1"/>
  <c r="C20" i="25"/>
  <c r="E20" i="25" s="1"/>
  <c r="F20" i="25" s="1"/>
  <c r="EH228" i="1"/>
  <c r="F26" i="19"/>
  <c r="EO149" i="1"/>
  <c r="E149" i="1"/>
  <c r="F25" i="19"/>
  <c r="F28" i="19" s="1"/>
  <c r="L16" i="50"/>
  <c r="M16" i="50" s="1"/>
  <c r="N37" i="19"/>
  <c r="F35" i="19"/>
  <c r="F39" i="19" s="1"/>
  <c r="F36" i="19"/>
  <c r="F37" i="19"/>
  <c r="F16" i="19"/>
  <c r="F17" i="19"/>
  <c r="EC228" i="1"/>
  <c r="N20" i="19"/>
  <c r="E212" i="1"/>
  <c r="N26" i="19"/>
  <c r="N28" i="19" s="1"/>
  <c r="G28" i="31"/>
  <c r="G29" i="31" s="1"/>
  <c r="EK228" i="1"/>
  <c r="D29" i="66"/>
  <c r="D28" i="66"/>
  <c r="H36" i="66" s="1"/>
  <c r="C57" i="89" l="1"/>
  <c r="C57" i="88"/>
  <c r="B43" i="89"/>
  <c r="B43" i="88"/>
  <c r="C38" i="86"/>
  <c r="C38" i="89"/>
  <c r="C38" i="88"/>
  <c r="B20" i="88"/>
  <c r="E20" i="88" s="1"/>
  <c r="G20" i="88" s="1"/>
  <c r="I20" i="88" s="1"/>
  <c r="B20" i="89"/>
  <c r="B32" i="86"/>
  <c r="B32" i="89"/>
  <c r="B32" i="88"/>
  <c r="D122" i="52"/>
  <c r="D108" i="52"/>
  <c r="B38" i="86"/>
  <c r="B38" i="89"/>
  <c r="B38" i="88"/>
  <c r="C15" i="89"/>
  <c r="C15" i="88"/>
  <c r="B40" i="89"/>
  <c r="B40" i="88"/>
  <c r="I26" i="52"/>
  <c r="P26" i="52" s="1"/>
  <c r="D92" i="52"/>
  <c r="B53" i="86"/>
  <c r="B53" i="89"/>
  <c r="B53" i="88"/>
  <c r="C37" i="89"/>
  <c r="C37" i="88"/>
  <c r="C34" i="89"/>
  <c r="C34" i="88"/>
  <c r="B15" i="88"/>
  <c r="D15" i="88" s="1"/>
  <c r="F15" i="88" s="1"/>
  <c r="H15" i="88" s="1"/>
  <c r="B15" i="89"/>
  <c r="C58" i="86"/>
  <c r="C58" i="89"/>
  <c r="E58" i="89" s="1"/>
  <c r="I58" i="89" s="1"/>
  <c r="C58" i="88"/>
  <c r="B39" i="89"/>
  <c r="B39" i="88"/>
  <c r="B59" i="88"/>
  <c r="B59" i="89"/>
  <c r="B34" i="86"/>
  <c r="B34" i="89"/>
  <c r="B34" i="88"/>
  <c r="D134" i="52"/>
  <c r="C56" i="89"/>
  <c r="C56" i="88"/>
  <c r="C52" i="89"/>
  <c r="C54" i="89"/>
  <c r="C54" i="88"/>
  <c r="C52" i="88"/>
  <c r="B37" i="86"/>
  <c r="B37" i="89"/>
  <c r="B37" i="88"/>
  <c r="C17" i="89"/>
  <c r="C17" i="88"/>
  <c r="B24" i="86"/>
  <c r="B24" i="89"/>
  <c r="B24" i="88"/>
  <c r="C30" i="89"/>
  <c r="C30" i="88"/>
  <c r="C36" i="88"/>
  <c r="E36" i="88" s="1"/>
  <c r="G36" i="88" s="1"/>
  <c r="I36" i="88" s="1"/>
  <c r="C36" i="89"/>
  <c r="B17" i="86"/>
  <c r="B17" i="89"/>
  <c r="B17" i="88"/>
  <c r="B27" i="89"/>
  <c r="B27" i="88"/>
  <c r="D72" i="52"/>
  <c r="D124" i="52"/>
  <c r="I69" i="20"/>
  <c r="B36" i="89"/>
  <c r="B36" i="88"/>
  <c r="B21" i="86"/>
  <c r="B21" i="89"/>
  <c r="B21" i="88"/>
  <c r="C13" i="89"/>
  <c r="C13" i="88"/>
  <c r="A2" i="88"/>
  <c r="A2" i="89"/>
  <c r="C14" i="89"/>
  <c r="C14" i="88"/>
  <c r="C35" i="89"/>
  <c r="C35" i="88"/>
  <c r="C20" i="86"/>
  <c r="C20" i="89"/>
  <c r="C20" i="88"/>
  <c r="C33" i="86"/>
  <c r="C33" i="89"/>
  <c r="C33" i="88"/>
  <c r="B14" i="88"/>
  <c r="E14" i="88" s="1"/>
  <c r="B14" i="89"/>
  <c r="B35" i="89"/>
  <c r="D35" i="89" s="1"/>
  <c r="F35" i="89" s="1"/>
  <c r="H35" i="89" s="1"/>
  <c r="B35" i="88"/>
  <c r="C18" i="89"/>
  <c r="E18" i="89" s="1"/>
  <c r="G18" i="89" s="1"/>
  <c r="I18" i="89" s="1"/>
  <c r="C18" i="88"/>
  <c r="D18" i="88" s="1"/>
  <c r="F18" i="88" s="1"/>
  <c r="H18" i="88" s="1"/>
  <c r="D30" i="20"/>
  <c r="H38" i="20" s="1"/>
  <c r="B33" i="88"/>
  <c r="E33" i="88" s="1"/>
  <c r="G33" i="88" s="1"/>
  <c r="I33" i="88" s="1"/>
  <c r="B33" i="89"/>
  <c r="C55" i="89"/>
  <c r="C55" i="88"/>
  <c r="C48" i="89"/>
  <c r="C48" i="88"/>
  <c r="B31" i="89"/>
  <c r="B31" i="88"/>
  <c r="B18" i="88"/>
  <c r="E18" i="88" s="1"/>
  <c r="G18" i="88" s="1"/>
  <c r="I18" i="88" s="1"/>
  <c r="B18" i="89"/>
  <c r="B46" i="89"/>
  <c r="B46" i="88"/>
  <c r="C31" i="89"/>
  <c r="C31" i="88"/>
  <c r="D140" i="52"/>
  <c r="D78" i="52"/>
  <c r="C60" i="86"/>
  <c r="C60" i="89"/>
  <c r="C60" i="88"/>
  <c r="C45" i="89"/>
  <c r="C45" i="88"/>
  <c r="C23" i="86"/>
  <c r="C23" i="89"/>
  <c r="C23" i="88"/>
  <c r="C44" i="89"/>
  <c r="C44" i="88"/>
  <c r="B23" i="86"/>
  <c r="D23" i="86" s="1"/>
  <c r="F23" i="86" s="1"/>
  <c r="H23" i="86" s="1"/>
  <c r="B23" i="89"/>
  <c r="B23" i="88"/>
  <c r="C42" i="89"/>
  <c r="C42" i="88"/>
  <c r="B41" i="86"/>
  <c r="B41" i="89"/>
  <c r="B41" i="88"/>
  <c r="B42" i="89"/>
  <c r="B42" i="88"/>
  <c r="C47" i="89"/>
  <c r="C47" i="88"/>
  <c r="C46" i="86"/>
  <c r="C46" i="89"/>
  <c r="C46" i="88"/>
  <c r="D40" i="52"/>
  <c r="D117" i="52"/>
  <c r="D129" i="52"/>
  <c r="C41" i="89"/>
  <c r="C41" i="88"/>
  <c r="B60" i="86"/>
  <c r="D60" i="86" s="1"/>
  <c r="H60" i="86" s="1"/>
  <c r="B60" i="89"/>
  <c r="B60" i="88"/>
  <c r="C22" i="86"/>
  <c r="C22" i="89"/>
  <c r="C22" i="88"/>
  <c r="A4" i="86"/>
  <c r="A4" i="88"/>
  <c r="A1" i="86"/>
  <c r="A1" i="88"/>
  <c r="EP20" i="1"/>
  <c r="EP31" i="1"/>
  <c r="EP57" i="1"/>
  <c r="C27" i="86"/>
  <c r="C27" i="88"/>
  <c r="F25" i="25"/>
  <c r="A3" i="86"/>
  <c r="A3" i="88"/>
  <c r="D20" i="88"/>
  <c r="F20" i="88" s="1"/>
  <c r="H20" i="88" s="1"/>
  <c r="C32" i="86"/>
  <c r="C32" i="88"/>
  <c r="B58" i="86"/>
  <c r="D58" i="86" s="1"/>
  <c r="H58" i="86" s="1"/>
  <c r="B58" i="88"/>
  <c r="AN229" i="1"/>
  <c r="AO229" i="1" s="1"/>
  <c r="L15" i="50"/>
  <c r="M15" i="50" s="1"/>
  <c r="C3" i="52"/>
  <c r="I198" i="77"/>
  <c r="J198" i="77" s="1"/>
  <c r="K198" i="77" s="1"/>
  <c r="L198" i="77" s="1"/>
  <c r="M198" i="77" s="1"/>
  <c r="L14" i="50"/>
  <c r="M14" i="50" s="1"/>
  <c r="D42" i="52"/>
  <c r="D58" i="52"/>
  <c r="D97" i="52"/>
  <c r="D48" i="52"/>
  <c r="D112" i="52"/>
  <c r="C23" i="74"/>
  <c r="N6" i="20"/>
  <c r="E32" i="20"/>
  <c r="AR229" i="1"/>
  <c r="AS229" i="1" s="1"/>
  <c r="B21" i="84"/>
  <c r="B18" i="86"/>
  <c r="E264" i="1"/>
  <c r="H56" i="50"/>
  <c r="G56" i="50" s="1"/>
  <c r="I197" i="77"/>
  <c r="J197" i="77" s="1"/>
  <c r="E224" i="77"/>
  <c r="C21" i="84"/>
  <c r="C18" i="86"/>
  <c r="D27" i="52"/>
  <c r="D62" i="52"/>
  <c r="F28" i="44"/>
  <c r="D13" i="20"/>
  <c r="D14" i="20" s="1"/>
  <c r="D83" i="52"/>
  <c r="D75" i="52"/>
  <c r="D104" i="52"/>
  <c r="D98" i="52"/>
  <c r="C23" i="73"/>
  <c r="D115" i="52"/>
  <c r="DC228" i="1"/>
  <c r="E127" i="52"/>
  <c r="D127" i="52" s="1"/>
  <c r="B20" i="84"/>
  <c r="D20" i="84" s="1"/>
  <c r="F20" i="84" s="1"/>
  <c r="H20" i="84" s="1"/>
  <c r="B20" i="86"/>
  <c r="F265" i="1"/>
  <c r="F266" i="1" s="1"/>
  <c r="F267" i="1" s="1"/>
  <c r="EP23" i="1"/>
  <c r="J11" i="75"/>
  <c r="D26" i="52"/>
  <c r="EP158" i="1"/>
  <c r="EP125" i="1"/>
  <c r="EP110" i="1"/>
  <c r="EP94" i="1"/>
  <c r="N6" i="66"/>
  <c r="I25" i="77"/>
  <c r="J25" i="77" s="1"/>
  <c r="K25" i="77" s="1"/>
  <c r="L25" i="77" s="1"/>
  <c r="M25" i="77" s="1"/>
  <c r="E23" i="86"/>
  <c r="G23" i="86" s="1"/>
  <c r="I23" i="86" s="1"/>
  <c r="AU25" i="1"/>
  <c r="G25" i="1" s="1"/>
  <c r="EO25" i="1" s="1"/>
  <c r="G16" i="1"/>
  <c r="EO16" i="1" s="1"/>
  <c r="C15" i="74"/>
  <c r="C17" i="86"/>
  <c r="AL229" i="1"/>
  <c r="AM229" i="1" s="1"/>
  <c r="B56" i="84"/>
  <c r="B59" i="86"/>
  <c r="C53" i="84"/>
  <c r="C56" i="86"/>
  <c r="C44" i="84"/>
  <c r="C44" i="86"/>
  <c r="C37" i="84"/>
  <c r="C37" i="86"/>
  <c r="E37" i="86" s="1"/>
  <c r="G37" i="86" s="1"/>
  <c r="I37" i="86" s="1"/>
  <c r="C35" i="84"/>
  <c r="C35" i="86"/>
  <c r="B26" i="84"/>
  <c r="B27" i="86"/>
  <c r="C20" i="81"/>
  <c r="C15" i="84"/>
  <c r="C15" i="86"/>
  <c r="C13" i="84"/>
  <c r="C13" i="86"/>
  <c r="C31" i="84"/>
  <c r="C31" i="86"/>
  <c r="C54" i="84"/>
  <c r="C57" i="86"/>
  <c r="C54" i="86"/>
  <c r="C52" i="86"/>
  <c r="C42" i="84"/>
  <c r="C42" i="86"/>
  <c r="B35" i="84"/>
  <c r="B35" i="86"/>
  <c r="C34" i="84"/>
  <c r="C34" i="86"/>
  <c r="D34" i="86" s="1"/>
  <c r="F34" i="86" s="1"/>
  <c r="H34" i="86" s="1"/>
  <c r="B20" i="81"/>
  <c r="B15" i="84"/>
  <c r="B15" i="86"/>
  <c r="B40" i="84"/>
  <c r="B40" i="86"/>
  <c r="C14" i="84"/>
  <c r="C14" i="86"/>
  <c r="B46" i="84"/>
  <c r="D46" i="84" s="1"/>
  <c r="H46" i="84" s="1"/>
  <c r="B46" i="86"/>
  <c r="C52" i="84"/>
  <c r="C55" i="86"/>
  <c r="B43" i="84"/>
  <c r="D43" i="84" s="1"/>
  <c r="H43" i="84" s="1"/>
  <c r="B43" i="86"/>
  <c r="C48" i="84"/>
  <c r="C48" i="86"/>
  <c r="B42" i="84"/>
  <c r="E42" i="84" s="1"/>
  <c r="I42" i="84" s="1"/>
  <c r="B42" i="86"/>
  <c r="C36" i="84"/>
  <c r="C36" i="86"/>
  <c r="B31" i="84"/>
  <c r="B31" i="86"/>
  <c r="E24" i="86"/>
  <c r="G24" i="86" s="1"/>
  <c r="I24" i="86" s="1"/>
  <c r="D24" i="86"/>
  <c r="F24" i="86" s="1"/>
  <c r="H24" i="86" s="1"/>
  <c r="C29" i="84"/>
  <c r="B39" i="84"/>
  <c r="B39" i="86"/>
  <c r="B14" i="84"/>
  <c r="B14" i="86"/>
  <c r="C30" i="81"/>
  <c r="C30" i="86"/>
  <c r="C47" i="84"/>
  <c r="C47" i="86"/>
  <c r="C45" i="84"/>
  <c r="C45" i="86"/>
  <c r="C41" i="84"/>
  <c r="C41" i="86"/>
  <c r="E41" i="86" s="1"/>
  <c r="I41" i="86" s="1"/>
  <c r="D38" i="86"/>
  <c r="F38" i="86" s="1"/>
  <c r="H38" i="86" s="1"/>
  <c r="E38" i="86"/>
  <c r="G38" i="86" s="1"/>
  <c r="I38" i="86" s="1"/>
  <c r="B36" i="84"/>
  <c r="B36" i="86"/>
  <c r="B22" i="84"/>
  <c r="E22" i="84" s="1"/>
  <c r="G22" i="84" s="1"/>
  <c r="I22" i="84" s="1"/>
  <c r="B33" i="84"/>
  <c r="B33" i="86"/>
  <c r="A2" i="26"/>
  <c r="A2" i="86"/>
  <c r="D44" i="52"/>
  <c r="C60" i="81"/>
  <c r="C57" i="84"/>
  <c r="K38" i="66"/>
  <c r="D56" i="52"/>
  <c r="B30" i="73"/>
  <c r="B41" i="84"/>
  <c r="I175" i="77"/>
  <c r="G265" i="77"/>
  <c r="G270" i="77" s="1"/>
  <c r="C49" i="84"/>
  <c r="C51" i="84"/>
  <c r="C58" i="81"/>
  <c r="C55" i="84"/>
  <c r="I112" i="65"/>
  <c r="I30" i="68"/>
  <c r="D64" i="52"/>
  <c r="C38" i="81"/>
  <c r="C38" i="84"/>
  <c r="B23" i="81"/>
  <c r="D23" i="81" s="1"/>
  <c r="F23" i="81" s="1"/>
  <c r="H23" i="81" s="1"/>
  <c r="B23" i="84"/>
  <c r="H106" i="65"/>
  <c r="H107" i="65" s="1"/>
  <c r="F32" i="68"/>
  <c r="F33" i="68" s="1"/>
  <c r="B45" i="73"/>
  <c r="B60" i="81"/>
  <c r="EP213" i="1"/>
  <c r="B38" i="81"/>
  <c r="B38" i="84"/>
  <c r="D38" i="84" s="1"/>
  <c r="F38" i="84" s="1"/>
  <c r="H38" i="84" s="1"/>
  <c r="D63" i="52"/>
  <c r="E17" i="26"/>
  <c r="F17" i="26" s="1"/>
  <c r="D82" i="52"/>
  <c r="D142" i="52"/>
  <c r="C33" i="81"/>
  <c r="C33" i="84"/>
  <c r="EP18" i="1"/>
  <c r="B43" i="74"/>
  <c r="B58" i="81"/>
  <c r="EO12" i="1"/>
  <c r="B37" i="81"/>
  <c r="B37" i="84"/>
  <c r="E30" i="84"/>
  <c r="G30" i="84" s="1"/>
  <c r="I30" i="84" s="1"/>
  <c r="D30" i="84"/>
  <c r="F30" i="84" s="1"/>
  <c r="H30" i="84" s="1"/>
  <c r="D224" i="77"/>
  <c r="C46" i="81"/>
  <c r="C46" i="84"/>
  <c r="F12" i="1"/>
  <c r="D99" i="52"/>
  <c r="EP196" i="1"/>
  <c r="D46" i="52"/>
  <c r="D33" i="52"/>
  <c r="D103" i="52"/>
  <c r="I9" i="77"/>
  <c r="J9" i="77" s="1"/>
  <c r="K9" i="77" s="1"/>
  <c r="L9" i="77" s="1"/>
  <c r="M9" i="77" s="1"/>
  <c r="D85" i="52"/>
  <c r="D45" i="52"/>
  <c r="D96" i="52"/>
  <c r="EP227" i="1"/>
  <c r="EA145" i="1"/>
  <c r="EO145" i="1"/>
  <c r="EP145" i="1" s="1"/>
  <c r="EA128" i="1"/>
  <c r="EO128" i="1"/>
  <c r="EP128" i="1" s="1"/>
  <c r="EA162" i="1"/>
  <c r="EO162" i="1"/>
  <c r="EP162" i="1" s="1"/>
  <c r="BY228" i="1"/>
  <c r="BY229" i="1" s="1"/>
  <c r="BZ229" i="1" s="1"/>
  <c r="G17" i="1"/>
  <c r="EO17" i="1" s="1"/>
  <c r="F46" i="85"/>
  <c r="F51" i="85" s="1"/>
  <c r="F56" i="85" s="1"/>
  <c r="E46" i="85"/>
  <c r="C26" i="81"/>
  <c r="C26" i="84"/>
  <c r="A2" i="73"/>
  <c r="A2" i="84"/>
  <c r="A4" i="84"/>
  <c r="F26" i="25"/>
  <c r="B2" i="6"/>
  <c r="A1" i="73"/>
  <c r="A1" i="84"/>
  <c r="A3" i="2"/>
  <c r="B4" i="19" s="1"/>
  <c r="A3" i="3" s="1"/>
  <c r="A3" i="84"/>
  <c r="AJ47" i="31"/>
  <c r="AK47" i="31" s="1"/>
  <c r="B34" i="81"/>
  <c r="B34" i="84"/>
  <c r="B53" i="81"/>
  <c r="B50" i="84"/>
  <c r="EP216" i="1"/>
  <c r="A4" i="26"/>
  <c r="AK234" i="1"/>
  <c r="EO83" i="1"/>
  <c r="EP83" i="1" s="1"/>
  <c r="A1" i="26"/>
  <c r="B1" i="20"/>
  <c r="C1" i="44"/>
  <c r="B1" i="4"/>
  <c r="BS228" i="1"/>
  <c r="BS229" i="1" s="1"/>
  <c r="BT229" i="1" s="1"/>
  <c r="C2" i="44"/>
  <c r="F76" i="31"/>
  <c r="G76" i="31"/>
  <c r="A4" i="2"/>
  <c r="B5" i="19" s="1"/>
  <c r="A4" i="3" s="1"/>
  <c r="B4" i="20"/>
  <c r="G22" i="1"/>
  <c r="EO22" i="1" s="1"/>
  <c r="A4" i="25"/>
  <c r="C4" i="52"/>
  <c r="G11" i="1"/>
  <c r="EO11" i="1" s="1"/>
  <c r="EN11" i="1"/>
  <c r="E18" i="26"/>
  <c r="F18" i="26" s="1"/>
  <c r="C19" i="26"/>
  <c r="E19" i="26" s="1"/>
  <c r="K35" i="20"/>
  <c r="D37" i="52"/>
  <c r="D53" i="52"/>
  <c r="D69" i="52"/>
  <c r="D88" i="52"/>
  <c r="D81" i="52"/>
  <c r="EO13" i="1"/>
  <c r="EP13" i="1" s="1"/>
  <c r="H24" i="50"/>
  <c r="K38" i="50" s="1"/>
  <c r="D51" i="52"/>
  <c r="D110" i="52"/>
  <c r="D39" i="52"/>
  <c r="D107" i="52"/>
  <c r="F114" i="52"/>
  <c r="E95" i="52"/>
  <c r="D95" i="52" s="1"/>
  <c r="E43" i="52"/>
  <c r="D43" i="52" s="1"/>
  <c r="E123" i="52"/>
  <c r="F30" i="52"/>
  <c r="D30" i="52" s="1"/>
  <c r="E91" i="52"/>
  <c r="D91" i="52" s="1"/>
  <c r="F23" i="52"/>
  <c r="E31" i="52"/>
  <c r="F126" i="52"/>
  <c r="D126" i="52" s="1"/>
  <c r="F71" i="52"/>
  <c r="D71" i="52" s="1"/>
  <c r="E87" i="52"/>
  <c r="D87" i="52" s="1"/>
  <c r="F138" i="52"/>
  <c r="D138" i="52" s="1"/>
  <c r="E131" i="52"/>
  <c r="D131" i="52" s="1"/>
  <c r="E67" i="52"/>
  <c r="D67" i="52" s="1"/>
  <c r="F118" i="52"/>
  <c r="F25" i="52"/>
  <c r="E132" i="52"/>
  <c r="D132" i="52" s="1"/>
  <c r="E116" i="52"/>
  <c r="D116" i="52" s="1"/>
  <c r="E100" i="52"/>
  <c r="D100" i="52" s="1"/>
  <c r="E84" i="52"/>
  <c r="D84" i="52" s="1"/>
  <c r="E68" i="52"/>
  <c r="D68" i="52" s="1"/>
  <c r="E52" i="52"/>
  <c r="D52" i="52" s="1"/>
  <c r="E36" i="52"/>
  <c r="D36" i="52" s="1"/>
  <c r="F135" i="52"/>
  <c r="D135" i="52" s="1"/>
  <c r="F123" i="52"/>
  <c r="F111" i="52"/>
  <c r="D111" i="52" s="1"/>
  <c r="F94" i="52"/>
  <c r="D94" i="52" s="1"/>
  <c r="E130" i="52"/>
  <c r="D130" i="52" s="1"/>
  <c r="E118" i="52"/>
  <c r="E102" i="52"/>
  <c r="D102" i="52" s="1"/>
  <c r="E86" i="52"/>
  <c r="D86" i="52" s="1"/>
  <c r="E70" i="52"/>
  <c r="D70" i="52" s="1"/>
  <c r="E54" i="52"/>
  <c r="D54" i="52" s="1"/>
  <c r="E38" i="52"/>
  <c r="D38" i="52" s="1"/>
  <c r="F137" i="52"/>
  <c r="D137" i="52" s="1"/>
  <c r="F121" i="52"/>
  <c r="D121" i="52" s="1"/>
  <c r="F105" i="52"/>
  <c r="D105" i="52" s="1"/>
  <c r="E24" i="52"/>
  <c r="E141" i="52"/>
  <c r="D141" i="52" s="1"/>
  <c r="E125" i="52"/>
  <c r="D125" i="52" s="1"/>
  <c r="E109" i="52"/>
  <c r="D109" i="52" s="1"/>
  <c r="E93" i="52"/>
  <c r="D93" i="52" s="1"/>
  <c r="E77" i="52"/>
  <c r="D77" i="52" s="1"/>
  <c r="D114" i="52"/>
  <c r="D139" i="52"/>
  <c r="F23" i="20"/>
  <c r="F25" i="20" s="1"/>
  <c r="F32" i="20" s="1"/>
  <c r="EP63" i="1"/>
  <c r="DM229" i="1"/>
  <c r="DN229" i="1" s="1"/>
  <c r="DI229" i="1"/>
  <c r="DJ229" i="1" s="1"/>
  <c r="B4" i="4"/>
  <c r="B2" i="20"/>
  <c r="B4" i="50"/>
  <c r="EP42" i="1"/>
  <c r="EP71" i="1"/>
  <c r="EP88" i="1"/>
  <c r="EP117" i="1"/>
  <c r="EP132" i="1"/>
  <c r="EP159" i="1"/>
  <c r="EP167" i="1"/>
  <c r="EP185" i="1"/>
  <c r="EP188" i="1"/>
  <c r="EP194" i="1"/>
  <c r="EP222" i="1"/>
  <c r="I50" i="65"/>
  <c r="I125" i="65"/>
  <c r="F58" i="50"/>
  <c r="E143" i="77"/>
  <c r="D143" i="77"/>
  <c r="H76" i="31"/>
  <c r="H254" i="77"/>
  <c r="B4" i="6"/>
  <c r="A2" i="25"/>
  <c r="C4" i="44"/>
  <c r="EP174" i="1"/>
  <c r="A4" i="73"/>
  <c r="EP221" i="1"/>
  <c r="AF48" i="31"/>
  <c r="AF50" i="31" s="1"/>
  <c r="AH42" i="31" s="1"/>
  <c r="K11" i="75"/>
  <c r="J179" i="77"/>
  <c r="K179" i="77" s="1"/>
  <c r="L179" i="77" s="1"/>
  <c r="M179" i="77" s="1"/>
  <c r="I181" i="77"/>
  <c r="J181" i="77" s="1"/>
  <c r="K181" i="77" s="1"/>
  <c r="L181" i="77" s="1"/>
  <c r="M181" i="77" s="1"/>
  <c r="D16" i="2"/>
  <c r="F16" i="2" s="1"/>
  <c r="H16" i="2" s="1"/>
  <c r="A2" i="2"/>
  <c r="B3" i="19" s="1"/>
  <c r="A2" i="3" s="1"/>
  <c r="B2" i="4"/>
  <c r="C2" i="52"/>
  <c r="B2" i="50"/>
  <c r="H280" i="77"/>
  <c r="K38" i="20"/>
  <c r="J39" i="20"/>
  <c r="B24" i="1"/>
  <c r="B26" i="1" s="1"/>
  <c r="B27" i="1" s="1"/>
  <c r="B28" i="1" s="1"/>
  <c r="B25" i="1"/>
  <c r="F19" i="26"/>
  <c r="K34" i="66"/>
  <c r="B44" i="73"/>
  <c r="B59" i="81"/>
  <c r="C40" i="74"/>
  <c r="C55" i="81"/>
  <c r="H39" i="20"/>
  <c r="L17" i="50"/>
  <c r="G17" i="50"/>
  <c r="G24" i="50" s="1"/>
  <c r="G27" i="50" s="1"/>
  <c r="B35" i="74"/>
  <c r="B46" i="81"/>
  <c r="I27" i="52"/>
  <c r="P27" i="52" s="1"/>
  <c r="G28" i="44"/>
  <c r="C31" i="79"/>
  <c r="C31" i="81"/>
  <c r="C57" i="79"/>
  <c r="C53" i="79"/>
  <c r="C56" i="81"/>
  <c r="B43" i="2"/>
  <c r="E43" i="2" s="1"/>
  <c r="I43" i="2" s="1"/>
  <c r="B43" i="81"/>
  <c r="C37" i="73"/>
  <c r="C48" i="81"/>
  <c r="C33" i="74"/>
  <c r="C44" i="81"/>
  <c r="B42" i="79"/>
  <c r="B42" i="81"/>
  <c r="B41" i="79"/>
  <c r="B41" i="81"/>
  <c r="C38" i="79"/>
  <c r="C26" i="74"/>
  <c r="C37" i="81"/>
  <c r="E37" i="81" s="1"/>
  <c r="G37" i="81" s="1"/>
  <c r="I37" i="81" s="1"/>
  <c r="C36" i="79"/>
  <c r="C36" i="81"/>
  <c r="C24" i="74"/>
  <c r="C35" i="81"/>
  <c r="B31" i="79"/>
  <c r="E31" i="79" s="1"/>
  <c r="G31" i="79" s="1"/>
  <c r="I31" i="79" s="1"/>
  <c r="B31" i="81"/>
  <c r="B19" i="74"/>
  <c r="B26" i="81"/>
  <c r="C15" i="79"/>
  <c r="C15" i="81"/>
  <c r="C14" i="74"/>
  <c r="C13" i="81"/>
  <c r="E23" i="81"/>
  <c r="G23" i="81" s="1"/>
  <c r="I23" i="81" s="1"/>
  <c r="A1" i="79"/>
  <c r="A1" i="81"/>
  <c r="A3" i="81"/>
  <c r="A3" i="74"/>
  <c r="C30" i="79"/>
  <c r="G18" i="65"/>
  <c r="F28" i="65"/>
  <c r="H137" i="65"/>
  <c r="H23" i="65" s="1"/>
  <c r="I23" i="65" s="1"/>
  <c r="I135" i="65"/>
  <c r="AW26" i="1"/>
  <c r="DS228" i="1"/>
  <c r="B57" i="89" s="1"/>
  <c r="AJ45" i="31"/>
  <c r="AK45" i="31" s="1"/>
  <c r="AJ37" i="31"/>
  <c r="AJ41" i="31"/>
  <c r="AK41" i="31" s="1"/>
  <c r="AJ42" i="31"/>
  <c r="AK42" i="31" s="1"/>
  <c r="AJ39" i="31"/>
  <c r="AJ46" i="31"/>
  <c r="AK46" i="31" s="1"/>
  <c r="AJ44" i="31"/>
  <c r="AK44" i="31" s="1"/>
  <c r="AJ43" i="31"/>
  <c r="AK43" i="31" s="1"/>
  <c r="AJ40" i="31"/>
  <c r="AK40" i="31" s="1"/>
  <c r="AJ38" i="31"/>
  <c r="E69" i="50"/>
  <c r="E78" i="50" s="1"/>
  <c r="I141" i="77"/>
  <c r="J141" i="77" s="1"/>
  <c r="K141" i="77" s="1"/>
  <c r="L141" i="77" s="1"/>
  <c r="M141" i="77" s="1"/>
  <c r="G143" i="77"/>
  <c r="J175" i="77"/>
  <c r="K175" i="77" s="1"/>
  <c r="L175" i="77" s="1"/>
  <c r="M175" i="77" s="1"/>
  <c r="I180" i="77"/>
  <c r="J180" i="77" s="1"/>
  <c r="K180" i="77" s="1"/>
  <c r="L180" i="77" s="1"/>
  <c r="M180" i="77" s="1"/>
  <c r="I182" i="77"/>
  <c r="J182" i="77" s="1"/>
  <c r="K182" i="77" s="1"/>
  <c r="L182" i="77" s="1"/>
  <c r="M182" i="77" s="1"/>
  <c r="H204" i="77"/>
  <c r="E240" i="77"/>
  <c r="E242" i="77" s="1"/>
  <c r="G239" i="77"/>
  <c r="M17" i="77"/>
  <c r="J24" i="77"/>
  <c r="K24" i="77" s="1"/>
  <c r="L24" i="77" s="1"/>
  <c r="G29" i="77"/>
  <c r="H29" i="77"/>
  <c r="I23" i="77"/>
  <c r="J23" i="77" s="1"/>
  <c r="C54" i="79"/>
  <c r="C57" i="81"/>
  <c r="C36" i="73"/>
  <c r="C47" i="81"/>
  <c r="C52" i="81"/>
  <c r="C54" i="81"/>
  <c r="C34" i="74"/>
  <c r="C45" i="81"/>
  <c r="C31" i="74"/>
  <c r="C42" i="81"/>
  <c r="C30" i="74"/>
  <c r="C41" i="81"/>
  <c r="B25" i="73"/>
  <c r="B36" i="81"/>
  <c r="B24" i="73"/>
  <c r="B35" i="81"/>
  <c r="C34" i="79"/>
  <c r="C34" i="81"/>
  <c r="E34" i="81" s="1"/>
  <c r="G34" i="81" s="1"/>
  <c r="I34" i="81" s="1"/>
  <c r="B21" i="79"/>
  <c r="B15" i="79"/>
  <c r="B15" i="81"/>
  <c r="B15" i="74"/>
  <c r="D15" i="74" s="1"/>
  <c r="F15" i="74" s="1"/>
  <c r="H15" i="74" s="1"/>
  <c r="B22" i="81"/>
  <c r="C43" i="74"/>
  <c r="B33" i="79"/>
  <c r="B33" i="81"/>
  <c r="B20" i="79"/>
  <c r="E20" i="79" s="1"/>
  <c r="G20" i="79" s="1"/>
  <c r="I20" i="79" s="1"/>
  <c r="A1" i="2"/>
  <c r="B2" i="19" s="1"/>
  <c r="A1" i="3" s="1"/>
  <c r="B1" i="6"/>
  <c r="A1" i="25"/>
  <c r="B1" i="50"/>
  <c r="EP47" i="1"/>
  <c r="EP157" i="1"/>
  <c r="EN16" i="1"/>
  <c r="A1" i="74"/>
  <c r="A2" i="79"/>
  <c r="A2" i="81"/>
  <c r="H93" i="65"/>
  <c r="H19" i="65" s="1"/>
  <c r="I19" i="65" s="1"/>
  <c r="G28" i="65"/>
  <c r="F23" i="66"/>
  <c r="F25" i="66" s="1"/>
  <c r="F32" i="66" s="1"/>
  <c r="D13" i="66"/>
  <c r="D14" i="66" s="1"/>
  <c r="AJ36" i="31"/>
  <c r="Z240" i="1"/>
  <c r="Z242" i="1" s="1"/>
  <c r="AL242" i="1" s="1"/>
  <c r="Z244" i="1" s="1"/>
  <c r="AM238" i="1"/>
  <c r="B39" i="79"/>
  <c r="B39" i="81"/>
  <c r="B13" i="74"/>
  <c r="E13" i="74" s="1"/>
  <c r="G13" i="74" s="1"/>
  <c r="I13" i="74" s="1"/>
  <c r="B14" i="81"/>
  <c r="L57" i="50"/>
  <c r="M57" i="50" s="1"/>
  <c r="G57" i="50"/>
  <c r="L56" i="50"/>
  <c r="M56" i="50" s="1"/>
  <c r="L55" i="50"/>
  <c r="G55" i="50"/>
  <c r="AA47" i="77"/>
  <c r="I140" i="77"/>
  <c r="I143" i="77" s="1"/>
  <c r="H143" i="77"/>
  <c r="I199" i="77"/>
  <c r="E232" i="77"/>
  <c r="K232" i="77"/>
  <c r="C18" i="77"/>
  <c r="E18" i="77" s="1"/>
  <c r="C15" i="77"/>
  <c r="C19" i="77"/>
  <c r="E19" i="77" s="1"/>
  <c r="H17" i="77"/>
  <c r="M24" i="77"/>
  <c r="I26" i="77"/>
  <c r="J26" i="77" s="1"/>
  <c r="K26" i="77" s="1"/>
  <c r="L26" i="77" s="1"/>
  <c r="M26" i="77" s="1"/>
  <c r="C29" i="79"/>
  <c r="C29" i="81"/>
  <c r="EP24" i="1"/>
  <c r="EP41" i="1"/>
  <c r="EP21" i="1"/>
  <c r="B40" i="79"/>
  <c r="B40" i="81"/>
  <c r="C14" i="79"/>
  <c r="C14" i="81"/>
  <c r="G204" i="77"/>
  <c r="J232" i="77"/>
  <c r="I10" i="77"/>
  <c r="J10" i="77" s="1"/>
  <c r="K10" i="77" s="1"/>
  <c r="L10" i="77" s="1"/>
  <c r="M10" i="77" s="1"/>
  <c r="H70" i="77"/>
  <c r="EP93" i="1"/>
  <c r="EP149" i="1"/>
  <c r="CT229" i="1"/>
  <c r="CU229" i="1" s="1"/>
  <c r="AC229" i="1"/>
  <c r="EP212" i="1"/>
  <c r="EP49" i="1"/>
  <c r="EP72" i="1"/>
  <c r="EP87" i="1"/>
  <c r="EP118" i="1"/>
  <c r="EP133" i="1"/>
  <c r="EP141" i="1"/>
  <c r="EP151" i="1"/>
  <c r="EP166" i="1"/>
  <c r="EP168" i="1"/>
  <c r="EP184" i="1"/>
  <c r="EP187" i="1"/>
  <c r="EP193" i="1"/>
  <c r="EP223" i="1"/>
  <c r="EP203" i="1"/>
  <c r="EP150" i="1"/>
  <c r="EP37" i="1"/>
  <c r="BK229" i="1"/>
  <c r="BL229" i="1" s="1"/>
  <c r="EP29" i="1"/>
  <c r="EP56" i="1"/>
  <c r="B45" i="74"/>
  <c r="DQ229" i="1"/>
  <c r="DR229" i="1" s="1"/>
  <c r="C49" i="79"/>
  <c r="D49" i="79" s="1"/>
  <c r="H49" i="79" s="1"/>
  <c r="C51" i="79"/>
  <c r="C43" i="73"/>
  <c r="EP197" i="1"/>
  <c r="EP99" i="1"/>
  <c r="EP102" i="1"/>
  <c r="EP104" i="1"/>
  <c r="EP204" i="1"/>
  <c r="EP206" i="1"/>
  <c r="EP214" i="1"/>
  <c r="EP219" i="1"/>
  <c r="C38" i="73"/>
  <c r="C31" i="73"/>
  <c r="EP78" i="1"/>
  <c r="EP202" i="1"/>
  <c r="CI229" i="1"/>
  <c r="CJ229" i="1" s="1"/>
  <c r="C45" i="73"/>
  <c r="EP124" i="1"/>
  <c r="EP211" i="1"/>
  <c r="EP220" i="1"/>
  <c r="EP142" i="1"/>
  <c r="C41" i="73"/>
  <c r="C30" i="73"/>
  <c r="C39" i="73"/>
  <c r="DO229" i="1"/>
  <c r="DP229" i="1" s="1"/>
  <c r="DK229" i="1"/>
  <c r="DL229" i="1" s="1"/>
  <c r="DG229" i="1"/>
  <c r="DH229" i="1" s="1"/>
  <c r="C36" i="74"/>
  <c r="B28" i="74"/>
  <c r="BG229" i="1"/>
  <c r="BH229" i="1" s="1"/>
  <c r="EP225" i="1"/>
  <c r="EE229" i="1"/>
  <c r="EF229" i="1" s="1"/>
  <c r="C34" i="73"/>
  <c r="C15" i="73"/>
  <c r="CY229" i="1"/>
  <c r="CZ229" i="1" s="1"/>
  <c r="AD229" i="1"/>
  <c r="AE229" i="1" s="1"/>
  <c r="EP139" i="1"/>
  <c r="EP109" i="1"/>
  <c r="CP229" i="1"/>
  <c r="CQ229" i="1" s="1"/>
  <c r="C16" i="73"/>
  <c r="C25" i="73"/>
  <c r="B22" i="73"/>
  <c r="C27" i="73"/>
  <c r="EP131" i="1"/>
  <c r="B23" i="74"/>
  <c r="C37" i="74"/>
  <c r="DA229" i="1"/>
  <c r="DB229" i="1" s="1"/>
  <c r="B23" i="73"/>
  <c r="E23" i="73" s="1"/>
  <c r="G23" i="73" s="1"/>
  <c r="I23" i="73" s="1"/>
  <c r="EI229" i="1"/>
  <c r="EJ229" i="1" s="1"/>
  <c r="AB229" i="1"/>
  <c r="AB236" i="1" s="1"/>
  <c r="B35" i="73"/>
  <c r="EP123" i="1"/>
  <c r="EP138" i="1"/>
  <c r="EP173" i="1"/>
  <c r="EP182" i="1"/>
  <c r="EP201" i="1"/>
  <c r="EP224" i="1"/>
  <c r="EP77" i="1"/>
  <c r="B43" i="73"/>
  <c r="CA229" i="1"/>
  <c r="CB229" i="1" s="1"/>
  <c r="Z229" i="1"/>
  <c r="AA229" i="1" s="1"/>
  <c r="CR229" i="1"/>
  <c r="CS229" i="1" s="1"/>
  <c r="R229" i="1"/>
  <c r="R231" i="1" s="1"/>
  <c r="BR231" i="1"/>
  <c r="H229" i="1"/>
  <c r="I229" i="1" s="1"/>
  <c r="EP81" i="1"/>
  <c r="EP186" i="1"/>
  <c r="B31" i="73"/>
  <c r="B13" i="73"/>
  <c r="D13" i="73" s="1"/>
  <c r="F13" i="73" s="1"/>
  <c r="H13" i="73" s="1"/>
  <c r="C38" i="74"/>
  <c r="EP191" i="1"/>
  <c r="BC229" i="1"/>
  <c r="BD229" i="1" s="1"/>
  <c r="B28" i="73"/>
  <c r="C42" i="73"/>
  <c r="Z236" i="1"/>
  <c r="C45" i="74"/>
  <c r="N229" i="1"/>
  <c r="O229" i="1" s="1"/>
  <c r="EP210" i="1"/>
  <c r="B15" i="73"/>
  <c r="AJ229" i="1"/>
  <c r="AK229" i="1" s="1"/>
  <c r="EP116" i="1"/>
  <c r="X229" i="1"/>
  <c r="Y229" i="1" s="1"/>
  <c r="EP200" i="1"/>
  <c r="EP175" i="1"/>
  <c r="EP82" i="1"/>
  <c r="B41" i="2"/>
  <c r="DE229" i="1"/>
  <c r="DF229" i="1" s="1"/>
  <c r="B30" i="74"/>
  <c r="B39" i="2"/>
  <c r="B31" i="74"/>
  <c r="BI229" i="1"/>
  <c r="BJ229" i="1" s="1"/>
  <c r="BE229" i="1"/>
  <c r="BF229" i="1" s="1"/>
  <c r="BF234" i="1" s="1"/>
  <c r="B21" i="2"/>
  <c r="EP64" i="1"/>
  <c r="DY228" i="1"/>
  <c r="DY229" i="1" s="1"/>
  <c r="EO58" i="1"/>
  <c r="EP58" i="1" s="1"/>
  <c r="EO73" i="1"/>
  <c r="EP73" i="1" s="1"/>
  <c r="E73" i="1"/>
  <c r="EO50" i="1"/>
  <c r="EP50" i="1" s="1"/>
  <c r="E58" i="1"/>
  <c r="C28" i="31"/>
  <c r="E60" i="1"/>
  <c r="L28" i="31"/>
  <c r="K27" i="69"/>
  <c r="EO27" i="1"/>
  <c r="I28" i="31"/>
  <c r="I29" i="31" s="1"/>
  <c r="C49" i="31"/>
  <c r="D52" i="31" s="1"/>
  <c r="CG229" i="1"/>
  <c r="CH229" i="1" s="1"/>
  <c r="C26" i="73"/>
  <c r="CC229" i="1"/>
  <c r="CD229" i="1" s="1"/>
  <c r="C24" i="73"/>
  <c r="C22" i="73"/>
  <c r="BO229" i="1"/>
  <c r="C22" i="74"/>
  <c r="B19" i="73"/>
  <c r="E153" i="1"/>
  <c r="EN153" i="1"/>
  <c r="EO153" i="1"/>
  <c r="EN76" i="1"/>
  <c r="E76" i="1"/>
  <c r="AI228" i="1"/>
  <c r="AH229" i="1" s="1"/>
  <c r="AI229" i="1" s="1"/>
  <c r="AG228" i="1"/>
  <c r="AF229" i="1" s="1"/>
  <c r="EN207" i="1"/>
  <c r="E207" i="1"/>
  <c r="A3" i="79"/>
  <c r="A3" i="26"/>
  <c r="A3" i="73"/>
  <c r="B3" i="50"/>
  <c r="C3" i="44"/>
  <c r="A3" i="25"/>
  <c r="B3" i="20"/>
  <c r="B3" i="6"/>
  <c r="B3" i="4"/>
  <c r="BQ228" i="1"/>
  <c r="B22" i="89" s="1"/>
  <c r="D22" i="89" s="1"/>
  <c r="F22" i="89" s="1"/>
  <c r="H22" i="89" s="1"/>
  <c r="BU228" i="1"/>
  <c r="BU229" i="1" s="1"/>
  <c r="BV229" i="1" s="1"/>
  <c r="EN17" i="1"/>
  <c r="EN44" i="1"/>
  <c r="E30" i="1"/>
  <c r="E163" i="1"/>
  <c r="E134" i="1"/>
  <c r="EO106" i="1"/>
  <c r="EP106" i="1" s="1"/>
  <c r="EP98" i="1"/>
  <c r="EO122" i="1"/>
  <c r="EP122" i="1" s="1"/>
  <c r="E11" i="1"/>
  <c r="EO155" i="1"/>
  <c r="EN155" i="1"/>
  <c r="EN135" i="1"/>
  <c r="EN121" i="1"/>
  <c r="EP121" i="1" s="1"/>
  <c r="E91" i="1"/>
  <c r="EO91" i="1"/>
  <c r="EN60" i="1"/>
  <c r="EA18" i="1"/>
  <c r="BW228" i="1"/>
  <c r="BW229" i="1" s="1"/>
  <c r="BX229" i="1" s="1"/>
  <c r="EN92" i="1"/>
  <c r="EP92" i="1" s="1"/>
  <c r="E92" i="1"/>
  <c r="CW228" i="1"/>
  <c r="B54" i="89" s="1"/>
  <c r="EP134" i="1"/>
  <c r="E112" i="1"/>
  <c r="EO65" i="1"/>
  <c r="EP65" i="1" s="1"/>
  <c r="EO177" i="1"/>
  <c r="EP177" i="1" s="1"/>
  <c r="DW228" i="1"/>
  <c r="EN43" i="1"/>
  <c r="AV228" i="1"/>
  <c r="EO32" i="1"/>
  <c r="EP32" i="1" s="1"/>
  <c r="E190" i="1"/>
  <c r="CM228" i="1"/>
  <c r="C39" i="89" s="1"/>
  <c r="E90" i="1"/>
  <c r="EO76" i="1"/>
  <c r="E30" i="79"/>
  <c r="G30" i="79" s="1"/>
  <c r="I30" i="79" s="1"/>
  <c r="D30" i="79"/>
  <c r="F30" i="79" s="1"/>
  <c r="H30" i="79" s="1"/>
  <c r="EN22" i="1"/>
  <c r="EO199" i="1"/>
  <c r="EP199" i="1" s="1"/>
  <c r="EO80" i="1"/>
  <c r="EP80" i="1" s="1"/>
  <c r="E171" i="1"/>
  <c r="EN27" i="1"/>
  <c r="DU228" i="1"/>
  <c r="EP95" i="1"/>
  <c r="EN143" i="1"/>
  <c r="EP143" i="1" s="1"/>
  <c r="EN160" i="1"/>
  <c r="BB228" i="1"/>
  <c r="C29" i="89" s="1"/>
  <c r="EO126" i="1"/>
  <c r="EO160" i="1"/>
  <c r="EN107" i="1"/>
  <c r="EP107" i="1" s="1"/>
  <c r="A2" i="74"/>
  <c r="A4" i="74"/>
  <c r="AX228" i="1"/>
  <c r="EP111" i="1"/>
  <c r="EP140" i="1"/>
  <c r="EP156" i="1"/>
  <c r="EN126" i="1"/>
  <c r="EN74" i="1"/>
  <c r="EO120" i="1"/>
  <c r="EN46" i="1"/>
  <c r="EO108" i="1"/>
  <c r="E172" i="1"/>
  <c r="AQ228" i="1"/>
  <c r="C14" i="73"/>
  <c r="BM229" i="1"/>
  <c r="BN229" i="1" s="1"/>
  <c r="C34" i="2"/>
  <c r="D23" i="73"/>
  <c r="F23" i="73" s="1"/>
  <c r="H23" i="73" s="1"/>
  <c r="EP215" i="1"/>
  <c r="J28" i="31"/>
  <c r="C26" i="79"/>
  <c r="C19" i="74"/>
  <c r="C19" i="73"/>
  <c r="AY229" i="1"/>
  <c r="AZ229" i="1" s="1"/>
  <c r="EN192" i="1"/>
  <c r="EP192" i="1" s="1"/>
  <c r="E192" i="1"/>
  <c r="E61" i="1"/>
  <c r="EN61" i="1"/>
  <c r="EN28" i="1"/>
  <c r="E28" i="1"/>
  <c r="E195" i="1"/>
  <c r="EN195" i="1"/>
  <c r="E120" i="1"/>
  <c r="CO228" i="1"/>
  <c r="EO61" i="1"/>
  <c r="EO195" i="1"/>
  <c r="EO46" i="1"/>
  <c r="EO172" i="1"/>
  <c r="K228" i="1"/>
  <c r="EO74" i="1"/>
  <c r="E122" i="1"/>
  <c r="E140" i="1"/>
  <c r="EO30" i="1"/>
  <c r="EP30" i="1" s="1"/>
  <c r="EO28" i="1"/>
  <c r="C21" i="25"/>
  <c r="E21" i="25" s="1"/>
  <c r="F21" i="25" s="1"/>
  <c r="C15" i="25"/>
  <c r="E44" i="1"/>
  <c r="EO44" i="1"/>
  <c r="EO207" i="1"/>
  <c r="EN120" i="1"/>
  <c r="EN190" i="1"/>
  <c r="EP190" i="1" s="1"/>
  <c r="EO75" i="1"/>
  <c r="EN75" i="1"/>
  <c r="EO45" i="1"/>
  <c r="EN45" i="1"/>
  <c r="E45" i="1"/>
  <c r="EO154" i="1"/>
  <c r="EN154" i="1"/>
  <c r="E154" i="1"/>
  <c r="EO119" i="1"/>
  <c r="E119" i="1"/>
  <c r="EN119" i="1"/>
  <c r="E105" i="1"/>
  <c r="EN105" i="1"/>
  <c r="EO105" i="1"/>
  <c r="E135" i="1"/>
  <c r="E27" i="1"/>
  <c r="E32" i="1"/>
  <c r="EN171" i="1"/>
  <c r="EP171" i="1" s="1"/>
  <c r="EN136" i="1"/>
  <c r="E80" i="1"/>
  <c r="E65" i="1"/>
  <c r="E50" i="1"/>
  <c r="EO136" i="1"/>
  <c r="EO112" i="1"/>
  <c r="EP112" i="1" s="1"/>
  <c r="EO60" i="1"/>
  <c r="EO89" i="1"/>
  <c r="EP89" i="1" s="1"/>
  <c r="J228" i="1"/>
  <c r="EO135" i="1"/>
  <c r="E89" i="1"/>
  <c r="E70" i="1"/>
  <c r="EN70" i="1"/>
  <c r="EP70" i="1" s="1"/>
  <c r="B56" i="79"/>
  <c r="B55" i="2"/>
  <c r="B44" i="74"/>
  <c r="S229" i="1"/>
  <c r="C52" i="79"/>
  <c r="C51" i="2"/>
  <c r="C40" i="73"/>
  <c r="EN10" i="1"/>
  <c r="G10" i="1"/>
  <c r="E10" i="1"/>
  <c r="C46" i="79"/>
  <c r="C46" i="2"/>
  <c r="C35" i="74"/>
  <c r="C35" i="73"/>
  <c r="D35" i="73" s="1"/>
  <c r="H35" i="73" s="1"/>
  <c r="EC229" i="1"/>
  <c r="D43" i="2"/>
  <c r="H43" i="2" s="1"/>
  <c r="B23" i="79"/>
  <c r="B23" i="2"/>
  <c r="B16" i="74"/>
  <c r="T233" i="1"/>
  <c r="B16" i="73"/>
  <c r="T229" i="1"/>
  <c r="U229" i="1" s="1"/>
  <c r="B46" i="79"/>
  <c r="B46" i="2"/>
  <c r="CE229" i="1"/>
  <c r="CF229" i="1" s="1"/>
  <c r="B34" i="79"/>
  <c r="B34" i="2"/>
  <c r="C31" i="2"/>
  <c r="B50" i="79"/>
  <c r="B50" i="2"/>
  <c r="B39" i="74"/>
  <c r="B39" i="73"/>
  <c r="B37" i="79"/>
  <c r="B26" i="74"/>
  <c r="B26" i="73"/>
  <c r="B37" i="2"/>
  <c r="B35" i="79"/>
  <c r="B24" i="74"/>
  <c r="B35" i="2"/>
  <c r="B43" i="79"/>
  <c r="B32" i="74"/>
  <c r="B32" i="73"/>
  <c r="B38" i="79"/>
  <c r="B38" i="2"/>
  <c r="B27" i="74"/>
  <c r="B27" i="73"/>
  <c r="B36" i="79"/>
  <c r="B36" i="2"/>
  <c r="B25" i="74"/>
  <c r="C15" i="2"/>
  <c r="V229" i="1"/>
  <c r="W229" i="1" s="1"/>
  <c r="EP8" i="1"/>
  <c r="E9" i="1"/>
  <c r="EN9" i="1"/>
  <c r="EP9" i="1" s="1"/>
  <c r="EO69" i="1"/>
  <c r="E57" i="79"/>
  <c r="I57" i="79" s="1"/>
  <c r="D57" i="79"/>
  <c r="H57" i="79" s="1"/>
  <c r="C48" i="79"/>
  <c r="C48" i="2"/>
  <c r="C44" i="79"/>
  <c r="C44" i="2"/>
  <c r="C27" i="74"/>
  <c r="C25" i="74"/>
  <c r="B22" i="79"/>
  <c r="B22" i="2"/>
  <c r="D20" i="79"/>
  <c r="F20" i="79" s="1"/>
  <c r="H20" i="79" s="1"/>
  <c r="C56" i="2"/>
  <c r="C52" i="2"/>
  <c r="B31" i="2"/>
  <c r="C29" i="2"/>
  <c r="B20" i="2"/>
  <c r="C42" i="74"/>
  <c r="C41" i="74"/>
  <c r="E49" i="79"/>
  <c r="I49" i="79" s="1"/>
  <c r="C37" i="79"/>
  <c r="C37" i="2"/>
  <c r="C35" i="79"/>
  <c r="C35" i="2"/>
  <c r="B22" i="74"/>
  <c r="C21" i="79"/>
  <c r="C21" i="2"/>
  <c r="C33" i="79"/>
  <c r="E33" i="79" s="1"/>
  <c r="G33" i="79" s="1"/>
  <c r="I33" i="79" s="1"/>
  <c r="C33" i="2"/>
  <c r="B42" i="2"/>
  <c r="B40" i="2"/>
  <c r="C38" i="2"/>
  <c r="C26" i="2"/>
  <c r="B15" i="2"/>
  <c r="C47" i="79"/>
  <c r="C47" i="2"/>
  <c r="C45" i="79"/>
  <c r="C45" i="2"/>
  <c r="C42" i="79"/>
  <c r="C42" i="2"/>
  <c r="C41" i="79"/>
  <c r="C41" i="2"/>
  <c r="D31" i="79"/>
  <c r="F31" i="79" s="1"/>
  <c r="H31" i="79" s="1"/>
  <c r="B26" i="79"/>
  <c r="B26" i="2"/>
  <c r="C13" i="79"/>
  <c r="C13" i="2"/>
  <c r="C55" i="79"/>
  <c r="C54" i="2"/>
  <c r="B14" i="79"/>
  <c r="B14" i="2"/>
  <c r="C53" i="2"/>
  <c r="C49" i="2"/>
  <c r="B47" i="2"/>
  <c r="C36" i="2"/>
  <c r="B33" i="2"/>
  <c r="C30" i="2"/>
  <c r="C14" i="2"/>
  <c r="E15" i="88" l="1"/>
  <c r="G15" i="88" s="1"/>
  <c r="I15" i="88" s="1"/>
  <c r="E15" i="89"/>
  <c r="G15" i="89" s="1"/>
  <c r="I15" i="89" s="1"/>
  <c r="D36" i="88"/>
  <c r="F36" i="88" s="1"/>
  <c r="H36" i="88" s="1"/>
  <c r="D33" i="88"/>
  <c r="F33" i="88" s="1"/>
  <c r="H33" i="88" s="1"/>
  <c r="E52" i="89"/>
  <c r="I52" i="89" s="1"/>
  <c r="D52" i="89"/>
  <c r="H52" i="89" s="1"/>
  <c r="B56" i="88"/>
  <c r="B56" i="89"/>
  <c r="B44" i="88"/>
  <c r="E44" i="88" s="1"/>
  <c r="I44" i="88" s="1"/>
  <c r="B44" i="89"/>
  <c r="E23" i="88"/>
  <c r="G23" i="88" s="1"/>
  <c r="I23" i="88" s="1"/>
  <c r="D23" i="88"/>
  <c r="F23" i="88" s="1"/>
  <c r="H23" i="88" s="1"/>
  <c r="E35" i="88"/>
  <c r="G35" i="88" s="1"/>
  <c r="I35" i="88" s="1"/>
  <c r="D35" i="88"/>
  <c r="F35" i="88" s="1"/>
  <c r="H35" i="88" s="1"/>
  <c r="B45" i="88"/>
  <c r="D45" i="88" s="1"/>
  <c r="H45" i="88" s="1"/>
  <c r="B45" i="89"/>
  <c r="D23" i="89"/>
  <c r="F23" i="89" s="1"/>
  <c r="H23" i="89" s="1"/>
  <c r="E23" i="89"/>
  <c r="G23" i="89" s="1"/>
  <c r="I23" i="89" s="1"/>
  <c r="D46" i="88"/>
  <c r="H46" i="88" s="1"/>
  <c r="E46" i="88"/>
  <c r="I46" i="88" s="1"/>
  <c r="E32" i="89"/>
  <c r="G32" i="89" s="1"/>
  <c r="D32" i="89"/>
  <c r="F32" i="89" s="1"/>
  <c r="H32" i="89" s="1"/>
  <c r="E46" i="89"/>
  <c r="I46" i="89" s="1"/>
  <c r="D46" i="89"/>
  <c r="H46" i="89" s="1"/>
  <c r="E14" i="89"/>
  <c r="G14" i="89" s="1"/>
  <c r="I14" i="89" s="1"/>
  <c r="D14" i="89"/>
  <c r="F14" i="89" s="1"/>
  <c r="E34" i="88"/>
  <c r="G34" i="88" s="1"/>
  <c r="I34" i="88" s="1"/>
  <c r="D34" i="88"/>
  <c r="F34" i="88" s="1"/>
  <c r="H34" i="88" s="1"/>
  <c r="C28" i="88"/>
  <c r="C28" i="89"/>
  <c r="E57" i="89"/>
  <c r="I57" i="89" s="1"/>
  <c r="D57" i="89"/>
  <c r="H57" i="89" s="1"/>
  <c r="D18" i="89"/>
  <c r="F18" i="89" s="1"/>
  <c r="H18" i="89" s="1"/>
  <c r="D24" i="88"/>
  <c r="F24" i="88" s="1"/>
  <c r="H24" i="88" s="1"/>
  <c r="E24" i="88"/>
  <c r="G24" i="88" s="1"/>
  <c r="I24" i="88" s="1"/>
  <c r="E34" i="89"/>
  <c r="G34" i="89" s="1"/>
  <c r="I34" i="89" s="1"/>
  <c r="D34" i="89"/>
  <c r="F34" i="89" s="1"/>
  <c r="H34" i="89" s="1"/>
  <c r="D20" i="89"/>
  <c r="F20" i="89" s="1"/>
  <c r="H20" i="89" s="1"/>
  <c r="E20" i="89"/>
  <c r="G20" i="89" s="1"/>
  <c r="I20" i="89" s="1"/>
  <c r="E24" i="89"/>
  <c r="G24" i="89" s="1"/>
  <c r="I24" i="89" s="1"/>
  <c r="D24" i="89"/>
  <c r="F24" i="89" s="1"/>
  <c r="H24" i="89" s="1"/>
  <c r="E58" i="86"/>
  <c r="I58" i="86" s="1"/>
  <c r="D31" i="88"/>
  <c r="F31" i="88" s="1"/>
  <c r="H31" i="88" s="1"/>
  <c r="E31" i="88"/>
  <c r="G31" i="88" s="1"/>
  <c r="I31" i="88" s="1"/>
  <c r="E54" i="89"/>
  <c r="D54" i="89"/>
  <c r="H54" i="89" s="1"/>
  <c r="C26" i="88"/>
  <c r="C26" i="89"/>
  <c r="E31" i="74"/>
  <c r="I31" i="74" s="1"/>
  <c r="C20" i="26"/>
  <c r="H20" i="65"/>
  <c r="I20" i="65" s="1"/>
  <c r="E31" i="84"/>
  <c r="G31" i="84" s="1"/>
  <c r="I31" i="84" s="1"/>
  <c r="E31" i="89"/>
  <c r="G31" i="89" s="1"/>
  <c r="I31" i="89" s="1"/>
  <c r="D31" i="89"/>
  <c r="F31" i="89" s="1"/>
  <c r="H31" i="89" s="1"/>
  <c r="E36" i="89"/>
  <c r="G36" i="89" s="1"/>
  <c r="I36" i="89" s="1"/>
  <c r="D36" i="89"/>
  <c r="F36" i="89" s="1"/>
  <c r="H36" i="89" s="1"/>
  <c r="E43" i="84"/>
  <c r="I43" i="84" s="1"/>
  <c r="C40" i="88"/>
  <c r="D40" i="88" s="1"/>
  <c r="H40" i="88" s="1"/>
  <c r="C40" i="89"/>
  <c r="D40" i="89" s="1"/>
  <c r="H40" i="89" s="1"/>
  <c r="D37" i="88"/>
  <c r="F37" i="88" s="1"/>
  <c r="H37" i="88" s="1"/>
  <c r="E37" i="88"/>
  <c r="G37" i="88" s="1"/>
  <c r="I37" i="88" s="1"/>
  <c r="D39" i="89"/>
  <c r="H39" i="89" s="1"/>
  <c r="E39" i="89"/>
  <c r="I39" i="89" s="1"/>
  <c r="D43" i="88"/>
  <c r="H43" i="88" s="1"/>
  <c r="E43" i="88"/>
  <c r="I43" i="88" s="1"/>
  <c r="E42" i="88"/>
  <c r="I42" i="88" s="1"/>
  <c r="D42" i="88"/>
  <c r="H42" i="88" s="1"/>
  <c r="D37" i="89"/>
  <c r="F37" i="89" s="1"/>
  <c r="H37" i="89" s="1"/>
  <c r="E37" i="89"/>
  <c r="G37" i="89" s="1"/>
  <c r="I37" i="89" s="1"/>
  <c r="E43" i="89"/>
  <c r="I43" i="89" s="1"/>
  <c r="D43" i="89"/>
  <c r="H43" i="89" s="1"/>
  <c r="B30" i="88"/>
  <c r="E30" i="88" s="1"/>
  <c r="G30" i="88" s="1"/>
  <c r="B30" i="89"/>
  <c r="D42" i="84"/>
  <c r="H42" i="84" s="1"/>
  <c r="E22" i="89"/>
  <c r="G22" i="89" s="1"/>
  <c r="I22" i="89" s="1"/>
  <c r="D42" i="89"/>
  <c r="H42" i="89" s="1"/>
  <c r="E42" i="89"/>
  <c r="I42" i="89" s="1"/>
  <c r="D41" i="88"/>
  <c r="H41" i="88" s="1"/>
  <c r="E41" i="88"/>
  <c r="I41" i="88" s="1"/>
  <c r="E33" i="89"/>
  <c r="G33" i="89" s="1"/>
  <c r="I33" i="89" s="1"/>
  <c r="D33" i="89"/>
  <c r="F33" i="89" s="1"/>
  <c r="H33" i="89" s="1"/>
  <c r="E35" i="89"/>
  <c r="G35" i="89" s="1"/>
  <c r="I35" i="89" s="1"/>
  <c r="D27" i="89"/>
  <c r="F27" i="89" s="1"/>
  <c r="H27" i="89" s="1"/>
  <c r="E27" i="89"/>
  <c r="G27" i="89" s="1"/>
  <c r="I27" i="89" s="1"/>
  <c r="E52" i="88"/>
  <c r="I52" i="88" s="1"/>
  <c r="D52" i="88"/>
  <c r="H52" i="88" s="1"/>
  <c r="E38" i="88"/>
  <c r="G38" i="88" s="1"/>
  <c r="I38" i="88" s="1"/>
  <c r="D38" i="88"/>
  <c r="F38" i="88" s="1"/>
  <c r="H38" i="88" s="1"/>
  <c r="B28" i="88"/>
  <c r="B28" i="89"/>
  <c r="C21" i="88"/>
  <c r="E21" i="88" s="1"/>
  <c r="G21" i="88" s="1"/>
  <c r="I21" i="88" s="1"/>
  <c r="C21" i="89"/>
  <c r="E21" i="89" s="1"/>
  <c r="G21" i="89" s="1"/>
  <c r="I21" i="89" s="1"/>
  <c r="E60" i="86"/>
  <c r="I60" i="86" s="1"/>
  <c r="B47" i="88"/>
  <c r="D47" i="88" s="1"/>
  <c r="H47" i="88" s="1"/>
  <c r="B47" i="89"/>
  <c r="D14" i="88"/>
  <c r="F14" i="88" s="1"/>
  <c r="D60" i="88"/>
  <c r="H60" i="88" s="1"/>
  <c r="E60" i="88"/>
  <c r="I60" i="88" s="1"/>
  <c r="E41" i="89"/>
  <c r="I41" i="89" s="1"/>
  <c r="D41" i="89"/>
  <c r="H41" i="89" s="1"/>
  <c r="D17" i="88"/>
  <c r="F17" i="88" s="1"/>
  <c r="H17" i="88" s="1"/>
  <c r="E17" i="88"/>
  <c r="G17" i="88" s="1"/>
  <c r="I17" i="88" s="1"/>
  <c r="D15" i="89"/>
  <c r="F15" i="89" s="1"/>
  <c r="H15" i="89" s="1"/>
  <c r="D38" i="89"/>
  <c r="F38" i="89" s="1"/>
  <c r="H38" i="89" s="1"/>
  <c r="E38" i="89"/>
  <c r="G38" i="89" s="1"/>
  <c r="I38" i="89" s="1"/>
  <c r="D58" i="89"/>
  <c r="H58" i="89" s="1"/>
  <c r="C25" i="88"/>
  <c r="C25" i="89"/>
  <c r="E46" i="84"/>
  <c r="I46" i="84" s="1"/>
  <c r="E60" i="89"/>
  <c r="I60" i="89" s="1"/>
  <c r="D60" i="89"/>
  <c r="H60" i="89" s="1"/>
  <c r="D17" i="89"/>
  <c r="F17" i="89" s="1"/>
  <c r="H17" i="89" s="1"/>
  <c r="E17" i="89"/>
  <c r="G17" i="89" s="1"/>
  <c r="I17" i="89" s="1"/>
  <c r="D56" i="88"/>
  <c r="H56" i="88" s="1"/>
  <c r="E56" i="88"/>
  <c r="I56" i="88" s="1"/>
  <c r="B57" i="86"/>
  <c r="E57" i="86" s="1"/>
  <c r="I57" i="86" s="1"/>
  <c r="B57" i="88"/>
  <c r="E47" i="88"/>
  <c r="I47" i="88" s="1"/>
  <c r="C29" i="86"/>
  <c r="C29" i="88"/>
  <c r="B54" i="86"/>
  <c r="D54" i="86" s="1"/>
  <c r="H54" i="86" s="1"/>
  <c r="B54" i="88"/>
  <c r="B36" i="73"/>
  <c r="E36" i="73" s="1"/>
  <c r="I36" i="73" s="1"/>
  <c r="DC229" i="1"/>
  <c r="DD229" i="1" s="1"/>
  <c r="E41" i="79"/>
  <c r="I41" i="79" s="1"/>
  <c r="E15" i="74"/>
  <c r="G15" i="74" s="1"/>
  <c r="I15" i="74" s="1"/>
  <c r="E25" i="1"/>
  <c r="D13" i="74"/>
  <c r="F13" i="74" s="1"/>
  <c r="H13" i="74" s="1"/>
  <c r="EP17" i="1"/>
  <c r="B47" i="81"/>
  <c r="D31" i="84"/>
  <c r="F31" i="84" s="1"/>
  <c r="H31" i="84" s="1"/>
  <c r="B47" i="86"/>
  <c r="E47" i="86" s="1"/>
  <c r="I47" i="86" s="1"/>
  <c r="E27" i="86"/>
  <c r="G27" i="86" s="1"/>
  <c r="I27" i="86" s="1"/>
  <c r="E21" i="84"/>
  <c r="G21" i="84" s="1"/>
  <c r="I21" i="84" s="1"/>
  <c r="C39" i="86"/>
  <c r="E39" i="86" s="1"/>
  <c r="I39" i="86" s="1"/>
  <c r="C39" i="88"/>
  <c r="E24" i="73"/>
  <c r="G24" i="73" s="1"/>
  <c r="I24" i="73" s="1"/>
  <c r="B36" i="74"/>
  <c r="E36" i="74" s="1"/>
  <c r="I36" i="74" s="1"/>
  <c r="E15" i="79"/>
  <c r="G15" i="79" s="1"/>
  <c r="I15" i="79" s="1"/>
  <c r="B47" i="79"/>
  <c r="E47" i="79" s="1"/>
  <c r="I47" i="79" s="1"/>
  <c r="D33" i="84"/>
  <c r="F33" i="84" s="1"/>
  <c r="H33" i="84" s="1"/>
  <c r="E38" i="81"/>
  <c r="G38" i="81" s="1"/>
  <c r="I38" i="81" s="1"/>
  <c r="B47" i="84"/>
  <c r="D47" i="84" s="1"/>
  <c r="H47" i="84" s="1"/>
  <c r="E36" i="84"/>
  <c r="G36" i="84" s="1"/>
  <c r="I36" i="84" s="1"/>
  <c r="D14" i="84"/>
  <c r="E15" i="84"/>
  <c r="G15" i="84" s="1"/>
  <c r="I15" i="84" s="1"/>
  <c r="E27" i="88"/>
  <c r="G27" i="88" s="1"/>
  <c r="I27" i="88" s="1"/>
  <c r="D27" i="88"/>
  <c r="F27" i="88" s="1"/>
  <c r="H27" i="88" s="1"/>
  <c r="B22" i="86"/>
  <c r="D22" i="86" s="1"/>
  <c r="F22" i="86" s="1"/>
  <c r="H22" i="86" s="1"/>
  <c r="B22" i="88"/>
  <c r="E20" i="84"/>
  <c r="G20" i="84" s="1"/>
  <c r="I20" i="84" s="1"/>
  <c r="E32" i="88"/>
  <c r="G32" i="88" s="1"/>
  <c r="D32" i="88"/>
  <c r="F32" i="88" s="1"/>
  <c r="H32" i="88" s="1"/>
  <c r="E58" i="88"/>
  <c r="I58" i="88" s="1"/>
  <c r="D58" i="88"/>
  <c r="H58" i="88" s="1"/>
  <c r="G14" i="88"/>
  <c r="E23" i="74"/>
  <c r="G23" i="74" s="1"/>
  <c r="I23" i="74" s="1"/>
  <c r="I204" i="77"/>
  <c r="D42" i="79"/>
  <c r="H42" i="79" s="1"/>
  <c r="D31" i="74"/>
  <c r="H31" i="74" s="1"/>
  <c r="E45" i="73"/>
  <c r="I45" i="73" s="1"/>
  <c r="G26" i="1"/>
  <c r="EO26" i="1" s="1"/>
  <c r="D21" i="84"/>
  <c r="F21" i="84" s="1"/>
  <c r="H21" i="84" s="1"/>
  <c r="E35" i="84"/>
  <c r="G35" i="84" s="1"/>
  <c r="I35" i="84" s="1"/>
  <c r="I46" i="85"/>
  <c r="E14" i="84"/>
  <c r="G14" i="84" s="1"/>
  <c r="E18" i="86"/>
  <c r="G18" i="86" s="1"/>
  <c r="I18" i="86" s="1"/>
  <c r="D18" i="86"/>
  <c r="F18" i="86" s="1"/>
  <c r="H18" i="86" s="1"/>
  <c r="AP229" i="1"/>
  <c r="AQ229" i="1" s="1"/>
  <c r="C21" i="86"/>
  <c r="E34" i="86"/>
  <c r="G34" i="86" s="1"/>
  <c r="I34" i="86" s="1"/>
  <c r="EN25" i="1"/>
  <c r="EP25" i="1" s="1"/>
  <c r="E17" i="86"/>
  <c r="G17" i="86" s="1"/>
  <c r="I17" i="86" s="1"/>
  <c r="D17" i="86"/>
  <c r="F17" i="86" s="1"/>
  <c r="H17" i="86" s="1"/>
  <c r="D37" i="86"/>
  <c r="F37" i="86" s="1"/>
  <c r="H37" i="86" s="1"/>
  <c r="D38" i="81"/>
  <c r="F38" i="81" s="1"/>
  <c r="H38" i="81" s="1"/>
  <c r="D35" i="84"/>
  <c r="F35" i="84" s="1"/>
  <c r="H35" i="84" s="1"/>
  <c r="D22" i="84"/>
  <c r="F22" i="84" s="1"/>
  <c r="H22" i="84" s="1"/>
  <c r="D15" i="84"/>
  <c r="F15" i="84" s="1"/>
  <c r="H15" i="84" s="1"/>
  <c r="D36" i="84"/>
  <c r="F36" i="84" s="1"/>
  <c r="H36" i="84" s="1"/>
  <c r="E15" i="86"/>
  <c r="G15" i="86" s="1"/>
  <c r="I15" i="86" s="1"/>
  <c r="D15" i="86"/>
  <c r="F15" i="86" s="1"/>
  <c r="H15" i="86" s="1"/>
  <c r="E52" i="86"/>
  <c r="I52" i="86" s="1"/>
  <c r="D52" i="86"/>
  <c r="H52" i="86" s="1"/>
  <c r="E32" i="86"/>
  <c r="G32" i="86" s="1"/>
  <c r="I32" i="86" s="1"/>
  <c r="D32" i="86"/>
  <c r="F32" i="86" s="1"/>
  <c r="H32" i="86" s="1"/>
  <c r="D43" i="74"/>
  <c r="H43" i="74" s="1"/>
  <c r="E25" i="73"/>
  <c r="G25" i="73" s="1"/>
  <c r="I25" i="73" s="1"/>
  <c r="B30" i="81"/>
  <c r="D30" i="81" s="1"/>
  <c r="F30" i="81" s="1"/>
  <c r="H30" i="81" s="1"/>
  <c r="B30" i="86"/>
  <c r="D30" i="86" s="1"/>
  <c r="F30" i="86" s="1"/>
  <c r="H30" i="86" s="1"/>
  <c r="D27" i="86"/>
  <c r="F27" i="86" s="1"/>
  <c r="H27" i="86" s="1"/>
  <c r="E33" i="86"/>
  <c r="G33" i="86" s="1"/>
  <c r="I33" i="86" s="1"/>
  <c r="D33" i="86"/>
  <c r="F33" i="86" s="1"/>
  <c r="H33" i="86" s="1"/>
  <c r="D36" i="86"/>
  <c r="F36" i="86" s="1"/>
  <c r="H36" i="86" s="1"/>
  <c r="E36" i="86"/>
  <c r="G36" i="86" s="1"/>
  <c r="I36" i="86" s="1"/>
  <c r="D14" i="86"/>
  <c r="F14" i="86" s="1"/>
  <c r="H14" i="86" s="1"/>
  <c r="E14" i="86"/>
  <c r="G14" i="86" s="1"/>
  <c r="I14" i="86" s="1"/>
  <c r="E31" i="86"/>
  <c r="G31" i="86" s="1"/>
  <c r="I31" i="86" s="1"/>
  <c r="D31" i="86"/>
  <c r="F31" i="86" s="1"/>
  <c r="H31" i="86" s="1"/>
  <c r="E42" i="86"/>
  <c r="I42" i="86" s="1"/>
  <c r="D42" i="86"/>
  <c r="H42" i="86" s="1"/>
  <c r="E43" i="86"/>
  <c r="I43" i="86" s="1"/>
  <c r="D43" i="86"/>
  <c r="H43" i="86" s="1"/>
  <c r="E46" i="86"/>
  <c r="I46" i="86" s="1"/>
  <c r="D46" i="86"/>
  <c r="H46" i="86" s="1"/>
  <c r="E20" i="86"/>
  <c r="G20" i="86" s="1"/>
  <c r="I20" i="86" s="1"/>
  <c r="D20" i="86"/>
  <c r="F20" i="86" s="1"/>
  <c r="H20" i="86" s="1"/>
  <c r="D35" i="86"/>
  <c r="F35" i="86" s="1"/>
  <c r="H35" i="86" s="1"/>
  <c r="E35" i="86"/>
  <c r="G35" i="86" s="1"/>
  <c r="I35" i="86" s="1"/>
  <c r="D41" i="86"/>
  <c r="H41" i="86" s="1"/>
  <c r="G110" i="86"/>
  <c r="G115" i="86" s="1"/>
  <c r="G98" i="86"/>
  <c r="B27" i="84"/>
  <c r="B28" i="86"/>
  <c r="B53" i="84"/>
  <c r="E53" i="84" s="1"/>
  <c r="I53" i="84" s="1"/>
  <c r="B56" i="86"/>
  <c r="B44" i="84"/>
  <c r="D44" i="84" s="1"/>
  <c r="H44" i="84" s="1"/>
  <c r="B44" i="86"/>
  <c r="B45" i="84"/>
  <c r="D45" i="84" s="1"/>
  <c r="H45" i="84" s="1"/>
  <c r="B45" i="86"/>
  <c r="C24" i="84"/>
  <c r="C25" i="86"/>
  <c r="E54" i="86"/>
  <c r="C25" i="84"/>
  <c r="C26" i="86"/>
  <c r="D39" i="86"/>
  <c r="H39" i="86" s="1"/>
  <c r="C27" i="84"/>
  <c r="C28" i="86"/>
  <c r="C40" i="84"/>
  <c r="E40" i="84" s="1"/>
  <c r="I40" i="84" s="1"/>
  <c r="C40" i="86"/>
  <c r="D21" i="79"/>
  <c r="F21" i="79" s="1"/>
  <c r="H21" i="79" s="1"/>
  <c r="D35" i="74"/>
  <c r="H35" i="74" s="1"/>
  <c r="D45" i="73"/>
  <c r="H45" i="73" s="1"/>
  <c r="E55" i="84"/>
  <c r="I55" i="84" s="1"/>
  <c r="D55" i="84"/>
  <c r="H55" i="84" s="1"/>
  <c r="D30" i="73"/>
  <c r="H30" i="73" s="1"/>
  <c r="E33" i="84"/>
  <c r="G33" i="84" s="1"/>
  <c r="I33" i="84" s="1"/>
  <c r="E43" i="74"/>
  <c r="I43" i="74" s="1"/>
  <c r="D30" i="74"/>
  <c r="H30" i="74" s="1"/>
  <c r="D31" i="73"/>
  <c r="H31" i="73" s="1"/>
  <c r="E49" i="84"/>
  <c r="I49" i="84" s="1"/>
  <c r="D49" i="84"/>
  <c r="H49" i="84" s="1"/>
  <c r="E57" i="84"/>
  <c r="I57" i="84" s="1"/>
  <c r="D57" i="84"/>
  <c r="H57" i="84" s="1"/>
  <c r="E37" i="84"/>
  <c r="G37" i="84" s="1"/>
  <c r="I37" i="84" s="1"/>
  <c r="D37" i="84"/>
  <c r="F37" i="84" s="1"/>
  <c r="H37" i="84" s="1"/>
  <c r="D37" i="81"/>
  <c r="F37" i="81" s="1"/>
  <c r="H37" i="81" s="1"/>
  <c r="E154" i="52"/>
  <c r="E23" i="84"/>
  <c r="G23" i="84" s="1"/>
  <c r="I23" i="84" s="1"/>
  <c r="D23" i="84"/>
  <c r="F23" i="84" s="1"/>
  <c r="H23" i="84" s="1"/>
  <c r="D123" i="52"/>
  <c r="EN12" i="1"/>
  <c r="EP12" i="1" s="1"/>
  <c r="E12" i="1"/>
  <c r="E38" i="84"/>
  <c r="G38" i="84" s="1"/>
  <c r="I38" i="84" s="1"/>
  <c r="E41" i="84"/>
  <c r="I41" i="84" s="1"/>
  <c r="D41" i="84"/>
  <c r="H41" i="84" s="1"/>
  <c r="B32" i="81"/>
  <c r="B32" i="84"/>
  <c r="EA228" i="1"/>
  <c r="B48" i="89" s="1"/>
  <c r="H46" i="85"/>
  <c r="E53" i="85"/>
  <c r="D60" i="85" s="1"/>
  <c r="E51" i="85"/>
  <c r="B57" i="81"/>
  <c r="E57" i="81" s="1"/>
  <c r="I57" i="81" s="1"/>
  <c r="B54" i="84"/>
  <c r="B29" i="2"/>
  <c r="E29" i="2" s="1"/>
  <c r="G29" i="2" s="1"/>
  <c r="I29" i="2" s="1"/>
  <c r="B29" i="84"/>
  <c r="E26" i="84"/>
  <c r="G26" i="84" s="1"/>
  <c r="I26" i="84" s="1"/>
  <c r="D26" i="84"/>
  <c r="F26" i="84" s="1"/>
  <c r="H26" i="84" s="1"/>
  <c r="E26" i="1"/>
  <c r="C28" i="81"/>
  <c r="C28" i="84"/>
  <c r="EP76" i="1"/>
  <c r="C39" i="81"/>
  <c r="D39" i="81" s="1"/>
  <c r="H39" i="81" s="1"/>
  <c r="C39" i="84"/>
  <c r="B54" i="81"/>
  <c r="E54" i="81" s="1"/>
  <c r="B51" i="84"/>
  <c r="E34" i="84"/>
  <c r="G34" i="84" s="1"/>
  <c r="I34" i="84" s="1"/>
  <c r="D34" i="84"/>
  <c r="F34" i="84" s="1"/>
  <c r="H34" i="84" s="1"/>
  <c r="F14" i="84"/>
  <c r="EP11" i="1"/>
  <c r="EN26" i="1"/>
  <c r="EP16" i="1"/>
  <c r="EP22" i="1"/>
  <c r="K25" i="52"/>
  <c r="I25" i="52" s="1"/>
  <c r="P25" i="52" s="1"/>
  <c r="D25" i="52"/>
  <c r="E161" i="52"/>
  <c r="D31" i="52"/>
  <c r="G23" i="52"/>
  <c r="G24" i="52" s="1"/>
  <c r="G25" i="52" s="1"/>
  <c r="G26" i="52" s="1"/>
  <c r="G27" i="52" s="1"/>
  <c r="G28" i="52" s="1"/>
  <c r="G29" i="52" s="1"/>
  <c r="G30" i="52" s="1"/>
  <c r="G31" i="52" s="1"/>
  <c r="G32" i="52" s="1"/>
  <c r="G33" i="52" s="1"/>
  <c r="G34" i="52" s="1"/>
  <c r="G35" i="52" s="1"/>
  <c r="G36" i="52" s="1"/>
  <c r="G37" i="52" s="1"/>
  <c r="G38" i="52" s="1"/>
  <c r="G39" i="52" s="1"/>
  <c r="G40" i="52" s="1"/>
  <c r="G41" i="52" s="1"/>
  <c r="G42" i="52" s="1"/>
  <c r="G43" i="52" s="1"/>
  <c r="G44" i="52" s="1"/>
  <c r="G45" i="52" s="1"/>
  <c r="G46" i="52" s="1"/>
  <c r="G47" i="52" s="1"/>
  <c r="G48" i="52" s="1"/>
  <c r="G49" i="52" s="1"/>
  <c r="G50" i="52" s="1"/>
  <c r="G51" i="52" s="1"/>
  <c r="G52" i="52" s="1"/>
  <c r="G53" i="52" s="1"/>
  <c r="G54" i="52" s="1"/>
  <c r="G55" i="52" s="1"/>
  <c r="G56" i="52" s="1"/>
  <c r="G57" i="52" s="1"/>
  <c r="G58" i="52" s="1"/>
  <c r="G59" i="52" s="1"/>
  <c r="G60" i="52" s="1"/>
  <c r="G61" i="52" s="1"/>
  <c r="G62" i="52" s="1"/>
  <c r="G63" i="52" s="1"/>
  <c r="G64" i="52" s="1"/>
  <c r="G65" i="52" s="1"/>
  <c r="G66" i="52" s="1"/>
  <c r="G67" i="52" s="1"/>
  <c r="G68" i="52" s="1"/>
  <c r="G69" i="52" s="1"/>
  <c r="G70" i="52" s="1"/>
  <c r="G71" i="52" s="1"/>
  <c r="G72" i="52" s="1"/>
  <c r="G73" i="52" s="1"/>
  <c r="G74" i="52" s="1"/>
  <c r="G75" i="52" s="1"/>
  <c r="G76" i="52" s="1"/>
  <c r="G77" i="52" s="1"/>
  <c r="G78" i="52" s="1"/>
  <c r="G79" i="52" s="1"/>
  <c r="G80" i="52" s="1"/>
  <c r="G81" i="52" s="1"/>
  <c r="G82" i="52" s="1"/>
  <c r="G83" i="52" s="1"/>
  <c r="G84" i="52" s="1"/>
  <c r="G85" i="52" s="1"/>
  <c r="G86" i="52" s="1"/>
  <c r="G87" i="52" s="1"/>
  <c r="G88" i="52" s="1"/>
  <c r="G89" i="52" s="1"/>
  <c r="G90" i="52" s="1"/>
  <c r="G91" i="52" s="1"/>
  <c r="G92" i="52" s="1"/>
  <c r="G93" i="52" s="1"/>
  <c r="G94" i="52" s="1"/>
  <c r="G95" i="52" s="1"/>
  <c r="G96" i="52" s="1"/>
  <c r="G97" i="52" s="1"/>
  <c r="G98" i="52" s="1"/>
  <c r="G99" i="52" s="1"/>
  <c r="G100" i="52" s="1"/>
  <c r="G101" i="52" s="1"/>
  <c r="G102" i="52" s="1"/>
  <c r="G103" i="52" s="1"/>
  <c r="G104" i="52" s="1"/>
  <c r="G105" i="52" s="1"/>
  <c r="G106" i="52" s="1"/>
  <c r="G107" i="52" s="1"/>
  <c r="G108" i="52" s="1"/>
  <c r="G109" i="52" s="1"/>
  <c r="G110" i="52" s="1"/>
  <c r="G111" i="52" s="1"/>
  <c r="G112" i="52" s="1"/>
  <c r="G113" i="52" s="1"/>
  <c r="G114" i="52" s="1"/>
  <c r="G115" i="52" s="1"/>
  <c r="G116" i="52" s="1"/>
  <c r="G117" i="52" s="1"/>
  <c r="G118" i="52" s="1"/>
  <c r="G119" i="52" s="1"/>
  <c r="G120" i="52" s="1"/>
  <c r="G121" i="52" s="1"/>
  <c r="G122" i="52" s="1"/>
  <c r="G123" i="52" s="1"/>
  <c r="G124" i="52" s="1"/>
  <c r="G125" i="52" s="1"/>
  <c r="G126" i="52" s="1"/>
  <c r="G127" i="52" s="1"/>
  <c r="G128" i="52" s="1"/>
  <c r="G129" i="52" s="1"/>
  <c r="G130" i="52" s="1"/>
  <c r="G131" i="52" s="1"/>
  <c r="G132" i="52" s="1"/>
  <c r="G133" i="52" s="1"/>
  <c r="G134" i="52" s="1"/>
  <c r="G135" i="52" s="1"/>
  <c r="G136" i="52" s="1"/>
  <c r="G137" i="52" s="1"/>
  <c r="G138" i="52" s="1"/>
  <c r="G139" i="52" s="1"/>
  <c r="G140" i="52" s="1"/>
  <c r="G141" i="52" s="1"/>
  <c r="G142" i="52" s="1"/>
  <c r="F154" i="52"/>
  <c r="F157" i="52" s="1"/>
  <c r="G157" i="52" s="1"/>
  <c r="F169" i="52"/>
  <c r="F170" i="52" s="1"/>
  <c r="K23" i="52"/>
  <c r="I23" i="52" s="1"/>
  <c r="P23" i="52" s="1"/>
  <c r="D188" i="52"/>
  <c r="D191" i="52" s="1"/>
  <c r="D24" i="52"/>
  <c r="J24" i="52"/>
  <c r="I24" i="52" s="1"/>
  <c r="P24" i="52" s="1"/>
  <c r="D23" i="52"/>
  <c r="J199" i="77"/>
  <c r="K199" i="77" s="1"/>
  <c r="L199" i="77" s="1"/>
  <c r="M199" i="77" s="1"/>
  <c r="H58" i="50"/>
  <c r="F59" i="50"/>
  <c r="H59" i="50" s="1"/>
  <c r="D118" i="52"/>
  <c r="F161" i="52"/>
  <c r="E169" i="52"/>
  <c r="E170" i="52" s="1"/>
  <c r="H28" i="50"/>
  <c r="C17" i="74"/>
  <c r="C24" i="81"/>
  <c r="B53" i="79"/>
  <c r="E53" i="79" s="1"/>
  <c r="I53" i="79" s="1"/>
  <c r="B56" i="81"/>
  <c r="BP229" i="1"/>
  <c r="DZ229" i="1"/>
  <c r="B45" i="81"/>
  <c r="G205" i="77"/>
  <c r="I208" i="77" s="1"/>
  <c r="D208" i="77"/>
  <c r="C21" i="77"/>
  <c r="E15" i="77"/>
  <c r="M55" i="50"/>
  <c r="D14" i="81"/>
  <c r="E14" i="81"/>
  <c r="G14" i="81" s="1"/>
  <c r="I14" i="81" s="1"/>
  <c r="E52" i="81"/>
  <c r="I52" i="81" s="1"/>
  <c r="D52" i="81"/>
  <c r="H52" i="81" s="1"/>
  <c r="I29" i="77"/>
  <c r="G30" i="77"/>
  <c r="I33" i="77" s="1"/>
  <c r="D33" i="77"/>
  <c r="G144" i="77"/>
  <c r="I147" i="77" s="1"/>
  <c r="D147" i="77"/>
  <c r="AK49" i="31"/>
  <c r="AK51" i="31" s="1"/>
  <c r="D34" i="81"/>
  <c r="F34" i="81" s="1"/>
  <c r="H34" i="81" s="1"/>
  <c r="M17" i="50"/>
  <c r="M24" i="50" s="1"/>
  <c r="L24" i="50"/>
  <c r="E20" i="26"/>
  <c r="C21" i="26"/>
  <c r="B32" i="1"/>
  <c r="B36" i="1" s="1"/>
  <c r="B29" i="1"/>
  <c r="B27" i="79"/>
  <c r="B27" i="81"/>
  <c r="C27" i="2"/>
  <c r="C27" i="81"/>
  <c r="CN229" i="1"/>
  <c r="CO229" i="1" s="1"/>
  <c r="C40" i="81"/>
  <c r="D40" i="81" s="1"/>
  <c r="H40" i="81" s="1"/>
  <c r="C18" i="73"/>
  <c r="C25" i="81"/>
  <c r="B44" i="79"/>
  <c r="D44" i="79" s="1"/>
  <c r="H44" i="79" s="1"/>
  <c r="B44" i="81"/>
  <c r="BQ229" i="1"/>
  <c r="BR229" i="1" s="1"/>
  <c r="B29" i="81"/>
  <c r="K197" i="77"/>
  <c r="M19" i="77"/>
  <c r="H19" i="77"/>
  <c r="M18" i="77"/>
  <c r="H18" i="77"/>
  <c r="J152" i="77"/>
  <c r="I151" i="77" s="1"/>
  <c r="H144" i="77"/>
  <c r="D151" i="77"/>
  <c r="D20" i="81"/>
  <c r="F20" i="81" s="1"/>
  <c r="H20" i="81" s="1"/>
  <c r="E20" i="81"/>
  <c r="G20" i="81" s="1"/>
  <c r="I20" i="81" s="1"/>
  <c r="E33" i="81"/>
  <c r="G33" i="81" s="1"/>
  <c r="I33" i="81" s="1"/>
  <c r="D33" i="81"/>
  <c r="F33" i="81" s="1"/>
  <c r="H33" i="81" s="1"/>
  <c r="E58" i="81"/>
  <c r="I58" i="81" s="1"/>
  <c r="D58" i="81"/>
  <c r="H58" i="81" s="1"/>
  <c r="C32" i="81" s="1"/>
  <c r="E22" i="81"/>
  <c r="G22" i="81" s="1"/>
  <c r="I22" i="81" s="1"/>
  <c r="D22" i="81"/>
  <c r="F22" i="81" s="1"/>
  <c r="H22" i="81" s="1"/>
  <c r="E15" i="81"/>
  <c r="G15" i="81" s="1"/>
  <c r="I15" i="81" s="1"/>
  <c r="D15" i="81"/>
  <c r="F15" i="81" s="1"/>
  <c r="H15" i="81" s="1"/>
  <c r="D21" i="81"/>
  <c r="F21" i="81" s="1"/>
  <c r="H21" i="81" s="1"/>
  <c r="E21" i="81"/>
  <c r="G21" i="81" s="1"/>
  <c r="I21" i="81" s="1"/>
  <c r="E35" i="81"/>
  <c r="G35" i="81" s="1"/>
  <c r="I35" i="81" s="1"/>
  <c r="D35" i="81"/>
  <c r="F35" i="81" s="1"/>
  <c r="H35" i="81" s="1"/>
  <c r="D36" i="81"/>
  <c r="F36" i="81" s="1"/>
  <c r="H36" i="81" s="1"/>
  <c r="E36" i="81"/>
  <c r="G36" i="81" s="1"/>
  <c r="I36" i="81" s="1"/>
  <c r="J29" i="77"/>
  <c r="K23" i="77"/>
  <c r="H30" i="77"/>
  <c r="J38" i="77"/>
  <c r="I37" i="77" s="1"/>
  <c r="D37" i="77"/>
  <c r="E14" i="77"/>
  <c r="J213" i="77"/>
  <c r="I212" i="77" s="1"/>
  <c r="D212" i="77"/>
  <c r="H205" i="77"/>
  <c r="J140" i="77"/>
  <c r="G14" i="1"/>
  <c r="EO14" i="1" s="1"/>
  <c r="E14" i="1"/>
  <c r="EN14" i="1"/>
  <c r="E26" i="81"/>
  <c r="G26" i="81" s="1"/>
  <c r="I26" i="81" s="1"/>
  <c r="D26" i="81"/>
  <c r="F26" i="81" s="1"/>
  <c r="H26" i="81" s="1"/>
  <c r="D31" i="81"/>
  <c r="F31" i="81" s="1"/>
  <c r="H31" i="81" s="1"/>
  <c r="E31" i="81"/>
  <c r="G31" i="81" s="1"/>
  <c r="I31" i="81" s="1"/>
  <c r="E41" i="81"/>
  <c r="I41" i="81" s="1"/>
  <c r="D41" i="81"/>
  <c r="H41" i="81" s="1"/>
  <c r="E42" i="81"/>
  <c r="I42" i="81" s="1"/>
  <c r="D42" i="81"/>
  <c r="H42" i="81" s="1"/>
  <c r="E43" i="81"/>
  <c r="I43" i="81" s="1"/>
  <c r="D43" i="81"/>
  <c r="H43" i="81" s="1"/>
  <c r="E47" i="81"/>
  <c r="I47" i="81" s="1"/>
  <c r="D47" i="81"/>
  <c r="H47" i="81" s="1"/>
  <c r="D60" i="81"/>
  <c r="H60" i="81" s="1"/>
  <c r="E60" i="81"/>
  <c r="I60" i="81" s="1"/>
  <c r="E46" i="81"/>
  <c r="I46" i="81" s="1"/>
  <c r="D46" i="81"/>
  <c r="H46" i="81" s="1"/>
  <c r="C21" i="73"/>
  <c r="C28" i="79"/>
  <c r="B32" i="79"/>
  <c r="E32" i="79" s="1"/>
  <c r="G32" i="79" s="1"/>
  <c r="I32" i="79" s="1"/>
  <c r="E43" i="73"/>
  <c r="I43" i="73" s="1"/>
  <c r="D21" i="2"/>
  <c r="F21" i="2" s="1"/>
  <c r="H21" i="2" s="1"/>
  <c r="D22" i="73"/>
  <c r="F22" i="73" s="1"/>
  <c r="H22" i="73" s="1"/>
  <c r="B29" i="79"/>
  <c r="D29" i="79" s="1"/>
  <c r="F29" i="79" s="1"/>
  <c r="H29" i="79" s="1"/>
  <c r="B32" i="2"/>
  <c r="D32" i="2" s="1"/>
  <c r="F32" i="2" s="1"/>
  <c r="H32" i="2" s="1"/>
  <c r="D43" i="73"/>
  <c r="H43" i="73" s="1"/>
  <c r="E13" i="73"/>
  <c r="G13" i="73" s="1"/>
  <c r="I13" i="73" s="1"/>
  <c r="E30" i="73"/>
  <c r="I30" i="73" s="1"/>
  <c r="H233" i="1"/>
  <c r="D36" i="73"/>
  <c r="H36" i="73" s="1"/>
  <c r="D45" i="74"/>
  <c r="H45" i="74" s="1"/>
  <c r="D24" i="73"/>
  <c r="F24" i="73" s="1"/>
  <c r="H24" i="73" s="1"/>
  <c r="B38" i="74"/>
  <c r="D38" i="74" s="1"/>
  <c r="H38" i="74" s="1"/>
  <c r="B51" i="79"/>
  <c r="AG235" i="1"/>
  <c r="AG237" i="1" s="1"/>
  <c r="D36" i="74"/>
  <c r="H36" i="74" s="1"/>
  <c r="B34" i="74"/>
  <c r="E34" i="74" s="1"/>
  <c r="I34" i="74" s="1"/>
  <c r="B34" i="73"/>
  <c r="E34" i="73" s="1"/>
  <c r="I34" i="73" s="1"/>
  <c r="B45" i="2"/>
  <c r="D45" i="2" s="1"/>
  <c r="H45" i="2" s="1"/>
  <c r="G31" i="3" s="1"/>
  <c r="EP155" i="1"/>
  <c r="EP207" i="1"/>
  <c r="D25" i="73"/>
  <c r="F25" i="73" s="1"/>
  <c r="H25" i="73" s="1"/>
  <c r="D23" i="74"/>
  <c r="F23" i="74" s="1"/>
  <c r="H23" i="74" s="1"/>
  <c r="E30" i="74"/>
  <c r="I30" i="74" s="1"/>
  <c r="B52" i="2"/>
  <c r="D52" i="2" s="1"/>
  <c r="H52" i="2" s="1"/>
  <c r="E35" i="73"/>
  <c r="I35" i="73" s="1"/>
  <c r="E45" i="74"/>
  <c r="I45" i="74" s="1"/>
  <c r="D15" i="73"/>
  <c r="F15" i="73" s="1"/>
  <c r="E15" i="73"/>
  <c r="G15" i="73" s="1"/>
  <c r="I15" i="73" s="1"/>
  <c r="E41" i="2"/>
  <c r="I41" i="2" s="1"/>
  <c r="EP45" i="1"/>
  <c r="E31" i="73"/>
  <c r="I31" i="73" s="1"/>
  <c r="EP136" i="1"/>
  <c r="D41" i="79"/>
  <c r="H41" i="79" s="1"/>
  <c r="EP126" i="1"/>
  <c r="EP160" i="1"/>
  <c r="B45" i="79"/>
  <c r="E45" i="79" s="1"/>
  <c r="I45" i="79" s="1"/>
  <c r="E43" i="1"/>
  <c r="C24" i="79"/>
  <c r="C17" i="73"/>
  <c r="B33" i="73"/>
  <c r="E33" i="73" s="1"/>
  <c r="I33" i="73" s="1"/>
  <c r="EP74" i="1"/>
  <c r="EP60" i="1"/>
  <c r="C29" i="73"/>
  <c r="E29" i="73" s="1"/>
  <c r="I29" i="73" s="1"/>
  <c r="C25" i="79"/>
  <c r="E46" i="1"/>
  <c r="C28" i="2"/>
  <c r="D28" i="2" s="1"/>
  <c r="F28" i="2" s="1"/>
  <c r="H28" i="2" s="1"/>
  <c r="C21" i="74"/>
  <c r="B38" i="73"/>
  <c r="D38" i="73" s="1"/>
  <c r="H38" i="73" s="1"/>
  <c r="EP27" i="1"/>
  <c r="C18" i="74"/>
  <c r="EP44" i="1"/>
  <c r="CW229" i="1"/>
  <c r="CX229" i="1" s="1"/>
  <c r="C53" i="89" s="1"/>
  <c r="E53" i="89" s="1"/>
  <c r="I53" i="89" s="1"/>
  <c r="C25" i="2"/>
  <c r="C27" i="79"/>
  <c r="E22" i="73"/>
  <c r="G22" i="73" s="1"/>
  <c r="I22" i="73" s="1"/>
  <c r="C24" i="2"/>
  <c r="EN90" i="1"/>
  <c r="C28" i="73"/>
  <c r="C39" i="79"/>
  <c r="D39" i="79" s="1"/>
  <c r="H39" i="79" s="1"/>
  <c r="CL229" i="1"/>
  <c r="CM229" i="1" s="1"/>
  <c r="C39" i="2"/>
  <c r="E39" i="2" s="1"/>
  <c r="I39" i="2" s="1"/>
  <c r="G14" i="3" s="1"/>
  <c r="C28" i="74"/>
  <c r="E28" i="74" s="1"/>
  <c r="I28" i="74" s="1"/>
  <c r="EN137" i="1"/>
  <c r="EP137" i="1" s="1"/>
  <c r="E137" i="1"/>
  <c r="E21" i="79"/>
  <c r="G21" i="79" s="1"/>
  <c r="I21" i="79" s="1"/>
  <c r="C29" i="74"/>
  <c r="E29" i="74" s="1"/>
  <c r="I29" i="74" s="1"/>
  <c r="EP135" i="1"/>
  <c r="DU229" i="1"/>
  <c r="DV229" i="1" s="1"/>
  <c r="EP46" i="1"/>
  <c r="EO90" i="1"/>
  <c r="B41" i="74"/>
  <c r="D41" i="74" s="1"/>
  <c r="H41" i="74" s="1"/>
  <c r="DW229" i="1"/>
  <c r="DX229" i="1" s="1"/>
  <c r="B41" i="73"/>
  <c r="E79" i="1"/>
  <c r="E35" i="74"/>
  <c r="I35" i="74" s="1"/>
  <c r="C40" i="79"/>
  <c r="D40" i="79" s="1"/>
  <c r="H40" i="79" s="1"/>
  <c r="AU228" i="1"/>
  <c r="B25" i="89" s="1"/>
  <c r="EO43" i="1"/>
  <c r="EP43" i="1" s="1"/>
  <c r="B33" i="74"/>
  <c r="EP120" i="1"/>
  <c r="EP195" i="1"/>
  <c r="EN172" i="1"/>
  <c r="EP172" i="1" s="1"/>
  <c r="E155" i="1"/>
  <c r="B44" i="2"/>
  <c r="D44" i="2" s="1"/>
  <c r="H44" i="2" s="1"/>
  <c r="EN91" i="1"/>
  <c r="EP91" i="1" s="1"/>
  <c r="D41" i="2"/>
  <c r="H41" i="2" s="1"/>
  <c r="DS229" i="1"/>
  <c r="DT229" i="1" s="1"/>
  <c r="B42" i="74"/>
  <c r="E42" i="74" s="1"/>
  <c r="I42" i="74" s="1"/>
  <c r="B42" i="73"/>
  <c r="E42" i="73" s="1"/>
  <c r="I42" i="73" s="1"/>
  <c r="B53" i="2"/>
  <c r="E53" i="2" s="1"/>
  <c r="I53" i="2" s="1"/>
  <c r="B54" i="79"/>
  <c r="E54" i="79" s="1"/>
  <c r="I54" i="79" s="1"/>
  <c r="EO59" i="1"/>
  <c r="EN59" i="1"/>
  <c r="E59" i="1"/>
  <c r="E108" i="1"/>
  <c r="EN108" i="1"/>
  <c r="EP108" i="1" s="1"/>
  <c r="E19" i="73"/>
  <c r="G19" i="73" s="1"/>
  <c r="I19" i="73" s="1"/>
  <c r="D19" i="73"/>
  <c r="F19" i="73" s="1"/>
  <c r="H19" i="73" s="1"/>
  <c r="C40" i="2"/>
  <c r="E40" i="2" s="1"/>
  <c r="I40" i="2" s="1"/>
  <c r="B20" i="74"/>
  <c r="C20" i="69"/>
  <c r="C20" i="73"/>
  <c r="C20" i="1"/>
  <c r="C20" i="4"/>
  <c r="C20" i="74"/>
  <c r="C20" i="68"/>
  <c r="AW228" i="1"/>
  <c r="B26" i="89" s="1"/>
  <c r="EP61" i="1"/>
  <c r="D19" i="74"/>
  <c r="F19" i="74" s="1"/>
  <c r="H19" i="74" s="1"/>
  <c r="E19" i="74"/>
  <c r="G19" i="74" s="1"/>
  <c r="I19" i="74" s="1"/>
  <c r="EN48" i="1"/>
  <c r="EP48" i="1" s="1"/>
  <c r="E48" i="1"/>
  <c r="E15" i="25"/>
  <c r="C28" i="25"/>
  <c r="EP28" i="1"/>
  <c r="B20" i="69"/>
  <c r="J229" i="1"/>
  <c r="B20" i="73"/>
  <c r="EN170" i="1"/>
  <c r="BA228" i="1"/>
  <c r="EO170" i="1"/>
  <c r="E170" i="1"/>
  <c r="EP105" i="1"/>
  <c r="EP119" i="1"/>
  <c r="EG228" i="1"/>
  <c r="B55" i="89" s="1"/>
  <c r="EP75" i="1"/>
  <c r="B20" i="4"/>
  <c r="B20" i="68"/>
  <c r="B27" i="2"/>
  <c r="EP154" i="1"/>
  <c r="E136" i="1"/>
  <c r="E56" i="2"/>
  <c r="I56" i="2" s="1"/>
  <c r="D56" i="2"/>
  <c r="H56" i="2" s="1"/>
  <c r="D47" i="79"/>
  <c r="H47" i="79" s="1"/>
  <c r="F228" i="1"/>
  <c r="EN69" i="1"/>
  <c r="EP69" i="1" s="1"/>
  <c r="E69" i="1"/>
  <c r="E27" i="73"/>
  <c r="G27" i="73" s="1"/>
  <c r="I27" i="73" s="1"/>
  <c r="D27" i="73"/>
  <c r="F27" i="73" s="1"/>
  <c r="H27" i="73" s="1"/>
  <c r="E43" i="79"/>
  <c r="I43" i="79" s="1"/>
  <c r="D43" i="79"/>
  <c r="H43" i="79" s="1"/>
  <c r="D39" i="73"/>
  <c r="H39" i="73" s="1"/>
  <c r="E39" i="73"/>
  <c r="I39" i="73" s="1"/>
  <c r="E30" i="2"/>
  <c r="G30" i="2" s="1"/>
  <c r="D30" i="2"/>
  <c r="F30" i="2" s="1"/>
  <c r="H30" i="2" s="1"/>
  <c r="E49" i="2"/>
  <c r="I49" i="2" s="1"/>
  <c r="D49" i="2"/>
  <c r="H49" i="2" s="1"/>
  <c r="D33" i="79"/>
  <c r="F33" i="79" s="1"/>
  <c r="H33" i="79" s="1"/>
  <c r="D54" i="2"/>
  <c r="H54" i="2" s="1"/>
  <c r="E54" i="2"/>
  <c r="I54" i="2" s="1"/>
  <c r="E26" i="2"/>
  <c r="G26" i="2" s="1"/>
  <c r="D26" i="2"/>
  <c r="F26" i="2" s="1"/>
  <c r="H26" i="2" s="1"/>
  <c r="E31" i="2"/>
  <c r="G31" i="2" s="1"/>
  <c r="D31" i="2"/>
  <c r="F31" i="2" s="1"/>
  <c r="H31" i="2" s="1"/>
  <c r="E22" i="2"/>
  <c r="G22" i="2" s="1"/>
  <c r="I22" i="2" s="1"/>
  <c r="D22" i="2"/>
  <c r="F22" i="2" s="1"/>
  <c r="E21" i="2"/>
  <c r="G21" i="2" s="1"/>
  <c r="I21" i="2" s="1"/>
  <c r="E25" i="74"/>
  <c r="G25" i="74" s="1"/>
  <c r="I25" i="74" s="1"/>
  <c r="D25" i="74"/>
  <c r="F25" i="74" s="1"/>
  <c r="H25" i="74" s="1"/>
  <c r="D27" i="74"/>
  <c r="F27" i="74" s="1"/>
  <c r="H27" i="74" s="1"/>
  <c r="E27" i="74"/>
  <c r="G27" i="74" s="1"/>
  <c r="I27" i="74" s="1"/>
  <c r="D35" i="2"/>
  <c r="F35" i="2" s="1"/>
  <c r="H35" i="2" s="1"/>
  <c r="E35" i="2"/>
  <c r="G35" i="2" s="1"/>
  <c r="E26" i="73"/>
  <c r="G26" i="73" s="1"/>
  <c r="I26" i="73" s="1"/>
  <c r="D26" i="73"/>
  <c r="F26" i="73" s="1"/>
  <c r="H26" i="73" s="1"/>
  <c r="D39" i="74"/>
  <c r="H39" i="74" s="1"/>
  <c r="E39" i="74"/>
  <c r="I39" i="74" s="1"/>
  <c r="E34" i="79"/>
  <c r="G34" i="79" s="1"/>
  <c r="I34" i="79" s="1"/>
  <c r="D34" i="79"/>
  <c r="F34" i="79" s="1"/>
  <c r="H34" i="79" s="1"/>
  <c r="D32" i="79"/>
  <c r="F32" i="79" s="1"/>
  <c r="H32" i="79" s="1"/>
  <c r="AG229" i="1"/>
  <c r="AF236" i="1"/>
  <c r="E16" i="74"/>
  <c r="G16" i="74" s="1"/>
  <c r="I16" i="74" s="1"/>
  <c r="D16" i="74"/>
  <c r="F16" i="74" s="1"/>
  <c r="H16" i="74" s="1"/>
  <c r="EO10" i="1"/>
  <c r="EP10" i="1" s="1"/>
  <c r="D14" i="79"/>
  <c r="F14" i="79" s="1"/>
  <c r="H14" i="79" s="1"/>
  <c r="E14" i="79"/>
  <c r="G14" i="79" s="1"/>
  <c r="I14" i="79" s="1"/>
  <c r="ED229" i="1"/>
  <c r="EC233" i="1"/>
  <c r="E33" i="2"/>
  <c r="G33" i="2" s="1"/>
  <c r="I33" i="2" s="1"/>
  <c r="D33" i="2"/>
  <c r="F33" i="2" s="1"/>
  <c r="H33" i="2" s="1"/>
  <c r="E55" i="79"/>
  <c r="I55" i="79" s="1"/>
  <c r="D55" i="79"/>
  <c r="H55" i="79" s="1"/>
  <c r="E26" i="79"/>
  <c r="G26" i="79" s="1"/>
  <c r="I26" i="79" s="1"/>
  <c r="D26" i="79"/>
  <c r="F26" i="79" s="1"/>
  <c r="H26" i="79" s="1"/>
  <c r="E15" i="2"/>
  <c r="G15" i="2" s="1"/>
  <c r="I15" i="2" s="1"/>
  <c r="D15" i="2"/>
  <c r="F15" i="2" s="1"/>
  <c r="H15" i="2" s="1"/>
  <c r="E42" i="2"/>
  <c r="I42" i="2" s="1"/>
  <c r="D42" i="2"/>
  <c r="H42" i="2" s="1"/>
  <c r="D22" i="74"/>
  <c r="F22" i="74" s="1"/>
  <c r="H22" i="74" s="1"/>
  <c r="E22" i="74"/>
  <c r="G22" i="74" s="1"/>
  <c r="I22" i="74" s="1"/>
  <c r="E22" i="79"/>
  <c r="G22" i="79" s="1"/>
  <c r="I22" i="79" s="1"/>
  <c r="D22" i="79"/>
  <c r="F22" i="79" s="1"/>
  <c r="H22" i="79" s="1"/>
  <c r="E42" i="79"/>
  <c r="I42" i="79" s="1"/>
  <c r="G95" i="79"/>
  <c r="G107" i="79"/>
  <c r="G112" i="79" s="1"/>
  <c r="E36" i="2"/>
  <c r="G36" i="2" s="1"/>
  <c r="D36" i="2"/>
  <c r="F36" i="2" s="1"/>
  <c r="H36" i="2" s="1"/>
  <c r="E38" i="2"/>
  <c r="G38" i="2" s="1"/>
  <c r="D38" i="2"/>
  <c r="F38" i="2" s="1"/>
  <c r="H38" i="2" s="1"/>
  <c r="D32" i="73"/>
  <c r="H32" i="73" s="1"/>
  <c r="E32" i="73"/>
  <c r="I32" i="73" s="1"/>
  <c r="E24" i="74"/>
  <c r="G24" i="74" s="1"/>
  <c r="I24" i="74" s="1"/>
  <c r="D24" i="74"/>
  <c r="F24" i="74" s="1"/>
  <c r="H24" i="74" s="1"/>
  <c r="D26" i="74"/>
  <c r="F26" i="74" s="1"/>
  <c r="H26" i="74" s="1"/>
  <c r="E26" i="74"/>
  <c r="G26" i="74" s="1"/>
  <c r="I26" i="74" s="1"/>
  <c r="D46" i="2"/>
  <c r="H46" i="2" s="1"/>
  <c r="E46" i="2"/>
  <c r="I46" i="2" s="1"/>
  <c r="G26" i="3" s="1"/>
  <c r="E23" i="2"/>
  <c r="G23" i="2" s="1"/>
  <c r="I23" i="2" s="1"/>
  <c r="D23" i="2"/>
  <c r="F23" i="2" s="1"/>
  <c r="H23" i="2" s="1"/>
  <c r="E47" i="2"/>
  <c r="I47" i="2" s="1"/>
  <c r="D47" i="2"/>
  <c r="H47" i="2" s="1"/>
  <c r="D37" i="2"/>
  <c r="F37" i="2" s="1"/>
  <c r="H37" i="2" s="1"/>
  <c r="E37" i="2"/>
  <c r="G37" i="2" s="1"/>
  <c r="I37" i="2" s="1"/>
  <c r="E34" i="2"/>
  <c r="G34" i="2" s="1"/>
  <c r="I34" i="2" s="1"/>
  <c r="D34" i="2"/>
  <c r="F34" i="2" s="1"/>
  <c r="H34" i="2" s="1"/>
  <c r="D15" i="79"/>
  <c r="F15" i="79" s="1"/>
  <c r="H15" i="79" s="1"/>
  <c r="E14" i="2"/>
  <c r="G14" i="2" s="1"/>
  <c r="I14" i="2" s="1"/>
  <c r="D14" i="2"/>
  <c r="F14" i="2" s="1"/>
  <c r="H14" i="2" s="1"/>
  <c r="E20" i="2"/>
  <c r="G20" i="2" s="1"/>
  <c r="I20" i="2" s="1"/>
  <c r="D20" i="2"/>
  <c r="F20" i="2" s="1"/>
  <c r="H20" i="2" s="1"/>
  <c r="E36" i="79"/>
  <c r="G36" i="79" s="1"/>
  <c r="I36" i="79" s="1"/>
  <c r="D36" i="79"/>
  <c r="F36" i="79" s="1"/>
  <c r="H36" i="79" s="1"/>
  <c r="E38" i="79"/>
  <c r="G38" i="79" s="1"/>
  <c r="I38" i="79" s="1"/>
  <c r="D38" i="79"/>
  <c r="F38" i="79" s="1"/>
  <c r="H38" i="79" s="1"/>
  <c r="E32" i="74"/>
  <c r="I32" i="74" s="1"/>
  <c r="D32" i="74"/>
  <c r="H32" i="74" s="1"/>
  <c r="E35" i="79"/>
  <c r="G35" i="79" s="1"/>
  <c r="I35" i="79" s="1"/>
  <c r="D35" i="79"/>
  <c r="F35" i="79" s="1"/>
  <c r="H35" i="79" s="1"/>
  <c r="D37" i="79"/>
  <c r="F37" i="79" s="1"/>
  <c r="H37" i="79" s="1"/>
  <c r="E37" i="79"/>
  <c r="G37" i="79" s="1"/>
  <c r="I37" i="79" s="1"/>
  <c r="D46" i="79"/>
  <c r="H46" i="79" s="1"/>
  <c r="E46" i="79"/>
  <c r="I46" i="79" s="1"/>
  <c r="E16" i="73"/>
  <c r="G16" i="73" s="1"/>
  <c r="I16" i="73" s="1"/>
  <c r="D16" i="73"/>
  <c r="F16" i="73" s="1"/>
  <c r="H16" i="73" s="1"/>
  <c r="E23" i="79"/>
  <c r="G23" i="79" s="1"/>
  <c r="I23" i="79" s="1"/>
  <c r="D23" i="79"/>
  <c r="F23" i="79" s="1"/>
  <c r="H23" i="79" s="1"/>
  <c r="D26" i="89" l="1"/>
  <c r="F26" i="89" s="1"/>
  <c r="H26" i="89" s="1"/>
  <c r="E22" i="86"/>
  <c r="G22" i="86" s="1"/>
  <c r="I22" i="86" s="1"/>
  <c r="D47" i="86"/>
  <c r="H47" i="86" s="1"/>
  <c r="E45" i="88"/>
  <c r="I45" i="88" s="1"/>
  <c r="D30" i="88"/>
  <c r="F30" i="88" s="1"/>
  <c r="H30" i="88" s="1"/>
  <c r="D44" i="88"/>
  <c r="H44" i="88" s="1"/>
  <c r="J44" i="88" s="1"/>
  <c r="L44" i="88" s="1"/>
  <c r="D28" i="88"/>
  <c r="F28" i="88" s="1"/>
  <c r="D67" i="88" s="1"/>
  <c r="D21" i="89"/>
  <c r="F21" i="89" s="1"/>
  <c r="H21" i="89" s="1"/>
  <c r="E28" i="89"/>
  <c r="G28" i="89" s="1"/>
  <c r="I28" i="89" s="1"/>
  <c r="D28" i="89"/>
  <c r="F28" i="89" s="1"/>
  <c r="E55" i="89"/>
  <c r="I55" i="89" s="1"/>
  <c r="D55" i="89"/>
  <c r="H55" i="89" s="1"/>
  <c r="G86" i="89" s="1"/>
  <c r="G87" i="89" s="1"/>
  <c r="E25" i="89"/>
  <c r="G25" i="89" s="1"/>
  <c r="I25" i="89" s="1"/>
  <c r="D25" i="89"/>
  <c r="F25" i="89" s="1"/>
  <c r="H25" i="89" s="1"/>
  <c r="E30" i="89"/>
  <c r="G30" i="89" s="1"/>
  <c r="D30" i="89"/>
  <c r="F30" i="89" s="1"/>
  <c r="H30" i="89" s="1"/>
  <c r="E45" i="89"/>
  <c r="I45" i="89" s="1"/>
  <c r="D45" i="89"/>
  <c r="H45" i="89" s="1"/>
  <c r="D21" i="88"/>
  <c r="F21" i="88" s="1"/>
  <c r="H21" i="88" s="1"/>
  <c r="E28" i="88"/>
  <c r="G28" i="88" s="1"/>
  <c r="I28" i="88" s="1"/>
  <c r="B29" i="88"/>
  <c r="E29" i="88" s="1"/>
  <c r="G29" i="88" s="1"/>
  <c r="B29" i="89"/>
  <c r="B12" i="88"/>
  <c r="B12" i="89"/>
  <c r="D53" i="84"/>
  <c r="H53" i="84" s="1"/>
  <c r="G110" i="88"/>
  <c r="G115" i="88" s="1"/>
  <c r="G98" i="88"/>
  <c r="H14" i="89"/>
  <c r="J17" i="89"/>
  <c r="E44" i="89"/>
  <c r="I44" i="89" s="1"/>
  <c r="D44" i="89"/>
  <c r="H44" i="89" s="1"/>
  <c r="D53" i="89"/>
  <c r="H53" i="89" s="1"/>
  <c r="G110" i="89"/>
  <c r="G115" i="89" s="1"/>
  <c r="G98" i="89"/>
  <c r="E47" i="89"/>
  <c r="I47" i="89" s="1"/>
  <c r="D47" i="89"/>
  <c r="H47" i="89" s="1"/>
  <c r="E56" i="89"/>
  <c r="I56" i="89" s="1"/>
  <c r="D56" i="89"/>
  <c r="H56" i="89" s="1"/>
  <c r="D57" i="86"/>
  <c r="H57" i="86" s="1"/>
  <c r="E40" i="89"/>
  <c r="I40" i="89" s="1"/>
  <c r="J39" i="89" s="1"/>
  <c r="J41" i="89" s="1"/>
  <c r="E40" i="88"/>
  <c r="I40" i="88" s="1"/>
  <c r="E26" i="89"/>
  <c r="G26" i="89" s="1"/>
  <c r="I26" i="89" s="1"/>
  <c r="E48" i="89"/>
  <c r="I48" i="89" s="1"/>
  <c r="D48" i="89"/>
  <c r="H48" i="89" s="1"/>
  <c r="G92" i="89" s="1"/>
  <c r="G79" i="89"/>
  <c r="G83" i="89" s="1"/>
  <c r="I32" i="89"/>
  <c r="J20" i="89"/>
  <c r="C53" i="86"/>
  <c r="E53" i="86" s="1"/>
  <c r="I53" i="86" s="1"/>
  <c r="C53" i="88"/>
  <c r="D54" i="88"/>
  <c r="H54" i="88" s="1"/>
  <c r="E54" i="88"/>
  <c r="B26" i="86"/>
  <c r="E26" i="86" s="1"/>
  <c r="G26" i="86" s="1"/>
  <c r="I26" i="86" s="1"/>
  <c r="B26" i="88"/>
  <c r="E47" i="84"/>
  <c r="I47" i="84" s="1"/>
  <c r="D39" i="88"/>
  <c r="H39" i="88" s="1"/>
  <c r="E39" i="88"/>
  <c r="I39" i="88" s="1"/>
  <c r="D57" i="88"/>
  <c r="H57" i="88" s="1"/>
  <c r="E57" i="88"/>
  <c r="I57" i="88" s="1"/>
  <c r="E32" i="2"/>
  <c r="G32" i="2" s="1"/>
  <c r="I32" i="2" s="1"/>
  <c r="J31" i="88"/>
  <c r="I30" i="88"/>
  <c r="B55" i="86"/>
  <c r="D55" i="86" s="1"/>
  <c r="H55" i="86" s="1"/>
  <c r="G86" i="86" s="1"/>
  <c r="G87" i="86" s="1"/>
  <c r="B55" i="88"/>
  <c r="B25" i="86"/>
  <c r="E25" i="86" s="1"/>
  <c r="G25" i="86" s="1"/>
  <c r="I25" i="86" s="1"/>
  <c r="B25" i="88"/>
  <c r="EA229" i="1"/>
  <c r="EB229" i="1" s="1"/>
  <c r="B48" i="88"/>
  <c r="K47" i="88"/>
  <c r="K52" i="88" s="1"/>
  <c r="E22" i="88"/>
  <c r="G22" i="88" s="1"/>
  <c r="I22" i="88" s="1"/>
  <c r="D22" i="88"/>
  <c r="F22" i="88" s="1"/>
  <c r="H22" i="88" s="1"/>
  <c r="I32" i="88"/>
  <c r="J20" i="88"/>
  <c r="H14" i="88"/>
  <c r="J17" i="88"/>
  <c r="I14" i="88"/>
  <c r="D29" i="2"/>
  <c r="F29" i="2" s="1"/>
  <c r="H29" i="2" s="1"/>
  <c r="E30" i="81"/>
  <c r="G30" i="81" s="1"/>
  <c r="J31" i="81" s="1"/>
  <c r="D40" i="84"/>
  <c r="H40" i="84" s="1"/>
  <c r="E45" i="84"/>
  <c r="I45" i="84" s="1"/>
  <c r="EP26" i="1"/>
  <c r="D27" i="84"/>
  <c r="F27" i="84" s="1"/>
  <c r="H27" i="84" s="1"/>
  <c r="D21" i="86"/>
  <c r="F21" i="86" s="1"/>
  <c r="H21" i="86" s="1"/>
  <c r="E21" i="86"/>
  <c r="G21" i="86" s="1"/>
  <c r="I21" i="86" s="1"/>
  <c r="E44" i="84"/>
  <c r="I44" i="84" s="1"/>
  <c r="D34" i="73"/>
  <c r="H34" i="73" s="1"/>
  <c r="E27" i="84"/>
  <c r="G27" i="84" s="1"/>
  <c r="I27" i="84" s="1"/>
  <c r="B37" i="74"/>
  <c r="D37" i="74" s="1"/>
  <c r="H37" i="74" s="1"/>
  <c r="B48" i="2"/>
  <c r="D48" i="2" s="1"/>
  <c r="H48" i="2" s="1"/>
  <c r="G88" i="2" s="1"/>
  <c r="B37" i="73"/>
  <c r="D37" i="73" s="1"/>
  <c r="H37" i="73" s="1"/>
  <c r="B48" i="79"/>
  <c r="E48" i="79" s="1"/>
  <c r="I48" i="79" s="1"/>
  <c r="B48" i="84"/>
  <c r="B48" i="86"/>
  <c r="B48" i="81"/>
  <c r="E48" i="81" s="1"/>
  <c r="I48" i="81" s="1"/>
  <c r="E30" i="86"/>
  <c r="G30" i="86" s="1"/>
  <c r="E45" i="86"/>
  <c r="I45" i="86" s="1"/>
  <c r="D45" i="86"/>
  <c r="H45" i="86" s="1"/>
  <c r="E56" i="86"/>
  <c r="I56" i="86" s="1"/>
  <c r="D56" i="86"/>
  <c r="H56" i="86" s="1"/>
  <c r="B28" i="84"/>
  <c r="D28" i="84" s="1"/>
  <c r="F28" i="84" s="1"/>
  <c r="H28" i="84" s="1"/>
  <c r="B29" i="86"/>
  <c r="D44" i="86"/>
  <c r="H44" i="86" s="1"/>
  <c r="E44" i="86"/>
  <c r="I44" i="86" s="1"/>
  <c r="B12" i="84"/>
  <c r="B12" i="86"/>
  <c r="D40" i="86"/>
  <c r="H40" i="86" s="1"/>
  <c r="E40" i="86"/>
  <c r="I40" i="86" s="1"/>
  <c r="J39" i="86" s="1"/>
  <c r="J41" i="86" s="1"/>
  <c r="G79" i="86"/>
  <c r="G83" i="86" s="1"/>
  <c r="E28" i="86"/>
  <c r="G28" i="86" s="1"/>
  <c r="I28" i="86" s="1"/>
  <c r="D28" i="86"/>
  <c r="F28" i="86" s="1"/>
  <c r="K30" i="86" s="1"/>
  <c r="K31" i="86" s="1"/>
  <c r="E27" i="79"/>
  <c r="G27" i="79" s="1"/>
  <c r="I27" i="79" s="1"/>
  <c r="D57" i="81"/>
  <c r="H57" i="81" s="1"/>
  <c r="D20" i="73"/>
  <c r="F20" i="73" s="1"/>
  <c r="H20" i="73" s="1"/>
  <c r="G106" i="84"/>
  <c r="G111" i="84" s="1"/>
  <c r="G94" i="84"/>
  <c r="I130" i="52"/>
  <c r="E32" i="84"/>
  <c r="G32" i="84" s="1"/>
  <c r="I32" i="84" s="1"/>
  <c r="D32" i="84"/>
  <c r="F32" i="84" s="1"/>
  <c r="H32" i="84" s="1"/>
  <c r="D76" i="85"/>
  <c r="D80" i="85" s="1"/>
  <c r="E77" i="85"/>
  <c r="E80" i="85" s="1"/>
  <c r="H51" i="85"/>
  <c r="C19" i="85" s="1"/>
  <c r="H53" i="85"/>
  <c r="D59" i="85" s="1"/>
  <c r="D54" i="81"/>
  <c r="H54" i="81" s="1"/>
  <c r="E39" i="81"/>
  <c r="I39" i="81" s="1"/>
  <c r="G79" i="81" s="1"/>
  <c r="G83" i="81" s="1"/>
  <c r="B24" i="81"/>
  <c r="D24" i="81" s="1"/>
  <c r="F24" i="81" s="1"/>
  <c r="H24" i="81" s="1"/>
  <c r="B24" i="84"/>
  <c r="E29" i="84"/>
  <c r="G29" i="84" s="1"/>
  <c r="I29" i="84" s="1"/>
  <c r="D29" i="84"/>
  <c r="F29" i="84" s="1"/>
  <c r="H29" i="84" s="1"/>
  <c r="E54" i="84"/>
  <c r="I54" i="84" s="1"/>
  <c r="D54" i="84"/>
  <c r="H54" i="84" s="1"/>
  <c r="G86" i="84" s="1"/>
  <c r="B55" i="81"/>
  <c r="E55" i="81" s="1"/>
  <c r="I55" i="81" s="1"/>
  <c r="B52" i="84"/>
  <c r="B25" i="81"/>
  <c r="E25" i="81" s="1"/>
  <c r="G25" i="81" s="1"/>
  <c r="I25" i="81" s="1"/>
  <c r="B25" i="84"/>
  <c r="C53" i="81"/>
  <c r="D53" i="81" s="1"/>
  <c r="H53" i="81" s="1"/>
  <c r="C50" i="84"/>
  <c r="E51" i="84"/>
  <c r="D51" i="84"/>
  <c r="H51" i="84" s="1"/>
  <c r="D39" i="84"/>
  <c r="H39" i="84" s="1"/>
  <c r="E39" i="84"/>
  <c r="I39" i="84" s="1"/>
  <c r="G75" i="84" s="1"/>
  <c r="G79" i="84" s="1"/>
  <c r="H79" i="84" s="1"/>
  <c r="H14" i="84"/>
  <c r="I14" i="84"/>
  <c r="D53" i="79"/>
  <c r="H53" i="79" s="1"/>
  <c r="E28" i="2"/>
  <c r="G28" i="2" s="1"/>
  <c r="I28" i="2" s="1"/>
  <c r="E44" i="79"/>
  <c r="I44" i="79" s="1"/>
  <c r="E29" i="79"/>
  <c r="G29" i="79" s="1"/>
  <c r="I29" i="79" s="1"/>
  <c r="E52" i="2"/>
  <c r="I52" i="2" s="1"/>
  <c r="EP14" i="1"/>
  <c r="G58" i="50"/>
  <c r="L58" i="50"/>
  <c r="M58" i="50" s="1"/>
  <c r="H78" i="50"/>
  <c r="K92" i="50" s="1"/>
  <c r="E166" i="52"/>
  <c r="E163" i="52"/>
  <c r="E172" i="52" s="1"/>
  <c r="I172" i="52" s="1"/>
  <c r="J173" i="52" s="1"/>
  <c r="F163" i="52"/>
  <c r="F166" i="52"/>
  <c r="J204" i="77"/>
  <c r="G59" i="50"/>
  <c r="L59" i="50"/>
  <c r="M59" i="50" s="1"/>
  <c r="D154" i="52"/>
  <c r="D169" i="52"/>
  <c r="D170" i="52" s="1"/>
  <c r="D161" i="52"/>
  <c r="E27" i="2"/>
  <c r="G27" i="2" s="1"/>
  <c r="N15" i="19" s="1"/>
  <c r="B28" i="79"/>
  <c r="D28" i="79" s="1"/>
  <c r="F28" i="79" s="1"/>
  <c r="H28" i="79" s="1"/>
  <c r="B28" i="81"/>
  <c r="G110" i="81"/>
  <c r="G115" i="81" s="1"/>
  <c r="G98" i="81"/>
  <c r="J143" i="77"/>
  <c r="K140" i="77"/>
  <c r="K29" i="77"/>
  <c r="L23" i="77"/>
  <c r="K204" i="77"/>
  <c r="L197" i="77"/>
  <c r="D29" i="81"/>
  <c r="F29" i="81" s="1"/>
  <c r="H29" i="81" s="1"/>
  <c r="E29" i="81"/>
  <c r="G29" i="81" s="1"/>
  <c r="I29" i="81" s="1"/>
  <c r="E44" i="81"/>
  <c r="I44" i="81" s="1"/>
  <c r="D44" i="81"/>
  <c r="H44" i="81" s="1"/>
  <c r="E27" i="81"/>
  <c r="G27" i="81" s="1"/>
  <c r="I27" i="81" s="1"/>
  <c r="D27" i="81"/>
  <c r="F27" i="81" s="1"/>
  <c r="F20" i="26"/>
  <c r="G29" i="50"/>
  <c r="K41" i="50"/>
  <c r="K43" i="50" s="1"/>
  <c r="K44" i="50" s="1"/>
  <c r="F14" i="81"/>
  <c r="H14" i="81" s="1"/>
  <c r="E40" i="81"/>
  <c r="I40" i="81" s="1"/>
  <c r="J210" i="77"/>
  <c r="B33" i="1"/>
  <c r="B37" i="1" s="1"/>
  <c r="B42" i="1" s="1"/>
  <c r="B31" i="1"/>
  <c r="B35" i="1" s="1"/>
  <c r="B39" i="1" s="1"/>
  <c r="B30" i="1"/>
  <c r="B34" i="1" s="1"/>
  <c r="B38" i="1" s="1"/>
  <c r="E21" i="26"/>
  <c r="F21" i="26" s="1"/>
  <c r="C22" i="26"/>
  <c r="J149" i="77"/>
  <c r="J35" i="77"/>
  <c r="H15" i="77"/>
  <c r="E21" i="77"/>
  <c r="E45" i="81"/>
  <c r="I45" i="81" s="1"/>
  <c r="D45" i="81"/>
  <c r="H45" i="81" s="1"/>
  <c r="E32" i="81"/>
  <c r="G32" i="81" s="1"/>
  <c r="I32" i="81" s="1"/>
  <c r="D32" i="81"/>
  <c r="F32" i="81" s="1"/>
  <c r="H32" i="81" s="1"/>
  <c r="E56" i="81"/>
  <c r="I56" i="81" s="1"/>
  <c r="D56" i="81"/>
  <c r="H56" i="81" s="1"/>
  <c r="B12" i="79"/>
  <c r="B12" i="81"/>
  <c r="D34" i="74"/>
  <c r="H34" i="74" s="1"/>
  <c r="E45" i="2"/>
  <c r="I45" i="2" s="1"/>
  <c r="D45" i="79"/>
  <c r="H45" i="79" s="1"/>
  <c r="D33" i="73"/>
  <c r="H33" i="73" s="1"/>
  <c r="D29" i="73"/>
  <c r="H29" i="73" s="1"/>
  <c r="E38" i="74"/>
  <c r="I38" i="74" s="1"/>
  <c r="D51" i="79"/>
  <c r="H51" i="79" s="1"/>
  <c r="E51" i="79"/>
  <c r="E41" i="74"/>
  <c r="I41" i="74" s="1"/>
  <c r="EP90" i="1"/>
  <c r="G75" i="2"/>
  <c r="G79" i="2" s="1"/>
  <c r="H79" i="2" s="1"/>
  <c r="D42" i="73"/>
  <c r="H42" i="73" s="1"/>
  <c r="E39" i="79"/>
  <c r="I39" i="79" s="1"/>
  <c r="G76" i="79" s="1"/>
  <c r="G80" i="79" s="1"/>
  <c r="H15" i="73"/>
  <c r="L40" i="73"/>
  <c r="E44" i="2"/>
  <c r="I44" i="2" s="1"/>
  <c r="D27" i="79"/>
  <c r="F27" i="79" s="1"/>
  <c r="D39" i="2"/>
  <c r="H39" i="2" s="1"/>
  <c r="E38" i="73"/>
  <c r="I38" i="73" s="1"/>
  <c r="D27" i="2"/>
  <c r="F27" i="2" s="1"/>
  <c r="D63" i="2" s="1"/>
  <c r="J39" i="2"/>
  <c r="D40" i="2"/>
  <c r="H40" i="2" s="1"/>
  <c r="D42" i="74"/>
  <c r="H42" i="74" s="1"/>
  <c r="D29" i="74"/>
  <c r="H29" i="74" s="1"/>
  <c r="E40" i="79"/>
  <c r="I40" i="79" s="1"/>
  <c r="D53" i="2"/>
  <c r="H53" i="2" s="1"/>
  <c r="G86" i="2" s="1"/>
  <c r="C50" i="79"/>
  <c r="C50" i="2"/>
  <c r="D54" i="79"/>
  <c r="H54" i="79" s="1"/>
  <c r="G87" i="79" s="1"/>
  <c r="D28" i="74"/>
  <c r="H28" i="74" s="1"/>
  <c r="G228" i="1"/>
  <c r="C12" i="89" s="1"/>
  <c r="E20" i="73"/>
  <c r="G20" i="73" s="1"/>
  <c r="I20" i="73" s="1"/>
  <c r="B24" i="79"/>
  <c r="AU229" i="1"/>
  <c r="AV229" i="1" s="1"/>
  <c r="B24" i="2"/>
  <c r="B17" i="74"/>
  <c r="B17" i="73"/>
  <c r="G35" i="3"/>
  <c r="D20" i="74"/>
  <c r="F20" i="74" s="1"/>
  <c r="H20" i="74" s="1"/>
  <c r="D33" i="74"/>
  <c r="H33" i="74" s="1"/>
  <c r="E33" i="74"/>
  <c r="I33" i="74" s="1"/>
  <c r="E37" i="73"/>
  <c r="I37" i="73" s="1"/>
  <c r="D41" i="73"/>
  <c r="H41" i="73" s="1"/>
  <c r="E41" i="73"/>
  <c r="I41" i="73" s="1"/>
  <c r="E28" i="73"/>
  <c r="I28" i="73" s="1"/>
  <c r="D28" i="73"/>
  <c r="H28" i="73" s="1"/>
  <c r="E20" i="74"/>
  <c r="G20" i="74" s="1"/>
  <c r="I20" i="74" s="1"/>
  <c r="EP170" i="1"/>
  <c r="B25" i="79"/>
  <c r="B25" i="2"/>
  <c r="AW229" i="1"/>
  <c r="AX229" i="1" s="1"/>
  <c r="B18" i="74"/>
  <c r="B18" i="73"/>
  <c r="EP59" i="1"/>
  <c r="E28" i="25"/>
  <c r="F15" i="25"/>
  <c r="F28" i="25" s="1"/>
  <c r="B40" i="73"/>
  <c r="EG229" i="1"/>
  <c r="EH229" i="1" s="1"/>
  <c r="B40" i="74"/>
  <c r="B52" i="79"/>
  <c r="B51" i="2"/>
  <c r="K229" i="1"/>
  <c r="J231" i="1"/>
  <c r="BA229" i="1"/>
  <c r="BB229" i="1" s="1"/>
  <c r="BB231" i="1" s="1"/>
  <c r="BB235" i="1" s="1"/>
  <c r="B21" i="73"/>
  <c r="B21" i="74"/>
  <c r="I35" i="2"/>
  <c r="N34" i="19"/>
  <c r="I31" i="4"/>
  <c r="I31" i="2"/>
  <c r="N17" i="19"/>
  <c r="I19" i="4"/>
  <c r="I38" i="2"/>
  <c r="N36" i="19"/>
  <c r="I34" i="4"/>
  <c r="H22" i="2"/>
  <c r="I13" i="4"/>
  <c r="I33" i="4"/>
  <c r="I26" i="2"/>
  <c r="N16" i="19"/>
  <c r="I30" i="2"/>
  <c r="J31" i="2"/>
  <c r="G38" i="3"/>
  <c r="G106" i="2"/>
  <c r="G111" i="2" s="1"/>
  <c r="G94" i="2"/>
  <c r="J44" i="2"/>
  <c r="L44" i="2" s="1"/>
  <c r="I36" i="2"/>
  <c r="N35" i="19"/>
  <c r="I32" i="4"/>
  <c r="G16" i="3"/>
  <c r="B12" i="2"/>
  <c r="B12" i="73"/>
  <c r="B12" i="74"/>
  <c r="D48" i="79" l="1"/>
  <c r="H48" i="79" s="1"/>
  <c r="G89" i="79" s="1"/>
  <c r="E55" i="86"/>
  <c r="I55" i="86" s="1"/>
  <c r="G90" i="88"/>
  <c r="E48" i="2"/>
  <c r="I48" i="2" s="1"/>
  <c r="H28" i="88"/>
  <c r="J22" i="88"/>
  <c r="I30" i="81"/>
  <c r="D26" i="86"/>
  <c r="F26" i="86" s="1"/>
  <c r="H26" i="86" s="1"/>
  <c r="G90" i="86"/>
  <c r="K30" i="88"/>
  <c r="K31" i="88" s="1"/>
  <c r="G90" i="89"/>
  <c r="G101" i="89" s="1"/>
  <c r="G102" i="89" s="1"/>
  <c r="J44" i="89"/>
  <c r="L44" i="89" s="1"/>
  <c r="K47" i="89"/>
  <c r="K52" i="89" s="1"/>
  <c r="H83" i="89"/>
  <c r="D53" i="86"/>
  <c r="H53" i="86" s="1"/>
  <c r="J22" i="89"/>
  <c r="I30" i="89"/>
  <c r="J31" i="89"/>
  <c r="D29" i="88"/>
  <c r="F29" i="88" s="1"/>
  <c r="H29" i="88" s="1"/>
  <c r="D12" i="89"/>
  <c r="E12" i="89"/>
  <c r="H28" i="89"/>
  <c r="K30" i="89"/>
  <c r="K31" i="89" s="1"/>
  <c r="D67" i="89"/>
  <c r="D29" i="89"/>
  <c r="F29" i="89" s="1"/>
  <c r="H29" i="89" s="1"/>
  <c r="E29" i="89"/>
  <c r="G29" i="89" s="1"/>
  <c r="E48" i="88"/>
  <c r="I48" i="88" s="1"/>
  <c r="D48" i="88"/>
  <c r="H48" i="88" s="1"/>
  <c r="G92" i="88" s="1"/>
  <c r="G101" i="88" s="1"/>
  <c r="I29" i="88"/>
  <c r="J33" i="88"/>
  <c r="J34" i="88" s="1"/>
  <c r="E26" i="88"/>
  <c r="G26" i="88" s="1"/>
  <c r="I26" i="88" s="1"/>
  <c r="D26" i="88"/>
  <c r="F26" i="88" s="1"/>
  <c r="H26" i="88" s="1"/>
  <c r="D25" i="86"/>
  <c r="F25" i="86" s="1"/>
  <c r="H25" i="86" s="1"/>
  <c r="G79" i="88"/>
  <c r="G83" i="88" s="1"/>
  <c r="J39" i="88"/>
  <c r="J41" i="88" s="1"/>
  <c r="E53" i="88"/>
  <c r="I53" i="88" s="1"/>
  <c r="D53" i="88"/>
  <c r="H53" i="88" s="1"/>
  <c r="D55" i="88"/>
  <c r="H55" i="88" s="1"/>
  <c r="G86" i="88" s="1"/>
  <c r="G87" i="88" s="1"/>
  <c r="E55" i="88"/>
  <c r="I55" i="88" s="1"/>
  <c r="D25" i="88"/>
  <c r="F25" i="88" s="1"/>
  <c r="H25" i="88" s="1"/>
  <c r="E25" i="88"/>
  <c r="G25" i="88" s="1"/>
  <c r="I25" i="88" s="1"/>
  <c r="C12" i="86"/>
  <c r="E12" i="86" s="1"/>
  <c r="C12" i="88"/>
  <c r="E37" i="74"/>
  <c r="I37" i="74" s="1"/>
  <c r="M78" i="50"/>
  <c r="E28" i="84"/>
  <c r="G28" i="84" s="1"/>
  <c r="I28" i="84" s="1"/>
  <c r="E53" i="81"/>
  <c r="I53" i="81" s="1"/>
  <c r="D25" i="81"/>
  <c r="F25" i="81" s="1"/>
  <c r="H25" i="81" s="1"/>
  <c r="D48" i="81"/>
  <c r="H48" i="81" s="1"/>
  <c r="G92" i="81" s="1"/>
  <c r="J31" i="86"/>
  <c r="I30" i="86"/>
  <c r="E48" i="86"/>
  <c r="I48" i="86" s="1"/>
  <c r="D48" i="86"/>
  <c r="H48" i="86" s="1"/>
  <c r="G92" i="86" s="1"/>
  <c r="G101" i="86" s="1"/>
  <c r="G102" i="86" s="1"/>
  <c r="I27" i="2"/>
  <c r="E48" i="84"/>
  <c r="I48" i="84" s="1"/>
  <c r="D48" i="84"/>
  <c r="H48" i="84" s="1"/>
  <c r="G88" i="84" s="1"/>
  <c r="G97" i="84" s="1"/>
  <c r="E24" i="81"/>
  <c r="G24" i="81" s="1"/>
  <c r="I24" i="81" s="1"/>
  <c r="J44" i="86"/>
  <c r="L44" i="86" s="1"/>
  <c r="K47" i="86"/>
  <c r="K52" i="86" s="1"/>
  <c r="E29" i="86"/>
  <c r="G29" i="86" s="1"/>
  <c r="D29" i="86"/>
  <c r="F29" i="86" s="1"/>
  <c r="H29" i="86" s="1"/>
  <c r="H83" i="86"/>
  <c r="C12" i="81"/>
  <c r="D12" i="81" s="1"/>
  <c r="H28" i="86"/>
  <c r="D67" i="86"/>
  <c r="J33" i="2"/>
  <c r="J34" i="2" s="1"/>
  <c r="C12" i="84"/>
  <c r="D12" i="84" s="1"/>
  <c r="D55" i="81"/>
  <c r="H55" i="81" s="1"/>
  <c r="G86" i="81" s="1"/>
  <c r="G87" i="81" s="1"/>
  <c r="D63" i="85"/>
  <c r="E61" i="85"/>
  <c r="E63" i="85" s="1"/>
  <c r="J23" i="85"/>
  <c r="J24" i="85" s="1"/>
  <c r="J25" i="85" s="1"/>
  <c r="J26" i="85" s="1"/>
  <c r="J27" i="85" s="1"/>
  <c r="J28" i="85" s="1"/>
  <c r="J29" i="85" s="1"/>
  <c r="J30" i="85" s="1"/>
  <c r="J31" i="85" s="1"/>
  <c r="J32" i="85" s="1"/>
  <c r="J33" i="85" s="1"/>
  <c r="J34" i="85" s="1"/>
  <c r="J35" i="85" s="1"/>
  <c r="J36" i="85" s="1"/>
  <c r="J37" i="85" s="1"/>
  <c r="J38" i="85" s="1"/>
  <c r="J39" i="85" s="1"/>
  <c r="J40" i="85" s="1"/>
  <c r="J41" i="85" s="1"/>
  <c r="J42" i="85" s="1"/>
  <c r="J43" i="85" s="1"/>
  <c r="J44" i="85" s="1"/>
  <c r="J45" i="85" s="1"/>
  <c r="J46" i="85" s="1"/>
  <c r="E15" i="85"/>
  <c r="J39" i="81"/>
  <c r="J41" i="81" s="1"/>
  <c r="D50" i="84"/>
  <c r="H50" i="84" s="1"/>
  <c r="E50" i="84"/>
  <c r="I50" i="84" s="1"/>
  <c r="D25" i="84"/>
  <c r="F25" i="84" s="1"/>
  <c r="H25" i="84" s="1"/>
  <c r="E25" i="84"/>
  <c r="G25" i="84" s="1"/>
  <c r="I25" i="84" s="1"/>
  <c r="D52" i="84"/>
  <c r="H52" i="84" s="1"/>
  <c r="G82" i="84" s="1"/>
  <c r="G83" i="84" s="1"/>
  <c r="E52" i="84"/>
  <c r="I52" i="84" s="1"/>
  <c r="D24" i="84"/>
  <c r="F24" i="84" s="1"/>
  <c r="H24" i="84" s="1"/>
  <c r="E24" i="84"/>
  <c r="G24" i="84" s="1"/>
  <c r="I24" i="84" s="1"/>
  <c r="E28" i="79"/>
  <c r="G28" i="79" s="1"/>
  <c r="I28" i="79" s="1"/>
  <c r="K47" i="81"/>
  <c r="K52" i="81" s="1"/>
  <c r="L78" i="50"/>
  <c r="G78" i="50"/>
  <c r="G81" i="50" s="1"/>
  <c r="H82" i="50" s="1"/>
  <c r="D166" i="52"/>
  <c r="I174" i="52" s="1"/>
  <c r="J175" i="52" s="1"/>
  <c r="D163" i="52"/>
  <c r="I15" i="77"/>
  <c r="J15" i="77" s="1"/>
  <c r="K15" i="77" s="1"/>
  <c r="L15" i="77" s="1"/>
  <c r="M15" i="77" s="1"/>
  <c r="H83" i="81"/>
  <c r="H27" i="81"/>
  <c r="J44" i="81"/>
  <c r="L44" i="81" s="1"/>
  <c r="G90" i="81"/>
  <c r="L204" i="77"/>
  <c r="M197" i="77"/>
  <c r="M204" i="77" s="1"/>
  <c r="L29" i="77"/>
  <c r="M23" i="77"/>
  <c r="M29" i="77" s="1"/>
  <c r="K143" i="77"/>
  <c r="L140" i="77"/>
  <c r="E28" i="81"/>
  <c r="G28" i="81" s="1"/>
  <c r="D28" i="81"/>
  <c r="F28" i="81" s="1"/>
  <c r="H28" i="81" s="1"/>
  <c r="C12" i="79"/>
  <c r="D12" i="79" s="1"/>
  <c r="C23" i="26"/>
  <c r="E22" i="26"/>
  <c r="F22" i="26" s="1"/>
  <c r="B43" i="1"/>
  <c r="B44" i="1"/>
  <c r="B45" i="1" s="1"/>
  <c r="B46" i="1" s="1"/>
  <c r="H30" i="50"/>
  <c r="H31" i="50" s="1"/>
  <c r="G31" i="50"/>
  <c r="D214" i="77"/>
  <c r="D216" i="77" s="1"/>
  <c r="I215" i="77"/>
  <c r="I40" i="77"/>
  <c r="D39" i="77"/>
  <c r="D41" i="77" s="1"/>
  <c r="EL208" i="1"/>
  <c r="L208" i="1"/>
  <c r="H27" i="79"/>
  <c r="G97" i="2"/>
  <c r="G98" i="79"/>
  <c r="H27" i="2"/>
  <c r="E50" i="2"/>
  <c r="I50" i="2" s="1"/>
  <c r="D50" i="2"/>
  <c r="H50" i="2" s="1"/>
  <c r="D50" i="79"/>
  <c r="H50" i="79" s="1"/>
  <c r="E50" i="79"/>
  <c r="I50" i="79" s="1"/>
  <c r="C12" i="73"/>
  <c r="D12" i="73" s="1"/>
  <c r="C12" i="74"/>
  <c r="E12" i="74" s="1"/>
  <c r="F229" i="1"/>
  <c r="G229" i="1" s="1"/>
  <c r="C12" i="2"/>
  <c r="E12" i="2" s="1"/>
  <c r="E17" i="74"/>
  <c r="G17" i="74" s="1"/>
  <c r="I17" i="74" s="1"/>
  <c r="D17" i="74"/>
  <c r="F17" i="74" s="1"/>
  <c r="H17" i="74" s="1"/>
  <c r="E24" i="2"/>
  <c r="G24" i="2" s="1"/>
  <c r="D24" i="2"/>
  <c r="F24" i="2" s="1"/>
  <c r="H24" i="2" s="1"/>
  <c r="D17" i="73"/>
  <c r="F17" i="73" s="1"/>
  <c r="H17" i="73" s="1"/>
  <c r="E17" i="73"/>
  <c r="G17" i="73" s="1"/>
  <c r="I17" i="73" s="1"/>
  <c r="D24" i="79"/>
  <c r="F24" i="79" s="1"/>
  <c r="H24" i="79" s="1"/>
  <c r="E24" i="79"/>
  <c r="G24" i="79" s="1"/>
  <c r="I24" i="79" s="1"/>
  <c r="D18" i="74"/>
  <c r="F18" i="74" s="1"/>
  <c r="H18" i="74" s="1"/>
  <c r="E18" i="74"/>
  <c r="G18" i="74" s="1"/>
  <c r="I18" i="74" s="1"/>
  <c r="E30" i="25"/>
  <c r="L231" i="1"/>
  <c r="E25" i="2"/>
  <c r="G25" i="2" s="1"/>
  <c r="D25" i="2"/>
  <c r="F25" i="2" s="1"/>
  <c r="H25" i="2" s="1"/>
  <c r="D18" i="73"/>
  <c r="F18" i="73" s="1"/>
  <c r="H18" i="73" s="1"/>
  <c r="E18" i="73"/>
  <c r="G18" i="73" s="1"/>
  <c r="I18" i="73" s="1"/>
  <c r="E25" i="79"/>
  <c r="G25" i="79" s="1"/>
  <c r="I25" i="79" s="1"/>
  <c r="D25" i="79"/>
  <c r="F25" i="79" s="1"/>
  <c r="H25" i="79" s="1"/>
  <c r="E52" i="79"/>
  <c r="I52" i="79" s="1"/>
  <c r="D52" i="79"/>
  <c r="H52" i="79" s="1"/>
  <c r="D40" i="74"/>
  <c r="H40" i="74" s="1"/>
  <c r="E40" i="74"/>
  <c r="I40" i="74" s="1"/>
  <c r="E21" i="74"/>
  <c r="G21" i="74" s="1"/>
  <c r="D21" i="74"/>
  <c r="F21" i="74" s="1"/>
  <c r="H21" i="74" s="1"/>
  <c r="D21" i="73"/>
  <c r="F21" i="73" s="1"/>
  <c r="H21" i="73" s="1"/>
  <c r="E21" i="73"/>
  <c r="G21" i="73" s="1"/>
  <c r="E51" i="2"/>
  <c r="I51" i="2" s="1"/>
  <c r="D51" i="2"/>
  <c r="H51" i="2" s="1"/>
  <c r="E40" i="73"/>
  <c r="I40" i="73" s="1"/>
  <c r="D40" i="73"/>
  <c r="H40" i="73" s="1"/>
  <c r="H80" i="79"/>
  <c r="N39" i="19"/>
  <c r="D12" i="86" l="1"/>
  <c r="F12" i="86" s="1"/>
  <c r="F12" i="89"/>
  <c r="J33" i="89"/>
  <c r="J34" i="89" s="1"/>
  <c r="I29" i="89"/>
  <c r="G12" i="89"/>
  <c r="H83" i="88"/>
  <c r="G102" i="88"/>
  <c r="E12" i="88"/>
  <c r="G12" i="88" s="1"/>
  <c r="D12" i="88"/>
  <c r="F12" i="88" s="1"/>
  <c r="G101" i="81"/>
  <c r="G102" i="81" s="1"/>
  <c r="H163" i="52"/>
  <c r="G98" i="84"/>
  <c r="E12" i="84"/>
  <c r="G12" i="84" s="1"/>
  <c r="I29" i="86"/>
  <c r="J33" i="86"/>
  <c r="J34" i="86" s="1"/>
  <c r="G12" i="86"/>
  <c r="F12" i="84"/>
  <c r="G83" i="50"/>
  <c r="K95" i="50"/>
  <c r="K97" i="50" s="1"/>
  <c r="K98" i="50" s="1"/>
  <c r="E12" i="79"/>
  <c r="G12" i="79" s="1"/>
  <c r="E12" i="81"/>
  <c r="G12" i="81" s="1"/>
  <c r="J216" i="77"/>
  <c r="I219" i="77"/>
  <c r="J41" i="77"/>
  <c r="I44" i="77"/>
  <c r="B47" i="1"/>
  <c r="B48" i="1"/>
  <c r="B50" i="1" s="1"/>
  <c r="B49" i="1"/>
  <c r="B51" i="1" s="1"/>
  <c r="B53" i="1" s="1"/>
  <c r="L143" i="77"/>
  <c r="M140" i="77"/>
  <c r="M143" i="77" s="1"/>
  <c r="E23" i="26"/>
  <c r="F23" i="26" s="1"/>
  <c r="C24" i="26"/>
  <c r="E24" i="26" s="1"/>
  <c r="F24" i="26" s="1"/>
  <c r="C27" i="26"/>
  <c r="I28" i="81"/>
  <c r="J33" i="81"/>
  <c r="J34" i="81" s="1"/>
  <c r="I154" i="77"/>
  <c r="D153" i="77"/>
  <c r="D155" i="77" s="1"/>
  <c r="F12" i="81"/>
  <c r="D12" i="74"/>
  <c r="F12" i="74" s="1"/>
  <c r="E12" i="73"/>
  <c r="G12" i="73" s="1"/>
  <c r="D12" i="2"/>
  <c r="F12" i="2" s="1"/>
  <c r="I24" i="2"/>
  <c r="N19" i="19"/>
  <c r="EO208" i="1"/>
  <c r="EL228" i="1"/>
  <c r="C59" i="89" s="1"/>
  <c r="E208" i="1"/>
  <c r="EN208" i="1"/>
  <c r="L228" i="1"/>
  <c r="B13" i="89" s="1"/>
  <c r="N18" i="19"/>
  <c r="N21" i="19" s="1"/>
  <c r="N41" i="19" s="1"/>
  <c r="I25" i="2"/>
  <c r="I18" i="4"/>
  <c r="I21" i="73"/>
  <c r="K21" i="73"/>
  <c r="L42" i="73"/>
  <c r="G82" i="2"/>
  <c r="G83" i="2" s="1"/>
  <c r="G98" i="2" s="1"/>
  <c r="G15" i="3"/>
  <c r="G18" i="3" s="1"/>
  <c r="G21" i="3" s="1"/>
  <c r="G37" i="3" s="1"/>
  <c r="G40" i="3" s="1"/>
  <c r="G42" i="3" s="1"/>
  <c r="G83" i="79"/>
  <c r="G84" i="79" s="1"/>
  <c r="G99" i="79" s="1"/>
  <c r="I21" i="74"/>
  <c r="K21" i="74"/>
  <c r="F12" i="79"/>
  <c r="F12" i="73"/>
  <c r="G12" i="2"/>
  <c r="F231" i="1"/>
  <c r="G12" i="74"/>
  <c r="I12" i="89" l="1"/>
  <c r="H12" i="89"/>
  <c r="D13" i="89"/>
  <c r="E13" i="89"/>
  <c r="B61" i="89"/>
  <c r="D59" i="89"/>
  <c r="H59" i="89" s="1"/>
  <c r="G105" i="89" s="1"/>
  <c r="E59" i="89"/>
  <c r="I59" i="89" s="1"/>
  <c r="C61" i="89"/>
  <c r="C63" i="89" s="1"/>
  <c r="B13" i="86"/>
  <c r="E13" i="86" s="1"/>
  <c r="B13" i="88"/>
  <c r="H12" i="88"/>
  <c r="I12" i="88"/>
  <c r="C59" i="86"/>
  <c r="E59" i="86" s="1"/>
  <c r="I59" i="86" s="1"/>
  <c r="C59" i="88"/>
  <c r="I12" i="86"/>
  <c r="H12" i="86"/>
  <c r="B13" i="81"/>
  <c r="D13" i="81" s="1"/>
  <c r="B13" i="84"/>
  <c r="C59" i="81"/>
  <c r="D59" i="81" s="1"/>
  <c r="H59" i="81" s="1"/>
  <c r="G105" i="81" s="1"/>
  <c r="C56" i="84"/>
  <c r="H12" i="84"/>
  <c r="I12" i="84"/>
  <c r="H84" i="50"/>
  <c r="H85" i="50" s="1"/>
  <c r="G85" i="50"/>
  <c r="J155" i="77"/>
  <c r="I158" i="77"/>
  <c r="F27" i="26"/>
  <c r="E27" i="26"/>
  <c r="L35" i="77"/>
  <c r="J44" i="77"/>
  <c r="J219" i="77"/>
  <c r="L210" i="77"/>
  <c r="B52" i="1"/>
  <c r="B54" i="1" s="1"/>
  <c r="B57" i="1"/>
  <c r="H12" i="81"/>
  <c r="I12" i="81"/>
  <c r="EP208" i="1"/>
  <c r="EP229" i="1" s="1"/>
  <c r="B13" i="2"/>
  <c r="B14" i="73"/>
  <c r="B14" i="74"/>
  <c r="B13" i="79"/>
  <c r="L229" i="1"/>
  <c r="E231" i="1"/>
  <c r="E228" i="1"/>
  <c r="C44" i="73"/>
  <c r="C56" i="79"/>
  <c r="EK229" i="1"/>
  <c r="EL229" i="1" s="1"/>
  <c r="C55" i="2"/>
  <c r="C44" i="74"/>
  <c r="G232" i="1"/>
  <c r="E232" i="1"/>
  <c r="I12" i="73"/>
  <c r="H12" i="2"/>
  <c r="F15" i="19"/>
  <c r="F21" i="19" s="1"/>
  <c r="F41" i="19" s="1"/>
  <c r="N43" i="19" s="1"/>
  <c r="H12" i="74"/>
  <c r="I12" i="79"/>
  <c r="I12" i="74"/>
  <c r="I12" i="2"/>
  <c r="G231" i="1"/>
  <c r="F232" i="1"/>
  <c r="F59" i="73"/>
  <c r="H12" i="73"/>
  <c r="H12" i="79"/>
  <c r="E13" i="81" l="1"/>
  <c r="G13" i="89"/>
  <c r="E61" i="89"/>
  <c r="E63" i="89" s="1"/>
  <c r="F13" i="89"/>
  <c r="D61" i="89"/>
  <c r="D63" i="89" s="1"/>
  <c r="B61" i="86"/>
  <c r="B63" i="86" s="1"/>
  <c r="G106" i="89"/>
  <c r="G107" i="89" s="1"/>
  <c r="G131" i="89" s="1"/>
  <c r="I131" i="89" s="1"/>
  <c r="J59" i="89"/>
  <c r="D13" i="86"/>
  <c r="F13" i="86" s="1"/>
  <c r="B63" i="89"/>
  <c r="B64" i="89"/>
  <c r="C61" i="86"/>
  <c r="C63" i="86" s="1"/>
  <c r="E13" i="88"/>
  <c r="G13" i="88" s="1"/>
  <c r="D13" i="88"/>
  <c r="F13" i="88" s="1"/>
  <c r="B61" i="88"/>
  <c r="B63" i="88" s="1"/>
  <c r="D59" i="86"/>
  <c r="H59" i="86" s="1"/>
  <c r="G105" i="86" s="1"/>
  <c r="D59" i="88"/>
  <c r="E59" i="88"/>
  <c r="C61" i="88"/>
  <c r="B61" i="81"/>
  <c r="B63" i="81" s="1"/>
  <c r="C61" i="81"/>
  <c r="C63" i="81" s="1"/>
  <c r="E59" i="81"/>
  <c r="I59" i="81" s="1"/>
  <c r="G106" i="81" s="1"/>
  <c r="G107" i="81" s="1"/>
  <c r="G131" i="81" s="1"/>
  <c r="I131" i="81" s="1"/>
  <c r="G13" i="86"/>
  <c r="E61" i="86"/>
  <c r="E63" i="86" s="1"/>
  <c r="G106" i="86"/>
  <c r="J59" i="86"/>
  <c r="D56" i="84"/>
  <c r="H56" i="84" s="1"/>
  <c r="G101" i="84" s="1"/>
  <c r="E56" i="84"/>
  <c r="I56" i="84" s="1"/>
  <c r="G102" i="84" s="1"/>
  <c r="C58" i="84"/>
  <c r="C60" i="84" s="1"/>
  <c r="D13" i="84"/>
  <c r="E13" i="84"/>
  <c r="B58" i="84"/>
  <c r="B60" i="84" s="1"/>
  <c r="B58" i="1"/>
  <c r="B59" i="1"/>
  <c r="B60" i="1" s="1"/>
  <c r="B61" i="1" s="1"/>
  <c r="B62" i="1" s="1"/>
  <c r="B63" i="1" s="1"/>
  <c r="F13" i="81"/>
  <c r="D61" i="81"/>
  <c r="D63" i="81" s="1"/>
  <c r="G13" i="81"/>
  <c r="J158" i="77"/>
  <c r="L149" i="77"/>
  <c r="D56" i="79"/>
  <c r="H56" i="79" s="1"/>
  <c r="G102" i="79" s="1"/>
  <c r="E56" i="79"/>
  <c r="I56" i="79" s="1"/>
  <c r="C58" i="79"/>
  <c r="C60" i="79" s="1"/>
  <c r="M229" i="1"/>
  <c r="E236" i="1" s="1"/>
  <c r="L232" i="1"/>
  <c r="E235" i="1"/>
  <c r="E13" i="2"/>
  <c r="D13" i="2"/>
  <c r="B57" i="2"/>
  <c r="B59" i="2" s="1"/>
  <c r="D44" i="74"/>
  <c r="H44" i="74" s="1"/>
  <c r="E44" i="74"/>
  <c r="I44" i="74" s="1"/>
  <c r="C46" i="74"/>
  <c r="C48" i="74" s="1"/>
  <c r="E44" i="73"/>
  <c r="I44" i="73" s="1"/>
  <c r="D44" i="73"/>
  <c r="H44" i="73" s="1"/>
  <c r="C51" i="73"/>
  <c r="C47" i="73"/>
  <c r="C49" i="73" s="1"/>
  <c r="D13" i="79"/>
  <c r="E13" i="79"/>
  <c r="B58" i="79"/>
  <c r="B60" i="79" s="1"/>
  <c r="E55" i="2"/>
  <c r="I55" i="2" s="1"/>
  <c r="D55" i="2"/>
  <c r="H55" i="2" s="1"/>
  <c r="C57" i="2"/>
  <c r="C59" i="2" s="1"/>
  <c r="E14" i="74"/>
  <c r="D14" i="74"/>
  <c r="B46" i="74"/>
  <c r="B48" i="74" s="1"/>
  <c r="E233" i="1"/>
  <c r="E14" i="73"/>
  <c r="D14" i="73"/>
  <c r="B51" i="73"/>
  <c r="B47" i="73"/>
  <c r="B49" i="73" s="1"/>
  <c r="E61" i="81" l="1"/>
  <c r="E63" i="81" s="1"/>
  <c r="G107" i="86"/>
  <c r="G131" i="86" s="1"/>
  <c r="I131" i="86" s="1"/>
  <c r="B64" i="86"/>
  <c r="D61" i="86"/>
  <c r="D63" i="86" s="1"/>
  <c r="H13" i="89"/>
  <c r="H61" i="89" s="1"/>
  <c r="G68" i="89"/>
  <c r="F61" i="89"/>
  <c r="I13" i="89"/>
  <c r="I61" i="89" s="1"/>
  <c r="G61" i="89"/>
  <c r="G68" i="88"/>
  <c r="H13" i="88"/>
  <c r="F61" i="88"/>
  <c r="I13" i="88"/>
  <c r="G61" i="88"/>
  <c r="C63" i="88"/>
  <c r="B64" i="88"/>
  <c r="I59" i="88"/>
  <c r="E61" i="88"/>
  <c r="E63" i="88" s="1"/>
  <c r="H59" i="88"/>
  <c r="D61" i="88"/>
  <c r="D63" i="88" s="1"/>
  <c r="J59" i="81"/>
  <c r="I13" i="86"/>
  <c r="I61" i="86" s="1"/>
  <c r="G61" i="86"/>
  <c r="G68" i="86"/>
  <c r="H13" i="86"/>
  <c r="H61" i="86" s="1"/>
  <c r="F61" i="86"/>
  <c r="F13" i="84"/>
  <c r="D58" i="84"/>
  <c r="D60" i="84" s="1"/>
  <c r="G13" i="84"/>
  <c r="E58" i="84"/>
  <c r="E60" i="84" s="1"/>
  <c r="G103" i="84"/>
  <c r="G127" i="84" s="1"/>
  <c r="I127" i="84" s="1"/>
  <c r="I13" i="81"/>
  <c r="I61" i="81" s="1"/>
  <c r="G61" i="81"/>
  <c r="B64" i="1"/>
  <c r="B65" i="1" s="1"/>
  <c r="B66" i="1" s="1"/>
  <c r="B67" i="1" s="1"/>
  <c r="B68" i="1" s="1"/>
  <c r="B69" i="1" s="1"/>
  <c r="B70" i="1" s="1"/>
  <c r="B72" i="1"/>
  <c r="H13" i="81"/>
  <c r="H61" i="81" s="1"/>
  <c r="F61" i="81"/>
  <c r="E237" i="1"/>
  <c r="C52" i="73"/>
  <c r="F14" i="73"/>
  <c r="D47" i="73"/>
  <c r="D49" i="73" s="1"/>
  <c r="G14" i="73"/>
  <c r="E47" i="73"/>
  <c r="E49" i="73" s="1"/>
  <c r="F14" i="74"/>
  <c r="D46" i="74"/>
  <c r="D48" i="74" s="1"/>
  <c r="G102" i="2"/>
  <c r="J55" i="2"/>
  <c r="G13" i="79"/>
  <c r="E58" i="79"/>
  <c r="E60" i="79" s="1"/>
  <c r="F13" i="2"/>
  <c r="D57" i="2"/>
  <c r="D59" i="2" s="1"/>
  <c r="G101" i="2"/>
  <c r="G33" i="3"/>
  <c r="G14" i="74"/>
  <c r="E46" i="74"/>
  <c r="E48" i="74" s="1"/>
  <c r="F13" i="79"/>
  <c r="D58" i="79"/>
  <c r="D60" i="79" s="1"/>
  <c r="G13" i="2"/>
  <c r="E57" i="2"/>
  <c r="E59" i="2" s="1"/>
  <c r="G103" i="79"/>
  <c r="G104" i="79" s="1"/>
  <c r="G128" i="79" s="1"/>
  <c r="I128" i="79" s="1"/>
  <c r="I63" i="89" l="1"/>
  <c r="H62" i="89"/>
  <c r="F63" i="89"/>
  <c r="D66" i="89"/>
  <c r="D68" i="89" s="1"/>
  <c r="G62" i="89"/>
  <c r="G63" i="89" s="1"/>
  <c r="F63" i="88"/>
  <c r="D66" i="88"/>
  <c r="D68" i="88" s="1"/>
  <c r="G62" i="88"/>
  <c r="G63" i="88" s="1"/>
  <c r="G106" i="88"/>
  <c r="J59" i="88"/>
  <c r="I61" i="88"/>
  <c r="G105" i="88"/>
  <c r="H61" i="88"/>
  <c r="D66" i="86"/>
  <c r="D68" i="86" s="1"/>
  <c r="F63" i="86"/>
  <c r="G62" i="86"/>
  <c r="H62" i="86"/>
  <c r="I63" i="86"/>
  <c r="I13" i="84"/>
  <c r="I58" i="84" s="1"/>
  <c r="G58" i="84"/>
  <c r="G64" i="84"/>
  <c r="H13" i="84"/>
  <c r="H58" i="84" s="1"/>
  <c r="F58" i="84"/>
  <c r="B73" i="1"/>
  <c r="B74" i="1"/>
  <c r="B75" i="1" s="1"/>
  <c r="B76" i="1" s="1"/>
  <c r="F63" i="81"/>
  <c r="G62" i="81"/>
  <c r="BO230" i="1" s="1"/>
  <c r="I63" i="81"/>
  <c r="H62" i="81"/>
  <c r="I13" i="2"/>
  <c r="I57" i="2" s="1"/>
  <c r="G57" i="2"/>
  <c r="I14" i="74"/>
  <c r="I46" i="74" s="1"/>
  <c r="G46" i="74"/>
  <c r="F18" i="19"/>
  <c r="I27" i="6"/>
  <c r="H13" i="2"/>
  <c r="H57" i="2" s="1"/>
  <c r="G64" i="2"/>
  <c r="F57" i="2"/>
  <c r="I14" i="73"/>
  <c r="I47" i="73" s="1"/>
  <c r="G47" i="73"/>
  <c r="H13" i="79"/>
  <c r="H58" i="79" s="1"/>
  <c r="F58" i="79"/>
  <c r="G103" i="2"/>
  <c r="G127" i="2" s="1"/>
  <c r="I127" i="2" s="1"/>
  <c r="I13" i="79"/>
  <c r="I58" i="79" s="1"/>
  <c r="G58" i="79"/>
  <c r="H14" i="74"/>
  <c r="H46" i="74" s="1"/>
  <c r="F46" i="74"/>
  <c r="G54" i="73"/>
  <c r="H14" i="73"/>
  <c r="H47" i="73" s="1"/>
  <c r="F47" i="73"/>
  <c r="G64" i="89" l="1"/>
  <c r="H63" i="89"/>
  <c r="F70" i="89"/>
  <c r="G65" i="89"/>
  <c r="G66" i="89" s="1"/>
  <c r="G69" i="89" s="1"/>
  <c r="H69" i="89" s="1"/>
  <c r="J62" i="89"/>
  <c r="G107" i="88"/>
  <c r="G131" i="88" s="1"/>
  <c r="I131" i="88" s="1"/>
  <c r="I63" i="88"/>
  <c r="H62" i="88"/>
  <c r="H63" i="88" s="1"/>
  <c r="G63" i="86"/>
  <c r="G64" i="86"/>
  <c r="F70" i="86"/>
  <c r="J62" i="86"/>
  <c r="G65" i="86"/>
  <c r="G66" i="86" s="1"/>
  <c r="G69" i="86" s="1"/>
  <c r="H69" i="86" s="1"/>
  <c r="H63" i="86"/>
  <c r="F60" i="84"/>
  <c r="G59" i="84"/>
  <c r="G62" i="84" s="1"/>
  <c r="G63" i="84" s="1"/>
  <c r="G65" i="84" s="1"/>
  <c r="H59" i="84"/>
  <c r="H60" i="84" s="1"/>
  <c r="I60" i="84"/>
  <c r="J62" i="81"/>
  <c r="H63" i="81"/>
  <c r="B77" i="1"/>
  <c r="B79" i="1" s="1"/>
  <c r="B81" i="1" s="1"/>
  <c r="B78" i="1"/>
  <c r="B80" i="1" s="1"/>
  <c r="G63" i="81"/>
  <c r="G48" i="73"/>
  <c r="G49" i="73" s="1"/>
  <c r="L39" i="73"/>
  <c r="L41" i="73" s="1"/>
  <c r="L43" i="73" s="1"/>
  <c r="F49" i="73"/>
  <c r="F60" i="79"/>
  <c r="G59" i="79"/>
  <c r="G60" i="79" s="1"/>
  <c r="H58" i="2"/>
  <c r="H59" i="2" s="1"/>
  <c r="I59" i="2"/>
  <c r="I49" i="73"/>
  <c r="H48" i="73"/>
  <c r="H49" i="73" s="1"/>
  <c r="F59" i="2"/>
  <c r="I11" i="4"/>
  <c r="I15" i="4" s="1"/>
  <c r="I21" i="4" s="1"/>
  <c r="G58" i="2"/>
  <c r="D62" i="2"/>
  <c r="D64" i="2" s="1"/>
  <c r="H59" i="79"/>
  <c r="I60" i="79"/>
  <c r="F48" i="74"/>
  <c r="G47" i="74"/>
  <c r="H47" i="74"/>
  <c r="H48" i="74" s="1"/>
  <c r="I48" i="74"/>
  <c r="G64" i="88" l="1"/>
  <c r="F70" i="88"/>
  <c r="G65" i="88"/>
  <c r="G66" i="88" s="1"/>
  <c r="G69" i="88" s="1"/>
  <c r="H69" i="88" s="1"/>
  <c r="J62" i="88"/>
  <c r="G60" i="84"/>
  <c r="B82" i="1"/>
  <c r="B83" i="1" s="1"/>
  <c r="B84" i="1" s="1"/>
  <c r="B88" i="1"/>
  <c r="H51" i="73"/>
  <c r="G51" i="73"/>
  <c r="G52" i="73" s="1"/>
  <c r="G50" i="73"/>
  <c r="J58" i="2"/>
  <c r="N38" i="19"/>
  <c r="G61" i="2"/>
  <c r="G44" i="3"/>
  <c r="G45" i="3" s="1"/>
  <c r="BG230" i="1"/>
  <c r="BG231" i="1" s="1"/>
  <c r="I35" i="4"/>
  <c r="I39" i="4" s="1"/>
  <c r="I44" i="4" s="1"/>
  <c r="L18" i="75"/>
  <c r="BO231" i="1"/>
  <c r="I12" i="6"/>
  <c r="H60" i="79"/>
  <c r="G48" i="74"/>
  <c r="G49" i="74"/>
  <c r="G59" i="2"/>
  <c r="G60" i="2"/>
  <c r="B90" i="1" l="1"/>
  <c r="B91" i="1" s="1"/>
  <c r="B92" i="1" s="1"/>
  <c r="B93" i="1" s="1"/>
  <c r="B94" i="1" s="1"/>
  <c r="B95" i="1" s="1"/>
  <c r="B89" i="1"/>
  <c r="G62" i="2"/>
  <c r="E25" i="69"/>
  <c r="H52" i="73"/>
  <c r="G55" i="73"/>
  <c r="I55" i="73" s="1"/>
  <c r="B96" i="1" l="1"/>
  <c r="B97" i="1" s="1"/>
  <c r="B98" i="1" s="1"/>
  <c r="B99" i="1" s="1"/>
  <c r="B100" i="1" s="1"/>
  <c r="B104" i="1"/>
  <c r="E10" i="69"/>
  <c r="F25" i="69"/>
  <c r="F27" i="69" s="1"/>
  <c r="E27" i="69"/>
  <c r="E9" i="69"/>
  <c r="I17" i="6"/>
  <c r="I23" i="6" s="1"/>
  <c r="G65" i="2"/>
  <c r="L19" i="75"/>
  <c r="B105" i="1" l="1"/>
  <c r="B106" i="1"/>
  <c r="B107" i="1" s="1"/>
  <c r="B108" i="1" s="1"/>
  <c r="F35" i="69"/>
  <c r="N9" i="69"/>
  <c r="E17" i="69"/>
  <c r="E19" i="69" s="1"/>
  <c r="F9" i="69"/>
  <c r="M12" i="75"/>
  <c r="L20" i="75"/>
  <c r="D19" i="66"/>
  <c r="D19" i="20"/>
  <c r="E40" i="68"/>
  <c r="I25" i="6"/>
  <c r="I29" i="6" s="1"/>
  <c r="N10" i="69"/>
  <c r="H35" i="69"/>
  <c r="F10" i="69"/>
  <c r="B109" i="1" l="1"/>
  <c r="B111" i="1" s="1"/>
  <c r="B110" i="1"/>
  <c r="B112" i="1" s="1"/>
  <c r="F46" i="69"/>
  <c r="F40" i="69"/>
  <c r="F41" i="69" s="1"/>
  <c r="F44" i="69" s="1"/>
  <c r="P10" i="69"/>
  <c r="D35" i="69"/>
  <c r="O19" i="20"/>
  <c r="O21" i="20" s="1"/>
  <c r="J19" i="20"/>
  <c r="J23" i="20" s="1"/>
  <c r="J25" i="20" s="1"/>
  <c r="J32" i="20" s="1"/>
  <c r="D34" i="20" s="1"/>
  <c r="D23" i="20"/>
  <c r="D25" i="20" s="1"/>
  <c r="D32" i="20" s="1"/>
  <c r="F17" i="69"/>
  <c r="O19" i="66"/>
  <c r="O21" i="66" s="1"/>
  <c r="H19" i="66"/>
  <c r="D23" i="66"/>
  <c r="D25" i="66" s="1"/>
  <c r="H46" i="69"/>
  <c r="P13" i="69"/>
  <c r="H40" i="69"/>
  <c r="H41" i="69" s="1"/>
  <c r="H44" i="69" s="1"/>
  <c r="I31" i="6"/>
  <c r="I32" i="6" s="1"/>
  <c r="M20" i="75"/>
  <c r="M21" i="75" s="1"/>
  <c r="L21" i="75"/>
  <c r="N17" i="69"/>
  <c r="B115" i="1" l="1"/>
  <c r="B114" i="1"/>
  <c r="B113" i="1"/>
  <c r="B118" i="1"/>
  <c r="I19" i="20"/>
  <c r="I23" i="20" s="1"/>
  <c r="I25" i="20" s="1"/>
  <c r="I32" i="20" s="1"/>
  <c r="D33" i="20" s="1"/>
  <c r="H49" i="69"/>
  <c r="D32" i="66"/>
  <c r="H37" i="66"/>
  <c r="H39" i="66" s="1"/>
  <c r="H40" i="66" s="1"/>
  <c r="L19" i="66"/>
  <c r="H23" i="66"/>
  <c r="H25" i="66" s="1"/>
  <c r="H32" i="66" s="1"/>
  <c r="D34" i="66" s="1"/>
  <c r="P17" i="69"/>
  <c r="F49" i="69"/>
  <c r="F57" i="69"/>
  <c r="G19" i="66"/>
  <c r="G23" i="66" s="1"/>
  <c r="G25" i="66" s="1"/>
  <c r="G32" i="66" s="1"/>
  <c r="D46" i="69"/>
  <c r="B120" i="1" l="1"/>
  <c r="B121" i="1" s="1"/>
  <c r="B122" i="1" s="1"/>
  <c r="B119" i="1"/>
  <c r="L19" i="20"/>
  <c r="M19" i="20" s="1"/>
  <c r="M23" i="20" s="1"/>
  <c r="D49" i="69"/>
  <c r="D54" i="69" s="1"/>
  <c r="D33" i="66"/>
  <c r="F34" i="66"/>
  <c r="D35" i="20"/>
  <c r="L65" i="20"/>
  <c r="L23" i="66"/>
  <c r="L25" i="66" s="1"/>
  <c r="M19" i="66"/>
  <c r="M23" i="66" s="1"/>
  <c r="B123" i="1" l="1"/>
  <c r="B125" i="1" s="1"/>
  <c r="B124" i="1"/>
  <c r="B126" i="1" s="1"/>
  <c r="L23" i="20"/>
  <c r="L25" i="20" s="1"/>
  <c r="L32" i="20" s="1"/>
  <c r="L32" i="66"/>
  <c r="M25" i="66"/>
  <c r="M32" i="66" s="1"/>
  <c r="L65" i="66"/>
  <c r="D35" i="66"/>
  <c r="B128" i="1" l="1"/>
  <c r="B130" i="1"/>
  <c r="B133" i="1"/>
  <c r="B127" i="1"/>
  <c r="B129" i="1" s="1"/>
  <c r="M25" i="20"/>
  <c r="M32" i="20" s="1"/>
  <c r="B135" i="1" l="1"/>
  <c r="B136" i="1" s="1"/>
  <c r="B137" i="1" s="1"/>
  <c r="B138" i="1" s="1"/>
  <c r="B134" i="1"/>
  <c r="B139" i="1" l="1"/>
  <c r="B141" i="1" s="1"/>
  <c r="B143" i="1" s="1"/>
  <c r="B145" i="1" s="1"/>
  <c r="B147" i="1" s="1"/>
  <c r="B152" i="1" s="1"/>
  <c r="B140" i="1"/>
  <c r="B142" i="1" s="1"/>
  <c r="B144" i="1" s="1"/>
  <c r="B146" i="1" s="1"/>
  <c r="B153" i="1" l="1"/>
  <c r="B154" i="1"/>
  <c r="B155" i="1" s="1"/>
  <c r="B156" i="1" s="1"/>
  <c r="B157" i="1" l="1"/>
  <c r="B159" i="1" s="1"/>
  <c r="B161" i="1" s="1"/>
  <c r="B163" i="1" s="1"/>
  <c r="B158" i="1"/>
  <c r="B160" i="1" s="1"/>
  <c r="B162" i="1" s="1"/>
  <c r="B164" i="1" s="1"/>
  <c r="B169" i="1" s="1"/>
  <c r="B170" i="1" s="1"/>
  <c r="B171" i="1" s="1"/>
  <c r="B172" i="1" s="1"/>
  <c r="B173" i="1" s="1"/>
  <c r="B174" i="1" s="1"/>
  <c r="B175" i="1" s="1"/>
  <c r="B188" i="1" l="1"/>
  <c r="B176" i="1"/>
  <c r="B177" i="1" s="1"/>
  <c r="B178" i="1" s="1"/>
  <c r="B179" i="1" s="1"/>
  <c r="B180" i="1" s="1"/>
  <c r="B181" i="1" s="1"/>
  <c r="B182" i="1" s="1"/>
  <c r="B189" i="1" l="1"/>
  <c r="B190" i="1"/>
  <c r="B191" i="1" s="1"/>
  <c r="B192" i="1" s="1"/>
  <c r="B193" i="1" s="1"/>
  <c r="B194" i="1" s="1"/>
  <c r="B196" i="1" l="1"/>
  <c r="B197" i="1" s="1"/>
  <c r="B195" i="1"/>
  <c r="B198" i="1" l="1"/>
  <c r="B200" i="1"/>
  <c r="B199" i="1" l="1"/>
  <c r="B202" i="1" s="1"/>
  <c r="B203" i="1" s="1"/>
  <c r="B201" i="1"/>
  <c r="B207" i="1" s="1"/>
  <c r="B208" i="1" s="1"/>
  <c r="B209" i="1" s="1"/>
  <c r="B210" i="1" l="1"/>
  <c r="B212" i="1" s="1"/>
  <c r="B214" i="1" s="1"/>
  <c r="B216" i="1" s="1"/>
  <c r="B211" i="1"/>
  <c r="B213" i="1" s="1"/>
  <c r="B215" i="1" s="1"/>
  <c r="B221" i="1" s="1"/>
  <c r="B223" i="1" s="1"/>
  <c r="B224" i="1" s="1"/>
  <c r="B225" i="1" s="1"/>
  <c r="B226" i="1" s="1"/>
  <c r="B227" i="1" s="1"/>
  <c r="B222" i="1" l="1"/>
  <c r="B217" i="1"/>
  <c r="B219" i="1" l="1"/>
  <c r="B220" i="1" s="1"/>
  <c r="B218" i="1"/>
</calcChain>
</file>

<file path=xl/sharedStrings.xml><?xml version="1.0" encoding="utf-8"?>
<sst xmlns="http://schemas.openxmlformats.org/spreadsheetml/2006/main" count="4031" uniqueCount="1110">
  <si>
    <t>Detalle</t>
  </si>
  <si>
    <t>Control</t>
  </si>
  <si>
    <t>CORRECCION MONETARIA</t>
  </si>
  <si>
    <t>GASTOS GENERALES</t>
  </si>
  <si>
    <t>Debe</t>
  </si>
  <si>
    <t>Haber</t>
  </si>
  <si>
    <t>Apertura saldos iniciales</t>
  </si>
  <si>
    <t>SALDOS</t>
  </si>
  <si>
    <t>suma debe</t>
  </si>
  <si>
    <t>suma haber</t>
  </si>
  <si>
    <t>BALANCE GENERAL</t>
  </si>
  <si>
    <t>CUENTAS</t>
  </si>
  <si>
    <t>DÉBITOS</t>
  </si>
  <si>
    <t>CRÉDITOS</t>
  </si>
  <si>
    <t>INVENTARIO</t>
  </si>
  <si>
    <t xml:space="preserve">RESULTADO </t>
  </si>
  <si>
    <t>SUMAS DEL DEBE</t>
  </si>
  <si>
    <t>SUMAS DEL HABER</t>
  </si>
  <si>
    <t>DEUDOR</t>
  </si>
  <si>
    <t>ACREEDOR</t>
  </si>
  <si>
    <t>ACTIVO</t>
  </si>
  <si>
    <t>PASIVO</t>
  </si>
  <si>
    <t>PÉRDIDAS</t>
  </si>
  <si>
    <t>GANANCIAS</t>
  </si>
  <si>
    <t>Sub-Total</t>
  </si>
  <si>
    <t>Resultado del ejercicio</t>
  </si>
  <si>
    <t>Total General</t>
  </si>
  <si>
    <t>ESTADO DE RESULTADOS</t>
  </si>
  <si>
    <t xml:space="preserve">Por los ejercicios terminados </t>
  </si>
  <si>
    <t>al 31 de diciembre de</t>
  </si>
  <si>
    <t>RESULTADOS OPERACIONALES</t>
  </si>
  <si>
    <t>Costos de explotación</t>
  </si>
  <si>
    <t>Margen de explotación</t>
  </si>
  <si>
    <t>Gastos de administración y ventas</t>
  </si>
  <si>
    <t>Resultado operacional</t>
  </si>
  <si>
    <t>RESULTADOS NO OPERACIONALES</t>
  </si>
  <si>
    <t>Ingresos financieros</t>
  </si>
  <si>
    <t>Utilidad inversión en empresas relacionadas</t>
  </si>
  <si>
    <t>Otros ingresos fuera de la explotación</t>
  </si>
  <si>
    <t>Pérdida inversión en empresas relacionadas</t>
  </si>
  <si>
    <t>Gastos financieros</t>
  </si>
  <si>
    <t>Otros egresos fuera de la explotación</t>
  </si>
  <si>
    <t>Corrección monetaria</t>
  </si>
  <si>
    <t>Resultado no operacional</t>
  </si>
  <si>
    <t>Resultado antes de impuesto a la renta</t>
  </si>
  <si>
    <t>Impuesto a la renta</t>
  </si>
  <si>
    <t>Utilidad líquida</t>
  </si>
  <si>
    <t>Amortización mayor valor de inversión</t>
  </si>
  <si>
    <t>Total del Activo</t>
  </si>
  <si>
    <t>Menos:</t>
  </si>
  <si>
    <t>Activo Depurado</t>
  </si>
  <si>
    <t>Pasivo Exigible</t>
  </si>
  <si>
    <t>DETERMINACIÓN CAPITAL PROPIO FINANCIERO</t>
  </si>
  <si>
    <t>CAPITAL</t>
  </si>
  <si>
    <t>RESERVA REVALORIZACIÓN CAPITAL</t>
  </si>
  <si>
    <t>CAPITAL PROPIO FINANCIERO</t>
  </si>
  <si>
    <t xml:space="preserve">Determinación Renta Líquida Imponible </t>
  </si>
  <si>
    <t>$</t>
  </si>
  <si>
    <t>Se agrega:</t>
  </si>
  <si>
    <t>Se deduce:</t>
  </si>
  <si>
    <t>FACTOR</t>
  </si>
  <si>
    <t>MONTO</t>
  </si>
  <si>
    <t>ACTUALIZADO</t>
  </si>
  <si>
    <t>RESULTADO DEL EJERCICIO</t>
  </si>
  <si>
    <t>C.M.</t>
  </si>
  <si>
    <t>FECHA</t>
  </si>
  <si>
    <t>RESULTADO ACUMULADO</t>
  </si>
  <si>
    <t>Valores Into</t>
  </si>
  <si>
    <t>Provisión impuesto renta</t>
  </si>
  <si>
    <t>Resultado según balance</t>
  </si>
  <si>
    <t xml:space="preserve">Al 31 de diciembre de </t>
  </si>
  <si>
    <t>ACTIVOS</t>
  </si>
  <si>
    <t>PASIVOS Y PATRIMONIO</t>
  </si>
  <si>
    <t>ACTIVO CIRCULANTE</t>
  </si>
  <si>
    <t>PASIVO CIRCULANTE</t>
  </si>
  <si>
    <t>Disponible</t>
  </si>
  <si>
    <t>Total activo circulante</t>
  </si>
  <si>
    <t>Total pasivo circulante</t>
  </si>
  <si>
    <t>ACTIVO FIJO</t>
  </si>
  <si>
    <t>PASIVO A LARGO PLAZO</t>
  </si>
  <si>
    <t>Total pasivo a largo plazo</t>
  </si>
  <si>
    <t>Total activo fijo</t>
  </si>
  <si>
    <t>PATRIMONIO</t>
  </si>
  <si>
    <t>OTROS ACTIVOS</t>
  </si>
  <si>
    <t>Total otros activos</t>
  </si>
  <si>
    <t>Total patrimonio</t>
  </si>
  <si>
    <t>Total activos</t>
  </si>
  <si>
    <t>Total pasivo y patrimonio</t>
  </si>
  <si>
    <t>UTILIDAD (PERDIDA) DEL EJERCICIO</t>
  </si>
  <si>
    <t>Incremento</t>
  </si>
  <si>
    <t>Crédito</t>
  </si>
  <si>
    <t>Remanente ejercicio anterior</t>
  </si>
  <si>
    <t>Remanente actualizado</t>
  </si>
  <si>
    <t>Pérdida tributaria ejercicio ant.</t>
  </si>
  <si>
    <t>1.-</t>
  </si>
  <si>
    <t>2.-</t>
  </si>
  <si>
    <t>3.-</t>
  </si>
  <si>
    <t>4.-</t>
  </si>
  <si>
    <t>AJUSTES</t>
  </si>
  <si>
    <t>………………………………………………………</t>
  </si>
  <si>
    <t xml:space="preserve">  ...………………………………………………….</t>
  </si>
  <si>
    <t xml:space="preserve">                   REPRESENTANTE LEGAL</t>
  </si>
  <si>
    <t>NUMERO COMBTE.</t>
  </si>
  <si>
    <t>CONTROL</t>
  </si>
  <si>
    <t xml:space="preserve">Menos: </t>
  </si>
  <si>
    <t>Impueto a Pagar</t>
  </si>
  <si>
    <t>Resultado Tributario del ejercicio</t>
  </si>
  <si>
    <t>Impuesto</t>
  </si>
  <si>
    <t>UNCC</t>
  </si>
  <si>
    <t>UNSC</t>
  </si>
  <si>
    <t>incluido en RLI</t>
  </si>
  <si>
    <t>DISPONIBLE</t>
  </si>
  <si>
    <t>Retiros</t>
  </si>
  <si>
    <t>Declaración y Pago de IVA</t>
  </si>
  <si>
    <t>Centralización Libro Compras</t>
  </si>
  <si>
    <t>Centralización Libro Ventas</t>
  </si>
  <si>
    <t>Devenga    PPM</t>
  </si>
  <si>
    <t>MES</t>
  </si>
  <si>
    <t>HISTÓRICO</t>
  </si>
  <si>
    <t>Contabiliza C.M. PPM</t>
  </si>
  <si>
    <t>Contabiliza Revalorizacion Capital</t>
  </si>
  <si>
    <t>Gastos Rechazados ( Multas e Int. )</t>
  </si>
  <si>
    <t xml:space="preserve">Deprecicación </t>
  </si>
  <si>
    <t>Contabiliza Prov. Impto Renta 1º Categoría</t>
  </si>
  <si>
    <t>Provision impuesto renta</t>
  </si>
  <si>
    <t>Menos</t>
  </si>
  <si>
    <t>Impuesto Renta Pagado</t>
  </si>
  <si>
    <t>Gastos rechazados pagados</t>
  </si>
  <si>
    <t>Fut ejercicio</t>
  </si>
  <si>
    <t>Utilidades antes de retiro</t>
  </si>
  <si>
    <t>Año 2006   17%</t>
  </si>
  <si>
    <t>Activo</t>
  </si>
  <si>
    <t>Depreciación</t>
  </si>
  <si>
    <t>Factor %</t>
  </si>
  <si>
    <t>Valor</t>
  </si>
  <si>
    <t>Anual</t>
  </si>
  <si>
    <t>Vida</t>
  </si>
  <si>
    <t>Libro</t>
  </si>
  <si>
    <t>Util</t>
  </si>
  <si>
    <t>Dep. Anual</t>
  </si>
  <si>
    <t>Valor Libro</t>
  </si>
  <si>
    <t>Bienes</t>
  </si>
  <si>
    <t>P.P.M.</t>
  </si>
  <si>
    <t>REV. CAPITAL PROPIO</t>
  </si>
  <si>
    <t>DEPRECIACION DEL EJERCICIO</t>
  </si>
  <si>
    <t>P.P.M. POR PAGAR</t>
  </si>
  <si>
    <t>IMPUESTO RENTA</t>
  </si>
  <si>
    <t>Pago Honorarios</t>
  </si>
  <si>
    <t>Año 2007   17%</t>
  </si>
  <si>
    <t>Pagos varios Enero</t>
  </si>
  <si>
    <t>Pagos varios Marzo</t>
  </si>
  <si>
    <t>Pagos varios Mayo</t>
  </si>
  <si>
    <t>Pagos varios Junio</t>
  </si>
  <si>
    <t>Pagos varios Julio</t>
  </si>
  <si>
    <t>Pagos varios Agosto</t>
  </si>
  <si>
    <t>Capital</t>
  </si>
  <si>
    <t>Rev. Capital Propio</t>
  </si>
  <si>
    <t>Resultado Acumulado</t>
  </si>
  <si>
    <t>Ingresos por Servicios</t>
  </si>
  <si>
    <t>PROVISION DE IMPUESTOS</t>
  </si>
  <si>
    <t>IVA</t>
  </si>
  <si>
    <t>VEHICULOS</t>
  </si>
  <si>
    <t>P.P.M. por Pagar</t>
  </si>
  <si>
    <t>Provisión de Impuestos</t>
  </si>
  <si>
    <t>RETENCION DE HONORARIOS</t>
  </si>
  <si>
    <t>Reajuste anual   8,9%</t>
  </si>
  <si>
    <t>Año 2008   17%</t>
  </si>
  <si>
    <t>RLI Ejercicio 2008</t>
  </si>
  <si>
    <t>Remanente para ejercicio 2009</t>
  </si>
  <si>
    <t>Pagos varios Septiembre</t>
  </si>
  <si>
    <t>Pagos varios Octubre</t>
  </si>
  <si>
    <t>Pagos varios Diciembre</t>
  </si>
  <si>
    <t>Gastos Comunes</t>
  </si>
  <si>
    <t xml:space="preserve">              MANUEL GUTIERREZ AVILES  </t>
  </si>
  <si>
    <t xml:space="preserve">                  CONTADOR AUDITOR</t>
  </si>
  <si>
    <t>APORTES POR ENTERAR</t>
  </si>
  <si>
    <t>Pago Sueldos</t>
  </si>
  <si>
    <t>SUELDOS</t>
  </si>
  <si>
    <t>COSTO DE VENTA</t>
  </si>
  <si>
    <t>Pagos varios Noviembre</t>
  </si>
  <si>
    <t>INGRESOS VENTA IMER</t>
  </si>
  <si>
    <t>INGRESOS SERVICIOS</t>
  </si>
  <si>
    <t>INGRESOS VENTA MATERIALES</t>
  </si>
  <si>
    <t>VENTA SKC RENTAL</t>
  </si>
  <si>
    <t>C/C</t>
  </si>
  <si>
    <t>S/C</t>
  </si>
  <si>
    <t>Utilidad o (Pérdida) del ejercicio</t>
  </si>
  <si>
    <t>TOTAL</t>
  </si>
  <si>
    <t>Cred. Fiscal</t>
  </si>
  <si>
    <t>GASTO</t>
  </si>
  <si>
    <t>Valor Neto</t>
  </si>
  <si>
    <t>VENTAS</t>
  </si>
  <si>
    <t>DEBITO</t>
  </si>
  <si>
    <t>FISCAL</t>
  </si>
  <si>
    <t>RESULTADO EJERCICIO ANTERIOR</t>
  </si>
  <si>
    <t>Pagos remuneraciones</t>
  </si>
  <si>
    <t>DEUDORES POR VENTA</t>
  </si>
  <si>
    <t>EXISTENCIA CAPACHOS</t>
  </si>
  <si>
    <t>CTA CTE DEL PERSONAL</t>
  </si>
  <si>
    <t>MAQUINARIAS Y EQUIPOS</t>
  </si>
  <si>
    <t>IVA DEBITO FISCAL</t>
  </si>
  <si>
    <t>AFP - ISAPRE por PAGAR</t>
  </si>
  <si>
    <t>DETALLE</t>
  </si>
  <si>
    <t>10445810-6</t>
  </si>
  <si>
    <t>NANCY LY CARRIZO DELGADO</t>
  </si>
  <si>
    <t>12436621-6</t>
  </si>
  <si>
    <t>17690796-7</t>
  </si>
  <si>
    <t>MARLO OBREQUE MORALES</t>
  </si>
  <si>
    <t>ERNESTO OBREQUE CARRIZO</t>
  </si>
  <si>
    <t>RETIROS</t>
  </si>
  <si>
    <t>CREDITO</t>
  </si>
  <si>
    <t>INTERES</t>
  </si>
  <si>
    <t>TOTALES</t>
  </si>
  <si>
    <t>NOTEBOOK</t>
  </si>
  <si>
    <t>DEPRECIACION</t>
  </si>
  <si>
    <t>Créd. ACTIVO FIJO</t>
  </si>
  <si>
    <t>C.M. Activo Fijo</t>
  </si>
  <si>
    <t>MAQUINARIAS</t>
  </si>
  <si>
    <t>DEPREC. ACUMULADA</t>
  </si>
  <si>
    <t>DEPREC. DEL EJERCICIO</t>
  </si>
  <si>
    <t>Contabiliza C.M. Deprec Y credito A-F</t>
  </si>
  <si>
    <t>Credito Activo Fijo</t>
  </si>
  <si>
    <t>PROVEEDORES POR PAGAR</t>
  </si>
  <si>
    <t>Depreciacion acumulada</t>
  </si>
  <si>
    <t>ARRIENDO Galpon Taller y Oficina</t>
  </si>
  <si>
    <t>RETIROS DE LOS SOCIOS</t>
  </si>
  <si>
    <t>ACTIVO EN LEASING</t>
  </si>
  <si>
    <t>Contrato Leasing</t>
  </si>
  <si>
    <t>COMISION</t>
  </si>
  <si>
    <t>INTERESES BANCARIOS</t>
  </si>
  <si>
    <t>PRESTAMO FOGAPE</t>
  </si>
  <si>
    <t>SALDA CUENTA DISPONIBLE</t>
  </si>
  <si>
    <t>GASTOS LEASING</t>
  </si>
  <si>
    <t>MATERILES INSUMOS</t>
  </si>
  <si>
    <t>EXISTENCIA INSUMOS Y MATERIALES</t>
  </si>
  <si>
    <t>Año 2010   17%</t>
  </si>
  <si>
    <t xml:space="preserve">   MANUEL GUTIERREZ AVILES  </t>
  </si>
  <si>
    <t xml:space="preserve">       CONTADOR AUDITOR</t>
  </si>
  <si>
    <t>__________________________</t>
  </si>
  <si>
    <t xml:space="preserve">         RUT:  10.150.081-8</t>
  </si>
  <si>
    <t>____________________________</t>
  </si>
  <si>
    <t xml:space="preserve">       REPRESENTANTE LEGAL</t>
  </si>
  <si>
    <t xml:space="preserve">            RUT:  10.150.081-8</t>
  </si>
  <si>
    <t>______________________________</t>
  </si>
  <si>
    <t xml:space="preserve">         REPRESENTANTE LEGAL</t>
  </si>
  <si>
    <t xml:space="preserve">          CONTADOR AUDITOR</t>
  </si>
  <si>
    <t>IMPUESTO UNICO</t>
  </si>
  <si>
    <t>TRASP. A COSTO VTA</t>
  </si>
  <si>
    <t>PESOS</t>
  </si>
  <si>
    <t>CAJA</t>
  </si>
  <si>
    <t>U.F.</t>
  </si>
  <si>
    <t>Contrato Leasing COMPRESOR</t>
  </si>
  <si>
    <t>Contrato Leasing MESA DE CORTE</t>
  </si>
  <si>
    <t>INTERSES DIFERIDOS LEASING - FOGAPE</t>
  </si>
  <si>
    <t>PRESTAMO CORPBANCA-MM100</t>
  </si>
  <si>
    <t>INTERSES DIFERIDOS PRESTAMOS</t>
  </si>
  <si>
    <t>PRESTAMO CORPBANCA-MM35</t>
  </si>
  <si>
    <t>PRESTAMO CORPBANCA-MM67</t>
  </si>
  <si>
    <t>mesa</t>
  </si>
  <si>
    <t>compresor</t>
  </si>
  <si>
    <t>fogape</t>
  </si>
  <si>
    <t>INTERESES FOGAPE</t>
  </si>
  <si>
    <t>HONORARIOS Y SERVICIOS PROFESIONALES</t>
  </si>
  <si>
    <t>Arriendo GALPON y  Oficina</t>
  </si>
  <si>
    <t>IVA POR PAGAR</t>
  </si>
  <si>
    <t>RETIROS DEL EJERCICIO 2011</t>
  </si>
  <si>
    <t>Enero</t>
  </si>
  <si>
    <t> 3,8</t>
  </si>
  <si>
    <t>  Febrero</t>
  </si>
  <si>
    <t> 3.5</t>
  </si>
  <si>
    <t>  Marzo</t>
  </si>
  <si>
    <t> 3.3</t>
  </si>
  <si>
    <t>HONORARIOS PROFESIONALES</t>
  </si>
  <si>
    <t>  Abril</t>
  </si>
  <si>
    <t> 2.5</t>
  </si>
  <si>
    <t>RETENCION 10 %</t>
  </si>
  <si>
    <t>  Mayo</t>
  </si>
  <si>
    <t> 2.2</t>
  </si>
  <si>
    <t>EJERCICIO 2011</t>
  </si>
  <si>
    <t>  Junio</t>
  </si>
  <si>
    <t> 1.8</t>
  </si>
  <si>
    <t>  Julio</t>
  </si>
  <si>
    <t> 1.6</t>
  </si>
  <si>
    <t>  Agosto</t>
  </si>
  <si>
    <t> 1.5</t>
  </si>
  <si>
    <t>5327905-8</t>
  </si>
  <si>
    <t>  Septi</t>
  </si>
  <si>
    <t> 1.3</t>
  </si>
  <si>
    <t>  Octubre</t>
  </si>
  <si>
    <t> 0.8</t>
  </si>
  <si>
    <t>  Noviem</t>
  </si>
  <si>
    <t> 0.3</t>
  </si>
  <si>
    <t>  Diciem</t>
  </si>
  <si>
    <t xml:space="preserve">15586552-0 </t>
  </si>
  <si>
    <t xml:space="preserve">DENIS ORLANDO GODOY LEAL </t>
  </si>
  <si>
    <t xml:space="preserve">17766822-2 </t>
  </si>
  <si>
    <t xml:space="preserve">DIEGO SEBASTIAN ALARCON JOFRE </t>
  </si>
  <si>
    <t xml:space="preserve">18153415-K </t>
  </si>
  <si>
    <t xml:space="preserve">CRISTIAN ALBERTO BARRAZA SANDOVAL </t>
  </si>
  <si>
    <t>5437119-5</t>
  </si>
  <si>
    <t>GABRIELA VASQUEZ LAGUNA</t>
  </si>
  <si>
    <t xml:space="preserve">10395744-3 </t>
  </si>
  <si>
    <t xml:space="preserve">JOSE PATRICIO DURAN MATURANA </t>
  </si>
  <si>
    <t xml:space="preserve">15417336-6 </t>
  </si>
  <si>
    <t xml:space="preserve">ANDRES EVANDRO LEAL OBREQUE </t>
  </si>
  <si>
    <t xml:space="preserve">18188681-1 </t>
  </si>
  <si>
    <t xml:space="preserve">DANIEL ALEJANDRO CARES GAETE </t>
  </si>
  <si>
    <t xml:space="preserve">8759266-9 </t>
  </si>
  <si>
    <t xml:space="preserve">BLANCA HORTENSIA SANCHEZ SOTO </t>
  </si>
  <si>
    <t xml:space="preserve">13031720-0 </t>
  </si>
  <si>
    <t xml:space="preserve">ALEX ANTONIO FLORES MENA </t>
  </si>
  <si>
    <t xml:space="preserve">15843024-K </t>
  </si>
  <si>
    <t xml:space="preserve">CARLOS RENE MOYA QUINTANILLA </t>
  </si>
  <si>
    <t xml:space="preserve">18245251-3 </t>
  </si>
  <si>
    <t xml:space="preserve">MARCELO PABLO MARTINEZ MANSILLA </t>
  </si>
  <si>
    <t xml:space="preserve">18422345-7 </t>
  </si>
  <si>
    <t xml:space="preserve">SOLANGE ANDREA GORMAZ SAAVEDRA </t>
  </si>
  <si>
    <r>
      <t>NOTA:</t>
    </r>
    <r>
      <rPr>
        <sz val="10"/>
        <rFont val="Verdana"/>
        <family val="2"/>
      </rPr>
      <t xml:space="preserve"> Se hace presente, que de acuerdo a las disposiciones que rigen</t>
    </r>
  </si>
  <si>
    <r>
      <t>NOTA:</t>
    </r>
    <r>
      <rPr>
        <sz val="10"/>
        <rFont val="Verdana"/>
        <family val="2"/>
      </rPr>
      <t xml:space="preserve"> Se hace</t>
    </r>
  </si>
  <si>
    <t>Contabiliza Inventario Final Existencia</t>
  </si>
  <si>
    <t>pago imposiciones PREVIRED</t>
  </si>
  <si>
    <t>Reajuste anual   3,9%</t>
  </si>
  <si>
    <r>
      <t xml:space="preserve">Año 2010  </t>
    </r>
    <r>
      <rPr>
        <b/>
        <sz val="11"/>
        <color indexed="10"/>
        <rFont val="Arial"/>
        <family val="2"/>
      </rPr>
      <t>20%</t>
    </r>
  </si>
  <si>
    <t>RETIROS TRIBUTARIOS SOCIOS</t>
  </si>
  <si>
    <t>IMPTO</t>
  </si>
  <si>
    <t>BASE</t>
  </si>
  <si>
    <t>A-F</t>
  </si>
  <si>
    <t>PPM</t>
  </si>
  <si>
    <t>SAFRA</t>
  </si>
  <si>
    <t>COMPRESOR</t>
  </si>
  <si>
    <t>MESA</t>
  </si>
  <si>
    <t>Depreciacion del ejercicio</t>
  </si>
  <si>
    <t>DEPRECIACOPN ACUMULADA</t>
  </si>
  <si>
    <t>PRESTAMO CORTO PLAZO</t>
  </si>
  <si>
    <t>PRESTAMO LARGO PLAZO</t>
  </si>
  <si>
    <t>CONTRATOS DE LEASING</t>
  </si>
  <si>
    <t>credito a-f</t>
  </si>
  <si>
    <t>CARGO</t>
  </si>
  <si>
    <t>ABONO</t>
  </si>
  <si>
    <t>Impuesto Renta Pagado act. por 0,9%</t>
  </si>
  <si>
    <t>Remanente para ejercicio 2013</t>
  </si>
  <si>
    <t>RLI Ejercicio 2012</t>
  </si>
  <si>
    <t>Año 2011   20%</t>
  </si>
  <si>
    <t xml:space="preserve"> REPRESENTANTE LEGAL</t>
  </si>
  <si>
    <t>MANUEL GUTIERREZ AVILES</t>
  </si>
  <si>
    <t>SERGIO BERLAND OLEA</t>
  </si>
  <si>
    <t>RUT : 10.150.081-0</t>
  </si>
  <si>
    <t>RUT : 10.637.395-7</t>
  </si>
  <si>
    <t>………………………………</t>
  </si>
  <si>
    <t xml:space="preserve">                              CONTADOR AUDITOR</t>
  </si>
  <si>
    <t>RETIRO</t>
  </si>
  <si>
    <t>CREDITOS</t>
  </si>
  <si>
    <t xml:space="preserve">SERGIO </t>
  </si>
  <si>
    <t xml:space="preserve"> BERLAND </t>
  </si>
  <si>
    <t>ANDREA</t>
  </si>
  <si>
    <t>ARIAS CRUZ</t>
  </si>
  <si>
    <t>YERCO</t>
  </si>
  <si>
    <t>YERCO YAIR</t>
  </si>
  <si>
    <t>FERNANDEZ</t>
  </si>
  <si>
    <t>10.637.395-7</t>
  </si>
  <si>
    <t>12.687.405-7</t>
  </si>
  <si>
    <t>18.763.537-3</t>
  </si>
  <si>
    <t>SERGIO</t>
  </si>
  <si>
    <t xml:space="preserve">             CORREC. MONET.</t>
  </si>
  <si>
    <t>DEPREC EJERCICIO</t>
  </si>
  <si>
    <t>C.M. Anual</t>
  </si>
  <si>
    <t>Fecha Compra</t>
  </si>
  <si>
    <t>Valor Factura s/inventario</t>
  </si>
  <si>
    <t>CM</t>
  </si>
  <si>
    <t>Valor Inicial actualizado</t>
  </si>
  <si>
    <t>Maquinarias y Equipos</t>
  </si>
  <si>
    <t>Cantidad</t>
  </si>
  <si>
    <t>Bomba , y kit de montaje</t>
  </si>
  <si>
    <t>Tecle Manual</t>
  </si>
  <si>
    <t>Carro de Tiro</t>
  </si>
  <si>
    <t>Container 20 pies para oficina</t>
  </si>
  <si>
    <t>Resumen Año 2008  Maquinarias y equipos</t>
  </si>
  <si>
    <t>Valor Activo correjido</t>
  </si>
  <si>
    <t>Créd. 6% debiendo ser 8%</t>
  </si>
  <si>
    <t>PAGO IMPTO RENTA</t>
  </si>
  <si>
    <t>EQUIPOS Y OTROS A-F</t>
  </si>
  <si>
    <t xml:space="preserve">              EQUIPOS Y OTROS A-F</t>
  </si>
  <si>
    <t xml:space="preserve">CUADRO DE AMORTIZACIÓN  </t>
  </si>
  <si>
    <t>(EXPRESADO EN $)</t>
  </si>
  <si>
    <t>Interés</t>
  </si>
  <si>
    <t>Nº Pagos</t>
  </si>
  <si>
    <t>Mensualidad</t>
  </si>
  <si>
    <t>Valor Actual</t>
  </si>
  <si>
    <t>Período</t>
  </si>
  <si>
    <t>Fecha</t>
  </si>
  <si>
    <t>Mens. $</t>
  </si>
  <si>
    <t>Interés $</t>
  </si>
  <si>
    <t>Capital $</t>
  </si>
  <si>
    <t>Saldo $</t>
  </si>
  <si>
    <t>Estado</t>
  </si>
  <si>
    <t>Pagado</t>
  </si>
  <si>
    <t>intereses</t>
  </si>
  <si>
    <t>inetreses anticipados</t>
  </si>
  <si>
    <t>caja</t>
  </si>
  <si>
    <t xml:space="preserve">             PRESTAMO</t>
  </si>
  <si>
    <r>
      <t xml:space="preserve">PRESTAMO COMPRA DE TERRENO </t>
    </r>
    <r>
      <rPr>
        <b/>
        <sz val="11"/>
        <color indexed="10"/>
        <rFont val="Arial"/>
        <family val="2"/>
      </rPr>
      <t>BANCO ITAU</t>
    </r>
  </si>
  <si>
    <t>VALOR de C/Mes</t>
  </si>
  <si>
    <t>valor pagado</t>
  </si>
  <si>
    <t>Mens. U.F.</t>
  </si>
  <si>
    <t>Interés U.F.</t>
  </si>
  <si>
    <t>Capital U.F.</t>
  </si>
  <si>
    <t>Saldo U.F.</t>
  </si>
  <si>
    <t>VALOR U.F.</t>
  </si>
  <si>
    <t>contab. Prestamo</t>
  </si>
  <si>
    <t>prestamo ITAU</t>
  </si>
  <si>
    <t>INTERSE DIFERIDO</t>
  </si>
  <si>
    <t xml:space="preserve">PRESTAMO ITAU COMPRA TERRENO 120 CUOTAS </t>
  </si>
  <si>
    <t>SALDO 31 12 2012</t>
  </si>
  <si>
    <t>INTERESE</t>
  </si>
  <si>
    <t>PTMO</t>
  </si>
  <si>
    <t>Año 2012   20%</t>
  </si>
  <si>
    <t>CREDITO 20%</t>
  </si>
  <si>
    <t>CREDITO 170%</t>
  </si>
  <si>
    <t>REAJUSTE</t>
  </si>
  <si>
    <t>Credito  PPM</t>
  </si>
  <si>
    <t>DETERMINACIÓN CAPITAL PROPIO TRIBUTARIO EJERCICIO 2013</t>
  </si>
  <si>
    <t>FONDO DE UTILIDADES TRIBUTABLES AL 31 DE DICIEMBRE DE  2013</t>
  </si>
  <si>
    <t>NETAS-RETENDAS</t>
  </si>
  <si>
    <t>10% RET</t>
  </si>
  <si>
    <t>HONORARIO</t>
  </si>
  <si>
    <t xml:space="preserve">GASTO </t>
  </si>
  <si>
    <t>EXENTO</t>
  </si>
  <si>
    <t>ARRIENDO</t>
  </si>
  <si>
    <t>ARRIENDO Taller y Oficina</t>
  </si>
  <si>
    <t xml:space="preserve">               REPRESENTANTE LEGAL</t>
  </si>
  <si>
    <t>______________________________________</t>
  </si>
  <si>
    <t>RENTA-2014</t>
  </si>
  <si>
    <t>NO</t>
  </si>
  <si>
    <t>Pago anticipo sueldo</t>
  </si>
  <si>
    <t>impto unico</t>
  </si>
  <si>
    <t>AJUSTE PPM</t>
  </si>
  <si>
    <t>AJUSTA IMPTO PROV IMPTO RENTA 2012</t>
  </si>
  <si>
    <t>COTIZ</t>
  </si>
  <si>
    <t>ANTICIPO</t>
  </si>
  <si>
    <t xml:space="preserve">TOTAL </t>
  </si>
  <si>
    <t>DESCTO</t>
  </si>
  <si>
    <t xml:space="preserve">COSTO </t>
  </si>
  <si>
    <t>EMPLEADOR</t>
  </si>
  <si>
    <t>COSTO EMPLEADOR</t>
  </si>
  <si>
    <t>DIF. De Impto año anterior</t>
  </si>
  <si>
    <t>reajuste remanente</t>
  </si>
  <si>
    <t>remante credito fiscal</t>
  </si>
  <si>
    <t>ASIGNACION FAMILIAR</t>
  </si>
  <si>
    <t>AJUSTE IVA DIC 2012</t>
  </si>
  <si>
    <t>Arriendo galpon y  Oficina</t>
  </si>
  <si>
    <t>GASTOS TRANSPORTE</t>
  </si>
  <si>
    <t>PRESTAMO BCI</t>
  </si>
  <si>
    <t>AJUSTA BOLETAS DE GARANTIA</t>
  </si>
  <si>
    <t xml:space="preserve">INGRESOS VENTA </t>
  </si>
  <si>
    <t>INTERESES PRESTAMOS</t>
  </si>
  <si>
    <t>IMPORTACIONES EN TRANSITO - CAJA</t>
  </si>
  <si>
    <t>SERVICIO POR FACTURAR</t>
  </si>
  <si>
    <t>AJUSTA MATERIALES A COSTO DE VTA</t>
  </si>
  <si>
    <t>GASTOS DE VTA</t>
  </si>
  <si>
    <t>Pagos Honorarios</t>
  </si>
  <si>
    <t>haber</t>
  </si>
  <si>
    <t xml:space="preserve">OTROS </t>
  </si>
  <si>
    <t>PRESTAMOS</t>
  </si>
  <si>
    <t>AJUSTA IMPORT. EXISTENCIA GTOS GRALES-COSTO</t>
  </si>
  <si>
    <t>PAGA ANTICIPOS SUELDO</t>
  </si>
  <si>
    <t>VTAS -</t>
  </si>
  <si>
    <t>COMP</t>
  </si>
  <si>
    <t>REMANENTE CREDITO FISCAL</t>
  </si>
  <si>
    <t>DEPRECIACION ACUMULADA</t>
  </si>
  <si>
    <t>RETIROS  DEL EJERCICIO</t>
  </si>
  <si>
    <t>MUEBLES Y UTILES</t>
  </si>
  <si>
    <t>OBLIG. CON BANCOESTADO</t>
  </si>
  <si>
    <t>CHEQUES POR PAGAR</t>
  </si>
  <si>
    <t xml:space="preserve">PROV. AJUSTE TARIFAS DE ARRIENDOS </t>
  </si>
  <si>
    <t>EQUIPOS TENOLOGICOS Y COMPUTADORES</t>
  </si>
  <si>
    <t>INTERSES DIFERIDOS BANCO ESTADO</t>
  </si>
  <si>
    <t>INTERSES DIFERIDOS BANCO CHILE</t>
  </si>
  <si>
    <t>e</t>
  </si>
  <si>
    <t>f</t>
  </si>
  <si>
    <t>m</t>
  </si>
  <si>
    <t>a</t>
  </si>
  <si>
    <t>j</t>
  </si>
  <si>
    <t>s</t>
  </si>
  <si>
    <t>o</t>
  </si>
  <si>
    <t>n</t>
  </si>
  <si>
    <t>d</t>
  </si>
  <si>
    <t>cp</t>
  </si>
  <si>
    <t>BANCO DE CHILE</t>
  </si>
  <si>
    <t xml:space="preserve">PAGO PRESTAMOS </t>
  </si>
  <si>
    <t>INTERES DEVENGADO</t>
  </si>
  <si>
    <t>BANCOESTADO-4</t>
  </si>
  <si>
    <t>BANCO CHILE-3</t>
  </si>
  <si>
    <t>BANCOESTADO PRESTAMO 4</t>
  </si>
  <si>
    <t>BANCOESTADO 2 y 2B</t>
  </si>
  <si>
    <t>OTRAS VENTA</t>
  </si>
  <si>
    <t>BANCOESTADO 2B</t>
  </si>
  <si>
    <t xml:space="preserve">BANCOESTADO 2 </t>
  </si>
  <si>
    <t>PRESTAMO BANCO CHILE 3</t>
  </si>
  <si>
    <t>PRESTAMO BANCO SANTANDER 5</t>
  </si>
  <si>
    <t>PRESTAMO BANCO ESTADO 2B PREPAGADO</t>
  </si>
  <si>
    <t>PAGO PRESTAMO BANCO ESTADO 2B PREPAGO</t>
  </si>
  <si>
    <t>PATENTES</t>
  </si>
  <si>
    <t>Otros gastos</t>
  </si>
  <si>
    <t>PAGO PATENTES COMERCIALES</t>
  </si>
  <si>
    <t>2UF</t>
  </si>
  <si>
    <t>3UF</t>
  </si>
  <si>
    <t>EN $</t>
  </si>
  <si>
    <t>EJERCICIO 2014</t>
  </si>
  <si>
    <t xml:space="preserve">detalle </t>
  </si>
  <si>
    <t>boletas</t>
  </si>
  <si>
    <t>14441447-0</t>
  </si>
  <si>
    <t>WALTER ANDRES CLAVIJO SALAS  </t>
  </si>
  <si>
    <t>15809862-8</t>
  </si>
  <si>
    <t>MAURICIO ALEJANDRO MERCADO SAL </t>
  </si>
  <si>
    <t>7177118-0</t>
  </si>
  <si>
    <t>OSCAR ANDRES DURAN GUTIERREZ  </t>
  </si>
  <si>
    <t>13027442-0</t>
  </si>
  <si>
    <t>ALEJANDRO LENA GALVEZ  </t>
  </si>
  <si>
    <t>4755281-8</t>
  </si>
  <si>
    <t>HERIBERTO ROJAS RAMOS  </t>
  </si>
  <si>
    <t xml:space="preserve">8313359-7 </t>
  </si>
  <si>
    <t xml:space="preserve">ALICIA TERESA PASSI GONZALEZ </t>
  </si>
  <si>
    <t xml:space="preserve">9264738-2 </t>
  </si>
  <si>
    <t xml:space="preserve">JUAN PABLO TAPIA HERRERA </t>
  </si>
  <si>
    <t>9979911-0</t>
  </si>
  <si>
    <t>MONICA JOHANNA INOSTROZA VASQU </t>
  </si>
  <si>
    <t>11491011-2</t>
  </si>
  <si>
    <t>IVAN MAXIMILIANO ROJAS VALENZU </t>
  </si>
  <si>
    <t>16814344-3</t>
  </si>
  <si>
    <t>JOHANNA ALEXANDRA CASTRO RUMIN </t>
  </si>
  <si>
    <t>250.0</t>
  </si>
  <si>
    <t>8313359-7</t>
  </si>
  <si>
    <t>13673314-1</t>
  </si>
  <si>
    <t>MANUEL ALEJANDRO MENA JORQUERA </t>
  </si>
  <si>
    <t>31,03,2014</t>
  </si>
  <si>
    <t>7229446-7</t>
  </si>
  <si>
    <t>PATRICIA CLAVERIA</t>
  </si>
  <si>
    <t>13925651-4</t>
  </si>
  <si>
    <t>CARLOS ISRAEL CHACON CHEUQUEPA </t>
  </si>
  <si>
    <t xml:space="preserve">7229446-7 </t>
  </si>
  <si>
    <t xml:space="preserve">PATRICIA ISABEL CLAVERIA VELIZ </t>
  </si>
  <si>
    <t xml:space="preserve">17238671-7 </t>
  </si>
  <si>
    <t xml:space="preserve">FRANCESCA JESSENIA TORRES GONZALEZ </t>
  </si>
  <si>
    <t xml:space="preserve">16841006-9 </t>
  </si>
  <si>
    <t xml:space="preserve">PABLO ANDRES PINELA RAMIREZ </t>
  </si>
  <si>
    <t>PATRICIA ISABEL CLAVERIA VELIZ</t>
  </si>
  <si>
    <t>17238671-7</t>
  </si>
  <si>
    <t>FRANCESCA JESSENIA TORRES GONZ </t>
  </si>
  <si>
    <t>11669323-2</t>
  </si>
  <si>
    <t>JUAN CARLOS ZAVALA JIMENEZ  </t>
  </si>
  <si>
    <t>MONICA INOSTROZA VASQUEZ</t>
  </si>
  <si>
    <t>MONICA INOSTROZA</t>
  </si>
  <si>
    <t>WALTER CLAVIJO</t>
  </si>
  <si>
    <t>HERIBERTO ROJAS RAMOS</t>
  </si>
  <si>
    <t>22642458-K</t>
  </si>
  <si>
    <t>DORA ANTONIA MAIDANA  </t>
  </si>
  <si>
    <t>18118460-4</t>
  </si>
  <si>
    <t>GRISSEL VALESKA SILVA SOBARZO</t>
  </si>
  <si>
    <t>13937443-6</t>
  </si>
  <si>
    <t>ARIEL ALEJANDRO OLEA FLORES  </t>
  </si>
  <si>
    <t>17286586-0</t>
  </si>
  <si>
    <t>FRANCOISE FANES VARAS CLAVERIE </t>
  </si>
  <si>
    <t>29,12,2014</t>
  </si>
  <si>
    <t>  Febre</t>
  </si>
  <si>
    <t>  Octub</t>
  </si>
  <si>
    <t>  Novie</t>
  </si>
  <si>
    <t>APORTE DE SOCIO</t>
  </si>
  <si>
    <t xml:space="preserve">               RUT:  10.150.081-0</t>
  </si>
  <si>
    <t xml:space="preserve">            RUT:  10.150.081-0</t>
  </si>
  <si>
    <t>AFP</t>
  </si>
  <si>
    <t>FONDO DE UTILIDADES TRIBUTABLES AL 31 DE DICIEMBRE DE  2016</t>
  </si>
  <si>
    <t>Remanente para ejercicio 2017</t>
  </si>
  <si>
    <t>ACT</t>
  </si>
  <si>
    <t>FIJO</t>
  </si>
  <si>
    <t>GABRIEL PEREZ JARA SpA</t>
  </si>
  <si>
    <t>AV. EL MIRADOR N°19889  PUDAHUEL</t>
  </si>
  <si>
    <t>RUT: 76.447.811-8</t>
  </si>
  <si>
    <t>ASESORIA EMPRESARIAL Y GESTION DE NEGOCIOS</t>
  </si>
  <si>
    <t>GABRIEL PEREZ JARA</t>
  </si>
  <si>
    <r>
      <t xml:space="preserve">Año 2015  </t>
    </r>
    <r>
      <rPr>
        <b/>
        <sz val="11"/>
        <color indexed="10"/>
        <rFont val="Arial"/>
        <family val="2"/>
      </rPr>
      <t>22,5%</t>
    </r>
  </si>
  <si>
    <r>
      <t xml:space="preserve">Año 2016  </t>
    </r>
    <r>
      <rPr>
        <b/>
        <sz val="11"/>
        <color indexed="10"/>
        <rFont val="Arial"/>
        <family val="2"/>
      </rPr>
      <t>24%</t>
    </r>
  </si>
  <si>
    <t>RLI Ejercicio 2016</t>
  </si>
  <si>
    <t>RUT : 12.514.251-6</t>
  </si>
  <si>
    <t>Impuesto Renta Pagado act. por 1,8%</t>
  </si>
  <si>
    <t>EDITH ARAYA</t>
  </si>
  <si>
    <t>GABRIEL</t>
  </si>
  <si>
    <t>EDITH</t>
  </si>
  <si>
    <t>12.514.251-6</t>
  </si>
  <si>
    <t>12.810.893-9</t>
  </si>
  <si>
    <t>24 % Impuesto renta</t>
  </si>
  <si>
    <t>76.447.811-8</t>
  </si>
  <si>
    <t>Capital Propio Tributario NEGATIVO</t>
  </si>
  <si>
    <t xml:space="preserve">CAJA PARA MAQ. Y EQUIPOS </t>
  </si>
  <si>
    <t>Ejercicio 2017</t>
  </si>
  <si>
    <t>FUT</t>
  </si>
  <si>
    <t>76.063.391-7</t>
  </si>
  <si>
    <t>C/CREDITO</t>
  </si>
  <si>
    <t>RMTE IMPTO</t>
  </si>
  <si>
    <t>TEF</t>
  </si>
  <si>
    <t xml:space="preserve">RESUMEN </t>
  </si>
  <si>
    <t>REGISTRO DE RENTAS EMPRESARIALES:</t>
  </si>
  <si>
    <t>DJ 1938</t>
  </si>
  <si>
    <t xml:space="preserve">RESUMEN CREDITOS </t>
  </si>
  <si>
    <t>REGISTRO DE RENTAS EMPRESARIALES: AÑO 2017</t>
  </si>
  <si>
    <t>RENTAS ATRIB.</t>
  </si>
  <si>
    <t>IS FUT</t>
  </si>
  <si>
    <t>SAC</t>
  </si>
  <si>
    <t>STUT</t>
  </si>
  <si>
    <t>PROPIAS</t>
  </si>
  <si>
    <t>01.01.2017</t>
  </si>
  <si>
    <r>
      <t xml:space="preserve">Reajuste anual  </t>
    </r>
    <r>
      <rPr>
        <b/>
        <sz val="11"/>
        <color rgb="FFFF0000"/>
        <rFont val="Arial"/>
        <family val="2"/>
      </rPr>
      <t xml:space="preserve"> 1,9%</t>
    </r>
  </si>
  <si>
    <t>impto sustitutivo</t>
  </si>
  <si>
    <t>NO VA EN DJ</t>
  </si>
  <si>
    <t>RAP</t>
  </si>
  <si>
    <t>Remanente para ejercicio 2016</t>
  </si>
  <si>
    <t>+F[18]C*0,7</t>
  </si>
  <si>
    <t>S/CREDITO</t>
  </si>
  <si>
    <t>RETIROS CONSOLIDADOS RAP - 2018</t>
  </si>
  <si>
    <t>Asetran</t>
  </si>
  <si>
    <t>SECTRA</t>
  </si>
  <si>
    <t>Totales</t>
  </si>
  <si>
    <t>Todorental</t>
  </si>
  <si>
    <t>Remanente para ejercicio 2014</t>
  </si>
  <si>
    <t>ASESORIAS EN CAPACITACION LIMITADA</t>
  </si>
  <si>
    <t>CAPACITACIONES OCUPACIONALES</t>
  </si>
  <si>
    <t>SOTERO DEL RIO 508 OFICINA 610</t>
  </si>
  <si>
    <t>SANTIAGO</t>
  </si>
  <si>
    <t>INC</t>
  </si>
  <si>
    <t>HONORARIOS</t>
  </si>
  <si>
    <t>76.317.641-K</t>
  </si>
  <si>
    <t>SUELDO</t>
  </si>
  <si>
    <t>INTERES HIPOT</t>
  </si>
  <si>
    <t>GC</t>
  </si>
  <si>
    <t>REBAJA</t>
  </si>
  <si>
    <t>IGC DETERMINADO</t>
  </si>
  <si>
    <t>Impto 1° Categ.</t>
  </si>
  <si>
    <t>CRED HONO</t>
  </si>
  <si>
    <t>IMPTO UNICO</t>
  </si>
  <si>
    <t>DEVOLUCION</t>
  </si>
  <si>
    <t>G-PEREZ</t>
  </si>
  <si>
    <t>EJERCICIO COMPRENDIDO ENTRE EL  01  DE ENERO  AL   31  DE DICIEMBRE  DE  2018</t>
  </si>
  <si>
    <t>CUENTAS POR COBRAR</t>
  </si>
  <si>
    <t>TOTAL ACTIVO</t>
  </si>
  <si>
    <t>INTO</t>
  </si>
  <si>
    <t>K EFECTIVO</t>
  </si>
  <si>
    <t>PASIVO EXI</t>
  </si>
  <si>
    <t>K PROPIO TRIBUTARIO</t>
  </si>
  <si>
    <t>F-22-LEYES SOCIALES</t>
  </si>
  <si>
    <t>ASISTENTE CAPITAL</t>
  </si>
  <si>
    <t>SOCIEDAD COMERCIAL SOLMET SpA</t>
  </si>
  <si>
    <t>RUT: 76.541.377-K</t>
  </si>
  <si>
    <t>MANUEL GUTIERREZ A. RUT: 10,150,081-0</t>
  </si>
  <si>
    <t>reajuste PPM</t>
  </si>
  <si>
    <t>DJ 1923</t>
  </si>
  <si>
    <t>Concepto</t>
  </si>
  <si>
    <t>INGRESOS BRUTOS</t>
  </si>
  <si>
    <t>Ingresos de Giro Percibidos o Devengados</t>
  </si>
  <si>
    <t>(+)</t>
  </si>
  <si>
    <t>Rentas de Fuentes Extranjeas</t>
  </si>
  <si>
    <t>Intereses Percibidos o Devengados</t>
  </si>
  <si>
    <t>Otros Ingresos Percibidos o Devengados</t>
  </si>
  <si>
    <t>TOTAL INGRESOS BRUTOS (ART.39)</t>
  </si>
  <si>
    <t>(=)</t>
  </si>
  <si>
    <t>COSTO DIRECTO</t>
  </si>
  <si>
    <t>Costos Directo de los Bienes y Servicios</t>
  </si>
  <si>
    <t>(-)</t>
  </si>
  <si>
    <t>TOTAL COSTO DIRECTO (ART.30)</t>
  </si>
  <si>
    <t>GASTOS NECESARIOS PARA PRODUCIR LA RENTA</t>
  </si>
  <si>
    <t>Remuneraciones</t>
  </si>
  <si>
    <t>Depreciacion Financiera del ejercicio</t>
  </si>
  <si>
    <t>Intereses Pagados o Adeudados</t>
  </si>
  <si>
    <t>Gastos por Donaciones</t>
  </si>
  <si>
    <t>Otros Gastos Financieros</t>
  </si>
  <si>
    <t>Gastos por Inversion en Investigacion y Desarrollo certificados por corfo</t>
  </si>
  <si>
    <t>Gastos por Inversion en Investigacion y Desarrollo no certificados por Corfo</t>
  </si>
  <si>
    <t>Costos y Gastos ncesarios para producir las Rentas de Fuetes Extranjeras</t>
  </si>
  <si>
    <t>Gastos por Impuesto Renta e Impuestos Diferido</t>
  </si>
  <si>
    <t>Gastos por adquisicion en supermercados y negocios similares</t>
  </si>
  <si>
    <t>otros Gastos Deducidos de los Ingresos Brutos</t>
  </si>
  <si>
    <t>TOTAL GASTO NECESARIO PARA PRODUCIR LA RENTA</t>
  </si>
  <si>
    <t>RENTA LIQUIDA O PERDIDA TRIBUTARIA</t>
  </si>
  <si>
    <t>AJUSTES A LA RENTA</t>
  </si>
  <si>
    <t>Correccion Monetaria Saldo Deudor (art 32 N°1)</t>
  </si>
  <si>
    <t>Correccion Monetaria Saldo Acreedores(art 32 N°2)</t>
  </si>
  <si>
    <t>TOTAL AJUSTES A LA RENTA LIQUIDA</t>
  </si>
  <si>
    <t>Gastos Rechazados no Afectosa la tributacion del art 21(inc 2° art 21)</t>
  </si>
  <si>
    <t>Depreaciacion Financiera del Ejercicio</t>
  </si>
  <si>
    <t>Rentas tributables no reconocidas financieramente</t>
  </si>
  <si>
    <t>Gastos agregados por donaciones</t>
  </si>
  <si>
    <r>
      <t xml:space="preserve">Gastos que se deben agregar a la RLI según el </t>
    </r>
    <r>
      <rPr>
        <b/>
        <sz val="9"/>
        <color theme="1"/>
        <rFont val="Calibri"/>
        <family val="2"/>
        <scheme val="minor"/>
      </rPr>
      <t>N°1 del Art. 33</t>
    </r>
  </si>
  <si>
    <t>TOTAL AGREGADOS A LA RENTA LIQUIDA</t>
  </si>
  <si>
    <t>DEDUCCIONES A LA RENTA LIQUIDA</t>
  </si>
  <si>
    <t>Depreciacion tributaria del Ejercicio</t>
  </si>
  <si>
    <t xml:space="preserve">Gastos Goodwill tributario del Ejercicio </t>
  </si>
  <si>
    <t>Impuesto Especifico a la Actividad Minera</t>
  </si>
  <si>
    <t>Gastos Rechazados efectos a la tributacion del Inicio 1 Art. 21</t>
  </si>
  <si>
    <t>Gastos Rechazados efectos a la tributacion del Inicio 3 Art. 21</t>
  </si>
  <si>
    <t>Otras Partidas</t>
  </si>
  <si>
    <t>Rentas Exentas Impto. 1| categoria (Art.33 N°")</t>
  </si>
  <si>
    <t>Dividendos y/o Utilidadess Sociales (Art.33N°2)</t>
  </si>
  <si>
    <t xml:space="preserve">Gastos aceptados por donaciones </t>
  </si>
  <si>
    <t>Ingresos No Renta (Art. 17)</t>
  </si>
  <si>
    <t>Perdidas de ejercicios Ateriores (Art.31 N°3)</t>
  </si>
  <si>
    <t>INGRESOS VTA EXENTAS</t>
  </si>
  <si>
    <t>CREDITO SENCE</t>
  </si>
  <si>
    <t>76.541.377-K</t>
  </si>
  <si>
    <t>credito sence</t>
  </si>
  <si>
    <t>9 utm por $51.029</t>
  </si>
  <si>
    <t>Tope $357.203.-</t>
  </si>
  <si>
    <t>CAPACITACION</t>
  </si>
  <si>
    <t>SENCE</t>
  </si>
  <si>
    <t>+</t>
  </si>
  <si>
    <t>DA</t>
  </si>
  <si>
    <t>12 MESES</t>
  </si>
  <si>
    <t>10% IMPTO</t>
  </si>
  <si>
    <t>ESDE</t>
  </si>
  <si>
    <t>HASTA</t>
  </si>
  <si>
    <t>DE $ 0,00</t>
  </si>
  <si>
    <t>Y MÁS</t>
  </si>
  <si>
    <t> $8.266.698,01</t>
  </si>
  <si>
    <t> $18.370.440,01     </t>
  </si>
  <si>
    <t> $30.617.400,01     </t>
  </si>
  <si>
    <t> $42.864.360,01     </t>
  </si>
  <si>
    <t> $55.111.320,01     </t>
  </si>
  <si>
    <t> $73.481. 760,01    </t>
  </si>
  <si>
    <t>total</t>
  </si>
  <si>
    <t>CAMION FAENERO ANTOFAGASTA</t>
  </si>
  <si>
    <t>EJERCICIO COMPRENDIDO ENTRE EL  01  DE ENERO  AL   31  DE DICIEMBRE  DE  2021</t>
  </si>
  <si>
    <t>VENTAS DEL EJERCICIO - 2021</t>
  </si>
  <si>
    <t>COMPRAS DEL EJERCICIO 2021</t>
  </si>
  <si>
    <t>PPM EJERCICIO 2021</t>
  </si>
  <si>
    <t>SOLMET123</t>
  </si>
  <si>
    <t>AGUSTINAS N°1442 OF. 601 TORRE B SANTIAGO</t>
  </si>
  <si>
    <t>Socios vigentes </t>
  </si>
  <si>
    <t>Nombre</t>
  </si>
  <si>
    <t>Rut</t>
  </si>
  <si>
    <t>Capital enterado$</t>
  </si>
  <si>
    <t>Capital por enterar $</t>
  </si>
  <si>
    <t>% Capital</t>
  </si>
  <si>
    <t>% Utilidades</t>
  </si>
  <si>
    <t>Fecha de incorporación</t>
  </si>
  <si>
    <t>MANUEL ABRAHAM GUTIERREZ AVILES</t>
  </si>
  <si>
    <t>10150081-0</t>
  </si>
  <si>
    <t>MATIAS JORGE IGNACIO GUTIERREZ INOSTROZA</t>
  </si>
  <si>
    <t>20121826-8</t>
  </si>
  <si>
    <t>Sub-totales</t>
  </si>
  <si>
    <t>Capital Total informado $</t>
  </si>
  <si>
    <t>F-22</t>
  </si>
  <si>
    <t>Utilidad Balance</t>
  </si>
  <si>
    <t>Base Imponible</t>
  </si>
  <si>
    <t>RECUADRO F22</t>
  </si>
  <si>
    <t>RECUADRO 20</t>
  </si>
  <si>
    <t>RECUADRO 21</t>
  </si>
  <si>
    <t>PERDIDA TRIBUTARIA</t>
  </si>
  <si>
    <t>SII</t>
  </si>
  <si>
    <t>VENTA DE TRES CAMIONES</t>
  </si>
  <si>
    <r>
      <t>41</t>
    </r>
    <r>
      <rPr>
        <sz val="11"/>
        <color rgb="FFFFFFFF"/>
        <rFont val="Arial"/>
        <family val="2"/>
      </rPr>
      <t>  </t>
    </r>
    <r>
      <rPr>
        <sz val="9"/>
        <color rgb="FFFFFFFF"/>
        <rFont val="Arial"/>
        <family val="2"/>
      </rPr>
      <t>Venta de vehículos</t>
    </r>
  </si>
  <si>
    <t>Formulario</t>
  </si>
  <si>
    <t>Tipo Vehiculo</t>
  </si>
  <si>
    <t>Marca Vehículo</t>
  </si>
  <si>
    <t>Modelo Vehiculo</t>
  </si>
  <si>
    <t>Patente Vehiculo</t>
  </si>
  <si>
    <t>Año de fabricación del vehículo</t>
  </si>
  <si>
    <t>Monto en que se vendió el vehículo</t>
  </si>
  <si>
    <t>Origen</t>
  </si>
  <si>
    <t>CAMION</t>
  </si>
  <si>
    <t>HINO</t>
  </si>
  <si>
    <t>FM8JLTD</t>
  </si>
  <si>
    <t>GPPS.81</t>
  </si>
  <si>
    <t>No Observada</t>
  </si>
  <si>
    <t>Tercero</t>
  </si>
  <si>
    <t>FM8JLSD</t>
  </si>
  <si>
    <t>DFSP340</t>
  </si>
  <si>
    <t>FORD</t>
  </si>
  <si>
    <t>C 2932 E</t>
  </si>
  <si>
    <t>DDLP217</t>
  </si>
  <si>
    <t>DJ1887</t>
  </si>
  <si>
    <r>
      <t>40</t>
    </r>
    <r>
      <rPr>
        <sz val="11"/>
        <color rgb="FFFFFFFF"/>
        <rFont val="Arial"/>
        <family val="2"/>
      </rPr>
      <t>  </t>
    </r>
    <r>
      <rPr>
        <sz val="9"/>
        <color rgb="FFFFFFFF"/>
        <rFont val="Arial"/>
        <family val="2"/>
      </rPr>
      <t>Compra de vehículos</t>
    </r>
  </si>
  <si>
    <t>Monto en que se Compró el vehículo</t>
  </si>
  <si>
    <t>FURGON</t>
  </si>
  <si>
    <t>PEUGEOT</t>
  </si>
  <si>
    <t>BOXER HDI L4H2 2.0</t>
  </si>
  <si>
    <t>LCJV41K</t>
  </si>
  <si>
    <t>BOXER HDI L2H2 2.0</t>
  </si>
  <si>
    <t>LGDH914</t>
  </si>
  <si>
    <t>LCJX749</t>
  </si>
  <si>
    <t>PEUGEOT BOXER HDI L4H2 2.0  2019</t>
  </si>
  <si>
    <t>PEUGEOT BOXER HDI L2H2 2.0  2019</t>
  </si>
  <si>
    <t>NETO</t>
  </si>
  <si>
    <t>COMPRA 2021</t>
  </si>
  <si>
    <t>VENTA 2021</t>
  </si>
  <si>
    <t>CAMIONES</t>
  </si>
  <si>
    <t>CAMION HINO FM8JLTD  2019</t>
  </si>
  <si>
    <t>CAMION HINO FM8JLSD 2019</t>
  </si>
  <si>
    <t>CAMION HINO C 2932 E  2019</t>
  </si>
  <si>
    <t xml:space="preserve">CAMIONETA </t>
  </si>
  <si>
    <t>SOC. INMOBILIARIA AZTOCA LTDA</t>
  </si>
  <si>
    <t>MADRID 1199</t>
  </si>
  <si>
    <t>RUT: 76.059.696-5</t>
  </si>
  <si>
    <t>INMIBILIARIA</t>
  </si>
  <si>
    <t>CREDITO 8%   Activo Fijo</t>
  </si>
  <si>
    <t xml:space="preserve">CARGO A </t>
  </si>
  <si>
    <t xml:space="preserve">ACTIVO FIJO </t>
  </si>
  <si>
    <t>RESULTADO</t>
  </si>
  <si>
    <t>fecha</t>
  </si>
  <si>
    <t>detalle</t>
  </si>
  <si>
    <t>neto</t>
  </si>
  <si>
    <t>iva</t>
  </si>
  <si>
    <t>Periodo</t>
  </si>
  <si>
    <t>DEPREC. ACUM.</t>
  </si>
  <si>
    <t>CORREC.</t>
  </si>
  <si>
    <t>ACTIVO-FIJO</t>
  </si>
  <si>
    <t>DEPREC.</t>
  </si>
  <si>
    <t>Vida Util</t>
  </si>
  <si>
    <t>ACUMULADA</t>
  </si>
  <si>
    <t>ACTUALIZ.</t>
  </si>
  <si>
    <t xml:space="preserve"> MONET.</t>
  </si>
  <si>
    <t>DEPRECIAR</t>
  </si>
  <si>
    <t>DEL EJERCICIO</t>
  </si>
  <si>
    <t xml:space="preserve"> Restante</t>
  </si>
  <si>
    <t>arreglo oficina</t>
  </si>
  <si>
    <t>bienez raicez</t>
  </si>
  <si>
    <t>reparación baño de personal</t>
  </si>
  <si>
    <t>tacho de granalla</t>
  </si>
  <si>
    <t>Cta-12508</t>
  </si>
  <si>
    <t>centro de mecanizado</t>
  </si>
  <si>
    <t>ASIENTO</t>
  </si>
  <si>
    <t>DEBE</t>
  </si>
  <si>
    <t>HABER</t>
  </si>
  <si>
    <t>mesa de corte cnc</t>
  </si>
  <si>
    <t>torcha , regulador caudalimetro</t>
  </si>
  <si>
    <t>Valor Activo ACTULIZADO</t>
  </si>
  <si>
    <t>bien raiz</t>
  </si>
  <si>
    <t xml:space="preserve">rana corte </t>
  </si>
  <si>
    <t>CM Bienes Activo Fijo</t>
  </si>
  <si>
    <t xml:space="preserve">CM </t>
  </si>
  <si>
    <t>DEPREC ACUM. ACTULIZADA</t>
  </si>
  <si>
    <t>D.A. Bien raiz</t>
  </si>
  <si>
    <t>Dep. del Ejercicio</t>
  </si>
  <si>
    <t>DEPREC. AF</t>
  </si>
  <si>
    <t>cilindradora</t>
  </si>
  <si>
    <t>taladro radial</t>
  </si>
  <si>
    <t>CONTABILIZA CONTRATO DE LEASING CILINDRO</t>
  </si>
  <si>
    <t>Mesa corte PROCUT PROART</t>
  </si>
  <si>
    <t>Camioneta  Marca MITSUBISHI</t>
  </si>
  <si>
    <t xml:space="preserve">VEHICULOS </t>
  </si>
  <si>
    <t>PLEGADORA  CNC Marca DURMAN</t>
  </si>
  <si>
    <t>Camion Marca HINO</t>
  </si>
  <si>
    <t>Mesa ESAB  Combirex CXL-P 4000</t>
  </si>
  <si>
    <t>CON CON</t>
  </si>
  <si>
    <t>MADRID</t>
  </si>
  <si>
    <t>LA REINA 7055-490</t>
  </si>
  <si>
    <t>LA REINA 7500-257</t>
  </si>
  <si>
    <t>COSTO</t>
  </si>
  <si>
    <t>VENTA</t>
  </si>
  <si>
    <t>UTILIDAD</t>
  </si>
  <si>
    <t>Enajenación e inscripción de Bienes Raíces. (F-2890)</t>
  </si>
  <si>
    <t>Tipo de Formulario</t>
  </si>
  <si>
    <t>Nº de Rol</t>
  </si>
  <si>
    <t>Comuna</t>
  </si>
  <si>
    <t>Monto Total Compra</t>
  </si>
  <si>
    <t>Monto Total Venta</t>
  </si>
  <si>
    <t>% Transado</t>
  </si>
  <si>
    <t>Valor Total Pagado al Contado</t>
  </si>
  <si>
    <t>Nº Repertorio</t>
  </si>
  <si>
    <t>Fecha de Escritura</t>
  </si>
  <si>
    <t>Rut del Notario</t>
  </si>
  <si>
    <t>Origen de la Información</t>
  </si>
  <si>
    <t>Ver Formulario</t>
  </si>
  <si>
    <t>2890 </t>
  </si>
  <si>
    <t>03442-00553 </t>
  </si>
  <si>
    <t>05309 </t>
  </si>
  <si>
    <t>4.823.177 </t>
  </si>
  <si>
    <t>0 </t>
  </si>
  <si>
    <t>100 </t>
  </si>
  <si>
    <t>013900 </t>
  </si>
  <si>
    <t>09/05/2013 </t>
  </si>
  <si>
    <t>5.199.869-3 </t>
  </si>
  <si>
    <t>Aceptada </t>
  </si>
  <si>
    <t>Terceros </t>
  </si>
  <si>
    <t>03442-00515 </t>
  </si>
  <si>
    <t>61.346.219 </t>
  </si>
  <si>
    <t>UTILIDAD AF</t>
  </si>
  <si>
    <t>AF</t>
  </si>
  <si>
    <t>DEP ACUM</t>
  </si>
  <si>
    <t>UTIDAD</t>
  </si>
  <si>
    <t>COSTO ACTUALIZADO</t>
  </si>
  <si>
    <t>3442-515</t>
  </si>
  <si>
    <t>3442-553</t>
  </si>
  <si>
    <t>|</t>
  </si>
  <si>
    <t>VALOR LIBRO</t>
  </si>
  <si>
    <t>7.411.256-0</t>
  </si>
  <si>
    <t>P</t>
  </si>
  <si>
    <t>-</t>
  </si>
  <si>
    <t>C</t>
  </si>
  <si>
    <t>K</t>
  </si>
  <si>
    <t>VALOR LIBRO DE ACTIVOS</t>
  </si>
  <si>
    <t>DEP. ACUM</t>
  </si>
  <si>
    <t>VALOR ACTIVOS</t>
  </si>
  <si>
    <t>VENTA ACTIVO FIJO</t>
  </si>
  <si>
    <t xml:space="preserve">VTA CAMIONES PIÑA </t>
  </si>
  <si>
    <t>CTAS POR PAGAR</t>
  </si>
  <si>
    <t>UTILIDAD VENTA A-FIJO</t>
  </si>
  <si>
    <t>INVESTIGACIION NUEVOS PROYECTOS MINEROS</t>
  </si>
  <si>
    <t>GASTOS INVESTIGASION Y DESARROLLO</t>
  </si>
  <si>
    <t>CEF</t>
  </si>
  <si>
    <t>INVESTIGACION NUEVOS PROYECTOS MINEROS</t>
  </si>
  <si>
    <t>COTIZACION</t>
  </si>
  <si>
    <t>SIS</t>
  </si>
  <si>
    <t>AFC-T</t>
  </si>
  <si>
    <t>AFC.E</t>
  </si>
  <si>
    <t>MUTUAL</t>
  </si>
  <si>
    <t xml:space="preserve">SUELDO </t>
  </si>
  <si>
    <t>TRABAJADOR</t>
  </si>
  <si>
    <t>Habitat</t>
  </si>
  <si>
    <t>PlanVital</t>
  </si>
  <si>
    <t>UNO</t>
  </si>
  <si>
    <t>FONASA</t>
  </si>
  <si>
    <t>Modelo</t>
  </si>
  <si>
    <t>ISAPRE</t>
  </si>
  <si>
    <t xml:space="preserve">   </t>
  </si>
  <si>
    <t>ajusta remanente</t>
  </si>
  <si>
    <t>PRESTAMO 3%</t>
  </si>
  <si>
    <t>EJERCICIO COMPRENDIDO ENTRE EL  01  DE ENERO  AL   30  DE NOVIEMBRE DE  2022</t>
  </si>
  <si>
    <t>PRE-BALANCE GENERAL</t>
  </si>
  <si>
    <t>BH</t>
  </si>
  <si>
    <t>BH +3%</t>
  </si>
  <si>
    <t>DIFERENCIA</t>
  </si>
  <si>
    <t>INFORME CORRESPONDIENTE AL MES Abril DEL AÑO 2022</t>
  </si>
  <si>
    <t>Boleta</t>
  </si>
  <si>
    <t>Emisor</t>
  </si>
  <si>
    <t>Honorarios</t>
  </si>
  <si>
    <t>Observar</t>
  </si>
  <si>
    <t>Ver</t>
  </si>
  <si>
    <t>N°</t>
  </si>
  <si>
    <t>Nombre o Razón Social</t>
  </si>
  <si>
    <t>Soc. Prof.</t>
  </si>
  <si>
    <t>Brutos</t>
  </si>
  <si>
    <t>Retenido</t>
  </si>
  <si>
    <t>VIG</t>
  </si>
  <si>
    <t>10309273-6</t>
  </si>
  <si>
    <t>MAURICIO HERNAN ZUNIGA TAPIA  </t>
  </si>
  <si>
    <t>18150798-5</t>
  </si>
  <si>
    <t>ELBA AMANDA FIGUEROA TRALMA  </t>
  </si>
  <si>
    <t>27243473-5</t>
  </si>
  <si>
    <t>FRANKLIN JAVIER GONZALEZ PIREL </t>
  </si>
  <si>
    <t>ANUL</t>
  </si>
  <si>
    <t>Totales* :</t>
  </si>
  <si>
    <t>OK</t>
  </si>
  <si>
    <t>INFORME CORRESPONDIENTE AL MES Marzo DEL AÑO 2022</t>
  </si>
  <si>
    <t>(*) Los valores totales no consideran los montos de las boletas anuladas.</t>
  </si>
  <si>
    <t>INFORME CORRESPONDIENTE AL MES Mayo DEL AÑO 2022</t>
  </si>
  <si>
    <t>INFORME CORRESPONDIENTE AL MES Julio DEL AÑO 2022</t>
  </si>
  <si>
    <t>27008833-3</t>
  </si>
  <si>
    <t>GEYLIBETH EMPERATRIZ URBINA CA </t>
  </si>
  <si>
    <t>INFORME CORRESPONDIENTE AL MES Agosto DEL AÑO 2022</t>
  </si>
  <si>
    <t>INFORME CORRESPONDIENTE AL MES Septiembre DEL AÑO 2022</t>
  </si>
  <si>
    <t>INFORME CORRESPONDIENTE AL MES Octubre DEL AÑO 2022</t>
  </si>
  <si>
    <t>INFORME CORRESPONDIENTE AL MES Diciembre DEL AÑO 2022</t>
  </si>
  <si>
    <t>9122659-6</t>
  </si>
  <si>
    <t>EDUARDO VICTOR GONZALEZ CABEZA </t>
  </si>
  <si>
    <t>588.75</t>
  </si>
  <si>
    <t>EJERCICIO COMPRENDIDO ENTRE EL  01  DE ENERO  AL   31  DE DICIEMBRE  DE  2022</t>
  </si>
  <si>
    <t>IMPONIBLE</t>
  </si>
  <si>
    <t>NO IMPONIBLE</t>
  </si>
  <si>
    <t>HABERES</t>
  </si>
  <si>
    <t>BASE IMPONIBLE</t>
  </si>
  <si>
    <t>A PAGAR</t>
  </si>
  <si>
    <t>CPRA CAMION USADO ALJIBE FAENA S/TRANSFERENCIA</t>
  </si>
  <si>
    <t>AMORTIZ. PROY. INVESTIGACION MINERA</t>
  </si>
  <si>
    <t xml:space="preserve">FINANCIAMIENTO DE TERCEROS </t>
  </si>
  <si>
    <t xml:space="preserve">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</si>
  <si>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</si>
  <si>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</si>
  <si>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</si>
  <si>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</si>
  <si>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</si>
  <si>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</si>
  <si>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</si>
  <si>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</si>
  <si>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</si>
  <si>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</si>
  <si>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</si>
  <si>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</si>
  <si>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Arriendo</t>
  </si>
  <si>
    <t>RECOCE GTOS DE ARRIENDO</t>
  </si>
  <si>
    <t xml:space="preserve">obtencion de  credito y prestamo </t>
  </si>
  <si>
    <t>ITAU PRESTAMO MM$80</t>
  </si>
  <si>
    <t>BANCO ITAU MM$ 80,0</t>
  </si>
  <si>
    <t>INTERES DIFERIDO</t>
  </si>
  <si>
    <t>Prestamo Santander MM148</t>
  </si>
  <si>
    <t>abono</t>
  </si>
  <si>
    <t>cargo</t>
  </si>
  <si>
    <t>Int.Diferidos Santander MM148</t>
  </si>
  <si>
    <t>Caja</t>
  </si>
  <si>
    <t>SALDOS AL 31 DE DIC-2016</t>
  </si>
  <si>
    <t>SALDOS AL 31 DE DIC-2015</t>
  </si>
  <si>
    <t>Pre Pago</t>
  </si>
  <si>
    <t>al Vencimiento</t>
  </si>
  <si>
    <t>de la Cuota</t>
  </si>
  <si>
    <t>Deuda</t>
  </si>
  <si>
    <t>Mensual</t>
  </si>
  <si>
    <t>Vencimiento</t>
  </si>
  <si>
    <t>Saldo</t>
  </si>
  <si>
    <t xml:space="preserve">Saldo </t>
  </si>
  <si>
    <t xml:space="preserve">Valor </t>
  </si>
  <si>
    <t xml:space="preserve">Interés </t>
  </si>
  <si>
    <t>Cuota</t>
  </si>
  <si>
    <t>Valor Final</t>
  </si>
  <si>
    <t>De fecha 28 de Enero  2022</t>
  </si>
  <si>
    <t>Prestamo Banco ITAU</t>
  </si>
  <si>
    <t xml:space="preserve">  </t>
  </si>
  <si>
    <t>Finiquitos, Int Mutuos, Nnotarias, Propuestas.</t>
  </si>
  <si>
    <t>Reparto dividendos</t>
  </si>
  <si>
    <t>VEHICULOS usado faena MEL</t>
  </si>
  <si>
    <t>Pago a Usureros Colombianos</t>
  </si>
  <si>
    <t>Prestamos para Pago Proveedores</t>
  </si>
  <si>
    <t>Finiquitos, Int Mutuos, Notarias, Propuestas.</t>
  </si>
  <si>
    <t>BOMBEROS SALAS #1445 OFC 601B</t>
  </si>
  <si>
    <t xml:space="preserve">         RUT:  10.150.081-0</t>
  </si>
  <si>
    <t xml:space="preserve">                                                                 BALANCE GENERAL</t>
  </si>
  <si>
    <t>Vehiculos usados Faena MEL</t>
  </si>
  <si>
    <t>Ptmo para Pago Proveedores</t>
  </si>
  <si>
    <t>REMUNERACIONES 2023</t>
  </si>
  <si>
    <t>Cambio Sujeto</t>
  </si>
  <si>
    <t>Porcentajes de Actualización Corrección Monetaria (Término de Giro), Año 2023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</si>
  <si>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</si>
  <si>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</si>
  <si>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</si>
  <si>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</si>
  <si>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</si>
  <si>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</si>
  <si>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</si>
  <si>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</si>
  <si>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</si>
  <si>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</si>
  <si>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</si>
  <si>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</si>
  <si>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Capital Inicial</t>
  </si>
  <si>
    <t>0,3</t>
  </si>
  <si>
    <t>1,1</t>
  </si>
  <si>
    <t>1,0</t>
  </si>
  <si>
    <t>2,1</t>
  </si>
  <si>
    <t>2,4</t>
  </si>
  <si>
    <t>2,6</t>
  </si>
  <si>
    <t>2,8</t>
  </si>
  <si>
    <t>2,9</t>
  </si>
  <si>
    <t>3,6</t>
  </si>
  <si>
    <t>4,0</t>
  </si>
  <si>
    <t>4,8</t>
  </si>
  <si>
    <t>0,8</t>
  </si>
  <si>
    <t>0,7</t>
  </si>
  <si>
    <t>1,8</t>
  </si>
  <si>
    <t>2,3</t>
  </si>
  <si>
    <t>2,5</t>
  </si>
  <si>
    <t>3,3</t>
  </si>
  <si>
    <t>3,7</t>
  </si>
  <si>
    <t>4,5</t>
  </si>
  <si>
    <t>Febrero</t>
  </si>
  <si>
    <t>-0,1</t>
  </si>
  <si>
    <t>1,3</t>
  </si>
  <si>
    <t>1,5</t>
  </si>
  <si>
    <t>1,7</t>
  </si>
  <si>
    <t>Marzo</t>
  </si>
  <si>
    <t>1,4</t>
  </si>
  <si>
    <t>3,0</t>
  </si>
  <si>
    <t>Abril</t>
  </si>
  <si>
    <t>0,4</t>
  </si>
  <si>
    <t>0,6</t>
  </si>
  <si>
    <t>1,9</t>
  </si>
  <si>
    <t>Mayo</t>
  </si>
  <si>
    <t>0,1</t>
  </si>
  <si>
    <t>0,0</t>
  </si>
  <si>
    <t>Junio</t>
  </si>
  <si>
    <t>-0,2</t>
  </si>
  <si>
    <t>0,2</t>
  </si>
  <si>
    <t>2,2</t>
  </si>
  <si>
    <t>Julio</t>
  </si>
  <si>
    <t>0,5</t>
  </si>
  <si>
    <t>1,6</t>
  </si>
  <si>
    <t>Agosto</t>
  </si>
  <si>
    <t>1,2</t>
  </si>
  <si>
    <t>2,0</t>
  </si>
  <si>
    <t>Septiembre</t>
  </si>
  <si>
    <t>Octubre</t>
  </si>
  <si>
    <t>Noviembre</t>
  </si>
  <si>
    <t>Diciembre</t>
  </si>
  <si>
    <t>EJERCICIO COMPRENDIDO ENTRE EL  01  DE ENERO  AL   31  DE DICIEMBRE  DE  2023</t>
  </si>
  <si>
    <t>ACTIVOS FIJOS</t>
  </si>
  <si>
    <t>DEPREC</t>
  </si>
  <si>
    <t>Valor Deprec actualizado</t>
  </si>
  <si>
    <t>TOTAL ACT FIJO</t>
  </si>
  <si>
    <t>DEPREC ACUM</t>
  </si>
  <si>
    <t>VALOR ACT</t>
  </si>
  <si>
    <t>SIN ACT</t>
  </si>
  <si>
    <t>C.M</t>
  </si>
  <si>
    <t xml:space="preserve">                  DEPREC ACUM</t>
  </si>
  <si>
    <t>CM - DEPREC ACUM</t>
  </si>
  <si>
    <t>INTERESES DIFERIDOS BCI</t>
  </si>
  <si>
    <t>ACT FJO NETO</t>
  </si>
  <si>
    <t>PRESTAMO ITAU - CAJA</t>
  </si>
  <si>
    <t>502+111+759-510</t>
  </si>
  <si>
    <t>(Debito Fiscal*100)/19</t>
  </si>
  <si>
    <t>062 ppm en el mes post factor de reajustabilidad (CM)</t>
  </si>
  <si>
    <t>151</t>
  </si>
  <si>
    <t>153+49 impuestos transitorios</t>
  </si>
  <si>
    <t>mostrar si existen datos en esta columna</t>
  </si>
  <si>
    <t>(Crédito Fiscal *100)/19</t>
  </si>
  <si>
    <t>520+762+766+525+528+532 +(DIN 535+553)</t>
  </si>
  <si>
    <t>562+514+521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</si>
</sst>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;[Red]&quot;$&quot;\-#,##0.00"/>
    <numFmt numFmtId="165" formatCode="_ * #,##0_ ;_ * \-#,##0_ ;_ * &quot;-&quot;_ ;_ @_ "/>
    <numFmt numFmtId="166" formatCode="_-&quot;$&quot;\ * #,##0.00_-;\-&quot;$&quot;\ * #,##0.00_-;_-&quot;$&quot;\ * &quot;-&quot;??_-;_-@_-"/>
    <numFmt numFmtId="167" formatCode="_-* #,##0.00_-;\-* #,##0.00_-;_-* &quot;-&quot;??_-;_-@_-"/>
    <numFmt numFmtId="168" formatCode="_(&quot;Ch$&quot;* #,##0_);_(&quot;Ch$&quot;* \(#,##0\);_(&quot;Ch$&quot;* &quot;-&quot;_);_(@_)"/>
    <numFmt numFmtId="169" formatCode="#,##0.000_);[Red]\(#,##0.000\)"/>
    <numFmt numFmtId="170" formatCode="General_)"/>
    <numFmt numFmtId="171" formatCode="#,##0_ ;[Red]\-#,##0\ "/>
    <numFmt numFmtId="172" formatCode="#,##0;[Red]\(#,##0\);&quot;-&quot;"/>
    <numFmt numFmtId="173" formatCode="#,##0_ ;[Red]\(#,##0\)\ "/>
    <numFmt numFmtId="174" formatCode="0.000000"/>
    <numFmt numFmtId="175" formatCode="0.00000000000"/>
    <numFmt numFmtId="176" formatCode="#,##0;[Red]\(#,##0\)"/>
    <numFmt numFmtId="177" formatCode="0.000"/>
    <numFmt numFmtId="178" formatCode="0.0000%"/>
    <numFmt numFmtId="179" formatCode="_-* #,##0_-;\-* #,##0_-;_-* &quot;-&quot;??_-;_-@_-"/>
    <numFmt numFmtId="180" formatCode="#,##0.000000;[Red]#,##0.000000"/>
    <numFmt numFmtId="181" formatCode="#,##0.000000000;[Red]#,##0.000000000"/>
    <numFmt numFmtId="182" formatCode="_(* #,##0_);_(* \(#,##0\);_(* &quot;0&quot;_);_(@_)"/>
    <numFmt numFmtId="183" formatCode="#,##0.0"/>
    <numFmt numFmtId="184" formatCode="#,##0.000;[Red]#,##0.000"/>
    <numFmt numFmtId="185" formatCode="#,##0.000\ _€"/>
    <numFmt numFmtId="186" formatCode="_-[$€-2]\ * #,##0.00_-;\-[$€-2]\ * #,##0.00_-;_-[$€-2]\ * &quot;-&quot;??_-"/>
    <numFmt numFmtId="187" formatCode="_-* #,##0\ _€_-;\-* #,##0\ _€_-;_-* &quot;-&quot;??\ _€_-;_-@_-"/>
    <numFmt numFmtId="188" formatCode="mmm\-yyyy"/>
    <numFmt numFmtId="189" formatCode="_-* #,##0.00\ _P_t_s_-;\-* #,##0.00\ _P_t_s_-;_-* &quot;-&quot;??\ _P_t_s_-;_-@_-"/>
    <numFmt numFmtId="190" formatCode="0.0%"/>
    <numFmt numFmtId="191" formatCode="_(* #,##0_);_(* \(#,##0\);_(* &quot;-&quot;??_);_(@_)"/>
    <numFmt numFmtId="192" formatCode="dd/mm/yyyy;@"/>
    <numFmt numFmtId="193" formatCode="#,##0.00;[Red]\(#,##0.00\)"/>
    <numFmt numFmtId="194" formatCode="#,##0.00000;[Red]#,##0.00000"/>
    <numFmt numFmtId="195" formatCode="#,##0.000000000000;[Red]#,##0.000000000000"/>
  </numFmts>
  <fonts count="18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2"/>
      <name val="Helv"/>
    </font>
    <font>
      <b/>
      <sz val="9"/>
      <name val="Arial"/>
      <family val="2"/>
    </font>
    <font>
      <sz val="8"/>
      <name val="Arial"/>
      <family val="2"/>
    </font>
    <font>
      <b/>
      <sz val="18"/>
      <name val="Bookman Old Style"/>
      <family val="1"/>
    </font>
    <font>
      <sz val="11"/>
      <color indexed="18"/>
      <name val="Bookman Old Style"/>
      <family val="1"/>
    </font>
    <font>
      <b/>
      <u/>
      <sz val="11"/>
      <color indexed="18"/>
      <name val="Bookman Old Style"/>
      <family val="1"/>
    </font>
    <font>
      <b/>
      <sz val="11"/>
      <color indexed="18"/>
      <name val="Bookman Old Style"/>
      <family val="1"/>
    </font>
    <font>
      <u/>
      <sz val="11"/>
      <color indexed="18"/>
      <name val="Bookman Old Style"/>
      <family val="1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8"/>
      <color indexed="18"/>
      <name val="Bookman Old Style"/>
      <family val="1"/>
    </font>
    <font>
      <sz val="16"/>
      <color indexed="18"/>
      <name val="Arial"/>
      <family val="2"/>
    </font>
    <font>
      <b/>
      <sz val="12"/>
      <color indexed="18"/>
      <name val="Bookman Old Style"/>
      <family val="1"/>
    </font>
    <font>
      <sz val="10"/>
      <color indexed="18"/>
      <name val="Arial"/>
      <family val="2"/>
    </font>
    <font>
      <b/>
      <sz val="6"/>
      <color indexed="18"/>
      <name val="Arial"/>
      <family val="2"/>
    </font>
    <font>
      <sz val="7"/>
      <color indexed="18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63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0"/>
      <color indexed="12"/>
      <name val="Arial"/>
      <family val="2"/>
    </font>
    <font>
      <b/>
      <sz val="14"/>
      <color indexed="18"/>
      <name val="Bookman Old Style"/>
      <family val="1"/>
    </font>
    <font>
      <b/>
      <u/>
      <sz val="16"/>
      <color indexed="18"/>
      <name val="Bookman Old Style"/>
      <family val="1"/>
    </font>
    <font>
      <b/>
      <u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b/>
      <sz val="8"/>
      <color indexed="50"/>
      <name val="Arial"/>
      <family val="2"/>
    </font>
    <font>
      <sz val="10"/>
      <color indexed="5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2"/>
      <name val="Times New Roman"/>
      <family val="1"/>
    </font>
    <font>
      <b/>
      <sz val="10"/>
      <color indexed="63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indexed="16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6"/>
      <name val="Arial"/>
      <family val="2"/>
    </font>
    <font>
      <sz val="11"/>
      <color indexed="18"/>
      <name val="Arial"/>
      <family val="2"/>
    </font>
    <font>
      <sz val="10"/>
      <color indexed="8"/>
      <name val="Arial"/>
      <family val="2"/>
    </font>
    <font>
      <b/>
      <sz val="10"/>
      <color rgb="FF7030A0"/>
      <name val="Arial"/>
      <family val="2"/>
    </font>
    <font>
      <b/>
      <sz val="10"/>
      <color rgb="FFC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6"/>
      <color theme="1"/>
      <name val="Arial"/>
      <family val="2"/>
    </font>
    <font>
      <sz val="11"/>
      <color theme="1"/>
      <name val="Bookman Old Style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1"/>
      <name val="Bookman Old Style"/>
      <family val="1"/>
    </font>
    <font>
      <sz val="16"/>
      <color theme="1"/>
      <name val="Arial"/>
      <family val="2"/>
    </font>
    <font>
      <b/>
      <sz val="12"/>
      <color theme="1"/>
      <name val="Bookman Old Style"/>
      <family val="1"/>
    </font>
    <font>
      <b/>
      <sz val="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u/>
      <sz val="12"/>
      <color rgb="FFFF0000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Arial"/>
      <family val="2"/>
    </font>
    <font>
      <b/>
      <sz val="14"/>
      <color indexed="62"/>
      <name val="Arial"/>
      <family val="2"/>
    </font>
    <font>
      <b/>
      <sz val="14"/>
      <color rgb="FFC00000"/>
      <name val="Arial"/>
      <family val="2"/>
    </font>
    <font>
      <b/>
      <sz val="8"/>
      <color rgb="FFFF0000"/>
      <name val="Arial"/>
      <family val="2"/>
    </font>
    <font>
      <b/>
      <sz val="9"/>
      <color rgb="FFFF0000"/>
      <name val="Arial Black"/>
      <family val="2"/>
    </font>
    <font>
      <b/>
      <sz val="11"/>
      <color rgb="FFFF000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u/>
      <sz val="11"/>
      <color rgb="FF002060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u/>
      <sz val="11"/>
      <color theme="10"/>
      <name val="Calibri"/>
      <family val="2"/>
    </font>
    <font>
      <b/>
      <sz val="11"/>
      <color indexed="8"/>
      <name val="Calibri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333333"/>
      <name val="Inherit"/>
    </font>
    <font>
      <sz val="9"/>
      <name val="Inherit"/>
    </font>
    <font>
      <u/>
      <sz val="10"/>
      <color theme="10"/>
      <name val="Arial"/>
      <family val="2"/>
    </font>
    <font>
      <b/>
      <sz val="10"/>
      <color rgb="FF333333"/>
      <name val="Inherit"/>
    </font>
    <font>
      <sz val="9"/>
      <color theme="1"/>
      <name val="Inherit"/>
    </font>
    <font>
      <sz val="11"/>
      <color rgb="FF555555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sz val="9"/>
      <color rgb="FFFFFFFF"/>
      <name val="Arial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0"/>
      <color indexed="8"/>
      <name val="Calibri"/>
      <family val="2"/>
    </font>
    <font>
      <b/>
      <sz val="10"/>
      <color indexed="62"/>
      <name val="Arial"/>
      <family val="2"/>
    </font>
    <font>
      <b/>
      <sz val="16"/>
      <color indexed="8"/>
      <name val="Calibri"/>
      <family val="2"/>
    </font>
    <font>
      <b/>
      <sz val="12"/>
      <color indexed="12"/>
      <name val="Arial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8"/>
      <color indexed="62"/>
      <name val="Arial"/>
      <family val="2"/>
    </font>
    <font>
      <b/>
      <sz val="8"/>
      <name val="Calibri"/>
      <family val="2"/>
    </font>
    <font>
      <sz val="10"/>
      <name val="Calibri"/>
      <family val="2"/>
    </font>
    <font>
      <b/>
      <sz val="10"/>
      <color rgb="FFC00000"/>
      <name val="Calibri"/>
      <family val="2"/>
    </font>
    <font>
      <sz val="9"/>
      <color indexed="8"/>
      <name val="Calibri"/>
      <family val="2"/>
    </font>
    <font>
      <b/>
      <sz val="14"/>
      <color rgb="FFFF0000"/>
      <name val="Arial"/>
      <family val="2"/>
    </font>
    <font>
      <sz val="7.5"/>
      <name val="Arial"/>
      <family val="2"/>
    </font>
    <font>
      <sz val="7.5"/>
      <name val="Verdana"/>
      <family val="2"/>
    </font>
    <font>
      <sz val="8"/>
      <color theme="1"/>
      <name val="Verdana"/>
      <family val="2"/>
    </font>
    <font>
      <sz val="8"/>
      <color theme="1"/>
      <name val="Arial"/>
      <family val="2"/>
    </font>
    <font>
      <sz val="9"/>
      <color rgb="FF080808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b/>
      <sz val="7.5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b/>
      <sz val="16"/>
      <color rgb="FF000066"/>
      <name val="Arial"/>
      <family val="2"/>
    </font>
    <font>
      <sz val="11"/>
      <color rgb="FF000066"/>
      <name val="Bookman Old Style"/>
      <family val="1"/>
    </font>
    <font>
      <b/>
      <sz val="10"/>
      <color rgb="FF000066"/>
      <name val="Arial"/>
      <family val="2"/>
    </font>
    <font>
      <sz val="10"/>
      <color rgb="FF000066"/>
      <name val="Arial"/>
      <family val="2"/>
    </font>
    <font>
      <b/>
      <sz val="9"/>
      <color rgb="FF000066"/>
      <name val="Arial"/>
      <family val="2"/>
    </font>
    <font>
      <b/>
      <sz val="18"/>
      <color rgb="FF000066"/>
      <name val="Bookman Old Style"/>
      <family val="1"/>
    </font>
    <font>
      <sz val="16"/>
      <color rgb="FF000066"/>
      <name val="Arial"/>
      <family val="2"/>
    </font>
    <font>
      <b/>
      <sz val="12"/>
      <color rgb="FF000066"/>
      <name val="Bookman Old Style"/>
      <family val="1"/>
    </font>
    <font>
      <b/>
      <sz val="6"/>
      <color rgb="FF000066"/>
      <name val="Arial"/>
      <family val="2"/>
    </font>
    <font>
      <b/>
      <sz val="12"/>
      <color rgb="FF000066"/>
      <name val="Arial"/>
      <family val="2"/>
    </font>
    <font>
      <sz val="8"/>
      <color rgb="FF000066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6"/>
      <name val="Arial"/>
      <family val="2"/>
    </font>
    <font>
      <sz val="8.5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name val="Inherit"/>
    </font>
    <font>
      <sz val="10"/>
      <color rgb="FF706F6F"/>
      <name val="Arial"/>
      <family val="2"/>
    </font>
    <font>
      <sz val="8"/>
      <color rgb="FF706F6F"/>
      <name val="Arial"/>
      <family val="2"/>
    </font>
    <font>
      <b/>
      <sz val="11"/>
      <color indexed="18"/>
      <name val="Arial"/>
      <family val="2"/>
    </font>
    <font>
      <b/>
      <sz val="7"/>
      <color indexed="18"/>
      <name val="Arial"/>
      <family val="2"/>
    </font>
  </fonts>
  <fills count="9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CD4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3EFE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/>
      <bottom style="thin">
        <color indexed="64"/>
      </bottom>
      <diagonal/>
    </border>
    <border>
      <left style="medium">
        <color indexed="9"/>
      </left>
      <right/>
      <top style="thin">
        <color indexed="64"/>
      </top>
      <bottom/>
      <diagonal/>
    </border>
    <border>
      <left/>
      <right style="medium">
        <color indexed="9"/>
      </right>
      <top style="thin">
        <color indexed="64"/>
      </top>
      <bottom/>
      <diagonal/>
    </border>
    <border>
      <left style="medium">
        <color indexed="9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medium">
        <color indexed="9"/>
      </left>
      <right/>
      <top style="medium">
        <color indexed="9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31"/>
      </left>
      <right/>
      <top style="medium">
        <color indexed="31"/>
      </top>
      <bottom style="medium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31"/>
      </left>
      <right style="medium">
        <color indexed="9"/>
      </right>
      <top style="medium">
        <color indexed="31"/>
      </top>
      <bottom style="medium">
        <color indexed="9"/>
      </bottom>
      <diagonal/>
    </border>
    <border>
      <left style="medium">
        <color indexed="31"/>
      </left>
      <right style="medium">
        <color indexed="31"/>
      </right>
      <top style="medium">
        <color indexed="31"/>
      </top>
      <bottom style="medium">
        <color indexed="3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31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31"/>
      </right>
      <top style="medium">
        <color indexed="31"/>
      </top>
      <bottom style="medium">
        <color indexed="3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/>
      <top/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DCDC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DCDCD"/>
      </bottom>
      <diagonal/>
    </border>
    <border>
      <left/>
      <right style="medium">
        <color rgb="FFDDDDDD"/>
      </right>
      <top/>
      <bottom style="medium">
        <color rgb="FFCDCDCD"/>
      </bottom>
      <diagonal/>
    </border>
  </borders>
  <cellStyleXfs count="200">
    <xf numFmtId="0" fontId="0" fillId="0" borderId="0"/>
    <xf numFmtId="0" fontId="73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2" fillId="3" borderId="0" applyNumberFormat="0" applyBorder="0" applyAlignment="0" applyProtection="0"/>
    <xf numFmtId="0" fontId="42" fillId="4" borderId="0" applyNumberFormat="0" applyBorder="0" applyAlignment="0" applyProtection="0"/>
    <xf numFmtId="0" fontId="42" fillId="5" borderId="0" applyNumberFormat="0" applyBorder="0" applyAlignment="0" applyProtection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5" borderId="0" applyNumberFormat="0" applyBorder="0" applyAlignment="0" applyProtection="0"/>
    <xf numFmtId="0" fontId="42" fillId="8" borderId="0" applyNumberFormat="0" applyBorder="0" applyAlignment="0" applyProtection="0"/>
    <xf numFmtId="0" fontId="42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4" borderId="0" applyNumberFormat="0" applyBorder="0" applyAlignment="0" applyProtection="0"/>
    <xf numFmtId="0" fontId="45" fillId="16" borderId="1" applyNumberFormat="0" applyAlignment="0" applyProtection="0"/>
    <xf numFmtId="0" fontId="46" fillId="17" borderId="2" applyNumberFormat="0" applyAlignment="0" applyProtection="0"/>
    <xf numFmtId="0" fontId="47" fillId="0" borderId="3" applyNumberFormat="0" applyFill="0" applyAlignment="0" applyProtection="0"/>
    <xf numFmtId="41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>
      <protection locked="0"/>
    </xf>
    <xf numFmtId="0" fontId="48" fillId="0" borderId="0" applyNumberFormat="0" applyFill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21" borderId="0" applyNumberFormat="0" applyBorder="0" applyAlignment="0" applyProtection="0"/>
    <xf numFmtId="0" fontId="49" fillId="7" borderId="1" applyNumberFormat="0" applyAlignment="0" applyProtection="0"/>
    <xf numFmtId="0" fontId="7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50" fillId="3" borderId="0" applyNumberFormat="0" applyBorder="0" applyAlignment="0" applyProtection="0"/>
    <xf numFmtId="43" fontId="7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1" fillId="22" borderId="0" applyNumberFormat="0" applyBorder="0" applyAlignment="0" applyProtection="0"/>
    <xf numFmtId="0" fontId="11" fillId="0" borderId="0"/>
    <xf numFmtId="170" fontId="16" fillId="0" borderId="0"/>
    <xf numFmtId="0" fontId="42" fillId="0" borderId="0"/>
    <xf numFmtId="39" fontId="16" fillId="0" borderId="0"/>
    <xf numFmtId="0" fontId="42" fillId="23" borderId="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2" fillId="16" borderId="5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6" applyNumberFormat="0" applyFill="0" applyAlignment="0" applyProtection="0"/>
    <xf numFmtId="0" fontId="57" fillId="0" borderId="7" applyNumberFormat="0" applyFill="0" applyAlignment="0" applyProtection="0"/>
    <xf numFmtId="0" fontId="48" fillId="0" borderId="8" applyNumberFormat="0" applyFill="0" applyAlignment="0" applyProtection="0"/>
    <xf numFmtId="0" fontId="7" fillId="0" borderId="9">
      <protection locked="0"/>
    </xf>
    <xf numFmtId="0" fontId="7" fillId="0" borderId="0"/>
    <xf numFmtId="0" fontId="7" fillId="0" borderId="0"/>
    <xf numFmtId="0" fontId="5" fillId="0" borderId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7" fillId="0" borderId="0" applyFont="0" applyFill="0" applyBorder="0" applyAlignment="0" applyProtection="0"/>
    <xf numFmtId="0" fontId="85" fillId="0" borderId="0"/>
    <xf numFmtId="0" fontId="7" fillId="0" borderId="0"/>
    <xf numFmtId="0" fontId="105" fillId="0" borderId="0"/>
    <xf numFmtId="39" fontId="16" fillId="0" borderId="0"/>
    <xf numFmtId="0" fontId="4" fillId="0" borderId="0"/>
    <xf numFmtId="0" fontId="42" fillId="2" borderId="0" applyNumberFormat="0" applyBorder="0" applyAlignment="0" applyProtection="0"/>
    <xf numFmtId="0" fontId="42" fillId="3" borderId="0" applyNumberFormat="0" applyBorder="0" applyAlignment="0" applyProtection="0"/>
    <xf numFmtId="0" fontId="42" fillId="4" borderId="0" applyNumberFormat="0" applyBorder="0" applyAlignment="0" applyProtection="0"/>
    <xf numFmtId="0" fontId="42" fillId="5" borderId="0" applyNumberFormat="0" applyBorder="0" applyAlignment="0" applyProtection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5" borderId="0" applyNumberFormat="0" applyBorder="0" applyAlignment="0" applyProtection="0"/>
    <xf numFmtId="0" fontId="42" fillId="8" borderId="0" applyNumberFormat="0" applyBorder="0" applyAlignment="0" applyProtection="0"/>
    <xf numFmtId="0" fontId="42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4" borderId="0" applyNumberFormat="0" applyBorder="0" applyAlignment="0" applyProtection="0"/>
    <xf numFmtId="0" fontId="45" fillId="16" borderId="1" applyNumberFormat="0" applyAlignment="0" applyProtection="0"/>
    <xf numFmtId="0" fontId="46" fillId="17" borderId="2" applyNumberFormat="0" applyAlignment="0" applyProtection="0"/>
    <xf numFmtId="0" fontId="47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21" borderId="0" applyNumberFormat="0" applyBorder="0" applyAlignment="0" applyProtection="0"/>
    <xf numFmtId="0" fontId="49" fillId="7" borderId="1" applyNumberFormat="0" applyAlignment="0" applyProtection="0"/>
    <xf numFmtId="0" fontId="116" fillId="0" borderId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0" fontId="117" fillId="0" borderId="0" applyNumberFormat="0" applyFill="0" applyBorder="0" applyAlignment="0" applyProtection="0">
      <alignment vertical="top"/>
      <protection locked="0"/>
    </xf>
    <xf numFmtId="0" fontId="50" fillId="3" borderId="0" applyNumberFormat="0" applyBorder="0" applyAlignment="0" applyProtection="0"/>
    <xf numFmtId="189" fontId="7" fillId="0" borderId="0" applyFont="0" applyFill="0" applyBorder="0" applyAlignment="0" applyProtection="0"/>
    <xf numFmtId="0" fontId="51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166" fontId="4" fillId="0" borderId="0"/>
    <xf numFmtId="166" fontId="4" fillId="0" borderId="0"/>
    <xf numFmtId="0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39" fontId="16" fillId="0" borderId="0"/>
    <xf numFmtId="39" fontId="16" fillId="0" borderId="0"/>
    <xf numFmtId="166" fontId="4" fillId="0" borderId="0"/>
    <xf numFmtId="0" fontId="4" fillId="0" borderId="0"/>
    <xf numFmtId="0" fontId="4" fillId="0" borderId="0"/>
    <xf numFmtId="0" fontId="4" fillId="0" borderId="0"/>
    <xf numFmtId="39" fontId="16" fillId="0" borderId="0"/>
    <xf numFmtId="0" fontId="4" fillId="0" borderId="0"/>
    <xf numFmtId="0" fontId="42" fillId="23" borderId="4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2" fillId="16" borderId="5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6" applyNumberFormat="0" applyFill="0" applyAlignment="0" applyProtection="0"/>
    <xf numFmtId="0" fontId="57" fillId="0" borderId="7" applyNumberFormat="0" applyFill="0" applyAlignment="0" applyProtection="0"/>
    <xf numFmtId="0" fontId="48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118" fillId="0" borderId="60" applyNumberFormat="0" applyFill="0" applyAlignment="0" applyProtection="0"/>
    <xf numFmtId="165" fontId="120" fillId="0" borderId="0" applyFont="0" applyFill="0" applyBorder="0" applyAlignment="0" applyProtection="0"/>
    <xf numFmtId="0" fontId="128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0" fontId="42" fillId="0" borderId="0"/>
    <xf numFmtId="0" fontId="3" fillId="0" borderId="0"/>
    <xf numFmtId="0" fontId="2" fillId="0" borderId="0"/>
    <xf numFmtId="168" fontId="7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1" fillId="0" borderId="0"/>
  </cellStyleXfs>
  <cellXfs count="1512">
    <xf numFmtId="0" fontId="0" fillId="0" borderId="0" xfId="0"/>
    <xf numFmtId="171" fontId="6" fillId="0" borderId="0" xfId="0" applyNumberFormat="1" applyFont="1"/>
    <xf numFmtId="0" fontId="0" fillId="0" borderId="10" xfId="0" applyBorder="1"/>
    <xf numFmtId="0" fontId="6" fillId="0" borderId="0" xfId="0" applyFont="1" applyAlignment="1">
      <alignment horizontal="centerContinuous"/>
    </xf>
    <xf numFmtId="38" fontId="6" fillId="0" borderId="0" xfId="0" applyNumberFormat="1" applyFont="1"/>
    <xf numFmtId="0" fontId="0" fillId="0" borderId="11" xfId="0" applyBorder="1"/>
    <xf numFmtId="0" fontId="0" fillId="0" borderId="12" xfId="0" applyBorder="1"/>
    <xf numFmtId="38" fontId="6" fillId="0" borderId="13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7" fontId="0" fillId="0" borderId="11" xfId="0" applyNumberFormat="1" applyBorder="1" applyAlignment="1">
      <alignment horizont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24" borderId="14" xfId="0" applyFont="1" applyFill="1" applyBorder="1" applyAlignment="1">
      <alignment horizontal="center"/>
    </xf>
    <xf numFmtId="0" fontId="9" fillId="24" borderId="15" xfId="0" applyFont="1" applyFill="1" applyBorder="1" applyAlignment="1">
      <alignment horizontal="center"/>
    </xf>
    <xf numFmtId="0" fontId="9" fillId="24" borderId="12" xfId="0" applyFont="1" applyFill="1" applyBorder="1" applyAlignment="1">
      <alignment horizontal="center"/>
    </xf>
    <xf numFmtId="0" fontId="9" fillId="24" borderId="11" xfId="0" applyFont="1" applyFill="1" applyBorder="1" applyAlignment="1">
      <alignment horizontal="center"/>
    </xf>
    <xf numFmtId="0" fontId="9" fillId="25" borderId="12" xfId="0" applyFont="1" applyFill="1" applyBorder="1" applyAlignment="1">
      <alignment horizontal="center"/>
    </xf>
    <xf numFmtId="0" fontId="9" fillId="25" borderId="13" xfId="0" applyFont="1" applyFill="1" applyBorder="1" applyAlignment="1">
      <alignment horizontal="center"/>
    </xf>
    <xf numFmtId="0" fontId="9" fillId="0" borderId="0" xfId="0" applyFont="1" applyAlignment="1">
      <alignment horizontal="centerContinuous"/>
    </xf>
    <xf numFmtId="0" fontId="9" fillId="26" borderId="12" xfId="0" applyFont="1" applyFill="1" applyBorder="1" applyAlignment="1">
      <alignment horizontal="centerContinuous"/>
    </xf>
    <xf numFmtId="0" fontId="9" fillId="26" borderId="13" xfId="0" applyFont="1" applyFill="1" applyBorder="1" applyAlignment="1">
      <alignment horizontal="centerContinuous"/>
    </xf>
    <xf numFmtId="0" fontId="9" fillId="26" borderId="12" xfId="0" applyFont="1" applyFill="1" applyBorder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18" fillId="0" borderId="0" xfId="0" applyFont="1"/>
    <xf numFmtId="171" fontId="0" fillId="0" borderId="11" xfId="0" applyNumberFormat="1" applyBorder="1"/>
    <xf numFmtId="171" fontId="0" fillId="0" borderId="14" xfId="0" applyNumberFormat="1" applyBorder="1"/>
    <xf numFmtId="171" fontId="0" fillId="0" borderId="15" xfId="0" applyNumberFormat="1" applyBorder="1"/>
    <xf numFmtId="171" fontId="0" fillId="0" borderId="0" xfId="0" applyNumberFormat="1"/>
    <xf numFmtId="171" fontId="6" fillId="0" borderId="12" xfId="0" applyNumberFormat="1" applyFont="1" applyBorder="1"/>
    <xf numFmtId="171" fontId="0" fillId="0" borderId="12" xfId="0" applyNumberFormat="1" applyBorder="1"/>
    <xf numFmtId="171" fontId="6" fillId="0" borderId="16" xfId="0" applyNumberFormat="1" applyFont="1" applyBorder="1"/>
    <xf numFmtId="171" fontId="6" fillId="0" borderId="14" xfId="0" applyNumberFormat="1" applyFont="1" applyBorder="1"/>
    <xf numFmtId="171" fontId="6" fillId="0" borderId="11" xfId="0" applyNumberFormat="1" applyFont="1" applyBorder="1"/>
    <xf numFmtId="171" fontId="0" fillId="0" borderId="13" xfId="0" applyNumberFormat="1" applyBorder="1"/>
    <xf numFmtId="17" fontId="0" fillId="0" borderId="12" xfId="0" applyNumberFormat="1" applyBorder="1" applyAlignment="1">
      <alignment horizontal="center"/>
    </xf>
    <xf numFmtId="0" fontId="9" fillId="27" borderId="12" xfId="0" applyFont="1" applyFill="1" applyBorder="1" applyAlignment="1">
      <alignment horizontal="centerContinuous"/>
    </xf>
    <xf numFmtId="0" fontId="9" fillId="27" borderId="13" xfId="0" applyFont="1" applyFill="1" applyBorder="1" applyAlignment="1">
      <alignment horizontal="centerContinuous"/>
    </xf>
    <xf numFmtId="0" fontId="9" fillId="27" borderId="12" xfId="0" applyFont="1" applyFill="1" applyBorder="1" applyAlignment="1">
      <alignment horizontal="center"/>
    </xf>
    <xf numFmtId="17" fontId="0" fillId="28" borderId="12" xfId="0" applyNumberFormat="1" applyFill="1" applyBorder="1" applyAlignment="1">
      <alignment horizontal="center"/>
    </xf>
    <xf numFmtId="0" fontId="0" fillId="28" borderId="11" xfId="0" applyFill="1" applyBorder="1" applyAlignment="1">
      <alignment horizontal="left"/>
    </xf>
    <xf numFmtId="171" fontId="0" fillId="28" borderId="11" xfId="0" applyNumberFormat="1" applyFill="1" applyBorder="1"/>
    <xf numFmtId="171" fontId="0" fillId="28" borderId="14" xfId="0" applyNumberFormat="1" applyFill="1" applyBorder="1"/>
    <xf numFmtId="171" fontId="0" fillId="28" borderId="15" xfId="0" applyNumberFormat="1" applyFill="1" applyBorder="1"/>
    <xf numFmtId="0" fontId="19" fillId="0" borderId="0" xfId="0" applyFont="1"/>
    <xf numFmtId="168" fontId="18" fillId="0" borderId="0" xfId="49" applyFont="1" applyFill="1" applyBorder="1" applyAlignment="1"/>
    <xf numFmtId="0" fontId="14" fillId="0" borderId="11" xfId="0" applyFont="1" applyBorder="1" applyAlignment="1">
      <alignment horizontal="center"/>
    </xf>
    <xf numFmtId="172" fontId="0" fillId="0" borderId="0" xfId="0" applyNumberFormat="1"/>
    <xf numFmtId="172" fontId="13" fillId="0" borderId="0" xfId="0" applyNumberFormat="1" applyFont="1"/>
    <xf numFmtId="172" fontId="0" fillId="0" borderId="17" xfId="0" applyNumberFormat="1" applyBorder="1"/>
    <xf numFmtId="172" fontId="0" fillId="0" borderId="18" xfId="0" applyNumberFormat="1" applyBorder="1"/>
    <xf numFmtId="172" fontId="0" fillId="0" borderId="19" xfId="0" applyNumberFormat="1" applyBorder="1"/>
    <xf numFmtId="172" fontId="6" fillId="0" borderId="0" xfId="0" applyNumberFormat="1" applyFont="1"/>
    <xf numFmtId="172" fontId="0" fillId="0" borderId="15" xfId="0" applyNumberFormat="1" applyBorder="1"/>
    <xf numFmtId="172" fontId="0" fillId="0" borderId="20" xfId="0" applyNumberFormat="1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172" fontId="0" fillId="0" borderId="10" xfId="0" applyNumberFormat="1" applyBorder="1"/>
    <xf numFmtId="172" fontId="0" fillId="0" borderId="21" xfId="0" applyNumberFormat="1" applyBorder="1"/>
    <xf numFmtId="172" fontId="0" fillId="0" borderId="22" xfId="0" applyNumberFormat="1" applyBorder="1"/>
    <xf numFmtId="172" fontId="0" fillId="0" borderId="22" xfId="0" applyNumberFormat="1" applyBorder="1" applyAlignment="1">
      <alignment horizontal="center"/>
    </xf>
    <xf numFmtId="172" fontId="0" fillId="0" borderId="21" xfId="0" applyNumberFormat="1" applyBorder="1" applyAlignment="1">
      <alignment horizontal="center"/>
    </xf>
    <xf numFmtId="172" fontId="0" fillId="0" borderId="20" xfId="0" applyNumberFormat="1" applyBorder="1"/>
    <xf numFmtId="172" fontId="0" fillId="0" borderId="13" xfId="0" applyNumberFormat="1" applyBorder="1"/>
    <xf numFmtId="172" fontId="14" fillId="0" borderId="16" xfId="0" applyNumberFormat="1" applyFont="1" applyBorder="1"/>
    <xf numFmtId="172" fontId="14" fillId="0" borderId="12" xfId="0" applyNumberFormat="1" applyFont="1" applyBorder="1"/>
    <xf numFmtId="172" fontId="14" fillId="0" borderId="13" xfId="0" applyNumberFormat="1" applyFont="1" applyBorder="1"/>
    <xf numFmtId="172" fontId="0" fillId="0" borderId="12" xfId="0" applyNumberFormat="1" applyBorder="1"/>
    <xf numFmtId="172" fontId="8" fillId="0" borderId="0" xfId="0" applyNumberFormat="1" applyFont="1"/>
    <xf numFmtId="172" fontId="0" fillId="0" borderId="23" xfId="0" applyNumberFormat="1" applyBorder="1"/>
    <xf numFmtId="172" fontId="0" fillId="0" borderId="24" xfId="0" applyNumberFormat="1" applyBorder="1"/>
    <xf numFmtId="172" fontId="0" fillId="0" borderId="25" xfId="0" applyNumberFormat="1" applyBorder="1"/>
    <xf numFmtId="172" fontId="0" fillId="0" borderId="26" xfId="0" applyNumberFormat="1" applyBorder="1"/>
    <xf numFmtId="172" fontId="12" fillId="0" borderId="0" xfId="0" applyNumberFormat="1" applyFont="1" applyAlignment="1">
      <alignment horizontal="centerContinuous"/>
    </xf>
    <xf numFmtId="172" fontId="10" fillId="0" borderId="0" xfId="0" applyNumberFormat="1" applyFont="1" applyAlignment="1">
      <alignment horizontal="centerContinuous"/>
    </xf>
    <xf numFmtId="172" fontId="0" fillId="0" borderId="27" xfId="0" applyNumberFormat="1" applyBorder="1"/>
    <xf numFmtId="172" fontId="12" fillId="0" borderId="0" xfId="0" applyNumberFormat="1" applyFont="1"/>
    <xf numFmtId="172" fontId="11" fillId="0" borderId="0" xfId="0" applyNumberFormat="1" applyFont="1"/>
    <xf numFmtId="172" fontId="0" fillId="0" borderId="14" xfId="0" applyNumberFormat="1" applyBorder="1"/>
    <xf numFmtId="172" fontId="6" fillId="0" borderId="28" xfId="0" applyNumberFormat="1" applyFont="1" applyBorder="1"/>
    <xf numFmtId="172" fontId="0" fillId="0" borderId="29" xfId="0" applyNumberFormat="1" applyBorder="1"/>
    <xf numFmtId="172" fontId="0" fillId="0" borderId="30" xfId="0" applyNumberFormat="1" applyBorder="1"/>
    <xf numFmtId="172" fontId="0" fillId="0" borderId="31" xfId="0" applyNumberFormat="1" applyBorder="1"/>
    <xf numFmtId="172" fontId="10" fillId="0" borderId="0" xfId="0" applyNumberFormat="1" applyFont="1"/>
    <xf numFmtId="172" fontId="14" fillId="0" borderId="0" xfId="0" applyNumberFormat="1" applyFont="1"/>
    <xf numFmtId="172" fontId="14" fillId="0" borderId="14" xfId="0" applyNumberFormat="1" applyFont="1" applyBorder="1"/>
    <xf numFmtId="172" fontId="0" fillId="0" borderId="0" xfId="0" applyNumberFormat="1" applyAlignment="1">
      <alignment horizontal="centerContinuous"/>
    </xf>
    <xf numFmtId="172" fontId="6" fillId="0" borderId="14" xfId="0" applyNumberFormat="1" applyFont="1" applyBorder="1"/>
    <xf numFmtId="172" fontId="6" fillId="0" borderId="30" xfId="0" applyNumberFormat="1" applyFont="1" applyBorder="1"/>
    <xf numFmtId="1" fontId="6" fillId="0" borderId="0" xfId="0" applyNumberFormat="1" applyFont="1" applyAlignment="1">
      <alignment horizontal="centerContinuous"/>
    </xf>
    <xf numFmtId="1" fontId="0" fillId="0" borderId="0" xfId="0" applyNumberFormat="1"/>
    <xf numFmtId="1" fontId="0" fillId="0" borderId="15" xfId="0" applyNumberFormat="1" applyBorder="1" applyAlignment="1">
      <alignment horizontal="centerContinuous"/>
    </xf>
    <xf numFmtId="1" fontId="0" fillId="0" borderId="15" xfId="0" applyNumberFormat="1" applyBorder="1" applyAlignment="1">
      <alignment horizontal="center"/>
    </xf>
    <xf numFmtId="1" fontId="0" fillId="0" borderId="13" xfId="0" applyNumberFormat="1" applyBorder="1" applyAlignment="1">
      <alignment horizontal="centerContinuous"/>
    </xf>
    <xf numFmtId="1" fontId="0" fillId="28" borderId="15" xfId="0" applyNumberFormat="1" applyFill="1" applyBorder="1" applyAlignment="1">
      <alignment horizontal="centerContinuous"/>
    </xf>
    <xf numFmtId="1" fontId="6" fillId="0" borderId="0" xfId="0" applyNumberFormat="1" applyFont="1"/>
    <xf numFmtId="172" fontId="20" fillId="0" borderId="0" xfId="0" applyNumberFormat="1" applyFont="1"/>
    <xf numFmtId="172" fontId="21" fillId="0" borderId="0" xfId="0" applyNumberFormat="1" applyFont="1" applyAlignment="1">
      <alignment horizontal="left"/>
    </xf>
    <xf numFmtId="172" fontId="22" fillId="0" borderId="0" xfId="0" applyNumberFormat="1" applyFont="1"/>
    <xf numFmtId="172" fontId="24" fillId="0" borderId="0" xfId="0" applyNumberFormat="1" applyFont="1"/>
    <xf numFmtId="172" fontId="25" fillId="0" borderId="0" xfId="0" applyNumberFormat="1" applyFont="1"/>
    <xf numFmtId="172" fontId="22" fillId="0" borderId="32" xfId="0" applyNumberFormat="1" applyFont="1" applyBorder="1"/>
    <xf numFmtId="172" fontId="22" fillId="0" borderId="28" xfId="0" applyNumberFormat="1" applyFont="1" applyBorder="1"/>
    <xf numFmtId="172" fontId="22" fillId="0" borderId="0" xfId="0" applyNumberFormat="1" applyFont="1" applyAlignment="1">
      <alignment horizontal="centerContinuous"/>
    </xf>
    <xf numFmtId="0" fontId="21" fillId="0" borderId="0" xfId="0" applyFont="1" applyAlignment="1">
      <alignment horizontal="center"/>
    </xf>
    <xf numFmtId="172" fontId="22" fillId="0" borderId="0" xfId="0" applyNumberFormat="1" applyFont="1" applyAlignment="1">
      <alignment horizontal="center"/>
    </xf>
    <xf numFmtId="172" fontId="23" fillId="0" borderId="0" xfId="0" applyNumberFormat="1" applyFont="1" applyAlignment="1">
      <alignment horizontal="centerContinuous"/>
    </xf>
    <xf numFmtId="172" fontId="21" fillId="0" borderId="0" xfId="0" applyNumberFormat="1" applyFont="1"/>
    <xf numFmtId="172" fontId="20" fillId="0" borderId="14" xfId="0" applyNumberFormat="1" applyFont="1" applyBorder="1"/>
    <xf numFmtId="172" fontId="22" fillId="0" borderId="14" xfId="0" applyNumberFormat="1" applyFont="1" applyBorder="1"/>
    <xf numFmtId="172" fontId="22" fillId="0" borderId="9" xfId="0" applyNumberFormat="1" applyFont="1" applyBorder="1"/>
    <xf numFmtId="172" fontId="22" fillId="0" borderId="0" xfId="52" applyNumberFormat="1" applyFont="1" applyAlignment="1">
      <alignment horizontal="centerContinuous"/>
    </xf>
    <xf numFmtId="0" fontId="21" fillId="0" borderId="0" xfId="0" applyFont="1" applyAlignment="1">
      <alignment horizontal="centerContinuous"/>
    </xf>
    <xf numFmtId="172" fontId="26" fillId="0" borderId="0" xfId="0" applyNumberFormat="1" applyFont="1" applyAlignment="1">
      <alignment horizontal="centerContinuous"/>
    </xf>
    <xf numFmtId="172" fontId="27" fillId="0" borderId="0" xfId="0" applyNumberFormat="1" applyFont="1" applyAlignment="1">
      <alignment horizontal="centerContinuous"/>
    </xf>
    <xf numFmtId="172" fontId="27" fillId="0" borderId="0" xfId="0" applyNumberFormat="1" applyFont="1"/>
    <xf numFmtId="172" fontId="28" fillId="0" borderId="0" xfId="0" applyNumberFormat="1" applyFont="1" applyAlignment="1">
      <alignment horizontal="centerContinuous"/>
    </xf>
    <xf numFmtId="172" fontId="29" fillId="0" borderId="0" xfId="0" applyNumberFormat="1" applyFont="1" applyAlignment="1">
      <alignment horizontal="centerContinuous"/>
    </xf>
    <xf numFmtId="172" fontId="29" fillId="0" borderId="0" xfId="0" applyNumberFormat="1" applyFont="1"/>
    <xf numFmtId="172" fontId="30" fillId="0" borderId="0" xfId="0" applyNumberFormat="1" applyFont="1"/>
    <xf numFmtId="172" fontId="31" fillId="0" borderId="0" xfId="0" applyNumberFormat="1" applyFont="1"/>
    <xf numFmtId="172" fontId="32" fillId="29" borderId="17" xfId="0" applyNumberFormat="1" applyFont="1" applyFill="1" applyBorder="1" applyAlignment="1">
      <alignment horizontal="centerContinuous"/>
    </xf>
    <xf numFmtId="172" fontId="33" fillId="29" borderId="18" xfId="0" applyNumberFormat="1" applyFont="1" applyFill="1" applyBorder="1" applyAlignment="1">
      <alignment horizontal="centerContinuous"/>
    </xf>
    <xf numFmtId="172" fontId="32" fillId="29" borderId="33" xfId="0" applyNumberFormat="1" applyFont="1" applyFill="1" applyBorder="1" applyAlignment="1">
      <alignment horizontal="centerContinuous"/>
    </xf>
    <xf numFmtId="172" fontId="33" fillId="29" borderId="33" xfId="0" applyNumberFormat="1" applyFont="1" applyFill="1" applyBorder="1" applyAlignment="1">
      <alignment horizontal="centerContinuous"/>
    </xf>
    <xf numFmtId="172" fontId="33" fillId="29" borderId="15" xfId="0" applyNumberFormat="1" applyFont="1" applyFill="1" applyBorder="1" applyAlignment="1">
      <alignment horizontal="centerContinuous"/>
    </xf>
    <xf numFmtId="172" fontId="32" fillId="29" borderId="34" xfId="0" applyNumberFormat="1" applyFont="1" applyFill="1" applyBorder="1" applyAlignment="1">
      <alignment horizontal="center"/>
    </xf>
    <xf numFmtId="172" fontId="34" fillId="29" borderId="35" xfId="0" applyNumberFormat="1" applyFont="1" applyFill="1" applyBorder="1" applyAlignment="1">
      <alignment horizontal="center"/>
    </xf>
    <xf numFmtId="172" fontId="32" fillId="29" borderId="36" xfId="0" applyNumberFormat="1" applyFont="1" applyFill="1" applyBorder="1" applyAlignment="1">
      <alignment horizontal="centerContinuous"/>
    </xf>
    <xf numFmtId="172" fontId="33" fillId="29" borderId="37" xfId="0" applyNumberFormat="1" applyFont="1" applyFill="1" applyBorder="1" applyAlignment="1">
      <alignment horizontal="centerContinuous"/>
    </xf>
    <xf numFmtId="172" fontId="33" fillId="29" borderId="38" xfId="0" applyNumberFormat="1" applyFont="1" applyFill="1" applyBorder="1" applyAlignment="1">
      <alignment horizontal="centerContinuous"/>
    </xf>
    <xf numFmtId="172" fontId="33" fillId="29" borderId="39" xfId="0" applyNumberFormat="1" applyFont="1" applyFill="1" applyBorder="1" applyAlignment="1">
      <alignment horizontal="centerContinuous"/>
    </xf>
    <xf numFmtId="172" fontId="33" fillId="29" borderId="40" xfId="0" applyNumberFormat="1" applyFont="1" applyFill="1" applyBorder="1" applyAlignment="1">
      <alignment horizontal="centerContinuous"/>
    </xf>
    <xf numFmtId="172" fontId="6" fillId="0" borderId="33" xfId="0" applyNumberFormat="1" applyFont="1" applyBorder="1"/>
    <xf numFmtId="172" fontId="0" fillId="0" borderId="9" xfId="0" applyNumberFormat="1" applyBorder="1"/>
    <xf numFmtId="172" fontId="0" fillId="0" borderId="19" xfId="0" applyNumberFormat="1" applyBorder="1" applyAlignment="1">
      <alignment horizontal="center"/>
    </xf>
    <xf numFmtId="172" fontId="0" fillId="0" borderId="19" xfId="0" applyNumberFormat="1" applyBorder="1" applyAlignment="1">
      <alignment horizontal="centerContinuous"/>
    </xf>
    <xf numFmtId="1" fontId="0" fillId="0" borderId="12" xfId="0" applyNumberFormat="1" applyBorder="1" applyAlignment="1">
      <alignment horizontal="centerContinuous"/>
    </xf>
    <xf numFmtId="0" fontId="0" fillId="0" borderId="12" xfId="0" applyBorder="1" applyAlignment="1">
      <alignment horizontal="left"/>
    </xf>
    <xf numFmtId="0" fontId="6" fillId="0" borderId="13" xfId="0" applyFont="1" applyBorder="1" applyAlignment="1">
      <alignment horizontal="centerContinuous"/>
    </xf>
    <xf numFmtId="0" fontId="0" fillId="0" borderId="32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 applyAlignment="1">
      <alignment horizontal="centerContinuous"/>
    </xf>
    <xf numFmtId="0" fontId="0" fillId="0" borderId="19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0" borderId="18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0" fillId="0" borderId="20" xfId="0" applyBorder="1"/>
    <xf numFmtId="17" fontId="0" fillId="0" borderId="10" xfId="0" applyNumberFormat="1" applyBorder="1" applyAlignment="1">
      <alignment horizontal="center"/>
    </xf>
    <xf numFmtId="3" fontId="0" fillId="0" borderId="22" xfId="0" applyNumberFormat="1" applyBorder="1" applyAlignment="1">
      <alignment horizontal="right"/>
    </xf>
    <xf numFmtId="169" fontId="0" fillId="0" borderId="0" xfId="0" applyNumberFormat="1" applyAlignment="1">
      <alignment horizontal="right"/>
    </xf>
    <xf numFmtId="3" fontId="0" fillId="0" borderId="21" xfId="0" applyNumberFormat="1" applyBorder="1" applyAlignment="1">
      <alignment horizontal="right"/>
    </xf>
    <xf numFmtId="38" fontId="0" fillId="0" borderId="0" xfId="0" applyNumberFormat="1" applyAlignment="1">
      <alignment horizontal="right"/>
    </xf>
    <xf numFmtId="0" fontId="0" fillId="0" borderId="13" xfId="0" applyBorder="1"/>
    <xf numFmtId="3" fontId="6" fillId="0" borderId="12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0" fontId="9" fillId="0" borderId="0" xfId="0" applyFont="1" applyAlignment="1">
      <alignment horizontal="left"/>
    </xf>
    <xf numFmtId="41" fontId="0" fillId="0" borderId="32" xfId="0" applyNumberFormat="1" applyBorder="1"/>
    <xf numFmtId="41" fontId="0" fillId="0" borderId="22" xfId="0" applyNumberFormat="1" applyBorder="1"/>
    <xf numFmtId="41" fontId="14" fillId="0" borderId="41" xfId="0" applyNumberFormat="1" applyFont="1" applyBorder="1"/>
    <xf numFmtId="41" fontId="0" fillId="0" borderId="18" xfId="0" applyNumberFormat="1" applyBorder="1"/>
    <xf numFmtId="41" fontId="0" fillId="0" borderId="21" xfId="0" applyNumberFormat="1" applyBorder="1"/>
    <xf numFmtId="172" fontId="0" fillId="0" borderId="42" xfId="0" applyNumberFormat="1" applyBorder="1"/>
    <xf numFmtId="41" fontId="0" fillId="0" borderId="43" xfId="0" quotePrefix="1" applyNumberFormat="1" applyBorder="1" applyAlignment="1">
      <alignment horizontal="left"/>
    </xf>
    <xf numFmtId="0" fontId="6" fillId="0" borderId="0" xfId="0" applyFont="1"/>
    <xf numFmtId="0" fontId="9" fillId="0" borderId="0" xfId="0" applyFont="1"/>
    <xf numFmtId="38" fontId="0" fillId="0" borderId="0" xfId="0" applyNumberFormat="1"/>
    <xf numFmtId="9" fontId="7" fillId="0" borderId="0" xfId="57"/>
    <xf numFmtId="0" fontId="36" fillId="0" borderId="0" xfId="0" applyFont="1" applyAlignment="1">
      <alignment horizontal="center"/>
    </xf>
    <xf numFmtId="38" fontId="36" fillId="0" borderId="0" xfId="0" applyNumberFormat="1" applyFont="1" applyAlignment="1">
      <alignment horizontal="center"/>
    </xf>
    <xf numFmtId="38" fontId="14" fillId="30" borderId="17" xfId="0" applyNumberFormat="1" applyFont="1" applyFill="1" applyBorder="1" applyAlignment="1">
      <alignment horizontal="center" vertical="center"/>
    </xf>
    <xf numFmtId="38" fontId="14" fillId="30" borderId="33" xfId="0" applyNumberFormat="1" applyFont="1" applyFill="1" applyBorder="1" applyAlignment="1">
      <alignment horizontal="center" vertical="center"/>
    </xf>
    <xf numFmtId="38" fontId="14" fillId="30" borderId="18" xfId="0" applyNumberFormat="1" applyFont="1" applyFill="1" applyBorder="1" applyAlignment="1">
      <alignment horizontal="center" vertical="center"/>
    </xf>
    <xf numFmtId="38" fontId="14" fillId="30" borderId="19" xfId="0" applyNumberFormat="1" applyFont="1" applyFill="1" applyBorder="1" applyAlignment="1">
      <alignment horizontal="center"/>
    </xf>
    <xf numFmtId="0" fontId="14" fillId="30" borderId="19" xfId="0" applyFont="1" applyFill="1" applyBorder="1" applyAlignment="1">
      <alignment horizontal="center"/>
    </xf>
    <xf numFmtId="38" fontId="14" fillId="30" borderId="11" xfId="0" applyNumberFormat="1" applyFont="1" applyFill="1" applyBorder="1" applyAlignment="1">
      <alignment horizontal="center"/>
    </xf>
    <xf numFmtId="0" fontId="14" fillId="30" borderId="11" xfId="0" applyFont="1" applyFill="1" applyBorder="1" applyAlignment="1">
      <alignment horizontal="center"/>
    </xf>
    <xf numFmtId="0" fontId="36" fillId="0" borderId="0" xfId="0" quotePrefix="1" applyFont="1" applyAlignment="1">
      <alignment horizontal="left"/>
    </xf>
    <xf numFmtId="38" fontId="14" fillId="0" borderId="0" xfId="0" applyNumberFormat="1" applyFont="1"/>
    <xf numFmtId="0" fontId="14" fillId="0" borderId="0" xfId="0" applyFont="1"/>
    <xf numFmtId="38" fontId="37" fillId="30" borderId="12" xfId="0" applyNumberFormat="1" applyFont="1" applyFill="1" applyBorder="1" applyAlignment="1">
      <alignment horizontal="center" vertical="center"/>
    </xf>
    <xf numFmtId="173" fontId="0" fillId="0" borderId="22" xfId="0" applyNumberFormat="1" applyBorder="1"/>
    <xf numFmtId="3" fontId="0" fillId="0" borderId="19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left"/>
    </xf>
    <xf numFmtId="38" fontId="11" fillId="0" borderId="11" xfId="0" applyNumberFormat="1" applyFont="1" applyBorder="1" applyAlignment="1">
      <alignment horizontal="right" vertical="center" wrapText="1"/>
    </xf>
    <xf numFmtId="0" fontId="38" fillId="0" borderId="0" xfId="0" applyFont="1"/>
    <xf numFmtId="171" fontId="14" fillId="0" borderId="11" xfId="0" applyNumberFormat="1" applyFont="1" applyBorder="1"/>
    <xf numFmtId="3" fontId="0" fillId="0" borderId="0" xfId="0" applyNumberFormat="1"/>
    <xf numFmtId="171" fontId="0" fillId="25" borderId="12" xfId="0" applyNumberFormat="1" applyFill="1" applyBorder="1"/>
    <xf numFmtId="0" fontId="9" fillId="26" borderId="12" xfId="0" applyFont="1" applyFill="1" applyBorder="1" applyAlignment="1">
      <alignment horizontal="left"/>
    </xf>
    <xf numFmtId="171" fontId="14" fillId="0" borderId="0" xfId="0" applyNumberFormat="1" applyFont="1" applyAlignment="1">
      <alignment horizontal="left"/>
    </xf>
    <xf numFmtId="172" fontId="21" fillId="0" borderId="0" xfId="0" applyNumberFormat="1" applyFont="1" applyAlignment="1">
      <alignment horizontal="center"/>
    </xf>
    <xf numFmtId="172" fontId="25" fillId="0" borderId="12" xfId="0" applyNumberFormat="1" applyFont="1" applyBorder="1"/>
    <xf numFmtId="172" fontId="25" fillId="0" borderId="16" xfId="0" applyNumberFormat="1" applyFont="1" applyBorder="1"/>
    <xf numFmtId="172" fontId="25" fillId="0" borderId="11" xfId="0" applyNumberFormat="1" applyFont="1" applyBorder="1"/>
    <xf numFmtId="172" fontId="39" fillId="0" borderId="13" xfId="0" applyNumberFormat="1" applyFont="1" applyBorder="1"/>
    <xf numFmtId="172" fontId="39" fillId="0" borderId="15" xfId="0" applyNumberFormat="1" applyFont="1" applyBorder="1"/>
    <xf numFmtId="172" fontId="0" fillId="0" borderId="0" xfId="0" applyNumberFormat="1" applyAlignment="1">
      <alignment horizontal="center"/>
    </xf>
    <xf numFmtId="173" fontId="0" fillId="0" borderId="0" xfId="0" applyNumberFormat="1"/>
    <xf numFmtId="41" fontId="0" fillId="0" borderId="0" xfId="0" applyNumberFormat="1"/>
    <xf numFmtId="41" fontId="14" fillId="0" borderId="0" xfId="0" applyNumberFormat="1" applyFont="1"/>
    <xf numFmtId="172" fontId="0" fillId="0" borderId="12" xfId="0" applyNumberFormat="1" applyBorder="1" applyAlignment="1">
      <alignment horizontal="center"/>
    </xf>
    <xf numFmtId="174" fontId="0" fillId="0" borderId="0" xfId="0" applyNumberFormat="1"/>
    <xf numFmtId="172" fontId="0" fillId="0" borderId="0" xfId="0" applyNumberFormat="1" applyAlignment="1">
      <alignment horizontal="right"/>
    </xf>
    <xf numFmtId="172" fontId="22" fillId="0" borderId="0" xfId="0" applyNumberFormat="1" applyFont="1" applyAlignment="1">
      <alignment horizontal="left"/>
    </xf>
    <xf numFmtId="3" fontId="6" fillId="0" borderId="0" xfId="0" applyNumberFormat="1" applyFont="1"/>
    <xf numFmtId="171" fontId="0" fillId="28" borderId="11" xfId="0" quotePrefix="1" applyNumberFormat="1" applyFill="1" applyBorder="1"/>
    <xf numFmtId="0" fontId="0" fillId="32" borderId="12" xfId="0" applyFill="1" applyBorder="1"/>
    <xf numFmtId="0" fontId="0" fillId="24" borderId="12" xfId="0" quotePrefix="1" applyFill="1" applyBorder="1" applyAlignment="1">
      <alignment horizontal="left"/>
    </xf>
    <xf numFmtId="0" fontId="0" fillId="25" borderId="12" xfId="0" applyFill="1" applyBorder="1" applyAlignment="1">
      <alignment horizontal="left"/>
    </xf>
    <xf numFmtId="0" fontId="0" fillId="33" borderId="12" xfId="0" applyFill="1" applyBorder="1" applyAlignment="1">
      <alignment horizontal="left"/>
    </xf>
    <xf numFmtId="171" fontId="0" fillId="33" borderId="15" xfId="0" applyNumberFormat="1" applyFill="1" applyBorder="1"/>
    <xf numFmtId="171" fontId="0" fillId="33" borderId="11" xfId="0" applyNumberFormat="1" applyFill="1" applyBorder="1"/>
    <xf numFmtId="0" fontId="0" fillId="27" borderId="12" xfId="0" applyFill="1" applyBorder="1"/>
    <xf numFmtId="171" fontId="0" fillId="25" borderId="11" xfId="0" applyNumberFormat="1" applyFill="1" applyBorder="1"/>
    <xf numFmtId="171" fontId="0" fillId="25" borderId="14" xfId="0" applyNumberFormat="1" applyFill="1" applyBorder="1"/>
    <xf numFmtId="171" fontId="0" fillId="32" borderId="15" xfId="0" applyNumberFormat="1" applyFill="1" applyBorder="1"/>
    <xf numFmtId="171" fontId="0" fillId="32" borderId="14" xfId="0" applyNumberFormat="1" applyFill="1" applyBorder="1"/>
    <xf numFmtId="171" fontId="0" fillId="24" borderId="15" xfId="0" applyNumberFormat="1" applyFill="1" applyBorder="1"/>
    <xf numFmtId="0" fontId="41" fillId="0" borderId="44" xfId="0" applyFont="1" applyBorder="1" applyAlignment="1">
      <alignment wrapText="1"/>
    </xf>
    <xf numFmtId="175" fontId="0" fillId="0" borderId="0" xfId="0" applyNumberFormat="1"/>
    <xf numFmtId="172" fontId="14" fillId="32" borderId="0" xfId="0" applyNumberFormat="1" applyFont="1" applyFill="1" applyAlignment="1">
      <alignment horizontal="center"/>
    </xf>
    <xf numFmtId="172" fontId="14" fillId="32" borderId="9" xfId="0" applyNumberFormat="1" applyFont="1" applyFill="1" applyBorder="1"/>
    <xf numFmtId="39" fontId="11" fillId="0" borderId="0" xfId="54" applyFont="1"/>
    <xf numFmtId="0" fontId="14" fillId="0" borderId="0" xfId="0" applyFont="1" applyAlignment="1">
      <alignment horizontal="left"/>
    </xf>
    <xf numFmtId="176" fontId="14" fillId="0" borderId="18" xfId="0" applyNumberFormat="1" applyFont="1" applyBorder="1"/>
    <xf numFmtId="0" fontId="14" fillId="0" borderId="10" xfId="0" applyFont="1" applyBorder="1"/>
    <xf numFmtId="176" fontId="14" fillId="0" borderId="21" xfId="0" applyNumberFormat="1" applyFont="1" applyBorder="1"/>
    <xf numFmtId="176" fontId="14" fillId="0" borderId="20" xfId="0" applyNumberFormat="1" applyFont="1" applyBorder="1"/>
    <xf numFmtId="176" fontId="14" fillId="0" borderId="19" xfId="0" applyNumberFormat="1" applyFont="1" applyBorder="1"/>
    <xf numFmtId="176" fontId="14" fillId="0" borderId="22" xfId="0" applyNumberFormat="1" applyFont="1" applyBorder="1"/>
    <xf numFmtId="176" fontId="14" fillId="0" borderId="11" xfId="0" applyNumberFormat="1" applyFont="1" applyBorder="1"/>
    <xf numFmtId="38" fontId="14" fillId="0" borderId="17" xfId="0" applyNumberFormat="1" applyFont="1" applyBorder="1"/>
    <xf numFmtId="39" fontId="11" fillId="0" borderId="33" xfId="54" applyFont="1" applyBorder="1"/>
    <xf numFmtId="38" fontId="14" fillId="0" borderId="10" xfId="0" applyNumberFormat="1" applyFont="1" applyBorder="1"/>
    <xf numFmtId="38" fontId="14" fillId="0" borderId="15" xfId="0" applyNumberFormat="1" applyFont="1" applyBorder="1"/>
    <xf numFmtId="39" fontId="11" fillId="0" borderId="14" xfId="54" applyFont="1" applyBorder="1"/>
    <xf numFmtId="176" fontId="14" fillId="0" borderId="12" xfId="0" applyNumberFormat="1" applyFont="1" applyBorder="1"/>
    <xf numFmtId="176" fontId="14" fillId="32" borderId="12" xfId="0" applyNumberFormat="1" applyFont="1" applyFill="1" applyBorder="1"/>
    <xf numFmtId="171" fontId="0" fillId="31" borderId="11" xfId="0" applyNumberFormat="1" applyFill="1" applyBorder="1"/>
    <xf numFmtId="9" fontId="0" fillId="0" borderId="0" xfId="0" applyNumberFormat="1"/>
    <xf numFmtId="0" fontId="0" fillId="32" borderId="0" xfId="0" applyFill="1"/>
    <xf numFmtId="171" fontId="0" fillId="24" borderId="11" xfId="0" applyNumberFormat="1" applyFill="1" applyBorder="1"/>
    <xf numFmtId="176" fontId="14" fillId="0" borderId="15" xfId="0" applyNumberFormat="1" applyFont="1" applyBorder="1"/>
    <xf numFmtId="171" fontId="14" fillId="0" borderId="15" xfId="0" applyNumberFormat="1" applyFont="1" applyBorder="1"/>
    <xf numFmtId="0" fontId="7" fillId="0" borderId="0" xfId="0" applyFont="1"/>
    <xf numFmtId="0" fontId="36" fillId="0" borderId="0" xfId="0" applyFont="1" applyAlignment="1">
      <alignment horizontal="left"/>
    </xf>
    <xf numFmtId="172" fontId="59" fillId="0" borderId="0" xfId="0" applyNumberFormat="1" applyFont="1" applyAlignment="1">
      <alignment horizontal="left"/>
    </xf>
    <xf numFmtId="172" fontId="60" fillId="0" borderId="0" xfId="0" applyNumberFormat="1" applyFont="1"/>
    <xf numFmtId="172" fontId="0" fillId="0" borderId="0" xfId="0" applyNumberFormat="1" applyAlignment="1">
      <alignment horizontal="left"/>
    </xf>
    <xf numFmtId="172" fontId="61" fillId="0" borderId="0" xfId="0" applyNumberFormat="1" applyFont="1" applyAlignment="1">
      <alignment horizontal="centerContinuous"/>
    </xf>
    <xf numFmtId="172" fontId="62" fillId="0" borderId="0" xfId="0" applyNumberFormat="1" applyFont="1" applyAlignment="1">
      <alignment horizontal="centerContinuous"/>
    </xf>
    <xf numFmtId="172" fontId="63" fillId="0" borderId="0" xfId="0" applyNumberFormat="1" applyFont="1"/>
    <xf numFmtId="172" fontId="63" fillId="0" borderId="0" xfId="0" applyNumberFormat="1" applyFont="1" applyAlignment="1">
      <alignment horizontal="left"/>
    </xf>
    <xf numFmtId="172" fontId="38" fillId="0" borderId="0" xfId="0" applyNumberFormat="1" applyFont="1"/>
    <xf numFmtId="172" fontId="38" fillId="0" borderId="0" xfId="0" applyNumberFormat="1" applyFont="1" applyAlignment="1">
      <alignment horizontal="left"/>
    </xf>
    <xf numFmtId="172" fontId="36" fillId="0" borderId="0" xfId="0" applyNumberFormat="1" applyFont="1"/>
    <xf numFmtId="172" fontId="7" fillId="0" borderId="0" xfId="0" applyNumberFormat="1" applyFont="1"/>
    <xf numFmtId="172" fontId="7" fillId="0" borderId="0" xfId="0" applyNumberFormat="1" applyFont="1" applyAlignment="1">
      <alignment horizontal="left"/>
    </xf>
    <xf numFmtId="172" fontId="64" fillId="0" borderId="0" xfId="0" applyNumberFormat="1" applyFont="1"/>
    <xf numFmtId="172" fontId="64" fillId="0" borderId="0" xfId="0" applyNumberFormat="1" applyFont="1" applyAlignment="1">
      <alignment horizontal="left"/>
    </xf>
    <xf numFmtId="0" fontId="17" fillId="0" borderId="17" xfId="0" applyFont="1" applyBorder="1" applyAlignment="1">
      <alignment horizontal="centerContinuous"/>
    </xf>
    <xf numFmtId="0" fontId="17" fillId="0" borderId="19" xfId="0" applyFont="1" applyBorder="1" applyAlignment="1">
      <alignment horizontal="centerContinuous"/>
    </xf>
    <xf numFmtId="0" fontId="17" fillId="0" borderId="33" xfId="0" applyFont="1" applyBorder="1" applyAlignment="1">
      <alignment horizontal="centerContinuous"/>
    </xf>
    <xf numFmtId="0" fontId="17" fillId="0" borderId="18" xfId="0" applyFont="1" applyBorder="1" applyAlignment="1">
      <alignment horizontal="centerContinuous"/>
    </xf>
    <xf numFmtId="0" fontId="17" fillId="0" borderId="15" xfId="0" applyFont="1" applyBorder="1" applyAlignment="1">
      <alignment horizontal="centerContinuous"/>
    </xf>
    <xf numFmtId="0" fontId="17" fillId="0" borderId="11" xfId="0" applyFont="1" applyBorder="1" applyAlignment="1">
      <alignment horizontal="centerContinuous"/>
    </xf>
    <xf numFmtId="0" fontId="17" fillId="0" borderId="14" xfId="0" applyFont="1" applyBorder="1" applyAlignment="1">
      <alignment horizontal="centerContinuous"/>
    </xf>
    <xf numFmtId="0" fontId="17" fillId="0" borderId="20" xfId="0" applyFont="1" applyBorder="1"/>
    <xf numFmtId="171" fontId="65" fillId="0" borderId="15" xfId="0" applyNumberFormat="1" applyFont="1" applyBorder="1"/>
    <xf numFmtId="3" fontId="14" fillId="0" borderId="0" xfId="0" applyNumberFormat="1" applyFont="1"/>
    <xf numFmtId="3" fontId="14" fillId="0" borderId="22" xfId="0" applyNumberFormat="1" applyFont="1" applyBorder="1"/>
    <xf numFmtId="171" fontId="6" fillId="32" borderId="12" xfId="0" applyNumberFormat="1" applyFont="1" applyFill="1" applyBorder="1"/>
    <xf numFmtId="0" fontId="14" fillId="0" borderId="11" xfId="0" applyFont="1" applyBorder="1" applyAlignment="1">
      <alignment horizontal="left"/>
    </xf>
    <xf numFmtId="0" fontId="58" fillId="0" borderId="12" xfId="0" applyFont="1" applyBorder="1" applyAlignment="1">
      <alignment horizontal="left"/>
    </xf>
    <xf numFmtId="171" fontId="7" fillId="24" borderId="11" xfId="0" applyNumberFormat="1" applyFont="1" applyFill="1" applyBorder="1"/>
    <xf numFmtId="171" fontId="0" fillId="0" borderId="9" xfId="0" applyNumberFormat="1" applyBorder="1"/>
    <xf numFmtId="171" fontId="14" fillId="0" borderId="0" xfId="0" applyNumberFormat="1" applyFont="1"/>
    <xf numFmtId="171" fontId="58" fillId="0" borderId="11" xfId="0" applyNumberFormat="1" applyFont="1" applyBorder="1"/>
    <xf numFmtId="171" fontId="14" fillId="0" borderId="9" xfId="0" applyNumberFormat="1" applyFont="1" applyBorder="1"/>
    <xf numFmtId="171" fontId="14" fillId="31" borderId="15" xfId="0" applyNumberFormat="1" applyFont="1" applyFill="1" applyBorder="1"/>
    <xf numFmtId="0" fontId="14" fillId="31" borderId="12" xfId="0" applyFont="1" applyFill="1" applyBorder="1" applyAlignment="1">
      <alignment horizontal="left"/>
    </xf>
    <xf numFmtId="171" fontId="14" fillId="31" borderId="11" xfId="0" applyNumberFormat="1" applyFont="1" applyFill="1" applyBorder="1"/>
    <xf numFmtId="171" fontId="0" fillId="26" borderId="15" xfId="0" applyNumberFormat="1" applyFill="1" applyBorder="1"/>
    <xf numFmtId="0" fontId="42" fillId="0" borderId="0" xfId="53"/>
    <xf numFmtId="3" fontId="42" fillId="0" borderId="0" xfId="53" applyNumberFormat="1" applyAlignment="1">
      <alignment horizontal="right"/>
    </xf>
    <xf numFmtId="169" fontId="14" fillId="0" borderId="0" xfId="53" applyNumberFormat="1" applyFont="1" applyAlignment="1">
      <alignment horizontal="right"/>
    </xf>
    <xf numFmtId="0" fontId="74" fillId="35" borderId="46" xfId="53" applyFont="1" applyFill="1" applyBorder="1" applyAlignment="1">
      <alignment horizontal="left" vertical="center" wrapText="1"/>
    </xf>
    <xf numFmtId="0" fontId="71" fillId="0" borderId="47" xfId="53" applyFont="1" applyBorder="1" applyAlignment="1">
      <alignment horizontal="right" wrapText="1"/>
    </xf>
    <xf numFmtId="3" fontId="42" fillId="0" borderId="48" xfId="53" applyNumberFormat="1" applyBorder="1" applyAlignment="1">
      <alignment horizontal="right" wrapText="1"/>
    </xf>
    <xf numFmtId="0" fontId="74" fillId="35" borderId="49" xfId="53" applyFont="1" applyFill="1" applyBorder="1" applyAlignment="1">
      <alignment horizontal="left" vertical="center" wrapText="1"/>
    </xf>
    <xf numFmtId="0" fontId="71" fillId="36" borderId="47" xfId="53" applyFont="1" applyFill="1" applyBorder="1" applyAlignment="1">
      <alignment horizontal="right" wrapText="1"/>
    </xf>
    <xf numFmtId="0" fontId="74" fillId="36" borderId="49" xfId="53" applyFont="1" applyFill="1" applyBorder="1" applyAlignment="1">
      <alignment horizontal="left" vertical="center" wrapText="1"/>
    </xf>
    <xf numFmtId="0" fontId="42" fillId="0" borderId="0" xfId="53" applyAlignment="1">
      <alignment wrapText="1"/>
    </xf>
    <xf numFmtId="0" fontId="42" fillId="32" borderId="0" xfId="53" applyFill="1"/>
    <xf numFmtId="0" fontId="42" fillId="32" borderId="0" xfId="53" applyFill="1" applyAlignment="1">
      <alignment wrapText="1"/>
    </xf>
    <xf numFmtId="3" fontId="42" fillId="0" borderId="22" xfId="53" applyNumberFormat="1" applyBorder="1" applyAlignment="1">
      <alignment horizontal="right"/>
    </xf>
    <xf numFmtId="3" fontId="42" fillId="0" borderId="0" xfId="53" applyNumberFormat="1"/>
    <xf numFmtId="0" fontId="6" fillId="0" borderId="12" xfId="0" applyFont="1" applyBorder="1" applyAlignment="1">
      <alignment horizontal="centerContinuous"/>
    </xf>
    <xf numFmtId="0" fontId="58" fillId="31" borderId="12" xfId="0" applyFont="1" applyFill="1" applyBorder="1" applyAlignment="1">
      <alignment horizontal="left"/>
    </xf>
    <xf numFmtId="3" fontId="0" fillId="24" borderId="11" xfId="0" applyNumberFormat="1" applyFill="1" applyBorder="1"/>
    <xf numFmtId="17" fontId="14" fillId="0" borderId="10" xfId="0" applyNumberFormat="1" applyFont="1" applyBorder="1" applyAlignment="1">
      <alignment horizontal="center"/>
    </xf>
    <xf numFmtId="0" fontId="75" fillId="0" borderId="13" xfId="0" applyFont="1" applyBorder="1"/>
    <xf numFmtId="0" fontId="76" fillId="0" borderId="13" xfId="0" applyFont="1" applyBorder="1" applyAlignment="1">
      <alignment horizontal="centerContinuous"/>
    </xf>
    <xf numFmtId="0" fontId="75" fillId="0" borderId="16" xfId="0" applyFont="1" applyBorder="1"/>
    <xf numFmtId="172" fontId="25" fillId="0" borderId="21" xfId="0" applyNumberFormat="1" applyFont="1" applyBorder="1"/>
    <xf numFmtId="176" fontId="14" fillId="25" borderId="12" xfId="0" applyNumberFormat="1" applyFont="1" applyFill="1" applyBorder="1"/>
    <xf numFmtId="171" fontId="0" fillId="39" borderId="15" xfId="0" applyNumberFormat="1" applyFill="1" applyBorder="1"/>
    <xf numFmtId="171" fontId="0" fillId="39" borderId="11" xfId="0" applyNumberFormat="1" applyFill="1" applyBorder="1"/>
    <xf numFmtId="171" fontId="14" fillId="24" borderId="15" xfId="0" applyNumberFormat="1" applyFont="1" applyFill="1" applyBorder="1"/>
    <xf numFmtId="171" fontId="14" fillId="26" borderId="15" xfId="0" applyNumberFormat="1" applyFont="1" applyFill="1" applyBorder="1"/>
    <xf numFmtId="0" fontId="77" fillId="0" borderId="12" xfId="0" applyFont="1" applyBorder="1" applyAlignment="1">
      <alignment horizontal="left"/>
    </xf>
    <xf numFmtId="171" fontId="77" fillId="0" borderId="11" xfId="0" applyNumberFormat="1" applyFont="1" applyBorder="1"/>
    <xf numFmtId="171" fontId="77" fillId="0" borderId="15" xfId="0" applyNumberFormat="1" applyFont="1" applyBorder="1"/>
    <xf numFmtId="10" fontId="0" fillId="0" borderId="0" xfId="0" applyNumberFormat="1"/>
    <xf numFmtId="0" fontId="68" fillId="0" borderId="0" xfId="0" applyFont="1" applyAlignment="1">
      <alignment horizontal="left"/>
    </xf>
    <xf numFmtId="0" fontId="76" fillId="0" borderId="32" xfId="0" applyFont="1" applyBorder="1" applyAlignment="1">
      <alignment horizontal="centerContinuous"/>
    </xf>
    <xf numFmtId="171" fontId="0" fillId="24" borderId="14" xfId="0" applyNumberFormat="1" applyFill="1" applyBorder="1"/>
    <xf numFmtId="171" fontId="0" fillId="40" borderId="15" xfId="0" applyNumberFormat="1" applyFill="1" applyBorder="1"/>
    <xf numFmtId="38" fontId="14" fillId="30" borderId="19" xfId="0" applyNumberFormat="1" applyFont="1" applyFill="1" applyBorder="1" applyAlignment="1">
      <alignment horizontal="center" vertical="center" wrapText="1"/>
    </xf>
    <xf numFmtId="38" fontId="14" fillId="30" borderId="11" xfId="0" applyNumberFormat="1" applyFont="1" applyFill="1" applyBorder="1" applyAlignment="1">
      <alignment horizontal="center" vertical="center" wrapText="1"/>
    </xf>
    <xf numFmtId="172" fontId="0" fillId="0" borderId="50" xfId="0" applyNumberFormat="1" applyBorder="1"/>
    <xf numFmtId="41" fontId="14" fillId="0" borderId="51" xfId="0" quotePrefix="1" applyNumberFormat="1" applyFont="1" applyBorder="1" applyAlignment="1">
      <alignment horizontal="left"/>
    </xf>
    <xf numFmtId="41" fontId="14" fillId="0" borderId="45" xfId="0" applyNumberFormat="1" applyFont="1" applyBorder="1"/>
    <xf numFmtId="172" fontId="14" fillId="0" borderId="0" xfId="0" applyNumberFormat="1" applyFont="1" applyAlignment="1">
      <alignment horizontal="center"/>
    </xf>
    <xf numFmtId="172" fontId="40" fillId="32" borderId="0" xfId="0" applyNumberFormat="1" applyFont="1" applyFill="1"/>
    <xf numFmtId="172" fontId="58" fillId="0" borderId="0" xfId="0" applyNumberFormat="1" applyFont="1"/>
    <xf numFmtId="38" fontId="36" fillId="0" borderId="16" xfId="0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right"/>
    </xf>
    <xf numFmtId="38" fontId="14" fillId="30" borderId="11" xfId="0" applyNumberFormat="1" applyFont="1" applyFill="1" applyBorder="1" applyAlignment="1">
      <alignment horizontal="right"/>
    </xf>
    <xf numFmtId="38" fontId="0" fillId="0" borderId="12" xfId="0" applyNumberFormat="1" applyBorder="1"/>
    <xf numFmtId="0" fontId="11" fillId="0" borderId="11" xfId="0" applyFont="1" applyBorder="1" applyAlignment="1">
      <alignment horizontal="right"/>
    </xf>
    <xf numFmtId="38" fontId="0" fillId="0" borderId="11" xfId="0" applyNumberFormat="1" applyBorder="1"/>
    <xf numFmtId="3" fontId="14" fillId="0" borderId="11" xfId="0" applyNumberFormat="1" applyFont="1" applyBorder="1" applyAlignment="1">
      <alignment horizontal="right" vertical="center" wrapText="1"/>
    </xf>
    <xf numFmtId="15" fontId="7" fillId="0" borderId="12" xfId="47" applyNumberFormat="1" applyFont="1" applyFill="1" applyBorder="1" applyAlignment="1">
      <alignment horizontal="center"/>
    </xf>
    <xf numFmtId="177" fontId="0" fillId="0" borderId="11" xfId="0" applyNumberFormat="1" applyBorder="1" applyAlignment="1">
      <alignment horizontal="center" vertical="center" wrapText="1"/>
    </xf>
    <xf numFmtId="38" fontId="14" fillId="30" borderId="11" xfId="0" applyNumberFormat="1" applyFont="1" applyFill="1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15" fontId="7" fillId="0" borderId="11" xfId="47" applyNumberFormat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left" vertical="center" wrapText="1"/>
    </xf>
    <xf numFmtId="38" fontId="14" fillId="31" borderId="12" xfId="0" applyNumberFormat="1" applyFont="1" applyFill="1" applyBorder="1"/>
    <xf numFmtId="2" fontId="14" fillId="0" borderId="11" xfId="0" applyNumberFormat="1" applyFont="1" applyBorder="1" applyAlignment="1">
      <alignment horizontal="center" vertical="center" wrapText="1"/>
    </xf>
    <xf numFmtId="3" fontId="14" fillId="39" borderId="11" xfId="0" applyNumberFormat="1" applyFont="1" applyFill="1" applyBorder="1" applyAlignment="1">
      <alignment horizontal="right" vertical="center" wrapText="1"/>
    </xf>
    <xf numFmtId="38" fontId="36" fillId="0" borderId="17" xfId="0" applyNumberFormat="1" applyFont="1" applyBorder="1" applyAlignment="1">
      <alignment horizontal="center"/>
    </xf>
    <xf numFmtId="38" fontId="36" fillId="0" borderId="18" xfId="0" applyNumberFormat="1" applyFont="1" applyBorder="1" applyAlignment="1">
      <alignment horizontal="center"/>
    </xf>
    <xf numFmtId="38" fontId="17" fillId="0" borderId="13" xfId="0" applyNumberFormat="1" applyFont="1" applyBorder="1" applyAlignment="1">
      <alignment horizontal="left"/>
    </xf>
    <xf numFmtId="38" fontId="9" fillId="0" borderId="16" xfId="0" applyNumberFormat="1" applyFont="1" applyBorder="1" applyAlignment="1">
      <alignment horizontal="right"/>
    </xf>
    <xf numFmtId="38" fontId="14" fillId="0" borderId="9" xfId="0" applyNumberFormat="1" applyFont="1" applyBorder="1" applyAlignment="1">
      <alignment horizontal="center"/>
    </xf>
    <xf numFmtId="38" fontId="14" fillId="0" borderId="9" xfId="0" applyNumberFormat="1" applyFont="1" applyBorder="1" applyAlignment="1">
      <alignment horizontal="right"/>
    </xf>
    <xf numFmtId="0" fontId="37" fillId="0" borderId="0" xfId="0" applyFont="1"/>
    <xf numFmtId="38" fontId="37" fillId="0" borderId="0" xfId="0" applyNumberFormat="1" applyFont="1"/>
    <xf numFmtId="38" fontId="79" fillId="0" borderId="0" xfId="0" applyNumberFormat="1" applyFont="1"/>
    <xf numFmtId="172" fontId="25" fillId="0" borderId="10" xfId="0" applyNumberFormat="1" applyFont="1" applyBorder="1"/>
    <xf numFmtId="172" fontId="25" fillId="0" borderId="22" xfId="0" applyNumberFormat="1" applyFont="1" applyBorder="1"/>
    <xf numFmtId="172" fontId="40" fillId="0" borderId="21" xfId="0" applyNumberFormat="1" applyFont="1" applyBorder="1"/>
    <xf numFmtId="171" fontId="0" fillId="25" borderId="15" xfId="0" applyNumberFormat="1" applyFill="1" applyBorder="1"/>
    <xf numFmtId="171" fontId="14" fillId="34" borderId="11" xfId="0" applyNumberFormat="1" applyFont="1" applyFill="1" applyBorder="1"/>
    <xf numFmtId="171" fontId="0" fillId="41" borderId="11" xfId="0" applyNumberFormat="1" applyFill="1" applyBorder="1"/>
    <xf numFmtId="176" fontId="14" fillId="41" borderId="12" xfId="0" applyNumberFormat="1" applyFont="1" applyFill="1" applyBorder="1"/>
    <xf numFmtId="171" fontId="14" fillId="39" borderId="11" xfId="0" applyNumberFormat="1" applyFont="1" applyFill="1" applyBorder="1"/>
    <xf numFmtId="0" fontId="13" fillId="0" borderId="0" xfId="0" applyFont="1"/>
    <xf numFmtId="3" fontId="18" fillId="0" borderId="0" xfId="0" applyNumberFormat="1" applyFont="1" applyAlignment="1">
      <alignment horizontal="right"/>
    </xf>
    <xf numFmtId="4" fontId="38" fillId="0" borderId="0" xfId="0" applyNumberFormat="1" applyFont="1"/>
    <xf numFmtId="0" fontId="18" fillId="0" borderId="0" xfId="0" applyFont="1" applyAlignment="1">
      <alignment horizontal="right"/>
    </xf>
    <xf numFmtId="3" fontId="38" fillId="0" borderId="0" xfId="0" applyNumberFormat="1" applyFont="1"/>
    <xf numFmtId="0" fontId="80" fillId="0" borderId="0" xfId="0" applyFont="1" applyAlignment="1">
      <alignment horizontal="centerContinuous"/>
    </xf>
    <xf numFmtId="40" fontId="80" fillId="0" borderId="0" xfId="0" applyNumberFormat="1" applyFont="1" applyAlignment="1">
      <alignment horizontal="centerContinuous"/>
    </xf>
    <xf numFmtId="40" fontId="0" fillId="0" borderId="0" xfId="0" applyNumberFormat="1"/>
    <xf numFmtId="178" fontId="0" fillId="0" borderId="0" xfId="0" applyNumberFormat="1"/>
    <xf numFmtId="40" fontId="0" fillId="0" borderId="0" xfId="0" applyNumberFormat="1" applyAlignment="1">
      <alignment horizontal="left"/>
    </xf>
    <xf numFmtId="4" fontId="0" fillId="0" borderId="0" xfId="0" applyNumberFormat="1"/>
    <xf numFmtId="176" fontId="0" fillId="0" borderId="0" xfId="0" applyNumberFormat="1"/>
    <xf numFmtId="0" fontId="6" fillId="0" borderId="12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6" xfId="0" quotePrefix="1" applyFont="1" applyBorder="1" applyAlignment="1">
      <alignment horizontal="center"/>
    </xf>
    <xf numFmtId="40" fontId="6" fillId="0" borderId="16" xfId="0" quotePrefix="1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7" fontId="0" fillId="0" borderId="22" xfId="0" applyNumberFormat="1" applyBorder="1" applyAlignment="1">
      <alignment horizontal="center"/>
    </xf>
    <xf numFmtId="3" fontId="0" fillId="0" borderId="22" xfId="0" applyNumberFormat="1" applyBorder="1"/>
    <xf numFmtId="0" fontId="0" fillId="0" borderId="19" xfId="0" applyBorder="1" applyAlignment="1">
      <alignment horizontal="center"/>
    </xf>
    <xf numFmtId="4" fontId="14" fillId="31" borderId="22" xfId="0" applyNumberFormat="1" applyFont="1" applyFill="1" applyBorder="1"/>
    <xf numFmtId="3" fontId="14" fillId="31" borderId="22" xfId="0" applyNumberFormat="1" applyFont="1" applyFill="1" applyBorder="1" applyAlignment="1">
      <alignment horizontal="center"/>
    </xf>
    <xf numFmtId="4" fontId="0" fillId="25" borderId="22" xfId="0" applyNumberFormat="1" applyFill="1" applyBorder="1"/>
    <xf numFmtId="3" fontId="14" fillId="25" borderId="22" xfId="0" applyNumberFormat="1" applyFont="1" applyFill="1" applyBorder="1" applyAlignment="1">
      <alignment horizontal="center"/>
    </xf>
    <xf numFmtId="17" fontId="0" fillId="42" borderId="22" xfId="0" applyNumberFormat="1" applyFill="1" applyBorder="1" applyAlignment="1">
      <alignment horizontal="center"/>
    </xf>
    <xf numFmtId="4" fontId="14" fillId="0" borderId="22" xfId="0" applyNumberFormat="1" applyFont="1" applyBorder="1"/>
    <xf numFmtId="4" fontId="0" fillId="0" borderId="22" xfId="0" applyNumberFormat="1" applyBorder="1"/>
    <xf numFmtId="0" fontId="6" fillId="0" borderId="17" xfId="0" applyFont="1" applyBorder="1"/>
    <xf numFmtId="0" fontId="6" fillId="0" borderId="33" xfId="0" applyFont="1" applyBorder="1"/>
    <xf numFmtId="3" fontId="6" fillId="0" borderId="33" xfId="0" applyNumberFormat="1" applyFont="1" applyBorder="1"/>
    <xf numFmtId="0" fontId="0" fillId="0" borderId="18" xfId="0" applyBorder="1"/>
    <xf numFmtId="0" fontId="6" fillId="0" borderId="10" xfId="0" applyFont="1" applyBorder="1"/>
    <xf numFmtId="4" fontId="6" fillId="0" borderId="0" xfId="0" applyNumberFormat="1" applyFont="1"/>
    <xf numFmtId="4" fontId="6" fillId="32" borderId="0" xfId="0" applyNumberFormat="1" applyFont="1" applyFill="1"/>
    <xf numFmtId="0" fontId="0" fillId="0" borderId="21" xfId="0" applyBorder="1"/>
    <xf numFmtId="0" fontId="6" fillId="0" borderId="15" xfId="0" applyFont="1" applyBorder="1"/>
    <xf numFmtId="0" fontId="6" fillId="0" borderId="14" xfId="0" applyFont="1" applyBorder="1"/>
    <xf numFmtId="4" fontId="6" fillId="0" borderId="14" xfId="0" applyNumberFormat="1" applyFont="1" applyBorder="1"/>
    <xf numFmtId="3" fontId="18" fillId="0" borderId="0" xfId="0" applyNumberFormat="1" applyFont="1"/>
    <xf numFmtId="3" fontId="9" fillId="0" borderId="0" xfId="0" applyNumberFormat="1" applyFont="1"/>
    <xf numFmtId="3" fontId="38" fillId="0" borderId="12" xfId="0" applyNumberFormat="1" applyFont="1" applyBorder="1"/>
    <xf numFmtId="171" fontId="0" fillId="42" borderId="15" xfId="0" applyNumberFormat="1" applyFill="1" applyBorder="1"/>
    <xf numFmtId="171" fontId="0" fillId="42" borderId="11" xfId="0" applyNumberFormat="1" applyFill="1" applyBorder="1"/>
    <xf numFmtId="172" fontId="14" fillId="32" borderId="13" xfId="0" applyNumberFormat="1" applyFont="1" applyFill="1" applyBorder="1"/>
    <xf numFmtId="172" fontId="14" fillId="31" borderId="13" xfId="0" applyNumberFormat="1" applyFont="1" applyFill="1" applyBorder="1"/>
    <xf numFmtId="41" fontId="14" fillId="31" borderId="45" xfId="0" applyNumberFormat="1" applyFont="1" applyFill="1" applyBorder="1"/>
    <xf numFmtId="41" fontId="14" fillId="32" borderId="45" xfId="0" applyNumberFormat="1" applyFont="1" applyFill="1" applyBorder="1"/>
    <xf numFmtId="172" fontId="14" fillId="31" borderId="12" xfId="0" applyNumberFormat="1" applyFont="1" applyFill="1" applyBorder="1"/>
    <xf numFmtId="172" fontId="18" fillId="0" borderId="0" xfId="0" applyNumberFormat="1" applyFont="1"/>
    <xf numFmtId="0" fontId="6" fillId="0" borderId="0" xfId="0" applyFont="1" applyAlignment="1">
      <alignment horizontal="left"/>
    </xf>
    <xf numFmtId="2" fontId="17" fillId="0" borderId="0" xfId="0" applyNumberFormat="1" applyFont="1" applyAlignment="1">
      <alignment horizontal="left"/>
    </xf>
    <xf numFmtId="172" fontId="9" fillId="0" borderId="0" xfId="0" applyNumberFormat="1" applyFont="1"/>
    <xf numFmtId="3" fontId="0" fillId="32" borderId="12" xfId="0" applyNumberFormat="1" applyFill="1" applyBorder="1"/>
    <xf numFmtId="169" fontId="6" fillId="0" borderId="0" xfId="53" applyNumberFormat="1" applyFont="1" applyAlignment="1">
      <alignment horizontal="right"/>
    </xf>
    <xf numFmtId="169" fontId="6" fillId="32" borderId="0" xfId="53" applyNumberFormat="1" applyFont="1" applyFill="1" applyAlignment="1">
      <alignment horizontal="right"/>
    </xf>
    <xf numFmtId="169" fontId="6" fillId="31" borderId="0" xfId="53" applyNumberFormat="1" applyFont="1" applyFill="1" applyAlignment="1">
      <alignment horizontal="right"/>
    </xf>
    <xf numFmtId="169" fontId="6" fillId="24" borderId="0" xfId="53" applyNumberFormat="1" applyFont="1" applyFill="1" applyAlignment="1">
      <alignment horizontal="right"/>
    </xf>
    <xf numFmtId="169" fontId="6" fillId="26" borderId="0" xfId="53" applyNumberFormat="1" applyFont="1" applyFill="1" applyAlignment="1">
      <alignment horizontal="right"/>
    </xf>
    <xf numFmtId="169" fontId="6" fillId="37" borderId="0" xfId="53" applyNumberFormat="1" applyFont="1" applyFill="1" applyAlignment="1">
      <alignment horizontal="right"/>
    </xf>
    <xf numFmtId="38" fontId="0" fillId="43" borderId="0" xfId="0" applyNumberFormat="1" applyFill="1" applyAlignment="1">
      <alignment horizontal="right"/>
    </xf>
    <xf numFmtId="171" fontId="0" fillId="43" borderId="11" xfId="0" applyNumberFormat="1" applyFill="1" applyBorder="1"/>
    <xf numFmtId="171" fontId="6" fillId="40" borderId="15" xfId="0" applyNumberFormat="1" applyFont="1" applyFill="1" applyBorder="1"/>
    <xf numFmtId="17" fontId="7" fillId="0" borderId="10" xfId="67" applyNumberFormat="1" applyBorder="1" applyAlignment="1">
      <alignment horizontal="center"/>
    </xf>
    <xf numFmtId="0" fontId="7" fillId="0" borderId="13" xfId="67" applyBorder="1"/>
    <xf numFmtId="0" fontId="7" fillId="0" borderId="0" xfId="67"/>
    <xf numFmtId="2" fontId="76" fillId="0" borderId="0" xfId="0" applyNumberFormat="1" applyFont="1" applyAlignment="1">
      <alignment horizontal="left"/>
    </xf>
    <xf numFmtId="2" fontId="36" fillId="0" borderId="0" xfId="0" applyNumberFormat="1" applyFont="1" applyAlignment="1">
      <alignment horizontal="left"/>
    </xf>
    <xf numFmtId="171" fontId="82" fillId="43" borderId="11" xfId="0" applyNumberFormat="1" applyFont="1" applyFill="1" applyBorder="1"/>
    <xf numFmtId="0" fontId="7" fillId="33" borderId="12" xfId="0" applyFont="1" applyFill="1" applyBorder="1" applyAlignment="1">
      <alignment horizontal="left"/>
    </xf>
    <xf numFmtId="171" fontId="0" fillId="27" borderId="12" xfId="0" applyNumberFormat="1" applyFill="1" applyBorder="1"/>
    <xf numFmtId="0" fontId="7" fillId="0" borderId="12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83" fillId="0" borderId="0" xfId="0" applyFont="1"/>
    <xf numFmtId="0" fontId="0" fillId="50" borderId="12" xfId="0" applyFill="1" applyBorder="1" applyAlignment="1">
      <alignment horizontal="left"/>
    </xf>
    <xf numFmtId="171" fontId="0" fillId="50" borderId="11" xfId="0" applyNumberFormat="1" applyFill="1" applyBorder="1"/>
    <xf numFmtId="171" fontId="0" fillId="45" borderId="11" xfId="0" applyNumberFormat="1" applyFill="1" applyBorder="1"/>
    <xf numFmtId="172" fontId="7" fillId="0" borderId="0" xfId="67" applyNumberFormat="1"/>
    <xf numFmtId="41" fontId="6" fillId="0" borderId="45" xfId="67" applyNumberFormat="1" applyFont="1" applyBorder="1"/>
    <xf numFmtId="172" fontId="7" fillId="0" borderId="50" xfId="67" applyNumberFormat="1" applyBorder="1"/>
    <xf numFmtId="172" fontId="7" fillId="0" borderId="22" xfId="67" applyNumberFormat="1" applyBorder="1"/>
    <xf numFmtId="41" fontId="7" fillId="0" borderId="22" xfId="67" applyNumberFormat="1" applyBorder="1"/>
    <xf numFmtId="41" fontId="7" fillId="0" borderId="21" xfId="67" applyNumberFormat="1" applyBorder="1"/>
    <xf numFmtId="172" fontId="7" fillId="0" borderId="10" xfId="67" applyNumberFormat="1" applyBorder="1"/>
    <xf numFmtId="173" fontId="7" fillId="0" borderId="22" xfId="67" applyNumberFormat="1" applyBorder="1"/>
    <xf numFmtId="172" fontId="7" fillId="0" borderId="21" xfId="67" applyNumberFormat="1" applyBorder="1"/>
    <xf numFmtId="172" fontId="7" fillId="0" borderId="19" xfId="67" applyNumberFormat="1" applyBorder="1"/>
    <xf numFmtId="41" fontId="7" fillId="0" borderId="18" xfId="67" applyNumberFormat="1" applyBorder="1"/>
    <xf numFmtId="172" fontId="7" fillId="0" borderId="17" xfId="67" applyNumberFormat="1" applyBorder="1"/>
    <xf numFmtId="172" fontId="7" fillId="0" borderId="12" xfId="67" applyNumberFormat="1" applyBorder="1"/>
    <xf numFmtId="41" fontId="7" fillId="0" borderId="32" xfId="67" applyNumberFormat="1" applyBorder="1"/>
    <xf numFmtId="172" fontId="7" fillId="0" borderId="13" xfId="67" applyNumberFormat="1" applyBorder="1"/>
    <xf numFmtId="172" fontId="6" fillId="0" borderId="13" xfId="67" applyNumberFormat="1" applyFont="1" applyBorder="1"/>
    <xf numFmtId="172" fontId="6" fillId="0" borderId="12" xfId="67" applyNumberFormat="1" applyFont="1" applyBorder="1"/>
    <xf numFmtId="172" fontId="6" fillId="0" borderId="16" xfId="67" applyNumberFormat="1" applyFont="1" applyBorder="1"/>
    <xf numFmtId="172" fontId="7" fillId="0" borderId="21" xfId="67" applyNumberFormat="1" applyBorder="1" applyAlignment="1">
      <alignment horizontal="center"/>
    </xf>
    <xf numFmtId="172" fontId="7" fillId="0" borderId="22" xfId="67" applyNumberFormat="1" applyBorder="1" applyAlignment="1">
      <alignment horizontal="center"/>
    </xf>
    <xf numFmtId="172" fontId="7" fillId="0" borderId="11" xfId="67" applyNumberFormat="1" applyBorder="1" applyAlignment="1">
      <alignment horizontal="center"/>
    </xf>
    <xf numFmtId="172" fontId="7" fillId="0" borderId="20" xfId="67" applyNumberFormat="1" applyBorder="1" applyAlignment="1">
      <alignment horizontal="center"/>
    </xf>
    <xf numFmtId="172" fontId="7" fillId="0" borderId="15" xfId="67" applyNumberFormat="1" applyBorder="1"/>
    <xf numFmtId="172" fontId="7" fillId="0" borderId="19" xfId="67" applyNumberFormat="1" applyBorder="1" applyAlignment="1">
      <alignment horizontal="centerContinuous"/>
    </xf>
    <xf numFmtId="172" fontId="7" fillId="0" borderId="19" xfId="67" applyNumberFormat="1" applyBorder="1" applyAlignment="1">
      <alignment horizontal="center"/>
    </xf>
    <xf numFmtId="172" fontId="7" fillId="0" borderId="18" xfId="67" applyNumberFormat="1" applyBorder="1"/>
    <xf numFmtId="10" fontId="7" fillId="0" borderId="0" xfId="67" applyNumberFormat="1"/>
    <xf numFmtId="172" fontId="7" fillId="0" borderId="9" xfId="67" applyNumberFormat="1" applyBorder="1"/>
    <xf numFmtId="172" fontId="6" fillId="32" borderId="9" xfId="67" applyNumberFormat="1" applyFont="1" applyFill="1" applyBorder="1"/>
    <xf numFmtId="41" fontId="6" fillId="32" borderId="45" xfId="67" applyNumberFormat="1" applyFont="1" applyFill="1" applyBorder="1"/>
    <xf numFmtId="172" fontId="6" fillId="32" borderId="13" xfId="67" applyNumberFormat="1" applyFont="1" applyFill="1" applyBorder="1"/>
    <xf numFmtId="172" fontId="7" fillId="0" borderId="20" xfId="67" applyNumberFormat="1" applyBorder="1"/>
    <xf numFmtId="172" fontId="12" fillId="0" borderId="0" xfId="67" applyNumberFormat="1" applyFont="1"/>
    <xf numFmtId="172" fontId="7" fillId="0" borderId="12" xfId="67" applyNumberFormat="1" applyBorder="1" applyAlignment="1">
      <alignment horizontal="center"/>
    </xf>
    <xf numFmtId="172" fontId="84" fillId="0" borderId="0" xfId="0" applyNumberFormat="1" applyFont="1"/>
    <xf numFmtId="171" fontId="0" fillId="47" borderId="15" xfId="0" applyNumberFormat="1" applyFill="1" applyBorder="1"/>
    <xf numFmtId="171" fontId="0" fillId="47" borderId="11" xfId="0" applyNumberFormat="1" applyFill="1" applyBorder="1"/>
    <xf numFmtId="0" fontId="0" fillId="47" borderId="12" xfId="0" applyFill="1" applyBorder="1" applyAlignment="1">
      <alignment horizontal="left"/>
    </xf>
    <xf numFmtId="0" fontId="6" fillId="31" borderId="12" xfId="0" applyFont="1" applyFill="1" applyBorder="1" applyAlignment="1">
      <alignment horizontal="left"/>
    </xf>
    <xf numFmtId="171" fontId="14" fillId="47" borderId="11" xfId="0" applyNumberFormat="1" applyFont="1" applyFill="1" applyBorder="1"/>
    <xf numFmtId="171" fontId="0" fillId="51" borderId="15" xfId="0" applyNumberFormat="1" applyFill="1" applyBorder="1"/>
    <xf numFmtId="0" fontId="7" fillId="47" borderId="11" xfId="0" applyFont="1" applyFill="1" applyBorder="1"/>
    <xf numFmtId="176" fontId="14" fillId="47" borderId="12" xfId="0" applyNumberFormat="1" applyFont="1" applyFill="1" applyBorder="1"/>
    <xf numFmtId="0" fontId="7" fillId="24" borderId="12" xfId="0" applyFont="1" applyFill="1" applyBorder="1" applyAlignment="1">
      <alignment horizontal="left"/>
    </xf>
    <xf numFmtId="171" fontId="0" fillId="47" borderId="14" xfId="0" applyNumberFormat="1" applyFill="1" applyBorder="1"/>
    <xf numFmtId="0" fontId="6" fillId="47" borderId="11" xfId="0" applyFont="1" applyFill="1" applyBorder="1"/>
    <xf numFmtId="0" fontId="0" fillId="47" borderId="11" xfId="0" applyFill="1" applyBorder="1"/>
    <xf numFmtId="172" fontId="29" fillId="0" borderId="10" xfId="0" applyNumberFormat="1" applyFont="1" applyBorder="1"/>
    <xf numFmtId="172" fontId="29" fillId="0" borderId="22" xfId="0" applyNumberFormat="1" applyFont="1" applyBorder="1"/>
    <xf numFmtId="172" fontId="29" fillId="0" borderId="21" xfId="0" applyNumberFormat="1" applyFont="1" applyBorder="1"/>
    <xf numFmtId="0" fontId="7" fillId="25" borderId="12" xfId="0" applyFont="1" applyFill="1" applyBorder="1" applyAlignment="1">
      <alignment horizontal="left"/>
    </xf>
    <xf numFmtId="3" fontId="0" fillId="27" borderId="12" xfId="0" applyNumberFormat="1" applyFill="1" applyBorder="1"/>
    <xf numFmtId="171" fontId="0" fillId="54" borderId="15" xfId="0" applyNumberFormat="1" applyFill="1" applyBorder="1"/>
    <xf numFmtId="3" fontId="7" fillId="0" borderId="22" xfId="0" applyNumberFormat="1" applyFont="1" applyBorder="1" applyAlignment="1">
      <alignment horizontal="right"/>
    </xf>
    <xf numFmtId="3" fontId="6" fillId="0" borderId="22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71" fontId="0" fillId="51" borderId="11" xfId="0" applyNumberFormat="1" applyFill="1" applyBorder="1"/>
    <xf numFmtId="171" fontId="7" fillId="32" borderId="15" xfId="0" applyNumberFormat="1" applyFont="1" applyFill="1" applyBorder="1"/>
    <xf numFmtId="0" fontId="0" fillId="52" borderId="11" xfId="0" applyFill="1" applyBorder="1"/>
    <xf numFmtId="171" fontId="0" fillId="52" borderId="11" xfId="0" applyNumberFormat="1" applyFill="1" applyBorder="1"/>
    <xf numFmtId="172" fontId="17" fillId="0" borderId="0" xfId="0" applyNumberFormat="1" applyFont="1"/>
    <xf numFmtId="172" fontId="25" fillId="43" borderId="0" xfId="0" applyNumberFormat="1" applyFont="1" applyFill="1"/>
    <xf numFmtId="172" fontId="39" fillId="0" borderId="0" xfId="0" applyNumberFormat="1" applyFont="1"/>
    <xf numFmtId="0" fontId="6" fillId="0" borderId="11" xfId="0" applyFont="1" applyBorder="1"/>
    <xf numFmtId="0" fontId="6" fillId="0" borderId="54" xfId="67" quotePrefix="1" applyFont="1" applyBorder="1" applyAlignment="1">
      <alignment horizontal="center"/>
    </xf>
    <xf numFmtId="40" fontId="6" fillId="0" borderId="55" xfId="67" quotePrefix="1" applyNumberFormat="1" applyFont="1" applyBorder="1" applyAlignment="1">
      <alignment horizontal="center"/>
    </xf>
    <xf numFmtId="40" fontId="6" fillId="0" borderId="56" xfId="67" quotePrefix="1" applyNumberFormat="1" applyFont="1" applyBorder="1" applyAlignment="1">
      <alignment horizontal="center"/>
    </xf>
    <xf numFmtId="0" fontId="6" fillId="43" borderId="23" xfId="0" applyFont="1" applyFill="1" applyBorder="1" applyAlignment="1">
      <alignment horizontal="centerContinuous"/>
    </xf>
    <xf numFmtId="0" fontId="9" fillId="43" borderId="24" xfId="0" applyFont="1" applyFill="1" applyBorder="1" applyAlignment="1">
      <alignment horizontal="center"/>
    </xf>
    <xf numFmtId="0" fontId="9" fillId="43" borderId="25" xfId="0" applyFont="1" applyFill="1" applyBorder="1" applyAlignment="1">
      <alignment horizontal="center"/>
    </xf>
    <xf numFmtId="0" fontId="7" fillId="55" borderId="57" xfId="0" applyFont="1" applyFill="1" applyBorder="1" applyAlignment="1">
      <alignment horizontal="center"/>
    </xf>
    <xf numFmtId="0" fontId="7" fillId="55" borderId="24" xfId="0" applyFont="1" applyFill="1" applyBorder="1" applyAlignment="1">
      <alignment horizontal="centerContinuous"/>
    </xf>
    <xf numFmtId="0" fontId="14" fillId="55" borderId="25" xfId="0" applyFont="1" applyFill="1" applyBorder="1" applyAlignment="1">
      <alignment horizontal="centerContinuous"/>
    </xf>
    <xf numFmtId="171" fontId="0" fillId="55" borderId="15" xfId="0" applyNumberFormat="1" applyFill="1" applyBorder="1"/>
    <xf numFmtId="171" fontId="0" fillId="55" borderId="11" xfId="0" applyNumberFormat="1" applyFill="1" applyBorder="1"/>
    <xf numFmtId="0" fontId="0" fillId="33" borderId="11" xfId="0" applyFill="1" applyBorder="1" applyAlignment="1">
      <alignment horizontal="left"/>
    </xf>
    <xf numFmtId="0" fontId="6" fillId="48" borderId="23" xfId="0" applyFont="1" applyFill="1" applyBorder="1" applyAlignment="1">
      <alignment horizontal="centerContinuous"/>
    </xf>
    <xf numFmtId="0" fontId="9" fillId="48" borderId="24" xfId="0" applyFont="1" applyFill="1" applyBorder="1" applyAlignment="1">
      <alignment horizontal="center"/>
    </xf>
    <xf numFmtId="0" fontId="9" fillId="48" borderId="25" xfId="0" applyFont="1" applyFill="1" applyBorder="1" applyAlignment="1">
      <alignment horizontal="center"/>
    </xf>
    <xf numFmtId="0" fontId="6" fillId="56" borderId="23" xfId="0" applyFont="1" applyFill="1" applyBorder="1" applyAlignment="1">
      <alignment horizontal="centerContinuous"/>
    </xf>
    <xf numFmtId="0" fontId="9" fillId="56" borderId="24" xfId="0" applyFont="1" applyFill="1" applyBorder="1" applyAlignment="1">
      <alignment horizontal="center"/>
    </xf>
    <xf numFmtId="0" fontId="9" fillId="56" borderId="25" xfId="0" applyFont="1" applyFill="1" applyBorder="1" applyAlignment="1">
      <alignment horizontal="center"/>
    </xf>
    <xf numFmtId="0" fontId="6" fillId="57" borderId="23" xfId="0" applyFont="1" applyFill="1" applyBorder="1" applyAlignment="1">
      <alignment horizontal="centerContinuous"/>
    </xf>
    <xf numFmtId="0" fontId="9" fillId="57" borderId="24" xfId="0" applyFont="1" applyFill="1" applyBorder="1" applyAlignment="1">
      <alignment horizontal="center"/>
    </xf>
    <xf numFmtId="0" fontId="9" fillId="57" borderId="25" xfId="0" applyFont="1" applyFill="1" applyBorder="1" applyAlignment="1">
      <alignment horizontal="center"/>
    </xf>
    <xf numFmtId="3" fontId="58" fillId="31" borderId="12" xfId="0" applyNumberFormat="1" applyFont="1" applyFill="1" applyBorder="1" applyAlignment="1">
      <alignment horizontal="right"/>
    </xf>
    <xf numFmtId="0" fontId="86" fillId="0" borderId="0" xfId="0" applyFont="1"/>
    <xf numFmtId="0" fontId="87" fillId="0" borderId="0" xfId="0" applyFont="1"/>
    <xf numFmtId="3" fontId="7" fillId="58" borderId="22" xfId="0" applyNumberFormat="1" applyFont="1" applyFill="1" applyBorder="1" applyAlignment="1">
      <alignment horizontal="right"/>
    </xf>
    <xf numFmtId="171" fontId="6" fillId="58" borderId="11" xfId="0" applyNumberFormat="1" applyFont="1" applyFill="1" applyBorder="1"/>
    <xf numFmtId="171" fontId="0" fillId="0" borderId="20" xfId="0" applyNumberFormat="1" applyBorder="1"/>
    <xf numFmtId="171" fontId="0" fillId="0" borderId="22" xfId="0" applyNumberFormat="1" applyBorder="1"/>
    <xf numFmtId="171" fontId="6" fillId="58" borderId="58" xfId="0" applyNumberFormat="1" applyFont="1" applyFill="1" applyBorder="1"/>
    <xf numFmtId="171" fontId="81" fillId="43" borderId="11" xfId="0" applyNumberFormat="1" applyFont="1" applyFill="1" applyBorder="1"/>
    <xf numFmtId="0" fontId="17" fillId="0" borderId="0" xfId="67" applyFont="1" applyAlignment="1">
      <alignment horizontal="left"/>
    </xf>
    <xf numFmtId="0" fontId="72" fillId="0" borderId="44" xfId="53" applyFont="1" applyBorder="1" applyAlignment="1">
      <alignment horizontal="justify" wrapText="1"/>
    </xf>
    <xf numFmtId="0" fontId="72" fillId="0" borderId="52" xfId="53" applyFont="1" applyBorder="1" applyAlignment="1">
      <alignment horizontal="justify" wrapText="1"/>
    </xf>
    <xf numFmtId="0" fontId="6" fillId="0" borderId="12" xfId="0" applyFont="1" applyBorder="1" applyAlignment="1">
      <alignment horizontal="left"/>
    </xf>
    <xf numFmtId="0" fontId="7" fillId="0" borderId="12" xfId="0" applyFont="1" applyBorder="1"/>
    <xf numFmtId="3" fontId="6" fillId="0" borderId="12" xfId="0" applyNumberFormat="1" applyFont="1" applyBorder="1"/>
    <xf numFmtId="0" fontId="0" fillId="59" borderId="12" xfId="0" applyFill="1" applyBorder="1"/>
    <xf numFmtId="0" fontId="7" fillId="59" borderId="12" xfId="0" applyFont="1" applyFill="1" applyBorder="1"/>
    <xf numFmtId="4" fontId="0" fillId="59" borderId="12" xfId="0" applyNumberFormat="1" applyFill="1" applyBorder="1" applyAlignment="1">
      <alignment horizontal="right"/>
    </xf>
    <xf numFmtId="4" fontId="0" fillId="59" borderId="12" xfId="0" applyNumberFormat="1" applyFill="1" applyBorder="1"/>
    <xf numFmtId="3" fontId="0" fillId="59" borderId="12" xfId="0" applyNumberFormat="1" applyFill="1" applyBorder="1"/>
    <xf numFmtId="172" fontId="36" fillId="0" borderId="0" xfId="67" applyNumberFormat="1" applyFont="1"/>
    <xf numFmtId="172" fontId="9" fillId="0" borderId="0" xfId="67" applyNumberFormat="1" applyFont="1"/>
    <xf numFmtId="3" fontId="42" fillId="0" borderId="0" xfId="53" applyNumberFormat="1" applyAlignment="1">
      <alignment horizontal="right" wrapText="1"/>
    </xf>
    <xf numFmtId="0" fontId="6" fillId="0" borderId="12" xfId="67" applyFont="1" applyBorder="1" applyAlignment="1">
      <alignment horizontal="centerContinuous"/>
    </xf>
    <xf numFmtId="0" fontId="6" fillId="0" borderId="13" xfId="67" applyFont="1" applyBorder="1" applyAlignment="1">
      <alignment horizontal="centerContinuous"/>
    </xf>
    <xf numFmtId="0" fontId="7" fillId="0" borderId="32" xfId="67" applyBorder="1" applyAlignment="1">
      <alignment horizontal="centerContinuous"/>
    </xf>
    <xf numFmtId="0" fontId="7" fillId="0" borderId="16" xfId="67" applyBorder="1" applyAlignment="1">
      <alignment horizontal="centerContinuous"/>
    </xf>
    <xf numFmtId="0" fontId="7" fillId="0" borderId="17" xfId="67" applyBorder="1" applyAlignment="1">
      <alignment horizontal="centerContinuous"/>
    </xf>
    <xf numFmtId="0" fontId="7" fillId="0" borderId="19" xfId="67" applyBorder="1" applyAlignment="1">
      <alignment horizontal="centerContinuous"/>
    </xf>
    <xf numFmtId="0" fontId="7" fillId="0" borderId="33" xfId="67" applyBorder="1" applyAlignment="1">
      <alignment horizontal="centerContinuous"/>
    </xf>
    <xf numFmtId="0" fontId="7" fillId="0" borderId="18" xfId="67" applyBorder="1" applyAlignment="1">
      <alignment horizontal="centerContinuous"/>
    </xf>
    <xf numFmtId="0" fontId="7" fillId="0" borderId="15" xfId="67" applyBorder="1" applyAlignment="1">
      <alignment horizontal="centerContinuous"/>
    </xf>
    <xf numFmtId="0" fontId="7" fillId="0" borderId="11" xfId="67" applyBorder="1" applyAlignment="1">
      <alignment horizontal="centerContinuous"/>
    </xf>
    <xf numFmtId="0" fontId="7" fillId="0" borderId="14" xfId="67" applyBorder="1" applyAlignment="1">
      <alignment horizontal="centerContinuous"/>
    </xf>
    <xf numFmtId="0" fontId="7" fillId="0" borderId="20" xfId="67" applyBorder="1"/>
    <xf numFmtId="3" fontId="7" fillId="0" borderId="22" xfId="67" applyNumberFormat="1" applyBorder="1" applyAlignment="1">
      <alignment horizontal="right"/>
    </xf>
    <xf numFmtId="169" fontId="6" fillId="0" borderId="0" xfId="53" applyNumberFormat="1" applyFont="1" applyAlignment="1">
      <alignment horizontal="center"/>
    </xf>
    <xf numFmtId="3" fontId="7" fillId="0" borderId="21" xfId="67" applyNumberFormat="1" applyBorder="1" applyAlignment="1">
      <alignment horizontal="right"/>
    </xf>
    <xf numFmtId="3" fontId="7" fillId="43" borderId="22" xfId="67" applyNumberFormat="1" applyFill="1" applyBorder="1" applyAlignment="1">
      <alignment horizontal="right"/>
    </xf>
    <xf numFmtId="3" fontId="7" fillId="0" borderId="0" xfId="67" applyNumberFormat="1"/>
    <xf numFmtId="169" fontId="6" fillId="32" borderId="0" xfId="53" applyNumberFormat="1" applyFont="1" applyFill="1" applyAlignment="1">
      <alignment horizontal="center"/>
    </xf>
    <xf numFmtId="169" fontId="6" fillId="31" borderId="0" xfId="53" applyNumberFormat="1" applyFont="1" applyFill="1" applyAlignment="1">
      <alignment horizontal="center"/>
    </xf>
    <xf numFmtId="169" fontId="6" fillId="24" borderId="0" xfId="53" applyNumberFormat="1" applyFont="1" applyFill="1" applyAlignment="1">
      <alignment horizontal="center"/>
    </xf>
    <xf numFmtId="169" fontId="6" fillId="26" borderId="0" xfId="53" applyNumberFormat="1" applyFont="1" applyFill="1" applyAlignment="1">
      <alignment horizontal="center"/>
    </xf>
    <xf numFmtId="169" fontId="6" fillId="37" borderId="0" xfId="53" applyNumberFormat="1" applyFont="1" applyFill="1" applyAlignment="1">
      <alignment horizontal="center"/>
    </xf>
    <xf numFmtId="0" fontId="7" fillId="0" borderId="10" xfId="67" applyBorder="1"/>
    <xf numFmtId="3" fontId="7" fillId="0" borderId="11" xfId="67" applyNumberFormat="1" applyBorder="1" applyAlignment="1">
      <alignment horizontal="right"/>
    </xf>
    <xf numFmtId="38" fontId="7" fillId="0" borderId="0" xfId="67" applyNumberFormat="1" applyAlignment="1">
      <alignment horizontal="right"/>
    </xf>
    <xf numFmtId="3" fontId="6" fillId="0" borderId="12" xfId="67" applyNumberFormat="1" applyFont="1" applyBorder="1" applyAlignment="1">
      <alignment horizontal="right"/>
    </xf>
    <xf numFmtId="38" fontId="6" fillId="0" borderId="32" xfId="67" applyNumberFormat="1" applyFont="1" applyBorder="1" applyAlignment="1">
      <alignment horizontal="right"/>
    </xf>
    <xf numFmtId="0" fontId="88" fillId="0" borderId="53" xfId="67" applyFont="1" applyBorder="1" applyAlignment="1">
      <alignment horizontal="left" vertical="center" wrapText="1"/>
    </xf>
    <xf numFmtId="14" fontId="88" fillId="0" borderId="53" xfId="67" applyNumberFormat="1" applyFont="1" applyBorder="1" applyAlignment="1">
      <alignment horizontal="left" vertical="center" wrapText="1"/>
    </xf>
    <xf numFmtId="0" fontId="88" fillId="0" borderId="53" xfId="67" applyFont="1" applyBorder="1" applyAlignment="1">
      <alignment horizontal="center" vertical="center" wrapText="1"/>
    </xf>
    <xf numFmtId="3" fontId="88" fillId="0" borderId="53" xfId="67" applyNumberFormat="1" applyFont="1" applyBorder="1" applyAlignment="1">
      <alignment horizontal="right" vertical="center" wrapText="1"/>
    </xf>
    <xf numFmtId="3" fontId="42" fillId="43" borderId="0" xfId="53" applyNumberFormat="1" applyFill="1"/>
    <xf numFmtId="0" fontId="88" fillId="0" borderId="53" xfId="67" applyFont="1" applyBorder="1" applyAlignment="1">
      <alignment horizontal="right" vertical="center" wrapText="1"/>
    </xf>
    <xf numFmtId="0" fontId="7" fillId="0" borderId="53" xfId="67" applyBorder="1" applyAlignment="1">
      <alignment wrapText="1"/>
    </xf>
    <xf numFmtId="14" fontId="89" fillId="0" borderId="53" xfId="67" applyNumberFormat="1" applyFont="1" applyBorder="1" applyAlignment="1">
      <alignment horizontal="left" wrapText="1"/>
    </xf>
    <xf numFmtId="0" fontId="89" fillId="0" borderId="53" xfId="67" applyFont="1" applyBorder="1" applyAlignment="1">
      <alignment horizontal="left" wrapText="1"/>
    </xf>
    <xf numFmtId="0" fontId="7" fillId="0" borderId="12" xfId="67" applyBorder="1" applyAlignment="1">
      <alignment horizontal="center"/>
    </xf>
    <xf numFmtId="179" fontId="0" fillId="0" borderId="12" xfId="71" applyNumberFormat="1" applyFont="1" applyBorder="1"/>
    <xf numFmtId="0" fontId="88" fillId="43" borderId="53" xfId="67" applyFont="1" applyFill="1" applyBorder="1" applyAlignment="1">
      <alignment horizontal="left" vertical="center" wrapText="1"/>
    </xf>
    <xf numFmtId="0" fontId="88" fillId="0" borderId="0" xfId="67" applyFont="1" applyAlignment="1">
      <alignment horizontal="left" vertical="center" wrapText="1"/>
    </xf>
    <xf numFmtId="14" fontId="88" fillId="0" borderId="0" xfId="67" applyNumberFormat="1" applyFont="1" applyAlignment="1">
      <alignment horizontal="left" vertical="center" wrapText="1"/>
    </xf>
    <xf numFmtId="0" fontId="88" fillId="0" borderId="0" xfId="67" applyFont="1" applyAlignment="1">
      <alignment horizontal="center" vertical="center" wrapText="1"/>
    </xf>
    <xf numFmtId="3" fontId="88" fillId="0" borderId="0" xfId="67" applyNumberFormat="1" applyFont="1" applyAlignment="1">
      <alignment horizontal="right" vertical="center" wrapText="1"/>
    </xf>
    <xf numFmtId="0" fontId="7" fillId="0" borderId="48" xfId="67" applyBorder="1" applyAlignment="1">
      <alignment horizontal="right" wrapText="1"/>
    </xf>
    <xf numFmtId="14" fontId="7" fillId="0" borderId="48" xfId="67" applyNumberFormat="1" applyBorder="1" applyAlignment="1">
      <alignment horizontal="right" wrapText="1"/>
    </xf>
    <xf numFmtId="3" fontId="7" fillId="24" borderId="48" xfId="67" applyNumberFormat="1" applyFill="1" applyBorder="1" applyAlignment="1">
      <alignment horizontal="right" wrapText="1"/>
    </xf>
    <xf numFmtId="169" fontId="6" fillId="38" borderId="0" xfId="53" applyNumberFormat="1" applyFont="1" applyFill="1" applyAlignment="1">
      <alignment horizontal="right"/>
    </xf>
    <xf numFmtId="0" fontId="90" fillId="0" borderId="53" xfId="67" applyFont="1" applyBorder="1" applyAlignment="1">
      <alignment horizontal="center" vertical="center" wrapText="1"/>
    </xf>
    <xf numFmtId="169" fontId="17" fillId="60" borderId="0" xfId="53" applyNumberFormat="1" applyFont="1" applyFill="1" applyAlignment="1">
      <alignment horizontal="right"/>
    </xf>
    <xf numFmtId="169" fontId="17" fillId="57" borderId="0" xfId="53" applyNumberFormat="1" applyFont="1" applyFill="1" applyAlignment="1">
      <alignment horizontal="right"/>
    </xf>
    <xf numFmtId="169" fontId="17" fillId="47" borderId="0" xfId="53" applyNumberFormat="1" applyFont="1" applyFill="1" applyAlignment="1">
      <alignment horizontal="right"/>
    </xf>
    <xf numFmtId="169" fontId="17" fillId="32" borderId="0" xfId="53" applyNumberFormat="1" applyFont="1" applyFill="1" applyAlignment="1">
      <alignment horizontal="right"/>
    </xf>
    <xf numFmtId="169" fontId="17" fillId="31" borderId="0" xfId="53" applyNumberFormat="1" applyFont="1" applyFill="1" applyAlignment="1">
      <alignment horizontal="right"/>
    </xf>
    <xf numFmtId="169" fontId="17" fillId="61" borderId="0" xfId="53" applyNumberFormat="1" applyFont="1" applyFill="1" applyAlignment="1">
      <alignment horizontal="right"/>
    </xf>
    <xf numFmtId="169" fontId="17" fillId="24" borderId="0" xfId="53" applyNumberFormat="1" applyFont="1" applyFill="1" applyAlignment="1">
      <alignment horizontal="right"/>
    </xf>
    <xf numFmtId="169" fontId="17" fillId="26" borderId="0" xfId="53" applyNumberFormat="1" applyFont="1" applyFill="1" applyAlignment="1">
      <alignment horizontal="right"/>
    </xf>
    <xf numFmtId="169" fontId="17" fillId="51" borderId="0" xfId="53" applyNumberFormat="1" applyFont="1" applyFill="1" applyAlignment="1">
      <alignment horizontal="right"/>
    </xf>
    <xf numFmtId="169" fontId="17" fillId="37" borderId="0" xfId="53" applyNumberFormat="1" applyFont="1" applyFill="1" applyAlignment="1">
      <alignment horizontal="right"/>
    </xf>
    <xf numFmtId="169" fontId="17" fillId="43" borderId="0" xfId="53" applyNumberFormat="1" applyFont="1" applyFill="1" applyAlignment="1">
      <alignment horizontal="right"/>
    </xf>
    <xf numFmtId="172" fontId="7" fillId="0" borderId="13" xfId="67" applyNumberFormat="1" applyBorder="1" applyAlignment="1">
      <alignment horizontal="center"/>
    </xf>
    <xf numFmtId="2" fontId="17" fillId="0" borderId="0" xfId="67" applyNumberFormat="1" applyFont="1" applyAlignment="1">
      <alignment horizontal="left"/>
    </xf>
    <xf numFmtId="172" fontId="20" fillId="0" borderId="0" xfId="67" applyNumberFormat="1" applyFont="1"/>
    <xf numFmtId="172" fontId="7" fillId="0" borderId="0" xfId="67" applyNumberFormat="1" applyAlignment="1">
      <alignment horizontal="center"/>
    </xf>
    <xf numFmtId="172" fontId="6" fillId="31" borderId="13" xfId="67" applyNumberFormat="1" applyFont="1" applyFill="1" applyBorder="1"/>
    <xf numFmtId="172" fontId="6" fillId="0" borderId="0" xfId="67" applyNumberFormat="1" applyFont="1"/>
    <xf numFmtId="173" fontId="7" fillId="0" borderId="0" xfId="67" applyNumberFormat="1"/>
    <xf numFmtId="41" fontId="7" fillId="0" borderId="0" xfId="67" applyNumberFormat="1"/>
    <xf numFmtId="41" fontId="6" fillId="0" borderId="51" xfId="67" quotePrefix="1" applyNumberFormat="1" applyFont="1" applyBorder="1" applyAlignment="1">
      <alignment horizontal="left"/>
    </xf>
    <xf numFmtId="41" fontId="6" fillId="31" borderId="45" xfId="67" applyNumberFormat="1" applyFont="1" applyFill="1" applyBorder="1"/>
    <xf numFmtId="41" fontId="6" fillId="0" borderId="0" xfId="67" applyNumberFormat="1" applyFont="1"/>
    <xf numFmtId="172" fontId="7" fillId="0" borderId="0" xfId="67" applyNumberFormat="1" applyAlignment="1">
      <alignment horizontal="right"/>
    </xf>
    <xf numFmtId="172" fontId="6" fillId="0" borderId="0" xfId="67" applyNumberFormat="1" applyFont="1" applyAlignment="1">
      <alignment horizontal="center"/>
    </xf>
    <xf numFmtId="172" fontId="40" fillId="32" borderId="0" xfId="67" applyNumberFormat="1" applyFont="1" applyFill="1"/>
    <xf numFmtId="174" fontId="7" fillId="0" borderId="0" xfId="67" applyNumberFormat="1"/>
    <xf numFmtId="172" fontId="58" fillId="0" borderId="0" xfId="67" applyNumberFormat="1" applyFont="1"/>
    <xf numFmtId="172" fontId="7" fillId="0" borderId="0" xfId="67" applyNumberFormat="1" applyAlignment="1">
      <alignment horizontal="left"/>
    </xf>
    <xf numFmtId="175" fontId="7" fillId="0" borderId="0" xfId="67" applyNumberFormat="1"/>
    <xf numFmtId="172" fontId="6" fillId="32" borderId="0" xfId="67" applyNumberFormat="1" applyFont="1" applyFill="1" applyAlignment="1">
      <alignment horizontal="center"/>
    </xf>
    <xf numFmtId="0" fontId="41" fillId="0" borderId="44" xfId="67" applyFont="1" applyBorder="1" applyAlignment="1">
      <alignment wrapText="1"/>
    </xf>
    <xf numFmtId="172" fontId="7" fillId="0" borderId="42" xfId="67" applyNumberFormat="1" applyBorder="1"/>
    <xf numFmtId="41" fontId="7" fillId="0" borderId="43" xfId="67" quotePrefix="1" applyNumberFormat="1" applyBorder="1" applyAlignment="1">
      <alignment horizontal="left"/>
    </xf>
    <xf numFmtId="41" fontId="6" fillId="0" borderId="41" xfId="67" applyNumberFormat="1" applyFont="1" applyBorder="1"/>
    <xf numFmtId="172" fontId="6" fillId="31" borderId="12" xfId="67" applyNumberFormat="1" applyFont="1" applyFill="1" applyBorder="1"/>
    <xf numFmtId="172" fontId="25" fillId="43" borderId="22" xfId="0" applyNumberFormat="1" applyFont="1" applyFill="1" applyBorder="1"/>
    <xf numFmtId="172" fontId="25" fillId="62" borderId="22" xfId="0" applyNumberFormat="1" applyFont="1" applyFill="1" applyBorder="1"/>
    <xf numFmtId="172" fontId="25" fillId="46" borderId="22" xfId="0" applyNumberFormat="1" applyFont="1" applyFill="1" applyBorder="1"/>
    <xf numFmtId="172" fontId="25" fillId="63" borderId="22" xfId="0" applyNumberFormat="1" applyFont="1" applyFill="1" applyBorder="1"/>
    <xf numFmtId="172" fontId="25" fillId="62" borderId="21" xfId="0" applyNumberFormat="1" applyFont="1" applyFill="1" applyBorder="1"/>
    <xf numFmtId="172" fontId="25" fillId="64" borderId="22" xfId="0" applyNumberFormat="1" applyFont="1" applyFill="1" applyBorder="1"/>
    <xf numFmtId="0" fontId="9" fillId="57" borderId="0" xfId="0" applyFont="1" applyFill="1" applyAlignment="1">
      <alignment horizontal="center"/>
    </xf>
    <xf numFmtId="40" fontId="6" fillId="0" borderId="0" xfId="67" quotePrefix="1" applyNumberFormat="1" applyFont="1" applyAlignment="1">
      <alignment horizontal="center"/>
    </xf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54" borderId="22" xfId="0" applyNumberFormat="1" applyFont="1" applyFill="1" applyBorder="1" applyAlignment="1">
      <alignment horizontal="right"/>
    </xf>
    <xf numFmtId="0" fontId="6" fillId="65" borderId="19" xfId="0" applyFont="1" applyFill="1" applyBorder="1" applyAlignment="1">
      <alignment horizontal="center"/>
    </xf>
    <xf numFmtId="9" fontId="7" fillId="0" borderId="0" xfId="67" applyNumberFormat="1"/>
    <xf numFmtId="171" fontId="7" fillId="0" borderId="0" xfId="0" applyNumberFormat="1" applyFont="1"/>
    <xf numFmtId="180" fontId="7" fillId="0" borderId="0" xfId="67" applyNumberFormat="1"/>
    <xf numFmtId="0" fontId="91" fillId="0" borderId="0" xfId="0" applyFont="1" applyAlignment="1">
      <alignment horizontal="left"/>
    </xf>
    <xf numFmtId="172" fontId="92" fillId="0" borderId="0" xfId="0" applyNumberFormat="1" applyFont="1"/>
    <xf numFmtId="0" fontId="93" fillId="0" borderId="0" xfId="0" applyFont="1" applyAlignment="1">
      <alignment horizontal="centerContinuous"/>
    </xf>
    <xf numFmtId="172" fontId="94" fillId="0" borderId="0" xfId="0" applyNumberFormat="1" applyFont="1"/>
    <xf numFmtId="0" fontId="93" fillId="0" borderId="0" xfId="0" applyFont="1" applyAlignment="1">
      <alignment horizontal="left"/>
    </xf>
    <xf numFmtId="0" fontId="94" fillId="0" borderId="0" xfId="0" applyFont="1"/>
    <xf numFmtId="0" fontId="95" fillId="0" borderId="0" xfId="0" applyFont="1" applyAlignment="1">
      <alignment horizontal="left"/>
    </xf>
    <xf numFmtId="172" fontId="96" fillId="0" borderId="0" xfId="0" applyNumberFormat="1" applyFont="1" applyAlignment="1">
      <alignment horizontal="centerContinuous"/>
    </xf>
    <xf numFmtId="172" fontId="97" fillId="0" borderId="0" xfId="0" applyNumberFormat="1" applyFont="1" applyAlignment="1">
      <alignment horizontal="centerContinuous"/>
    </xf>
    <xf numFmtId="172" fontId="98" fillId="0" borderId="0" xfId="0" applyNumberFormat="1" applyFont="1" applyAlignment="1">
      <alignment horizontal="centerContinuous"/>
    </xf>
    <xf numFmtId="172" fontId="94" fillId="0" borderId="0" xfId="0" applyNumberFormat="1" applyFont="1" applyAlignment="1">
      <alignment horizontal="centerContinuous"/>
    </xf>
    <xf numFmtId="172" fontId="99" fillId="0" borderId="0" xfId="0" applyNumberFormat="1" applyFont="1"/>
    <xf numFmtId="172" fontId="93" fillId="0" borderId="10" xfId="0" applyNumberFormat="1" applyFont="1" applyBorder="1"/>
    <xf numFmtId="172" fontId="93" fillId="0" borderId="22" xfId="0" applyNumberFormat="1" applyFont="1" applyBorder="1"/>
    <xf numFmtId="172" fontId="93" fillId="0" borderId="21" xfId="0" applyNumberFormat="1" applyFont="1" applyBorder="1"/>
    <xf numFmtId="172" fontId="100" fillId="0" borderId="13" xfId="0" applyNumberFormat="1" applyFont="1" applyBorder="1"/>
    <xf numFmtId="172" fontId="93" fillId="0" borderId="12" xfId="0" applyNumberFormat="1" applyFont="1" applyBorder="1"/>
    <xf numFmtId="172" fontId="93" fillId="0" borderId="16" xfId="0" applyNumberFormat="1" applyFont="1" applyBorder="1"/>
    <xf numFmtId="172" fontId="101" fillId="66" borderId="17" xfId="0" applyNumberFormat="1" applyFont="1" applyFill="1" applyBorder="1" applyAlignment="1">
      <alignment horizontal="centerContinuous"/>
    </xf>
    <xf numFmtId="172" fontId="101" fillId="66" borderId="34" xfId="0" applyNumberFormat="1" applyFont="1" applyFill="1" applyBorder="1" applyAlignment="1">
      <alignment horizontal="center"/>
    </xf>
    <xf numFmtId="172" fontId="101" fillId="66" borderId="33" xfId="0" applyNumberFormat="1" applyFont="1" applyFill="1" applyBorder="1" applyAlignment="1">
      <alignment horizontal="centerContinuous"/>
    </xf>
    <xf numFmtId="172" fontId="102" fillId="66" borderId="33" xfId="0" applyNumberFormat="1" applyFont="1" applyFill="1" applyBorder="1" applyAlignment="1">
      <alignment horizontal="centerContinuous"/>
    </xf>
    <xf numFmtId="172" fontId="101" fillId="66" borderId="36" xfId="0" applyNumberFormat="1" applyFont="1" applyFill="1" applyBorder="1" applyAlignment="1">
      <alignment horizontal="centerContinuous"/>
    </xf>
    <xf numFmtId="172" fontId="102" fillId="66" borderId="37" xfId="0" applyNumberFormat="1" applyFont="1" applyFill="1" applyBorder="1" applyAlignment="1">
      <alignment horizontal="centerContinuous"/>
    </xf>
    <xf numFmtId="172" fontId="102" fillId="66" borderId="18" xfId="0" applyNumberFormat="1" applyFont="1" applyFill="1" applyBorder="1" applyAlignment="1">
      <alignment horizontal="centerContinuous"/>
    </xf>
    <xf numFmtId="172" fontId="102" fillId="66" borderId="15" xfId="0" applyNumberFormat="1" applyFont="1" applyFill="1" applyBorder="1" applyAlignment="1">
      <alignment horizontal="centerContinuous"/>
    </xf>
    <xf numFmtId="172" fontId="103" fillId="66" borderId="35" xfId="0" applyNumberFormat="1" applyFont="1" applyFill="1" applyBorder="1" applyAlignment="1">
      <alignment horizontal="center"/>
    </xf>
    <xf numFmtId="172" fontId="102" fillId="66" borderId="39" xfId="0" applyNumberFormat="1" applyFont="1" applyFill="1" applyBorder="1" applyAlignment="1">
      <alignment horizontal="centerContinuous"/>
    </xf>
    <xf numFmtId="172" fontId="102" fillId="66" borderId="40" xfId="0" applyNumberFormat="1" applyFont="1" applyFill="1" applyBorder="1" applyAlignment="1">
      <alignment horizontal="centerContinuous"/>
    </xf>
    <xf numFmtId="172" fontId="102" fillId="66" borderId="38" xfId="0" applyNumberFormat="1" applyFont="1" applyFill="1" applyBorder="1" applyAlignment="1">
      <alignment horizontal="centerContinuous"/>
    </xf>
    <xf numFmtId="17" fontId="0" fillId="64" borderId="11" xfId="0" applyNumberFormat="1" applyFill="1" applyBorder="1" applyAlignment="1">
      <alignment horizontal="center"/>
    </xf>
    <xf numFmtId="1" fontId="0" fillId="64" borderId="15" xfId="0" applyNumberFormat="1" applyFill="1" applyBorder="1" applyAlignment="1">
      <alignment horizontal="center"/>
    </xf>
    <xf numFmtId="0" fontId="7" fillId="64" borderId="11" xfId="0" applyFont="1" applyFill="1" applyBorder="1"/>
    <xf numFmtId="171" fontId="0" fillId="64" borderId="11" xfId="0" applyNumberFormat="1" applyFill="1" applyBorder="1"/>
    <xf numFmtId="171" fontId="0" fillId="64" borderId="14" xfId="0" applyNumberFormat="1" applyFill="1" applyBorder="1"/>
    <xf numFmtId="171" fontId="0" fillId="64" borderId="15" xfId="0" applyNumberFormat="1" applyFill="1" applyBorder="1"/>
    <xf numFmtId="171" fontId="0" fillId="64" borderId="0" xfId="0" applyNumberFormat="1" applyFill="1"/>
    <xf numFmtId="176" fontId="14" fillId="64" borderId="15" xfId="0" applyNumberFormat="1" applyFont="1" applyFill="1" applyBorder="1"/>
    <xf numFmtId="176" fontId="14" fillId="64" borderId="12" xfId="0" applyNumberFormat="1" applyFont="1" applyFill="1" applyBorder="1"/>
    <xf numFmtId="0" fontId="0" fillId="64" borderId="0" xfId="0" applyFill="1"/>
    <xf numFmtId="172" fontId="6" fillId="0" borderId="13" xfId="67" applyNumberFormat="1" applyFont="1" applyBorder="1" applyAlignment="1">
      <alignment horizontal="center"/>
    </xf>
    <xf numFmtId="172" fontId="75" fillId="0" borderId="0" xfId="67" applyNumberFormat="1" applyFont="1"/>
    <xf numFmtId="172" fontId="7" fillId="0" borderId="23" xfId="67" applyNumberFormat="1" applyBorder="1"/>
    <xf numFmtId="172" fontId="104" fillId="0" borderId="24" xfId="67" applyNumberFormat="1" applyFont="1" applyBorder="1" applyAlignment="1">
      <alignment horizontal="center"/>
    </xf>
    <xf numFmtId="172" fontId="7" fillId="0" borderId="25" xfId="67" applyNumberFormat="1" applyBorder="1"/>
    <xf numFmtId="0" fontId="106" fillId="65" borderId="0" xfId="88" applyFont="1" applyFill="1" applyAlignment="1">
      <alignment vertical="center"/>
    </xf>
    <xf numFmtId="172" fontId="6" fillId="0" borderId="26" xfId="67" applyNumberFormat="1" applyFont="1" applyBorder="1" applyAlignment="1">
      <alignment horizontal="right"/>
    </xf>
    <xf numFmtId="172" fontId="7" fillId="0" borderId="27" xfId="67" applyNumberFormat="1" applyBorder="1"/>
    <xf numFmtId="181" fontId="81" fillId="0" borderId="22" xfId="67" applyNumberFormat="1" applyFont="1" applyBorder="1"/>
    <xf numFmtId="172" fontId="6" fillId="32" borderId="0" xfId="67" applyNumberFormat="1" applyFont="1" applyFill="1"/>
    <xf numFmtId="172" fontId="7" fillId="0" borderId="29" xfId="67" applyNumberFormat="1" applyBorder="1"/>
    <xf numFmtId="172" fontId="7" fillId="0" borderId="30" xfId="67" applyNumberFormat="1" applyBorder="1"/>
    <xf numFmtId="172" fontId="7" fillId="0" borderId="31" xfId="67" applyNumberFormat="1" applyBorder="1"/>
    <xf numFmtId="37" fontId="107" fillId="59" borderId="19" xfId="89" applyNumberFormat="1" applyFont="1" applyFill="1" applyBorder="1" applyAlignment="1">
      <alignment horizontal="left"/>
    </xf>
    <xf numFmtId="37" fontId="107" fillId="59" borderId="0" xfId="89" applyNumberFormat="1" applyFont="1" applyFill="1" applyAlignment="1">
      <alignment horizontal="left"/>
    </xf>
    <xf numFmtId="37" fontId="108" fillId="59" borderId="0" xfId="89" applyNumberFormat="1" applyFont="1" applyFill="1" applyAlignment="1">
      <alignment horizontal="left"/>
    </xf>
    <xf numFmtId="172" fontId="7" fillId="67" borderId="9" xfId="67" applyNumberFormat="1" applyFill="1" applyBorder="1"/>
    <xf numFmtId="172" fontId="109" fillId="0" borderId="17" xfId="67" applyNumberFormat="1" applyFont="1" applyBorder="1"/>
    <xf numFmtId="172" fontId="109" fillId="0" borderId="17" xfId="67" applyNumberFormat="1" applyFont="1" applyBorder="1" applyAlignment="1">
      <alignment horizontal="center"/>
    </xf>
    <xf numFmtId="172" fontId="81" fillId="0" borderId="17" xfId="67" applyNumberFormat="1" applyFont="1" applyBorder="1" applyAlignment="1">
      <alignment horizontal="center"/>
    </xf>
    <xf numFmtId="172" fontId="81" fillId="0" borderId="11" xfId="67" applyNumberFormat="1" applyFont="1" applyBorder="1" applyAlignment="1">
      <alignment horizontal="center"/>
    </xf>
    <xf numFmtId="172" fontId="109" fillId="0" borderId="15" xfId="67" applyNumberFormat="1" applyFont="1" applyBorder="1" applyAlignment="1">
      <alignment horizontal="center"/>
    </xf>
    <xf numFmtId="172" fontId="7" fillId="0" borderId="15" xfId="67" applyNumberFormat="1" applyBorder="1" applyAlignment="1">
      <alignment horizontal="center"/>
    </xf>
    <xf numFmtId="172" fontId="81" fillId="0" borderId="15" xfId="67" applyNumberFormat="1" applyFont="1" applyBorder="1" applyAlignment="1">
      <alignment horizontal="center"/>
    </xf>
    <xf numFmtId="10" fontId="7" fillId="0" borderId="21" xfId="67" applyNumberFormat="1" applyBorder="1"/>
    <xf numFmtId="172" fontId="9" fillId="45" borderId="10" xfId="67" applyNumberFormat="1" applyFont="1" applyFill="1" applyBorder="1" applyAlignment="1">
      <alignment horizontal="center"/>
    </xf>
    <xf numFmtId="41" fontId="111" fillId="0" borderId="32" xfId="67" applyNumberFormat="1" applyFont="1" applyBorder="1"/>
    <xf numFmtId="172" fontId="112" fillId="0" borderId="12" xfId="67" applyNumberFormat="1" applyFont="1" applyBorder="1"/>
    <xf numFmtId="172" fontId="113" fillId="0" borderId="12" xfId="67" applyNumberFormat="1" applyFont="1" applyBorder="1"/>
    <xf numFmtId="172" fontId="6" fillId="0" borderId="10" xfId="67" applyNumberFormat="1" applyFont="1" applyBorder="1" applyAlignment="1">
      <alignment horizontal="center"/>
    </xf>
    <xf numFmtId="41" fontId="6" fillId="0" borderId="22" xfId="67" applyNumberFormat="1" applyFont="1" applyBorder="1" applyAlignment="1">
      <alignment horizontal="right"/>
    </xf>
    <xf numFmtId="41" fontId="7" fillId="0" borderId="51" xfId="67" quotePrefix="1" applyNumberFormat="1" applyBorder="1" applyAlignment="1">
      <alignment horizontal="left"/>
    </xf>
    <xf numFmtId="182" fontId="6" fillId="0" borderId="45" xfId="67" applyNumberFormat="1" applyFont="1" applyBorder="1"/>
    <xf numFmtId="41" fontId="6" fillId="44" borderId="45" xfId="67" applyNumberFormat="1" applyFont="1" applyFill="1" applyBorder="1"/>
    <xf numFmtId="0" fontId="68" fillId="0" borderId="0" xfId="67" applyFont="1" applyAlignment="1">
      <alignment horizontal="left"/>
    </xf>
    <xf numFmtId="172" fontId="6" fillId="0" borderId="0" xfId="67" applyNumberFormat="1" applyFont="1" applyAlignment="1">
      <alignment horizontal="right"/>
    </xf>
    <xf numFmtId="172" fontId="114" fillId="0" borderId="0" xfId="67" applyNumberFormat="1" applyFont="1"/>
    <xf numFmtId="172" fontId="0" fillId="0" borderId="11" xfId="67" applyNumberFormat="1" applyFont="1" applyBorder="1" applyAlignment="1">
      <alignment horizontal="center"/>
    </xf>
    <xf numFmtId="0" fontId="115" fillId="0" borderId="0" xfId="90" applyFont="1" applyAlignment="1">
      <alignment horizontal="left"/>
    </xf>
    <xf numFmtId="183" fontId="115" fillId="0" borderId="22" xfId="90" applyNumberFormat="1" applyFont="1" applyBorder="1" applyAlignment="1">
      <alignment horizontal="right"/>
    </xf>
    <xf numFmtId="172" fontId="6" fillId="43" borderId="22" xfId="67" applyNumberFormat="1" applyFont="1" applyFill="1" applyBorder="1"/>
    <xf numFmtId="172" fontId="6" fillId="44" borderId="22" xfId="67" applyNumberFormat="1" applyFont="1" applyFill="1" applyBorder="1"/>
    <xf numFmtId="9" fontId="7" fillId="0" borderId="22" xfId="67" applyNumberFormat="1" applyBorder="1"/>
    <xf numFmtId="172" fontId="7" fillId="43" borderId="22" xfId="67" applyNumberFormat="1" applyFill="1" applyBorder="1"/>
    <xf numFmtId="0" fontId="115" fillId="0" borderId="21" xfId="90" applyFont="1" applyBorder="1" applyAlignment="1">
      <alignment horizontal="left"/>
    </xf>
    <xf numFmtId="172" fontId="7" fillId="65" borderId="22" xfId="67" applyNumberFormat="1" applyFill="1" applyBorder="1"/>
    <xf numFmtId="172" fontId="81" fillId="0" borderId="0" xfId="67" applyNumberFormat="1" applyFont="1"/>
    <xf numFmtId="41" fontId="0" fillId="0" borderId="51" xfId="67" quotePrefix="1" applyNumberFormat="1" applyFont="1" applyBorder="1" applyAlignment="1">
      <alignment horizontal="left"/>
    </xf>
    <xf numFmtId="41" fontId="6" fillId="68" borderId="45" xfId="67" applyNumberFormat="1" applyFont="1" applyFill="1" applyBorder="1"/>
    <xf numFmtId="41" fontId="6" fillId="49" borderId="45" xfId="67" applyNumberFormat="1" applyFont="1" applyFill="1" applyBorder="1"/>
    <xf numFmtId="9" fontId="6" fillId="48" borderId="45" xfId="67" applyNumberFormat="1" applyFont="1" applyFill="1" applyBorder="1"/>
    <xf numFmtId="41" fontId="6" fillId="43" borderId="45" xfId="67" applyNumberFormat="1" applyFont="1" applyFill="1" applyBorder="1"/>
    <xf numFmtId="41" fontId="6" fillId="51" borderId="45" xfId="67" applyNumberFormat="1" applyFont="1" applyFill="1" applyBorder="1"/>
    <xf numFmtId="41" fontId="6" fillId="52" borderId="45" xfId="67" applyNumberFormat="1" applyFont="1" applyFill="1" applyBorder="1"/>
    <xf numFmtId="172" fontId="7" fillId="0" borderId="24" xfId="67" applyNumberFormat="1" applyBorder="1"/>
    <xf numFmtId="172" fontId="7" fillId="0" borderId="26" xfId="67" applyNumberFormat="1" applyBorder="1"/>
    <xf numFmtId="0" fontId="115" fillId="69" borderId="0" xfId="90" applyFont="1" applyFill="1" applyAlignment="1">
      <alignment horizontal="center"/>
    </xf>
    <xf numFmtId="172" fontId="7" fillId="49" borderId="0" xfId="67" applyNumberFormat="1" applyFill="1"/>
    <xf numFmtId="172" fontId="7" fillId="0" borderId="0" xfId="67" applyNumberFormat="1" applyAlignment="1">
      <alignment wrapText="1"/>
    </xf>
    <xf numFmtId="172" fontId="7" fillId="43" borderId="0" xfId="67" applyNumberFormat="1" applyFill="1"/>
    <xf numFmtId="172" fontId="6" fillId="60" borderId="58" xfId="67" applyNumberFormat="1" applyFont="1" applyFill="1" applyBorder="1"/>
    <xf numFmtId="172" fontId="7" fillId="0" borderId="59" xfId="67" applyNumberFormat="1" applyBorder="1"/>
    <xf numFmtId="172" fontId="6" fillId="70" borderId="32" xfId="67" applyNumberFormat="1" applyFont="1" applyFill="1" applyBorder="1"/>
    <xf numFmtId="184" fontId="6" fillId="0" borderId="32" xfId="67" applyNumberFormat="1" applyFont="1" applyBorder="1" applyAlignment="1">
      <alignment horizontal="center"/>
    </xf>
    <xf numFmtId="184" fontId="6" fillId="0" borderId="0" xfId="67" applyNumberFormat="1" applyFont="1" applyAlignment="1">
      <alignment horizontal="center"/>
    </xf>
    <xf numFmtId="184" fontId="7" fillId="0" borderId="0" xfId="67" applyNumberFormat="1"/>
    <xf numFmtId="172" fontId="0" fillId="0" borderId="26" xfId="67" applyNumberFormat="1" applyFont="1" applyBorder="1"/>
    <xf numFmtId="172" fontId="7" fillId="71" borderId="32" xfId="67" applyNumberFormat="1" applyFill="1" applyBorder="1"/>
    <xf numFmtId="185" fontId="7" fillId="0" borderId="0" xfId="67" applyNumberFormat="1"/>
    <xf numFmtId="172" fontId="0" fillId="0" borderId="0" xfId="67" applyNumberFormat="1" applyFont="1"/>
    <xf numFmtId="172" fontId="37" fillId="0" borderId="9" xfId="67" applyNumberFormat="1" applyFont="1" applyBorder="1"/>
    <xf numFmtId="183" fontId="115" fillId="69" borderId="0" xfId="90" applyNumberFormat="1" applyFont="1" applyFill="1" applyAlignment="1">
      <alignment horizontal="center"/>
    </xf>
    <xf numFmtId="183" fontId="115" fillId="0" borderId="21" xfId="90" applyNumberFormat="1" applyFont="1" applyBorder="1" applyAlignment="1">
      <alignment horizontal="right"/>
    </xf>
    <xf numFmtId="183" fontId="115" fillId="0" borderId="0" xfId="90" applyNumberFormat="1" applyFont="1" applyAlignment="1">
      <alignment horizontal="left"/>
    </xf>
    <xf numFmtId="172" fontId="0" fillId="43" borderId="0" xfId="67" applyNumberFormat="1" applyFont="1" applyFill="1"/>
    <xf numFmtId="0" fontId="6" fillId="0" borderId="0" xfId="67" applyFont="1"/>
    <xf numFmtId="172" fontId="6" fillId="43" borderId="0" xfId="67" applyNumberFormat="1" applyFont="1" applyFill="1"/>
    <xf numFmtId="3" fontId="6" fillId="65" borderId="22" xfId="0" applyNumberFormat="1" applyFont="1" applyFill="1" applyBorder="1" applyAlignment="1">
      <alignment horizontal="left"/>
    </xf>
    <xf numFmtId="172" fontId="119" fillId="43" borderId="9" xfId="0" applyNumberFormat="1" applyFont="1" applyFill="1" applyBorder="1"/>
    <xf numFmtId="172" fontId="29" fillId="65" borderId="0" xfId="0" applyNumberFormat="1" applyFont="1" applyFill="1"/>
    <xf numFmtId="172" fontId="24" fillId="65" borderId="0" xfId="0" applyNumberFormat="1" applyFont="1" applyFill="1"/>
    <xf numFmtId="172" fontId="119" fillId="65" borderId="0" xfId="0" applyNumberFormat="1" applyFont="1" applyFill="1"/>
    <xf numFmtId="0" fontId="0" fillId="62" borderId="12" xfId="0" applyFill="1" applyBorder="1"/>
    <xf numFmtId="3" fontId="0" fillId="0" borderId="12" xfId="0" applyNumberFormat="1" applyBorder="1"/>
    <xf numFmtId="3" fontId="6" fillId="62" borderId="12" xfId="0" applyNumberFormat="1" applyFont="1" applyFill="1" applyBorder="1"/>
    <xf numFmtId="3" fontId="6" fillId="0" borderId="11" xfId="0" applyNumberFormat="1" applyFont="1" applyBorder="1"/>
    <xf numFmtId="0" fontId="121" fillId="0" borderId="17" xfId="0" applyFont="1" applyBorder="1"/>
    <xf numFmtId="0" fontId="121" fillId="0" borderId="33" xfId="0" applyFont="1" applyBorder="1"/>
    <xf numFmtId="0" fontId="121" fillId="0" borderId="18" xfId="0" applyFont="1" applyBorder="1"/>
    <xf numFmtId="0" fontId="121" fillId="0" borderId="10" xfId="0" applyFont="1" applyBorder="1"/>
    <xf numFmtId="0" fontId="121" fillId="0" borderId="0" xfId="0" applyFont="1"/>
    <xf numFmtId="0" fontId="121" fillId="0" borderId="21" xfId="0" applyFont="1" applyBorder="1"/>
    <xf numFmtId="0" fontId="121" fillId="50" borderId="13" xfId="0" applyFont="1" applyFill="1" applyBorder="1"/>
    <xf numFmtId="0" fontId="121" fillId="50" borderId="32" xfId="0" applyFont="1" applyFill="1" applyBorder="1"/>
    <xf numFmtId="165" fontId="121" fillId="50" borderId="32" xfId="177" applyFont="1" applyFill="1" applyBorder="1"/>
    <xf numFmtId="165" fontId="121" fillId="0" borderId="0" xfId="177" applyFont="1" applyBorder="1"/>
    <xf numFmtId="165" fontId="121" fillId="0" borderId="21" xfId="177" applyFont="1" applyBorder="1"/>
    <xf numFmtId="0" fontId="115" fillId="43" borderId="10" xfId="0" applyFont="1" applyFill="1" applyBorder="1" applyAlignment="1">
      <alignment horizontal="center"/>
    </xf>
    <xf numFmtId="165" fontId="121" fillId="0" borderId="0" xfId="177" applyFont="1" applyFill="1" applyBorder="1"/>
    <xf numFmtId="165" fontId="121" fillId="0" borderId="0" xfId="177" applyFont="1" applyFill="1" applyBorder="1" applyAlignment="1">
      <alignment horizontal="right"/>
    </xf>
    <xf numFmtId="165" fontId="121" fillId="0" borderId="0" xfId="177" applyFont="1" applyBorder="1" applyAlignment="1">
      <alignment horizontal="center"/>
    </xf>
    <xf numFmtId="165" fontId="115" fillId="0" borderId="0" xfId="177" applyFont="1" applyBorder="1"/>
    <xf numFmtId="0" fontId="115" fillId="0" borderId="10" xfId="0" applyFont="1" applyBorder="1" applyAlignment="1">
      <alignment horizontal="center"/>
    </xf>
    <xf numFmtId="165" fontId="121" fillId="0" borderId="0" xfId="177" applyFont="1" applyFill="1" applyBorder="1" applyAlignment="1">
      <alignment horizontal="center"/>
    </xf>
    <xf numFmtId="0" fontId="115" fillId="60" borderId="50" xfId="0" applyFont="1" applyFill="1" applyBorder="1" applyAlignment="1">
      <alignment horizontal="center"/>
    </xf>
    <xf numFmtId="0" fontId="121" fillId="60" borderId="9" xfId="0" applyFont="1" applyFill="1" applyBorder="1"/>
    <xf numFmtId="165" fontId="121" fillId="60" borderId="9" xfId="177" applyFont="1" applyFill="1" applyBorder="1"/>
    <xf numFmtId="165" fontId="121" fillId="60" borderId="9" xfId="177" applyFont="1" applyFill="1" applyBorder="1" applyAlignment="1">
      <alignment horizontal="center"/>
    </xf>
    <xf numFmtId="165" fontId="115" fillId="0" borderId="9" xfId="177" applyFont="1" applyFill="1" applyBorder="1"/>
    <xf numFmtId="165" fontId="115" fillId="0" borderId="0" xfId="177" applyFont="1" applyFill="1" applyBorder="1"/>
    <xf numFmtId="0" fontId="115" fillId="50" borderId="13" xfId="0" applyFont="1" applyFill="1" applyBorder="1"/>
    <xf numFmtId="165" fontId="115" fillId="0" borderId="32" xfId="177" applyFont="1" applyFill="1" applyBorder="1"/>
    <xf numFmtId="0" fontId="121" fillId="63" borderId="0" xfId="0" applyFont="1" applyFill="1"/>
    <xf numFmtId="165" fontId="121" fillId="63" borderId="0" xfId="177" applyFont="1" applyFill="1" applyBorder="1"/>
    <xf numFmtId="165" fontId="121" fillId="63" borderId="0" xfId="177" applyFont="1" applyFill="1" applyBorder="1" applyAlignment="1">
      <alignment horizontal="center"/>
    </xf>
    <xf numFmtId="0" fontId="122" fillId="43" borderId="10" xfId="0" applyFont="1" applyFill="1" applyBorder="1"/>
    <xf numFmtId="0" fontId="123" fillId="0" borderId="0" xfId="0" applyFont="1"/>
    <xf numFmtId="165" fontId="123" fillId="0" borderId="0" xfId="177" applyFont="1" applyFill="1" applyBorder="1"/>
    <xf numFmtId="165" fontId="123" fillId="0" borderId="0" xfId="177" applyFont="1" applyBorder="1" applyAlignment="1">
      <alignment horizontal="center"/>
    </xf>
    <xf numFmtId="165" fontId="122" fillId="0" borderId="0" xfId="177" applyFont="1" applyFill="1" applyBorder="1"/>
    <xf numFmtId="0" fontId="115" fillId="0" borderId="10" xfId="0" applyFont="1" applyBorder="1"/>
    <xf numFmtId="0" fontId="121" fillId="0" borderId="15" xfId="0" applyFont="1" applyBorder="1"/>
    <xf numFmtId="0" fontId="121" fillId="0" borderId="14" xfId="0" applyFont="1" applyBorder="1"/>
    <xf numFmtId="165" fontId="121" fillId="0" borderId="14" xfId="177" applyFont="1" applyFill="1" applyBorder="1"/>
    <xf numFmtId="165" fontId="121" fillId="0" borderId="14" xfId="177" applyFont="1" applyBorder="1"/>
    <xf numFmtId="165" fontId="115" fillId="0" borderId="14" xfId="177" applyFont="1" applyBorder="1"/>
    <xf numFmtId="165" fontId="121" fillId="0" borderId="20" xfId="177" applyFont="1" applyBorder="1"/>
    <xf numFmtId="17" fontId="6" fillId="0" borderId="22" xfId="0" applyNumberFormat="1" applyFont="1" applyBorder="1" applyAlignment="1">
      <alignment horizontal="center"/>
    </xf>
    <xf numFmtId="177" fontId="81" fillId="47" borderId="22" xfId="67" applyNumberFormat="1" applyFont="1" applyFill="1" applyBorder="1"/>
    <xf numFmtId="172" fontId="6" fillId="0" borderId="10" xfId="0" applyNumberFormat="1" applyFont="1" applyBorder="1"/>
    <xf numFmtId="172" fontId="6" fillId="0" borderId="22" xfId="0" applyNumberFormat="1" applyFont="1" applyBorder="1"/>
    <xf numFmtId="172" fontId="6" fillId="0" borderId="21" xfId="0" applyNumberFormat="1" applyFont="1" applyBorder="1"/>
    <xf numFmtId="171" fontId="7" fillId="0" borderId="15" xfId="0" applyNumberFormat="1" applyFont="1" applyBorder="1"/>
    <xf numFmtId="190" fontId="0" fillId="0" borderId="0" xfId="0" applyNumberFormat="1"/>
    <xf numFmtId="171" fontId="7" fillId="0" borderId="0" xfId="0" applyNumberFormat="1" applyFont="1" applyAlignment="1">
      <alignment horizontal="center"/>
    </xf>
    <xf numFmtId="172" fontId="29" fillId="64" borderId="0" xfId="0" applyNumberFormat="1" applyFont="1" applyFill="1"/>
    <xf numFmtId="164" fontId="0" fillId="0" borderId="0" xfId="0" applyNumberFormat="1"/>
    <xf numFmtId="3" fontId="0" fillId="0" borderId="9" xfId="0" applyNumberFormat="1" applyBorder="1"/>
    <xf numFmtId="171" fontId="6" fillId="24" borderId="11" xfId="0" applyNumberFormat="1" applyFont="1" applyFill="1" applyBorder="1"/>
    <xf numFmtId="0" fontId="125" fillId="0" borderId="18" xfId="0" applyFont="1" applyBorder="1" applyAlignment="1">
      <alignment horizontal="center"/>
    </xf>
    <xf numFmtId="172" fontId="94" fillId="0" borderId="0" xfId="0" applyNumberFormat="1" applyFont="1" applyAlignment="1">
      <alignment horizontal="center"/>
    </xf>
    <xf numFmtId="171" fontId="6" fillId="52" borderId="15" xfId="0" applyNumberFormat="1" applyFont="1" applyFill="1" applyBorder="1"/>
    <xf numFmtId="171" fontId="6" fillId="52" borderId="11" xfId="0" applyNumberFormat="1" applyFont="1" applyFill="1" applyBorder="1"/>
    <xf numFmtId="171" fontId="6" fillId="52" borderId="0" xfId="0" applyNumberFormat="1" applyFont="1" applyFill="1"/>
    <xf numFmtId="171" fontId="18" fillId="0" borderId="0" xfId="0" applyNumberFormat="1" applyFont="1"/>
    <xf numFmtId="0" fontId="6" fillId="0" borderId="19" xfId="0" applyFont="1" applyBorder="1" applyAlignment="1">
      <alignment horizontal="centerContinuous"/>
    </xf>
    <xf numFmtId="0" fontId="6" fillId="0" borderId="11" xfId="0" applyFont="1" applyBorder="1" applyAlignment="1">
      <alignment horizontal="centerContinuous"/>
    </xf>
    <xf numFmtId="17" fontId="6" fillId="0" borderId="10" xfId="0" applyNumberFormat="1" applyFont="1" applyBorder="1" applyAlignment="1">
      <alignment horizontal="center"/>
    </xf>
    <xf numFmtId="38" fontId="6" fillId="0" borderId="0" xfId="0" applyNumberFormat="1" applyFont="1" applyAlignment="1">
      <alignment horizontal="right"/>
    </xf>
    <xf numFmtId="0" fontId="6" fillId="65" borderId="0" xfId="0" applyFont="1" applyFill="1"/>
    <xf numFmtId="0" fontId="76" fillId="0" borderId="13" xfId="0" applyFont="1" applyBorder="1"/>
    <xf numFmtId="0" fontId="76" fillId="0" borderId="16" xfId="0" applyFont="1" applyBorder="1"/>
    <xf numFmtId="0" fontId="6" fillId="54" borderId="19" xfId="0" applyFont="1" applyFill="1" applyBorder="1" applyAlignment="1">
      <alignment horizontal="centerContinuous"/>
    </xf>
    <xf numFmtId="0" fontId="6" fillId="65" borderId="11" xfId="0" applyFont="1" applyFill="1" applyBorder="1" applyAlignment="1">
      <alignment horizontal="center"/>
    </xf>
    <xf numFmtId="0" fontId="6" fillId="54" borderId="12" xfId="0" applyFont="1" applyFill="1" applyBorder="1" applyAlignment="1">
      <alignment horizontal="centerContinuous"/>
    </xf>
    <xf numFmtId="3" fontId="6" fillId="65" borderId="22" xfId="0" applyNumberFormat="1" applyFont="1" applyFill="1" applyBorder="1" applyAlignment="1">
      <alignment horizontal="right"/>
    </xf>
    <xf numFmtId="0" fontId="0" fillId="43" borderId="0" xfId="0" applyFill="1"/>
    <xf numFmtId="0" fontId="6" fillId="43" borderId="13" xfId="0" applyFont="1" applyFill="1" applyBorder="1"/>
    <xf numFmtId="3" fontId="6" fillId="43" borderId="12" xfId="0" applyNumberFormat="1" applyFont="1" applyFill="1" applyBorder="1" applyAlignment="1">
      <alignment horizontal="right"/>
    </xf>
    <xf numFmtId="38" fontId="6" fillId="43" borderId="32" xfId="0" applyNumberFormat="1" applyFont="1" applyFill="1" applyBorder="1" applyAlignment="1">
      <alignment horizontal="right"/>
    </xf>
    <xf numFmtId="0" fontId="6" fillId="43" borderId="0" xfId="0" applyFont="1" applyFill="1"/>
    <xf numFmtId="0" fontId="6" fillId="43" borderId="12" xfId="0" applyFont="1" applyFill="1" applyBorder="1"/>
    <xf numFmtId="38" fontId="6" fillId="43" borderId="12" xfId="0" applyNumberFormat="1" applyFont="1" applyFill="1" applyBorder="1" applyAlignment="1">
      <alignment horizontal="right"/>
    </xf>
    <xf numFmtId="3" fontId="6" fillId="43" borderId="11" xfId="0" applyNumberFormat="1" applyFont="1" applyFill="1" applyBorder="1" applyAlignment="1">
      <alignment horizontal="right"/>
    </xf>
    <xf numFmtId="3" fontId="0" fillId="43" borderId="0" xfId="0" applyNumberFormat="1" applyFill="1"/>
    <xf numFmtId="172" fontId="93" fillId="43" borderId="10" xfId="0" applyNumberFormat="1" applyFont="1" applyFill="1" applyBorder="1"/>
    <xf numFmtId="172" fontId="93" fillId="43" borderId="22" xfId="0" applyNumberFormat="1" applyFont="1" applyFill="1" applyBorder="1"/>
    <xf numFmtId="172" fontId="93" fillId="43" borderId="21" xfId="0" applyNumberFormat="1" applyFont="1" applyFill="1" applyBorder="1"/>
    <xf numFmtId="172" fontId="84" fillId="43" borderId="0" xfId="0" applyNumberFormat="1" applyFont="1" applyFill="1"/>
    <xf numFmtId="172" fontId="31" fillId="43" borderId="0" xfId="0" applyNumberFormat="1" applyFont="1" applyFill="1"/>
    <xf numFmtId="0" fontId="128" fillId="0" borderId="0" xfId="178" applyAlignment="1">
      <alignment vertical="center" wrapText="1"/>
    </xf>
    <xf numFmtId="0" fontId="126" fillId="72" borderId="61" xfId="0" applyFont="1" applyFill="1" applyBorder="1" applyAlignment="1">
      <alignment horizontal="center" vertical="center" wrapText="1"/>
    </xf>
    <xf numFmtId="0" fontId="127" fillId="73" borderId="61" xfId="0" applyFont="1" applyFill="1" applyBorder="1" applyAlignment="1">
      <alignment horizontal="center" vertical="center" wrapText="1"/>
    </xf>
    <xf numFmtId="0" fontId="126" fillId="72" borderId="0" xfId="0" applyFont="1" applyFill="1" applyAlignment="1">
      <alignment horizontal="center" vertical="center" wrapText="1"/>
    </xf>
    <xf numFmtId="0" fontId="126" fillId="72" borderId="62" xfId="0" applyFont="1" applyFill="1" applyBorder="1" applyAlignment="1">
      <alignment horizontal="center" vertical="center" wrapText="1"/>
    </xf>
    <xf numFmtId="0" fontId="126" fillId="72" borderId="63" xfId="0" applyFont="1" applyFill="1" applyBorder="1" applyAlignment="1">
      <alignment horizontal="center" vertical="center" wrapText="1"/>
    </xf>
    <xf numFmtId="0" fontId="126" fillId="72" borderId="64" xfId="0" applyFont="1" applyFill="1" applyBorder="1" applyAlignment="1">
      <alignment horizontal="center" vertical="center" wrapText="1"/>
    </xf>
    <xf numFmtId="0" fontId="126" fillId="72" borderId="65" xfId="0" applyFont="1" applyFill="1" applyBorder="1" applyAlignment="1">
      <alignment horizontal="center" vertical="center" wrapText="1"/>
    </xf>
    <xf numFmtId="0" fontId="127" fillId="73" borderId="66" xfId="0" applyFont="1" applyFill="1" applyBorder="1" applyAlignment="1">
      <alignment vertical="center" wrapText="1"/>
    </xf>
    <xf numFmtId="14" fontId="127" fillId="73" borderId="62" xfId="0" applyNumberFormat="1" applyFont="1" applyFill="1" applyBorder="1" applyAlignment="1">
      <alignment horizontal="center" vertical="center" wrapText="1"/>
    </xf>
    <xf numFmtId="165" fontId="7" fillId="46" borderId="0" xfId="179" applyFont="1" applyFill="1"/>
    <xf numFmtId="9" fontId="7" fillId="0" borderId="0" xfId="0" applyNumberFormat="1" applyFont="1"/>
    <xf numFmtId="0" fontId="129" fillId="72" borderId="0" xfId="0" applyFont="1" applyFill="1" applyAlignment="1">
      <alignment horizontal="center" vertical="center" wrapText="1"/>
    </xf>
    <xf numFmtId="165" fontId="130" fillId="49" borderId="0" xfId="179" applyFont="1" applyFill="1" applyBorder="1" applyAlignment="1">
      <alignment horizontal="center" vertical="center" wrapText="1"/>
    </xf>
    <xf numFmtId="165" fontId="7" fillId="49" borderId="0" xfId="179" applyFont="1" applyFill="1"/>
    <xf numFmtId="165" fontId="0" fillId="0" borderId="0" xfId="179" applyFont="1"/>
    <xf numFmtId="165" fontId="0" fillId="0" borderId="0" xfId="0" applyNumberFormat="1"/>
    <xf numFmtId="165" fontId="7" fillId="0" borderId="0" xfId="179" applyFont="1"/>
    <xf numFmtId="165" fontId="6" fillId="46" borderId="0" xfId="179" applyFont="1" applyFill="1"/>
    <xf numFmtId="165" fontId="0" fillId="46" borderId="0" xfId="179" applyFont="1" applyFill="1"/>
    <xf numFmtId="0" fontId="0" fillId="74" borderId="0" xfId="0" applyFill="1"/>
    <xf numFmtId="0" fontId="0" fillId="52" borderId="0" xfId="0" applyFill="1"/>
    <xf numFmtId="0" fontId="36" fillId="52" borderId="0" xfId="0" applyFont="1" applyFill="1"/>
    <xf numFmtId="0" fontId="0" fillId="62" borderId="0" xfId="0" applyFill="1"/>
    <xf numFmtId="0" fontId="0" fillId="62" borderId="22" xfId="0" applyFill="1" applyBorder="1"/>
    <xf numFmtId="3" fontId="6" fillId="62" borderId="22" xfId="0" applyNumberFormat="1" applyFont="1" applyFill="1" applyBorder="1" applyAlignment="1">
      <alignment horizontal="right"/>
    </xf>
    <xf numFmtId="3" fontId="6" fillId="62" borderId="12" xfId="0" applyNumberFormat="1" applyFont="1" applyFill="1" applyBorder="1" applyAlignment="1">
      <alignment horizontal="right"/>
    </xf>
    <xf numFmtId="0" fontId="131" fillId="62" borderId="22" xfId="0" applyFont="1" applyFill="1" applyBorder="1"/>
    <xf numFmtId="0" fontId="7" fillId="62" borderId="13" xfId="0" applyFont="1" applyFill="1" applyBorder="1"/>
    <xf numFmtId="0" fontId="0" fillId="62" borderId="32" xfId="0" applyFill="1" applyBorder="1"/>
    <xf numFmtId="0" fontId="7" fillId="62" borderId="16" xfId="0" applyFont="1" applyFill="1" applyBorder="1"/>
    <xf numFmtId="0" fontId="6" fillId="0" borderId="0" xfId="0" applyFont="1" applyAlignment="1">
      <alignment horizontal="center"/>
    </xf>
    <xf numFmtId="3" fontId="7" fillId="0" borderId="0" xfId="0" applyNumberFormat="1" applyFont="1"/>
    <xf numFmtId="3" fontId="6" fillId="43" borderId="0" xfId="0" applyNumberFormat="1" applyFont="1" applyFill="1"/>
    <xf numFmtId="0" fontId="133" fillId="0" borderId="0" xfId="0" applyFont="1" applyAlignment="1">
      <alignment horizontal="left" vertical="center" wrapText="1" indent="1"/>
    </xf>
    <xf numFmtId="0" fontId="90" fillId="75" borderId="70" xfId="0" applyFont="1" applyFill="1" applyBorder="1" applyAlignment="1">
      <alignment vertical="center" wrapText="1"/>
    </xf>
    <xf numFmtId="0" fontId="63" fillId="73" borderId="70" xfId="0" applyFont="1" applyFill="1" applyBorder="1" applyAlignment="1">
      <alignment vertical="center"/>
    </xf>
    <xf numFmtId="0" fontId="63" fillId="75" borderId="70" xfId="0" applyFont="1" applyFill="1" applyBorder="1" applyAlignment="1">
      <alignment vertical="center"/>
    </xf>
    <xf numFmtId="191" fontId="63" fillId="73" borderId="70" xfId="47" applyNumberFormat="1" applyFont="1" applyFill="1" applyBorder="1" applyAlignment="1">
      <alignment vertical="center"/>
    </xf>
    <xf numFmtId="191" fontId="63" fillId="75" borderId="70" xfId="47" applyNumberFormat="1" applyFont="1" applyFill="1" applyBorder="1" applyAlignment="1">
      <alignment vertical="center"/>
    </xf>
    <xf numFmtId="191" fontId="0" fillId="0" borderId="0" xfId="47" applyNumberFormat="1" applyFont="1"/>
    <xf numFmtId="172" fontId="93" fillId="76" borderId="10" xfId="0" applyNumberFormat="1" applyFont="1" applyFill="1" applyBorder="1"/>
    <xf numFmtId="172" fontId="93" fillId="76" borderId="22" xfId="0" applyNumberFormat="1" applyFont="1" applyFill="1" applyBorder="1"/>
    <xf numFmtId="172" fontId="93" fillId="76" borderId="21" xfId="0" applyNumberFormat="1" applyFont="1" applyFill="1" applyBorder="1"/>
    <xf numFmtId="172" fontId="25" fillId="76" borderId="10" xfId="0" applyNumberFormat="1" applyFont="1" applyFill="1" applyBorder="1"/>
    <xf numFmtId="172" fontId="25" fillId="76" borderId="22" xfId="0" applyNumberFormat="1" applyFont="1" applyFill="1" applyBorder="1"/>
    <xf numFmtId="172" fontId="25" fillId="76" borderId="21" xfId="0" applyNumberFormat="1" applyFont="1" applyFill="1" applyBorder="1"/>
    <xf numFmtId="172" fontId="93" fillId="77" borderId="21" xfId="0" applyNumberFormat="1" applyFont="1" applyFill="1" applyBorder="1"/>
    <xf numFmtId="172" fontId="93" fillId="77" borderId="22" xfId="0" applyNumberFormat="1" applyFont="1" applyFill="1" applyBorder="1"/>
    <xf numFmtId="3" fontId="136" fillId="0" borderId="0" xfId="0" applyNumberFormat="1" applyFont="1"/>
    <xf numFmtId="3" fontId="135" fillId="75" borderId="70" xfId="0" applyNumberFormat="1" applyFont="1" applyFill="1" applyBorder="1" applyAlignment="1">
      <alignment vertical="center"/>
    </xf>
    <xf numFmtId="3" fontId="135" fillId="75" borderId="0" xfId="0" applyNumberFormat="1" applyFont="1" applyFill="1" applyAlignment="1">
      <alignment vertical="center"/>
    </xf>
    <xf numFmtId="3" fontId="135" fillId="0" borderId="0" xfId="0" applyNumberFormat="1" applyFont="1"/>
    <xf numFmtId="172" fontId="6" fillId="43" borderId="10" xfId="0" applyNumberFormat="1" applyFont="1" applyFill="1" applyBorder="1"/>
    <xf numFmtId="172" fontId="6" fillId="43" borderId="22" xfId="0" applyNumberFormat="1" applyFont="1" applyFill="1" applyBorder="1"/>
    <xf numFmtId="172" fontId="6" fillId="43" borderId="21" xfId="0" applyNumberFormat="1" applyFont="1" applyFill="1" applyBorder="1"/>
    <xf numFmtId="172" fontId="6" fillId="77" borderId="21" xfId="0" applyNumberFormat="1" applyFont="1" applyFill="1" applyBorder="1"/>
    <xf numFmtId="38" fontId="0" fillId="43" borderId="0" xfId="0" applyNumberFormat="1" applyFill="1"/>
    <xf numFmtId="191" fontId="0" fillId="43" borderId="0" xfId="47" applyNumberFormat="1" applyFont="1" applyFill="1"/>
    <xf numFmtId="38" fontId="7" fillId="0" borderId="0" xfId="0" applyNumberFormat="1" applyFont="1"/>
    <xf numFmtId="0" fontId="90" fillId="43" borderId="70" xfId="0" applyFont="1" applyFill="1" applyBorder="1" applyAlignment="1">
      <alignment vertical="center" wrapText="1"/>
    </xf>
    <xf numFmtId="15" fontId="7" fillId="43" borderId="11" xfId="47" applyNumberFormat="1" applyFont="1" applyFill="1" applyBorder="1" applyAlignment="1">
      <alignment horizontal="center"/>
    </xf>
    <xf numFmtId="0" fontId="0" fillId="43" borderId="11" xfId="0" applyFill="1" applyBorder="1" applyAlignment="1">
      <alignment horizontal="center" vertical="center" wrapText="1"/>
    </xf>
    <xf numFmtId="2" fontId="7" fillId="43" borderId="11" xfId="0" applyNumberFormat="1" applyFont="1" applyFill="1" applyBorder="1" applyAlignment="1">
      <alignment horizontal="left" vertical="center" wrapText="1"/>
    </xf>
    <xf numFmtId="38" fontId="11" fillId="43" borderId="11" xfId="0" applyNumberFormat="1" applyFont="1" applyFill="1" applyBorder="1" applyAlignment="1">
      <alignment horizontal="right" vertical="center" wrapText="1"/>
    </xf>
    <xf numFmtId="38" fontId="0" fillId="43" borderId="11" xfId="0" applyNumberFormat="1" applyFill="1" applyBorder="1"/>
    <xf numFmtId="0" fontId="11" fillId="43" borderId="11" xfId="0" applyFont="1" applyFill="1" applyBorder="1" applyAlignment="1">
      <alignment horizontal="right"/>
    </xf>
    <xf numFmtId="0" fontId="63" fillId="43" borderId="70" xfId="0" applyFont="1" applyFill="1" applyBorder="1" applyAlignment="1">
      <alignment vertical="center"/>
    </xf>
    <xf numFmtId="172" fontId="93" fillId="43" borderId="0" xfId="0" applyNumberFormat="1" applyFont="1" applyFill="1"/>
    <xf numFmtId="15" fontId="7" fillId="62" borderId="11" xfId="47" applyNumberFormat="1" applyFont="1" applyFill="1" applyBorder="1" applyAlignment="1">
      <alignment horizontal="center"/>
    </xf>
    <xf numFmtId="0" fontId="0" fillId="62" borderId="11" xfId="0" applyFill="1" applyBorder="1" applyAlignment="1">
      <alignment horizontal="center" vertical="center" wrapText="1"/>
    </xf>
    <xf numFmtId="0" fontId="63" fillId="62" borderId="70" xfId="0" applyFont="1" applyFill="1" applyBorder="1" applyAlignment="1">
      <alignment vertical="center"/>
    </xf>
    <xf numFmtId="191" fontId="63" fillId="62" borderId="70" xfId="47" applyNumberFormat="1" applyFont="1" applyFill="1" applyBorder="1" applyAlignment="1">
      <alignment vertical="center"/>
    </xf>
    <xf numFmtId="38" fontId="11" fillId="62" borderId="11" xfId="0" applyNumberFormat="1" applyFont="1" applyFill="1" applyBorder="1" applyAlignment="1">
      <alignment horizontal="right" vertical="center" wrapText="1"/>
    </xf>
    <xf numFmtId="38" fontId="0" fillId="62" borderId="11" xfId="0" applyNumberFormat="1" applyFill="1" applyBorder="1"/>
    <xf numFmtId="0" fontId="11" fillId="62" borderId="11" xfId="0" applyFont="1" applyFill="1" applyBorder="1" applyAlignment="1">
      <alignment horizontal="right"/>
    </xf>
    <xf numFmtId="39" fontId="6" fillId="0" borderId="0" xfId="54" applyFont="1" applyAlignment="1">
      <alignment horizontal="left"/>
    </xf>
    <xf numFmtId="39" fontId="7" fillId="0" borderId="0" xfId="54" applyFont="1"/>
    <xf numFmtId="1" fontId="7" fillId="0" borderId="0" xfId="54" applyNumberFormat="1" applyFont="1" applyAlignment="1">
      <alignment horizontal="center"/>
    </xf>
    <xf numFmtId="37" fontId="7" fillId="0" borderId="0" xfId="54" applyNumberFormat="1" applyFont="1"/>
    <xf numFmtId="0" fontId="137" fillId="0" borderId="0" xfId="180" applyFont="1"/>
    <xf numFmtId="0" fontId="42" fillId="0" borderId="0" xfId="180"/>
    <xf numFmtId="172" fontId="17" fillId="0" borderId="0" xfId="67" applyNumberFormat="1" applyFont="1"/>
    <xf numFmtId="37" fontId="138" fillId="0" borderId="0" xfId="54" applyNumberFormat="1" applyFont="1"/>
    <xf numFmtId="1" fontId="6" fillId="0" borderId="0" xfId="54" applyNumberFormat="1" applyFont="1" applyAlignment="1">
      <alignment horizontal="left"/>
    </xf>
    <xf numFmtId="38" fontId="6" fillId="31" borderId="12" xfId="67" applyNumberFormat="1" applyFont="1" applyFill="1" applyBorder="1"/>
    <xf numFmtId="176" fontId="7" fillId="0" borderId="12" xfId="67" applyNumberFormat="1" applyBorder="1"/>
    <xf numFmtId="0" fontId="139" fillId="0" borderId="0" xfId="180" applyFont="1"/>
    <xf numFmtId="39" fontId="8" fillId="25" borderId="19" xfId="54" applyFont="1" applyFill="1" applyBorder="1" applyAlignment="1">
      <alignment horizontal="center"/>
    </xf>
    <xf numFmtId="37" fontId="140" fillId="0" borderId="0" xfId="54" applyNumberFormat="1" applyFont="1"/>
    <xf numFmtId="37" fontId="138" fillId="0" borderId="0" xfId="54" applyNumberFormat="1" applyFont="1" applyAlignment="1">
      <alignment horizontal="center"/>
    </xf>
    <xf numFmtId="10" fontId="7" fillId="0" borderId="0" xfId="54" applyNumberFormat="1" applyFont="1" applyAlignment="1">
      <alignment horizontal="center"/>
    </xf>
    <xf numFmtId="39" fontId="8" fillId="25" borderId="11" xfId="54" applyFont="1" applyFill="1" applyBorder="1" applyAlignment="1">
      <alignment horizontal="center"/>
    </xf>
    <xf numFmtId="0" fontId="118" fillId="0" borderId="13" xfId="180" applyFont="1" applyBorder="1" applyAlignment="1">
      <alignment horizontal="center"/>
    </xf>
    <xf numFmtId="0" fontId="118" fillId="0" borderId="32" xfId="180" applyFont="1" applyBorder="1" applyAlignment="1">
      <alignment horizontal="center"/>
    </xf>
    <xf numFmtId="0" fontId="118" fillId="0" borderId="16" xfId="180" applyFont="1" applyBorder="1" applyAlignment="1">
      <alignment horizontal="center"/>
    </xf>
    <xf numFmtId="38" fontId="141" fillId="30" borderId="19" xfId="67" applyNumberFormat="1" applyFont="1" applyFill="1" applyBorder="1" applyAlignment="1">
      <alignment horizontal="center" vertical="center"/>
    </xf>
    <xf numFmtId="38" fontId="142" fillId="25" borderId="19" xfId="67" applyNumberFormat="1" applyFont="1" applyFill="1" applyBorder="1" applyAlignment="1">
      <alignment horizontal="center" vertical="center"/>
    </xf>
    <xf numFmtId="38" fontId="142" fillId="24" borderId="19" xfId="67" applyNumberFormat="1" applyFont="1" applyFill="1" applyBorder="1" applyAlignment="1">
      <alignment horizontal="center" vertical="center"/>
    </xf>
    <xf numFmtId="38" fontId="142" fillId="30" borderId="19" xfId="67" applyNumberFormat="1" applyFont="1" applyFill="1" applyBorder="1" applyAlignment="1">
      <alignment horizontal="center" vertical="center"/>
    </xf>
    <xf numFmtId="37" fontId="143" fillId="0" borderId="71" xfId="54" applyNumberFormat="1" applyFont="1" applyBorder="1" applyAlignment="1">
      <alignment horizontal="center"/>
    </xf>
    <xf numFmtId="0" fontId="141" fillId="30" borderId="19" xfId="67" applyFont="1" applyFill="1" applyBorder="1" applyAlignment="1">
      <alignment horizontal="center" vertical="center"/>
    </xf>
    <xf numFmtId="0" fontId="144" fillId="30" borderId="19" xfId="67" applyFont="1" applyFill="1" applyBorder="1" applyAlignment="1">
      <alignment horizontal="center" vertical="center"/>
    </xf>
    <xf numFmtId="38" fontId="141" fillId="30" borderId="11" xfId="67" applyNumberFormat="1" applyFont="1" applyFill="1" applyBorder="1" applyAlignment="1">
      <alignment horizontal="center" vertical="center"/>
    </xf>
    <xf numFmtId="38" fontId="142" fillId="25" borderId="11" xfId="67" applyNumberFormat="1" applyFont="1" applyFill="1" applyBorder="1" applyAlignment="1">
      <alignment horizontal="center" vertical="center"/>
    </xf>
    <xf numFmtId="38" fontId="142" fillId="24" borderId="11" xfId="67" applyNumberFormat="1" applyFont="1" applyFill="1" applyBorder="1" applyAlignment="1">
      <alignment horizontal="center" vertical="center"/>
    </xf>
    <xf numFmtId="38" fontId="142" fillId="30" borderId="11" xfId="67" applyNumberFormat="1" applyFont="1" applyFill="1" applyBorder="1" applyAlignment="1">
      <alignment horizontal="center" vertical="center"/>
    </xf>
    <xf numFmtId="37" fontId="143" fillId="0" borderId="72" xfId="54" applyNumberFormat="1" applyFont="1" applyBorder="1" applyAlignment="1">
      <alignment horizontal="center"/>
    </xf>
    <xf numFmtId="0" fontId="141" fillId="30" borderId="11" xfId="67" applyFont="1" applyFill="1" applyBorder="1" applyAlignment="1">
      <alignment horizontal="center" vertical="center"/>
    </xf>
    <xf numFmtId="0" fontId="144" fillId="30" borderId="11" xfId="67" applyFont="1" applyFill="1" applyBorder="1" applyAlignment="1">
      <alignment horizontal="center" vertical="center"/>
    </xf>
    <xf numFmtId="14" fontId="42" fillId="0" borderId="0" xfId="180" applyNumberFormat="1"/>
    <xf numFmtId="3" fontId="42" fillId="0" borderId="0" xfId="180" applyNumberFormat="1"/>
    <xf numFmtId="2" fontId="7" fillId="0" borderId="11" xfId="67" applyNumberFormat="1" applyBorder="1" applyAlignment="1">
      <alignment horizontal="left" vertical="center" wrapText="1"/>
    </xf>
    <xf numFmtId="9" fontId="7" fillId="0" borderId="12" xfId="47" applyNumberFormat="1" applyFont="1" applyFill="1" applyBorder="1" applyAlignment="1">
      <alignment vertical="center"/>
    </xf>
    <xf numFmtId="38" fontId="6" fillId="0" borderId="12" xfId="67" applyNumberFormat="1" applyFont="1" applyBorder="1"/>
    <xf numFmtId="169" fontId="58" fillId="0" borderId="12" xfId="67" applyNumberFormat="1" applyFont="1" applyBorder="1" applyAlignment="1">
      <alignment horizontal="right"/>
    </xf>
    <xf numFmtId="176" fontId="6" fillId="0" borderId="12" xfId="67" applyNumberFormat="1" applyFont="1" applyBorder="1"/>
    <xf numFmtId="38" fontId="7" fillId="0" borderId="12" xfId="67" applyNumberFormat="1" applyBorder="1" applyAlignment="1">
      <alignment horizontal="center" vertical="center"/>
    </xf>
    <xf numFmtId="38" fontId="7" fillId="0" borderId="12" xfId="67" applyNumberFormat="1" applyBorder="1" applyAlignment="1">
      <alignment vertical="center"/>
    </xf>
    <xf numFmtId="0" fontId="17" fillId="0" borderId="0" xfId="67" applyFont="1" applyAlignment="1">
      <alignment horizontal="center"/>
    </xf>
    <xf numFmtId="0" fontId="9" fillId="0" borderId="11" xfId="67" applyFont="1" applyBorder="1" applyAlignment="1">
      <alignment horizontal="left"/>
    </xf>
    <xf numFmtId="15" fontId="7" fillId="0" borderId="12" xfId="47" applyNumberFormat="1" applyFont="1" applyFill="1" applyBorder="1" applyAlignment="1">
      <alignment vertical="center"/>
    </xf>
    <xf numFmtId="38" fontId="7" fillId="0" borderId="12" xfId="67" applyNumberFormat="1" applyBorder="1" applyAlignment="1">
      <alignment horizontal="right" vertical="center"/>
    </xf>
    <xf numFmtId="0" fontId="145" fillId="0" borderId="45" xfId="67" applyFont="1" applyBorder="1" applyAlignment="1">
      <alignment vertical="center"/>
    </xf>
    <xf numFmtId="15" fontId="6" fillId="0" borderId="45" xfId="47" applyNumberFormat="1" applyFont="1" applyBorder="1" applyAlignment="1">
      <alignment vertical="center"/>
    </xf>
    <xf numFmtId="38" fontId="6" fillId="0" borderId="45" xfId="67" applyNumberFormat="1" applyFont="1" applyBorder="1" applyAlignment="1">
      <alignment vertical="center"/>
    </xf>
    <xf numFmtId="38" fontId="6" fillId="43" borderId="45" xfId="67" applyNumberFormat="1" applyFont="1" applyFill="1" applyBorder="1" applyAlignment="1">
      <alignment vertical="center"/>
    </xf>
    <xf numFmtId="3" fontId="17" fillId="0" borderId="0" xfId="54" applyNumberFormat="1" applyFont="1"/>
    <xf numFmtId="169" fontId="17" fillId="0" borderId="0" xfId="67" applyNumberFormat="1" applyFont="1" applyAlignment="1">
      <alignment horizontal="center"/>
    </xf>
    <xf numFmtId="38" fontId="146" fillId="49" borderId="0" xfId="180" applyNumberFormat="1" applyFont="1" applyFill="1" applyAlignment="1">
      <alignment horizontal="center"/>
    </xf>
    <xf numFmtId="0" fontId="146" fillId="49" borderId="0" xfId="180" applyFont="1" applyFill="1" applyAlignment="1">
      <alignment horizontal="center"/>
    </xf>
    <xf numFmtId="0" fontId="7" fillId="0" borderId="0" xfId="67" applyAlignment="1">
      <alignment horizontal="center" vertical="center"/>
    </xf>
    <xf numFmtId="3" fontId="42" fillId="32" borderId="0" xfId="180" applyNumberFormat="1" applyFill="1"/>
    <xf numFmtId="0" fontId="6" fillId="0" borderId="0" xfId="67" quotePrefix="1" applyFont="1" applyAlignment="1">
      <alignment horizontal="left"/>
    </xf>
    <xf numFmtId="38" fontId="6" fillId="0" borderId="0" xfId="67" applyNumberFormat="1" applyFont="1"/>
    <xf numFmtId="38" fontId="7" fillId="0" borderId="0" xfId="67" applyNumberFormat="1"/>
    <xf numFmtId="0" fontId="6" fillId="0" borderId="0" xfId="67" applyFont="1" applyAlignment="1">
      <alignment horizontal="left"/>
    </xf>
    <xf numFmtId="176" fontId="6" fillId="0" borderId="0" xfId="67" applyNumberFormat="1" applyFont="1" applyAlignment="1">
      <alignment horizontal="center"/>
    </xf>
    <xf numFmtId="176" fontId="6" fillId="0" borderId="0" xfId="67" applyNumberFormat="1" applyFont="1"/>
    <xf numFmtId="176" fontId="7" fillId="0" borderId="0" xfId="67" applyNumberFormat="1" applyAlignment="1">
      <alignment horizontal="center" vertical="center"/>
    </xf>
    <xf numFmtId="3" fontId="63" fillId="0" borderId="0" xfId="54" applyNumberFormat="1" applyFont="1"/>
    <xf numFmtId="39" fontId="63" fillId="0" borderId="0" xfId="54" applyFont="1"/>
    <xf numFmtId="0" fontId="147" fillId="0" borderId="0" xfId="180" applyFont="1"/>
    <xf numFmtId="0" fontId="6" fillId="0" borderId="17" xfId="67" applyFont="1" applyBorder="1"/>
    <xf numFmtId="38" fontId="6" fillId="0" borderId="18" xfId="67" applyNumberFormat="1" applyFont="1" applyBorder="1"/>
    <xf numFmtId="176" fontId="6" fillId="0" borderId="19" xfId="67" applyNumberFormat="1" applyFont="1" applyBorder="1"/>
    <xf numFmtId="0" fontId="6" fillId="0" borderId="17" xfId="67" applyFont="1" applyBorder="1" applyAlignment="1">
      <alignment horizontal="left"/>
    </xf>
    <xf numFmtId="39" fontId="7" fillId="0" borderId="18" xfId="54" applyFont="1" applyBorder="1"/>
    <xf numFmtId="176" fontId="6" fillId="0" borderId="18" xfId="67" applyNumberFormat="1" applyFont="1" applyBorder="1"/>
    <xf numFmtId="38" fontId="7" fillId="0" borderId="0" xfId="67" applyNumberFormat="1" applyAlignment="1">
      <alignment horizontal="center" vertical="center"/>
    </xf>
    <xf numFmtId="0" fontId="6" fillId="0" borderId="10" xfId="67" applyFont="1" applyBorder="1"/>
    <xf numFmtId="38" fontId="6" fillId="0" borderId="21" xfId="67" applyNumberFormat="1" applyFont="1" applyBorder="1"/>
    <xf numFmtId="176" fontId="6" fillId="0" borderId="22" xfId="67" applyNumberFormat="1" applyFont="1" applyBorder="1"/>
    <xf numFmtId="0" fontId="6" fillId="0" borderId="10" xfId="67" applyFont="1" applyBorder="1" applyAlignment="1">
      <alignment horizontal="left"/>
    </xf>
    <xf numFmtId="39" fontId="7" fillId="0" borderId="21" xfId="54" applyFont="1" applyBorder="1"/>
    <xf numFmtId="176" fontId="6" fillId="0" borderId="21" xfId="67" applyNumberFormat="1" applyFont="1" applyBorder="1"/>
    <xf numFmtId="17" fontId="7" fillId="0" borderId="0" xfId="67" applyNumberFormat="1" applyAlignment="1">
      <alignment horizontal="center"/>
    </xf>
    <xf numFmtId="0" fontId="6" fillId="0" borderId="15" xfId="67" applyFont="1" applyBorder="1" applyAlignment="1">
      <alignment horizontal="left"/>
    </xf>
    <xf numFmtId="39" fontId="7" fillId="0" borderId="20" xfId="54" applyFont="1" applyBorder="1"/>
    <xf numFmtId="176" fontId="6" fillId="0" borderId="11" xfId="67" applyNumberFormat="1" applyFont="1" applyBorder="1"/>
    <xf numFmtId="176" fontId="6" fillId="43" borderId="20" xfId="67" applyNumberFormat="1" applyFont="1" applyFill="1" applyBorder="1"/>
    <xf numFmtId="176" fontId="6" fillId="43" borderId="19" xfId="67" applyNumberFormat="1" applyFont="1" applyFill="1" applyBorder="1"/>
    <xf numFmtId="38" fontId="6" fillId="0" borderId="15" xfId="67" applyNumberFormat="1" applyFont="1" applyBorder="1"/>
    <xf numFmtId="176" fontId="6" fillId="0" borderId="20" xfId="67" applyNumberFormat="1" applyFont="1" applyBorder="1"/>
    <xf numFmtId="0" fontId="6" fillId="0" borderId="15" xfId="67" applyFont="1" applyBorder="1"/>
    <xf numFmtId="38" fontId="6" fillId="0" borderId="20" xfId="67" applyNumberFormat="1" applyFont="1" applyBorder="1"/>
    <xf numFmtId="38" fontId="6" fillId="0" borderId="22" xfId="67" applyNumberFormat="1" applyFont="1" applyBorder="1"/>
    <xf numFmtId="38" fontId="6" fillId="0" borderId="10" xfId="67" applyNumberFormat="1" applyFont="1" applyBorder="1"/>
    <xf numFmtId="176" fontId="6" fillId="43" borderId="22" xfId="67" applyNumberFormat="1" applyFont="1" applyFill="1" applyBorder="1"/>
    <xf numFmtId="38" fontId="6" fillId="0" borderId="11" xfId="67" applyNumberFormat="1" applyFont="1" applyBorder="1"/>
    <xf numFmtId="0" fontId="7" fillId="0" borderId="0" xfId="67" applyAlignment="1">
      <alignment vertical="center"/>
    </xf>
    <xf numFmtId="38" fontId="6" fillId="0" borderId="50" xfId="67" applyNumberFormat="1" applyFont="1" applyBorder="1"/>
    <xf numFmtId="39" fontId="6" fillId="0" borderId="9" xfId="54" applyFont="1" applyBorder="1"/>
    <xf numFmtId="176" fontId="6" fillId="0" borderId="45" xfId="67" applyNumberFormat="1" applyFont="1" applyBorder="1"/>
    <xf numFmtId="38" fontId="6" fillId="0" borderId="0" xfId="67" applyNumberFormat="1" applyFont="1" applyAlignment="1">
      <alignment vertical="center"/>
    </xf>
    <xf numFmtId="0" fontId="118" fillId="0" borderId="9" xfId="180" applyFont="1" applyBorder="1"/>
    <xf numFmtId="3" fontId="118" fillId="0" borderId="9" xfId="180" applyNumberFormat="1" applyFont="1" applyBorder="1"/>
    <xf numFmtId="9" fontId="118" fillId="0" borderId="0" xfId="180" applyNumberFormat="1" applyFont="1"/>
    <xf numFmtId="1" fontId="7" fillId="0" borderId="0" xfId="54" applyNumberFormat="1" applyFont="1" applyAlignment="1">
      <alignment horizontal="right"/>
    </xf>
    <xf numFmtId="169" fontId="58" fillId="0" borderId="0" xfId="67" applyNumberFormat="1" applyFont="1" applyAlignment="1">
      <alignment horizontal="right"/>
    </xf>
    <xf numFmtId="1" fontId="7" fillId="32" borderId="0" xfId="54" applyNumberFormat="1" applyFont="1" applyFill="1" applyAlignment="1">
      <alignment horizontal="right"/>
    </xf>
    <xf numFmtId="39" fontId="7" fillId="32" borderId="0" xfId="54" applyFont="1" applyFill="1"/>
    <xf numFmtId="169" fontId="58" fillId="32" borderId="0" xfId="67" applyNumberFormat="1" applyFont="1" applyFill="1" applyAlignment="1">
      <alignment horizontal="right"/>
    </xf>
    <xf numFmtId="0" fontId="6" fillId="43" borderId="0" xfId="67" applyFont="1" applyFill="1"/>
    <xf numFmtId="38" fontId="6" fillId="32" borderId="0" xfId="67" applyNumberFormat="1" applyFont="1" applyFill="1"/>
    <xf numFmtId="38" fontId="7" fillId="32" borderId="0" xfId="67" applyNumberFormat="1" applyFill="1"/>
    <xf numFmtId="0" fontId="137" fillId="32" borderId="0" xfId="180" applyFont="1" applyFill="1"/>
    <xf numFmtId="0" fontId="42" fillId="32" borderId="0" xfId="180" applyFill="1"/>
    <xf numFmtId="17" fontId="7" fillId="32" borderId="10" xfId="67" applyNumberFormat="1" applyFill="1" applyBorder="1" applyAlignment="1">
      <alignment horizontal="center"/>
    </xf>
    <xf numFmtId="0" fontId="18" fillId="0" borderId="0" xfId="67" applyFont="1"/>
    <xf numFmtId="39" fontId="37" fillId="0" borderId="0" xfId="54" applyFont="1" applyAlignment="1">
      <alignment horizontal="left"/>
    </xf>
    <xf numFmtId="3" fontId="18" fillId="0" borderId="0" xfId="67" applyNumberFormat="1" applyFont="1"/>
    <xf numFmtId="39" fontId="9" fillId="0" borderId="0" xfId="54" applyFont="1" applyAlignment="1">
      <alignment horizontal="left"/>
    </xf>
    <xf numFmtId="0" fontId="42" fillId="43" borderId="0" xfId="180" applyFill="1"/>
    <xf numFmtId="37" fontId="148" fillId="0" borderId="0" xfId="54" applyNumberFormat="1" applyFont="1"/>
    <xf numFmtId="2" fontId="7" fillId="43" borderId="11" xfId="67" applyNumberFormat="1" applyFill="1" applyBorder="1" applyAlignment="1">
      <alignment horizontal="left" vertical="center" wrapText="1"/>
    </xf>
    <xf numFmtId="9" fontId="7" fillId="43" borderId="12" xfId="47" applyNumberFormat="1" applyFont="1" applyFill="1" applyBorder="1" applyAlignment="1">
      <alignment vertical="center"/>
    </xf>
    <xf numFmtId="38" fontId="6" fillId="43" borderId="12" xfId="67" applyNumberFormat="1" applyFont="1" applyFill="1" applyBorder="1"/>
    <xf numFmtId="176" fontId="7" fillId="43" borderId="12" xfId="67" applyNumberFormat="1" applyFill="1" applyBorder="1"/>
    <xf numFmtId="169" fontId="58" fillId="43" borderId="12" xfId="67" applyNumberFormat="1" applyFont="1" applyFill="1" applyBorder="1" applyAlignment="1">
      <alignment horizontal="right"/>
    </xf>
    <xf numFmtId="176" fontId="6" fillId="43" borderId="12" xfId="67" applyNumberFormat="1" applyFont="1" applyFill="1" applyBorder="1"/>
    <xf numFmtId="38" fontId="7" fillId="43" borderId="12" xfId="67" applyNumberFormat="1" applyFill="1" applyBorder="1" applyAlignment="1">
      <alignment horizontal="center" vertical="center"/>
    </xf>
    <xf numFmtId="38" fontId="7" fillId="43" borderId="12" xfId="67" applyNumberFormat="1" applyFill="1" applyBorder="1" applyAlignment="1">
      <alignment vertical="center"/>
    </xf>
    <xf numFmtId="38" fontId="81" fillId="0" borderId="12" xfId="67" applyNumberFormat="1" applyFont="1" applyBorder="1"/>
    <xf numFmtId="0" fontId="42" fillId="0" borderId="12" xfId="180" applyBorder="1"/>
    <xf numFmtId="10" fontId="42" fillId="0" borderId="11" xfId="180" applyNumberFormat="1" applyBorder="1"/>
    <xf numFmtId="9" fontId="42" fillId="0" borderId="12" xfId="180" applyNumberFormat="1" applyBorder="1"/>
    <xf numFmtId="10" fontId="42" fillId="0" borderId="12" xfId="180" applyNumberFormat="1" applyBorder="1"/>
    <xf numFmtId="10" fontId="42" fillId="0" borderId="0" xfId="180" applyNumberFormat="1"/>
    <xf numFmtId="2" fontId="7" fillId="0" borderId="12" xfId="67" applyNumberFormat="1" applyBorder="1" applyAlignment="1">
      <alignment horizontal="left" vertical="center" wrapText="1"/>
    </xf>
    <xf numFmtId="0" fontId="118" fillId="0" borderId="0" xfId="180" applyFont="1"/>
    <xf numFmtId="176" fontId="118" fillId="0" borderId="0" xfId="180" applyNumberFormat="1" applyFont="1"/>
    <xf numFmtId="176" fontId="42" fillId="0" borderId="0" xfId="180" applyNumberFormat="1"/>
    <xf numFmtId="0" fontId="6" fillId="0" borderId="0" xfId="67" applyFont="1" applyAlignment="1">
      <alignment horizontal="center" vertical="center"/>
    </xf>
    <xf numFmtId="0" fontId="149" fillId="78" borderId="53" xfId="67" applyFont="1" applyFill="1" applyBorder="1" applyAlignment="1">
      <alignment horizontal="center" vertical="center" wrapText="1"/>
    </xf>
    <xf numFmtId="0" fontId="150" fillId="73" borderId="53" xfId="67" applyFont="1" applyFill="1" applyBorder="1" applyAlignment="1">
      <alignment horizontal="center" vertical="center" wrapText="1"/>
    </xf>
    <xf numFmtId="0" fontId="150" fillId="73" borderId="53" xfId="67" applyFont="1" applyFill="1" applyBorder="1" applyAlignment="1">
      <alignment horizontal="right" vertical="center" wrapText="1"/>
    </xf>
    <xf numFmtId="0" fontId="150" fillId="73" borderId="53" xfId="67" applyFont="1" applyFill="1" applyBorder="1" applyAlignment="1">
      <alignment horizontal="right" vertical="center"/>
    </xf>
    <xf numFmtId="0" fontId="150" fillId="73" borderId="53" xfId="67" applyFont="1" applyFill="1" applyBorder="1" applyAlignment="1">
      <alignment vertical="center" wrapText="1"/>
    </xf>
    <xf numFmtId="0" fontId="128" fillId="73" borderId="53" xfId="178" applyFill="1" applyBorder="1" applyAlignment="1">
      <alignment vertical="center" wrapText="1"/>
    </xf>
    <xf numFmtId="17" fontId="42" fillId="0" borderId="0" xfId="180" applyNumberFormat="1"/>
    <xf numFmtId="38" fontId="42" fillId="0" borderId="0" xfId="180" applyNumberFormat="1"/>
    <xf numFmtId="0" fontId="63" fillId="77" borderId="70" xfId="0" applyFont="1" applyFill="1" applyBorder="1" applyAlignment="1">
      <alignment vertical="center"/>
    </xf>
    <xf numFmtId="9" fontId="7" fillId="77" borderId="12" xfId="47" applyNumberFormat="1" applyFont="1" applyFill="1" applyBorder="1" applyAlignment="1">
      <alignment vertical="center"/>
    </xf>
    <xf numFmtId="172" fontId="93" fillId="77" borderId="0" xfId="0" applyNumberFormat="1" applyFont="1" applyFill="1"/>
    <xf numFmtId="176" fontId="7" fillId="77" borderId="12" xfId="67" applyNumberFormat="1" applyFill="1" applyBorder="1"/>
    <xf numFmtId="169" fontId="58" fillId="77" borderId="12" xfId="67" applyNumberFormat="1" applyFont="1" applyFill="1" applyBorder="1" applyAlignment="1">
      <alignment horizontal="right"/>
    </xf>
    <xf numFmtId="176" fontId="6" fillId="77" borderId="12" xfId="67" applyNumberFormat="1" applyFont="1" applyFill="1" applyBorder="1"/>
    <xf numFmtId="38" fontId="7" fillId="77" borderId="12" xfId="67" applyNumberFormat="1" applyFill="1" applyBorder="1" applyAlignment="1">
      <alignment horizontal="center" vertical="center"/>
    </xf>
    <xf numFmtId="38" fontId="7" fillId="77" borderId="12" xfId="67" applyNumberFormat="1" applyFill="1" applyBorder="1" applyAlignment="1">
      <alignment vertical="center"/>
    </xf>
    <xf numFmtId="2" fontId="7" fillId="43" borderId="0" xfId="0" applyNumberFormat="1" applyFont="1" applyFill="1" applyAlignment="1">
      <alignment horizontal="left" vertical="center" wrapText="1"/>
    </xf>
    <xf numFmtId="172" fontId="6" fillId="43" borderId="0" xfId="0" applyNumberFormat="1" applyFont="1" applyFill="1"/>
    <xf numFmtId="176" fontId="7" fillId="77" borderId="0" xfId="67" applyNumberFormat="1" applyFill="1"/>
    <xf numFmtId="0" fontId="3" fillId="0" borderId="0" xfId="181"/>
    <xf numFmtId="0" fontId="151" fillId="73" borderId="73" xfId="181" applyFont="1" applyFill="1" applyBorder="1" applyAlignment="1">
      <alignment vertical="center" wrapText="1"/>
    </xf>
    <xf numFmtId="3" fontId="151" fillId="73" borderId="73" xfId="181" applyNumberFormat="1" applyFont="1" applyFill="1" applyBorder="1" applyAlignment="1">
      <alignment vertical="center" wrapText="1"/>
    </xf>
    <xf numFmtId="0" fontId="3" fillId="79" borderId="0" xfId="181" applyFill="1"/>
    <xf numFmtId="0" fontId="151" fillId="79" borderId="0" xfId="181" applyFont="1" applyFill="1" applyAlignment="1">
      <alignment vertical="center" wrapText="1"/>
    </xf>
    <xf numFmtId="0" fontId="152" fillId="79" borderId="0" xfId="181" applyFont="1" applyFill="1" applyAlignment="1">
      <alignment vertical="center" wrapText="1"/>
    </xf>
    <xf numFmtId="0" fontId="152" fillId="79" borderId="0" xfId="181" applyFont="1" applyFill="1" applyAlignment="1">
      <alignment horizontal="center" vertical="center" wrapText="1"/>
    </xf>
    <xf numFmtId="3" fontId="153" fillId="0" borderId="0" xfId="181" applyNumberFormat="1" applyFont="1"/>
    <xf numFmtId="3" fontId="3" fillId="0" borderId="0" xfId="181" applyNumberFormat="1"/>
    <xf numFmtId="0" fontId="37" fillId="56" borderId="11" xfId="0" applyFont="1" applyFill="1" applyBorder="1"/>
    <xf numFmtId="171" fontId="76" fillId="56" borderId="15" xfId="0" applyNumberFormat="1" applyFont="1" applyFill="1" applyBorder="1"/>
    <xf numFmtId="176" fontId="6" fillId="56" borderId="0" xfId="67" applyNumberFormat="1" applyFont="1" applyFill="1"/>
    <xf numFmtId="172" fontId="93" fillId="49" borderId="21" xfId="0" applyNumberFormat="1" applyFont="1" applyFill="1" applyBorder="1"/>
    <xf numFmtId="172" fontId="84" fillId="0" borderId="9" xfId="0" applyNumberFormat="1" applyFont="1" applyBorder="1"/>
    <xf numFmtId="172" fontId="93" fillId="0" borderId="74" xfId="0" applyNumberFormat="1" applyFont="1" applyBorder="1"/>
    <xf numFmtId="172" fontId="93" fillId="0" borderId="75" xfId="0" applyNumberFormat="1" applyFont="1" applyBorder="1"/>
    <xf numFmtId="172" fontId="93" fillId="0" borderId="76" xfId="0" applyNumberFormat="1" applyFont="1" applyBorder="1"/>
    <xf numFmtId="172" fontId="93" fillId="0" borderId="77" xfId="0" applyNumberFormat="1" applyFont="1" applyBorder="1"/>
    <xf numFmtId="0" fontId="6" fillId="80" borderId="17" xfId="0" applyFont="1" applyFill="1" applyBorder="1" applyAlignment="1">
      <alignment horizontal="centerContinuous"/>
    </xf>
    <xf numFmtId="0" fontId="6" fillId="80" borderId="19" xfId="0" applyFont="1" applyFill="1" applyBorder="1" applyAlignment="1">
      <alignment horizontal="center"/>
    </xf>
    <xf numFmtId="0" fontId="6" fillId="80" borderId="33" xfId="0" applyFont="1" applyFill="1" applyBorder="1" applyAlignment="1">
      <alignment horizontal="centerContinuous"/>
    </xf>
    <xf numFmtId="0" fontId="6" fillId="80" borderId="19" xfId="0" applyFont="1" applyFill="1" applyBorder="1" applyAlignment="1">
      <alignment horizontal="centerContinuous"/>
    </xf>
    <xf numFmtId="0" fontId="6" fillId="80" borderId="15" xfId="0" applyFont="1" applyFill="1" applyBorder="1" applyAlignment="1">
      <alignment horizontal="centerContinuous"/>
    </xf>
    <xf numFmtId="0" fontId="6" fillId="80" borderId="11" xfId="0" applyFont="1" applyFill="1" applyBorder="1" applyAlignment="1">
      <alignment horizontal="center"/>
    </xf>
    <xf numFmtId="0" fontId="6" fillId="80" borderId="11" xfId="0" applyFont="1" applyFill="1" applyBorder="1" applyAlignment="1">
      <alignment horizontal="centerContinuous"/>
    </xf>
    <xf numFmtId="0" fontId="6" fillId="70" borderId="17" xfId="0" applyFont="1" applyFill="1" applyBorder="1" applyAlignment="1">
      <alignment horizontal="centerContinuous"/>
    </xf>
    <xf numFmtId="0" fontId="6" fillId="70" borderId="19" xfId="0" applyFont="1" applyFill="1" applyBorder="1" applyAlignment="1">
      <alignment horizontal="center"/>
    </xf>
    <xf numFmtId="0" fontId="6" fillId="70" borderId="33" xfId="0" applyFont="1" applyFill="1" applyBorder="1" applyAlignment="1">
      <alignment horizontal="centerContinuous"/>
    </xf>
    <xf numFmtId="0" fontId="9" fillId="70" borderId="33" xfId="0" applyFont="1" applyFill="1" applyBorder="1" applyAlignment="1">
      <alignment horizontal="center"/>
    </xf>
    <xf numFmtId="0" fontId="9" fillId="70" borderId="33" xfId="0" applyFont="1" applyFill="1" applyBorder="1" applyAlignment="1">
      <alignment horizontal="centerContinuous"/>
    </xf>
    <xf numFmtId="0" fontId="6" fillId="70" borderId="19" xfId="0" applyFont="1" applyFill="1" applyBorder="1" applyAlignment="1">
      <alignment horizontal="centerContinuous"/>
    </xf>
    <xf numFmtId="0" fontId="6" fillId="70" borderId="15" xfId="0" applyFont="1" applyFill="1" applyBorder="1" applyAlignment="1">
      <alignment horizontal="centerContinuous"/>
    </xf>
    <xf numFmtId="0" fontId="6" fillId="70" borderId="11" xfId="0" applyFont="1" applyFill="1" applyBorder="1" applyAlignment="1">
      <alignment horizontal="center"/>
    </xf>
    <xf numFmtId="0" fontId="6" fillId="70" borderId="11" xfId="0" applyFont="1" applyFill="1" applyBorder="1" applyAlignment="1">
      <alignment horizontal="centerContinuous"/>
    </xf>
    <xf numFmtId="0" fontId="9" fillId="70" borderId="11" xfId="0" applyFont="1" applyFill="1" applyBorder="1" applyAlignment="1">
      <alignment horizontal="center"/>
    </xf>
    <xf numFmtId="0" fontId="9" fillId="80" borderId="11" xfId="0" applyFont="1" applyFill="1" applyBorder="1" applyAlignment="1">
      <alignment horizontal="centerContinuous"/>
    </xf>
    <xf numFmtId="0" fontId="8" fillId="80" borderId="11" xfId="0" applyFont="1" applyFill="1" applyBorder="1" applyAlignment="1">
      <alignment horizontal="centerContinuous"/>
    </xf>
    <xf numFmtId="0" fontId="6" fillId="80" borderId="14" xfId="0" applyFont="1" applyFill="1" applyBorder="1" applyAlignment="1">
      <alignment horizontal="centerContinuous"/>
    </xf>
    <xf numFmtId="0" fontId="6" fillId="80" borderId="20" xfId="0" applyFont="1" applyFill="1" applyBorder="1"/>
    <xf numFmtId="0" fontId="36" fillId="0" borderId="0" xfId="0" applyFont="1"/>
    <xf numFmtId="17" fontId="6" fillId="0" borderId="0" xfId="0" applyNumberFormat="1" applyFont="1"/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81" borderId="24" xfId="0" applyFont="1" applyFill="1" applyBorder="1" applyAlignment="1">
      <alignment horizontal="center"/>
    </xf>
    <xf numFmtId="0" fontId="6" fillId="82" borderId="25" xfId="0" applyFont="1" applyFill="1" applyBorder="1" applyAlignment="1">
      <alignment horizontal="center"/>
    </xf>
    <xf numFmtId="0" fontId="6" fillId="43" borderId="25" xfId="0" applyFont="1" applyFill="1" applyBorder="1" applyAlignment="1">
      <alignment horizontal="center"/>
    </xf>
    <xf numFmtId="3" fontId="7" fillId="0" borderId="12" xfId="0" applyNumberFormat="1" applyFont="1" applyBorder="1"/>
    <xf numFmtId="0" fontId="17" fillId="0" borderId="0" xfId="0" applyFont="1"/>
    <xf numFmtId="0" fontId="7" fillId="77" borderId="12" xfId="0" applyFont="1" applyFill="1" applyBorder="1" applyAlignment="1">
      <alignment horizontal="left"/>
    </xf>
    <xf numFmtId="171" fontId="0" fillId="77" borderId="15" xfId="0" applyNumberFormat="1" applyFill="1" applyBorder="1"/>
    <xf numFmtId="171" fontId="93" fillId="40" borderId="15" xfId="0" applyNumberFormat="1" applyFont="1" applyFill="1" applyBorder="1"/>
    <xf numFmtId="0" fontId="0" fillId="43" borderId="13" xfId="0" applyFill="1" applyBorder="1"/>
    <xf numFmtId="3" fontId="6" fillId="51" borderId="12" xfId="0" applyNumberFormat="1" applyFont="1" applyFill="1" applyBorder="1" applyAlignment="1">
      <alignment horizontal="right"/>
    </xf>
    <xf numFmtId="9" fontId="6" fillId="80" borderId="18" xfId="0" applyNumberFormat="1" applyFont="1" applyFill="1" applyBorder="1" applyAlignment="1">
      <alignment horizontal="centerContinuous"/>
    </xf>
    <xf numFmtId="0" fontId="155" fillId="83" borderId="53" xfId="0" applyFont="1" applyFill="1" applyBorder="1" applyAlignment="1">
      <alignment horizontal="center" vertical="center" wrapText="1"/>
    </xf>
    <xf numFmtId="0" fontId="157" fillId="83" borderId="53" xfId="0" applyFont="1" applyFill="1" applyBorder="1" applyAlignment="1">
      <alignment horizontal="center" vertical="center" wrapText="1"/>
    </xf>
    <xf numFmtId="0" fontId="88" fillId="83" borderId="53" xfId="0" applyFont="1" applyFill="1" applyBorder="1" applyAlignment="1">
      <alignment horizontal="center" vertical="center" wrapText="1"/>
    </xf>
    <xf numFmtId="0" fontId="88" fillId="0" borderId="53" xfId="0" applyFont="1" applyBorder="1" applyAlignment="1">
      <alignment horizontal="left" vertical="center" wrapText="1"/>
    </xf>
    <xf numFmtId="0" fontId="128" fillId="0" borderId="53" xfId="178" applyBorder="1" applyAlignment="1">
      <alignment horizontal="left" vertical="center" wrapText="1"/>
    </xf>
    <xf numFmtId="14" fontId="88" fillId="0" borderId="53" xfId="0" applyNumberFormat="1" applyFont="1" applyBorder="1" applyAlignment="1">
      <alignment horizontal="left" vertical="center" wrapText="1"/>
    </xf>
    <xf numFmtId="0" fontId="88" fillId="0" borderId="53" xfId="0" applyFont="1" applyBorder="1" applyAlignment="1">
      <alignment horizontal="center" vertical="center" wrapText="1"/>
    </xf>
    <xf numFmtId="0" fontId="88" fillId="0" borderId="53" xfId="0" applyFont="1" applyBorder="1" applyAlignment="1">
      <alignment horizontal="right" vertical="center" wrapText="1"/>
    </xf>
    <xf numFmtId="0" fontId="88" fillId="83" borderId="78" xfId="0" applyFont="1" applyFill="1" applyBorder="1" applyAlignment="1">
      <alignment horizontal="left" vertical="center" wrapText="1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88" fillId="83" borderId="79" xfId="0" applyFont="1" applyFill="1" applyBorder="1" applyAlignment="1">
      <alignment horizontal="left" vertical="center" wrapText="1"/>
    </xf>
    <xf numFmtId="0" fontId="88" fillId="83" borderId="80" xfId="0" applyFont="1" applyFill="1" applyBorder="1" applyAlignment="1">
      <alignment horizontal="left" vertical="center" wrapText="1"/>
    </xf>
    <xf numFmtId="3" fontId="88" fillId="0" borderId="53" xfId="0" applyNumberFormat="1" applyFont="1" applyBorder="1" applyAlignment="1">
      <alignment horizontal="right" vertical="center" wrapText="1"/>
    </xf>
    <xf numFmtId="3" fontId="88" fillId="0" borderId="0" xfId="0" applyNumberFormat="1" applyFont="1" applyAlignment="1">
      <alignment horizontal="right" vertical="center" wrapText="1"/>
    </xf>
    <xf numFmtId="3" fontId="0" fillId="51" borderId="0" xfId="0" applyNumberFormat="1" applyFill="1"/>
    <xf numFmtId="3" fontId="88" fillId="51" borderId="53" xfId="0" applyNumberFormat="1" applyFont="1" applyFill="1" applyBorder="1" applyAlignment="1">
      <alignment horizontal="right" vertical="center" wrapText="1"/>
    </xf>
    <xf numFmtId="3" fontId="158" fillId="0" borderId="53" xfId="0" applyNumberFormat="1" applyFont="1" applyBorder="1" applyAlignment="1">
      <alignment horizontal="right" vertical="center" wrapText="1"/>
    </xf>
    <xf numFmtId="3" fontId="7" fillId="51" borderId="0" xfId="0" applyNumberFormat="1" applyFont="1" applyFill="1"/>
    <xf numFmtId="0" fontId="0" fillId="0" borderId="84" xfId="0" applyBorder="1"/>
    <xf numFmtId="3" fontId="82" fillId="0" borderId="0" xfId="0" applyNumberFormat="1" applyFont="1"/>
    <xf numFmtId="0" fontId="6" fillId="62" borderId="12" xfId="0" applyFont="1" applyFill="1" applyBorder="1" applyAlignment="1">
      <alignment horizontal="center"/>
    </xf>
    <xf numFmtId="172" fontId="84" fillId="43" borderId="17" xfId="0" applyNumberFormat="1" applyFont="1" applyFill="1" applyBorder="1"/>
    <xf numFmtId="3" fontId="135" fillId="0" borderId="33" xfId="0" applyNumberFormat="1" applyFont="1" applyBorder="1"/>
    <xf numFmtId="172" fontId="84" fillId="43" borderId="10" xfId="0" applyNumberFormat="1" applyFont="1" applyFill="1" applyBorder="1"/>
    <xf numFmtId="172" fontId="84" fillId="0" borderId="28" xfId="0" applyNumberFormat="1" applyFont="1" applyBorder="1"/>
    <xf numFmtId="172" fontId="84" fillId="43" borderId="19" xfId="0" applyNumberFormat="1" applyFont="1" applyFill="1" applyBorder="1"/>
    <xf numFmtId="172" fontId="84" fillId="43" borderId="11" xfId="0" applyNumberFormat="1" applyFont="1" applyFill="1" applyBorder="1"/>
    <xf numFmtId="172" fontId="84" fillId="0" borderId="45" xfId="0" applyNumberFormat="1" applyFont="1" applyBorder="1"/>
    <xf numFmtId="0" fontId="159" fillId="0" borderId="0" xfId="0" applyFont="1" applyAlignment="1">
      <alignment horizontal="left"/>
    </xf>
    <xf numFmtId="172" fontId="160" fillId="0" borderId="0" xfId="0" applyNumberFormat="1" applyFont="1"/>
    <xf numFmtId="0" fontId="161" fillId="0" borderId="0" xfId="0" applyFont="1" applyAlignment="1">
      <alignment horizontal="centerContinuous"/>
    </xf>
    <xf numFmtId="172" fontId="162" fillId="0" borderId="0" xfId="0" applyNumberFormat="1" applyFont="1"/>
    <xf numFmtId="0" fontId="161" fillId="0" borderId="0" xfId="0" applyFont="1" applyAlignment="1">
      <alignment horizontal="left"/>
    </xf>
    <xf numFmtId="0" fontId="163" fillId="0" borderId="0" xfId="0" applyFont="1" applyAlignment="1">
      <alignment horizontal="left"/>
    </xf>
    <xf numFmtId="172" fontId="164" fillId="0" borderId="0" xfId="0" applyNumberFormat="1" applyFont="1" applyAlignment="1">
      <alignment horizontal="centerContinuous"/>
    </xf>
    <xf numFmtId="172" fontId="165" fillId="0" borderId="0" xfId="0" applyNumberFormat="1" applyFont="1" applyAlignment="1">
      <alignment horizontal="centerContinuous"/>
    </xf>
    <xf numFmtId="172" fontId="166" fillId="0" borderId="0" xfId="0" applyNumberFormat="1" applyFont="1" applyAlignment="1">
      <alignment horizontal="centerContinuous"/>
    </xf>
    <xf numFmtId="172" fontId="162" fillId="0" borderId="0" xfId="0" applyNumberFormat="1" applyFont="1" applyAlignment="1">
      <alignment horizontal="centerContinuous"/>
    </xf>
    <xf numFmtId="172" fontId="167" fillId="0" borderId="0" xfId="0" applyNumberFormat="1" applyFont="1"/>
    <xf numFmtId="172" fontId="161" fillId="0" borderId="10" xfId="0" applyNumberFormat="1" applyFont="1" applyBorder="1"/>
    <xf numFmtId="172" fontId="161" fillId="0" borderId="22" xfId="0" applyNumberFormat="1" applyFont="1" applyBorder="1"/>
    <xf numFmtId="172" fontId="161" fillId="0" borderId="21" xfId="0" applyNumberFormat="1" applyFont="1" applyBorder="1"/>
    <xf numFmtId="172" fontId="161" fillId="0" borderId="74" xfId="0" applyNumberFormat="1" applyFont="1" applyBorder="1"/>
    <xf numFmtId="172" fontId="161" fillId="0" borderId="75" xfId="0" applyNumberFormat="1" applyFont="1" applyBorder="1"/>
    <xf numFmtId="172" fontId="161" fillId="0" borderId="76" xfId="0" applyNumberFormat="1" applyFont="1" applyBorder="1"/>
    <xf numFmtId="172" fontId="161" fillId="0" borderId="77" xfId="0" applyNumberFormat="1" applyFont="1" applyBorder="1"/>
    <xf numFmtId="172" fontId="168" fillId="0" borderId="13" xfId="0" applyNumberFormat="1" applyFont="1" applyBorder="1"/>
    <xf numFmtId="172" fontId="161" fillId="0" borderId="12" xfId="0" applyNumberFormat="1" applyFont="1" applyBorder="1"/>
    <xf numFmtId="172" fontId="161" fillId="0" borderId="16" xfId="0" applyNumberFormat="1" applyFont="1" applyBorder="1"/>
    <xf numFmtId="172" fontId="169" fillId="0" borderId="0" xfId="0" applyNumberFormat="1" applyFont="1"/>
    <xf numFmtId="172" fontId="162" fillId="64" borderId="18" xfId="0" applyNumberFormat="1" applyFont="1" applyFill="1" applyBorder="1"/>
    <xf numFmtId="172" fontId="162" fillId="0" borderId="21" xfId="0" applyNumberFormat="1" applyFont="1" applyBorder="1"/>
    <xf numFmtId="172" fontId="162" fillId="0" borderId="19" xfId="0" applyNumberFormat="1" applyFont="1" applyBorder="1"/>
    <xf numFmtId="172" fontId="162" fillId="0" borderId="22" xfId="0" applyNumberFormat="1" applyFont="1" applyBorder="1"/>
    <xf numFmtId="172" fontId="161" fillId="0" borderId="45" xfId="0" applyNumberFormat="1" applyFont="1" applyBorder="1"/>
    <xf numFmtId="172" fontId="161" fillId="0" borderId="51" xfId="0" applyNumberFormat="1" applyFont="1" applyBorder="1"/>
    <xf numFmtId="172" fontId="101" fillId="84" borderId="17" xfId="0" applyNumberFormat="1" applyFont="1" applyFill="1" applyBorder="1" applyAlignment="1">
      <alignment horizontal="centerContinuous"/>
    </xf>
    <xf numFmtId="172" fontId="101" fillId="84" borderId="34" xfId="0" applyNumberFormat="1" applyFont="1" applyFill="1" applyBorder="1" applyAlignment="1">
      <alignment horizontal="center"/>
    </xf>
    <xf numFmtId="172" fontId="101" fillId="84" borderId="33" xfId="0" applyNumberFormat="1" applyFont="1" applyFill="1" applyBorder="1" applyAlignment="1">
      <alignment horizontal="centerContinuous"/>
    </xf>
    <xf numFmtId="172" fontId="102" fillId="84" borderId="33" xfId="0" applyNumberFormat="1" applyFont="1" applyFill="1" applyBorder="1" applyAlignment="1">
      <alignment horizontal="centerContinuous"/>
    </xf>
    <xf numFmtId="172" fontId="101" fillId="84" borderId="36" xfId="0" applyNumberFormat="1" applyFont="1" applyFill="1" applyBorder="1" applyAlignment="1">
      <alignment horizontal="centerContinuous"/>
    </xf>
    <xf numFmtId="172" fontId="102" fillId="84" borderId="37" xfId="0" applyNumberFormat="1" applyFont="1" applyFill="1" applyBorder="1" applyAlignment="1">
      <alignment horizontal="centerContinuous"/>
    </xf>
    <xf numFmtId="172" fontId="102" fillId="84" borderId="18" xfId="0" applyNumberFormat="1" applyFont="1" applyFill="1" applyBorder="1" applyAlignment="1">
      <alignment horizontal="centerContinuous"/>
    </xf>
    <xf numFmtId="172" fontId="102" fillId="84" borderId="15" xfId="0" applyNumberFormat="1" applyFont="1" applyFill="1" applyBorder="1" applyAlignment="1">
      <alignment horizontal="centerContinuous"/>
    </xf>
    <xf numFmtId="172" fontId="103" fillId="84" borderId="35" xfId="0" applyNumberFormat="1" applyFont="1" applyFill="1" applyBorder="1" applyAlignment="1">
      <alignment horizontal="center"/>
    </xf>
    <xf numFmtId="172" fontId="102" fillId="84" borderId="39" xfId="0" applyNumberFormat="1" applyFont="1" applyFill="1" applyBorder="1" applyAlignment="1">
      <alignment horizontal="centerContinuous"/>
    </xf>
    <xf numFmtId="172" fontId="102" fillId="84" borderId="40" xfId="0" applyNumberFormat="1" applyFont="1" applyFill="1" applyBorder="1" applyAlignment="1">
      <alignment horizontal="centerContinuous"/>
    </xf>
    <xf numFmtId="172" fontId="102" fillId="84" borderId="38" xfId="0" applyNumberFormat="1" applyFont="1" applyFill="1" applyBorder="1" applyAlignment="1">
      <alignment horizontal="centerContinuous"/>
    </xf>
    <xf numFmtId="0" fontId="170" fillId="0" borderId="0" xfId="0" applyFont="1"/>
    <xf numFmtId="0" fontId="63" fillId="0" borderId="0" xfId="0" applyFont="1"/>
    <xf numFmtId="0" fontId="63" fillId="43" borderId="0" xfId="0" applyFont="1" applyFill="1"/>
    <xf numFmtId="0" fontId="17" fillId="0" borderId="12" xfId="0" applyFont="1" applyBorder="1" applyAlignment="1">
      <alignment horizontal="center"/>
    </xf>
    <xf numFmtId="4" fontId="63" fillId="0" borderId="0" xfId="0" applyNumberFormat="1" applyFont="1"/>
    <xf numFmtId="3" fontId="17" fillId="85" borderId="12" xfId="0" applyNumberFormat="1" applyFont="1" applyFill="1" applyBorder="1"/>
    <xf numFmtId="0" fontId="76" fillId="0" borderId="0" xfId="0" applyFont="1"/>
    <xf numFmtId="0" fontId="171" fillId="86" borderId="0" xfId="0" applyFont="1" applyFill="1"/>
    <xf numFmtId="0" fontId="171" fillId="86" borderId="0" xfId="0" applyFont="1" applyFill="1" applyAlignment="1">
      <alignment horizontal="right"/>
    </xf>
    <xf numFmtId="3" fontId="6" fillId="43" borderId="22" xfId="0" applyNumberFormat="1" applyFont="1" applyFill="1" applyBorder="1" applyAlignment="1">
      <alignment horizontal="right"/>
    </xf>
    <xf numFmtId="0" fontId="81" fillId="0" borderId="0" xfId="0" applyFont="1" applyAlignment="1">
      <alignment horizontal="left" vertical="center"/>
    </xf>
    <xf numFmtId="3" fontId="18" fillId="0" borderId="0" xfId="67" applyNumberFormat="1" applyFont="1" applyAlignment="1">
      <alignment horizontal="right"/>
    </xf>
    <xf numFmtId="0" fontId="18" fillId="0" borderId="0" xfId="67" applyFont="1" applyAlignment="1">
      <alignment horizontal="right"/>
    </xf>
    <xf numFmtId="0" fontId="9" fillId="0" borderId="0" xfId="67" applyFont="1" applyAlignment="1">
      <alignment horizontal="center"/>
    </xf>
    <xf numFmtId="0" fontId="9" fillId="0" borderId="0" xfId="67" applyFont="1"/>
    <xf numFmtId="0" fontId="12" fillId="0" borderId="0" xfId="67" applyFont="1"/>
    <xf numFmtId="4" fontId="18" fillId="0" borderId="9" xfId="67" applyNumberFormat="1" applyFont="1" applyBorder="1"/>
    <xf numFmtId="0" fontId="18" fillId="0" borderId="9" xfId="67" applyFont="1" applyBorder="1"/>
    <xf numFmtId="3" fontId="18" fillId="0" borderId="22" xfId="67" applyNumberFormat="1" applyFont="1" applyBorder="1"/>
    <xf numFmtId="4" fontId="18" fillId="0" borderId="22" xfId="67" applyNumberFormat="1" applyFont="1" applyBorder="1"/>
    <xf numFmtId="3" fontId="9" fillId="0" borderId="22" xfId="67" applyNumberFormat="1" applyFont="1" applyBorder="1"/>
    <xf numFmtId="3" fontId="18" fillId="68" borderId="86" xfId="67" applyNumberFormat="1" applyFont="1" applyFill="1" applyBorder="1"/>
    <xf numFmtId="3" fontId="18" fillId="68" borderId="87" xfId="67" applyNumberFormat="1" applyFont="1" applyFill="1" applyBorder="1"/>
    <xf numFmtId="3" fontId="9" fillId="68" borderId="87" xfId="67" applyNumberFormat="1" applyFont="1" applyFill="1" applyBorder="1"/>
    <xf numFmtId="4" fontId="18" fillId="68" borderId="87" xfId="67" applyNumberFormat="1" applyFont="1" applyFill="1" applyBorder="1"/>
    <xf numFmtId="3" fontId="18" fillId="68" borderId="88" xfId="67" applyNumberFormat="1" applyFont="1" applyFill="1" applyBorder="1"/>
    <xf numFmtId="3" fontId="18" fillId="68" borderId="89" xfId="67" applyNumberFormat="1" applyFont="1" applyFill="1" applyBorder="1"/>
    <xf numFmtId="3" fontId="18" fillId="68" borderId="90" xfId="67" applyNumberFormat="1" applyFont="1" applyFill="1" applyBorder="1"/>
    <xf numFmtId="3" fontId="9" fillId="68" borderId="90" xfId="67" applyNumberFormat="1" applyFont="1" applyFill="1" applyBorder="1"/>
    <xf numFmtId="3" fontId="18" fillId="68" borderId="57" xfId="67" applyNumberFormat="1" applyFont="1" applyFill="1" applyBorder="1"/>
    <xf numFmtId="3" fontId="18" fillId="60" borderId="77" xfId="67" applyNumberFormat="1" applyFont="1" applyFill="1" applyBorder="1"/>
    <xf numFmtId="3" fontId="18" fillId="60" borderId="75" xfId="67" applyNumberFormat="1" applyFont="1" applyFill="1" applyBorder="1"/>
    <xf numFmtId="3" fontId="9" fillId="60" borderId="76" xfId="67" applyNumberFormat="1" applyFont="1" applyFill="1" applyBorder="1"/>
    <xf numFmtId="3" fontId="6" fillId="60" borderId="74" xfId="67" applyNumberFormat="1" applyFont="1" applyFill="1" applyBorder="1" applyAlignment="1">
      <alignment horizontal="right"/>
    </xf>
    <xf numFmtId="4" fontId="18" fillId="0" borderId="21" xfId="67" applyNumberFormat="1" applyFont="1" applyBorder="1"/>
    <xf numFmtId="3" fontId="6" fillId="0" borderId="91" xfId="67" applyNumberFormat="1" applyFont="1" applyBorder="1" applyAlignment="1">
      <alignment horizontal="right"/>
    </xf>
    <xf numFmtId="3" fontId="9" fillId="0" borderId="21" xfId="67" applyNumberFormat="1" applyFont="1" applyBorder="1"/>
    <xf numFmtId="3" fontId="18" fillId="0" borderId="71" xfId="67" applyNumberFormat="1" applyFont="1" applyBorder="1"/>
    <xf numFmtId="4" fontId="9" fillId="0" borderId="21" xfId="67" applyNumberFormat="1" applyFont="1" applyBorder="1"/>
    <xf numFmtId="3" fontId="6" fillId="0" borderId="92" xfId="67" applyNumberFormat="1" applyFont="1" applyBorder="1" applyAlignment="1">
      <alignment horizontal="right"/>
    </xf>
    <xf numFmtId="3" fontId="18" fillId="0" borderId="19" xfId="67" applyNumberFormat="1" applyFont="1" applyBorder="1"/>
    <xf numFmtId="4" fontId="18" fillId="0" borderId="19" xfId="67" applyNumberFormat="1" applyFont="1" applyBorder="1"/>
    <xf numFmtId="3" fontId="18" fillId="0" borderId="93" xfId="67" applyNumberFormat="1" applyFont="1" applyBorder="1"/>
    <xf numFmtId="3" fontId="6" fillId="0" borderId="12" xfId="67" applyNumberFormat="1" applyFont="1" applyBorder="1" applyAlignment="1">
      <alignment horizontal="center"/>
    </xf>
    <xf numFmtId="1" fontId="9" fillId="43" borderId="0" xfId="67" applyNumberFormat="1" applyFont="1" applyFill="1" applyAlignment="1">
      <alignment horizontal="center"/>
    </xf>
    <xf numFmtId="17" fontId="7" fillId="0" borderId="22" xfId="67" applyNumberFormat="1" applyBorder="1" applyAlignment="1">
      <alignment horizontal="center"/>
    </xf>
    <xf numFmtId="192" fontId="18" fillId="0" borderId="0" xfId="67" applyNumberFormat="1" applyFont="1"/>
    <xf numFmtId="3" fontId="172" fillId="0" borderId="0" xfId="67" applyNumberFormat="1" applyFont="1"/>
    <xf numFmtId="3" fontId="6" fillId="87" borderId="0" xfId="67" applyNumberFormat="1" applyFont="1" applyFill="1"/>
    <xf numFmtId="0" fontId="9" fillId="87" borderId="0" xfId="67" applyFont="1" applyFill="1"/>
    <xf numFmtId="3" fontId="6" fillId="51" borderId="0" xfId="67" applyNumberFormat="1" applyFont="1" applyFill="1"/>
    <xf numFmtId="4" fontId="18" fillId="51" borderId="0" xfId="67" applyNumberFormat="1" applyFont="1" applyFill="1"/>
    <xf numFmtId="0" fontId="18" fillId="51" borderId="0" xfId="67" applyFont="1" applyFill="1"/>
    <xf numFmtId="0" fontId="7" fillId="0" borderId="31" xfId="67" applyBorder="1"/>
    <xf numFmtId="3" fontId="6" fillId="0" borderId="30" xfId="67" applyNumberFormat="1" applyFont="1" applyBorder="1"/>
    <xf numFmtId="3" fontId="6" fillId="0" borderId="87" xfId="67" applyNumberFormat="1" applyFont="1" applyBorder="1"/>
    <xf numFmtId="4" fontId="6" fillId="0" borderId="87" xfId="67" applyNumberFormat="1" applyFont="1" applyBorder="1"/>
    <xf numFmtId="0" fontId="6" fillId="0" borderId="30" xfId="67" applyFont="1" applyBorder="1"/>
    <xf numFmtId="0" fontId="6" fillId="0" borderId="29" xfId="67" applyFont="1" applyBorder="1"/>
    <xf numFmtId="0" fontId="7" fillId="0" borderId="27" xfId="67" applyBorder="1"/>
    <xf numFmtId="4" fontId="6" fillId="0" borderId="0" xfId="67" applyNumberFormat="1" applyFont="1"/>
    <xf numFmtId="4" fontId="6" fillId="43" borderId="22" xfId="67" applyNumberFormat="1" applyFont="1" applyFill="1" applyBorder="1"/>
    <xf numFmtId="4" fontId="6" fillId="0" borderId="22" xfId="67" applyNumberFormat="1" applyFont="1" applyBorder="1"/>
    <xf numFmtId="0" fontId="6" fillId="0" borderId="26" xfId="67" applyFont="1" applyBorder="1"/>
    <xf numFmtId="0" fontId="7" fillId="0" borderId="94" xfId="67" applyBorder="1"/>
    <xf numFmtId="3" fontId="6" fillId="0" borderId="33" xfId="67" applyNumberFormat="1" applyFont="1" applyBorder="1"/>
    <xf numFmtId="3" fontId="6" fillId="0" borderId="19" xfId="67" applyNumberFormat="1" applyFont="1" applyBorder="1"/>
    <xf numFmtId="0" fontId="6" fillId="0" borderId="33" xfId="67" applyFont="1" applyBorder="1"/>
    <xf numFmtId="0" fontId="6" fillId="0" borderId="95" xfId="67" applyFont="1" applyBorder="1"/>
    <xf numFmtId="193" fontId="7" fillId="0" borderId="0" xfId="67" applyNumberFormat="1"/>
    <xf numFmtId="3" fontId="7" fillId="0" borderId="96" xfId="67" applyNumberFormat="1" applyBorder="1" applyAlignment="1">
      <alignment horizontal="center"/>
    </xf>
    <xf numFmtId="3" fontId="7" fillId="0" borderId="12" xfId="67" applyNumberFormat="1" applyBorder="1"/>
    <xf numFmtId="4" fontId="7" fillId="0" borderId="12" xfId="67" applyNumberFormat="1" applyBorder="1"/>
    <xf numFmtId="17" fontId="7" fillId="0" borderId="12" xfId="67" applyNumberFormat="1" applyBorder="1" applyAlignment="1">
      <alignment horizontal="center"/>
    </xf>
    <xf numFmtId="0" fontId="7" fillId="0" borderId="97" xfId="67" applyBorder="1" applyAlignment="1">
      <alignment horizontal="center"/>
    </xf>
    <xf numFmtId="3" fontId="7" fillId="0" borderId="98" xfId="67" applyNumberFormat="1" applyBorder="1" applyAlignment="1">
      <alignment horizontal="center"/>
    </xf>
    <xf numFmtId="3" fontId="7" fillId="0" borderId="11" xfId="67" applyNumberFormat="1" applyBorder="1"/>
    <xf numFmtId="4" fontId="7" fillId="0" borderId="11" xfId="67" applyNumberFormat="1" applyBorder="1"/>
    <xf numFmtId="3" fontId="173" fillId="73" borderId="11" xfId="182" applyNumberFormat="1" applyFont="1" applyFill="1" applyBorder="1" applyAlignment="1">
      <alignment horizontal="right" wrapText="1" indent="1"/>
    </xf>
    <xf numFmtId="17" fontId="7" fillId="0" borderId="15" xfId="67" applyNumberFormat="1" applyBorder="1" applyAlignment="1">
      <alignment horizontal="center"/>
    </xf>
    <xf numFmtId="0" fontId="7" fillId="0" borderId="99" xfId="67" applyBorder="1" applyAlignment="1">
      <alignment horizontal="center"/>
    </xf>
    <xf numFmtId="193" fontId="7" fillId="57" borderId="0" xfId="67" applyNumberFormat="1" applyFill="1"/>
    <xf numFmtId="3" fontId="7" fillId="0" borderId="100" xfId="67" applyNumberFormat="1" applyBorder="1" applyAlignment="1">
      <alignment horizontal="center"/>
    </xf>
    <xf numFmtId="3" fontId="7" fillId="0" borderId="101" xfId="67" applyNumberFormat="1" applyBorder="1"/>
    <xf numFmtId="3" fontId="174" fillId="88" borderId="101" xfId="182" applyNumberFormat="1" applyFont="1" applyFill="1" applyBorder="1" applyAlignment="1">
      <alignment horizontal="right" wrapText="1" indent="1"/>
    </xf>
    <xf numFmtId="4" fontId="7" fillId="0" borderId="101" xfId="67" applyNumberFormat="1" applyBorder="1"/>
    <xf numFmtId="3" fontId="174" fillId="89" borderId="101" xfId="182" applyNumberFormat="1" applyFont="1" applyFill="1" applyBorder="1" applyAlignment="1">
      <alignment horizontal="right" wrapText="1" indent="1"/>
    </xf>
    <xf numFmtId="3" fontId="174" fillId="88" borderId="12" xfId="182" applyNumberFormat="1" applyFont="1" applyFill="1" applyBorder="1" applyAlignment="1">
      <alignment horizontal="right" wrapText="1" indent="1"/>
    </xf>
    <xf numFmtId="17" fontId="7" fillId="52" borderId="102" xfId="67" applyNumberFormat="1" applyFill="1" applyBorder="1" applyAlignment="1">
      <alignment horizontal="center"/>
    </xf>
    <xf numFmtId="0" fontId="7" fillId="0" borderId="54" xfId="67" applyBorder="1" applyAlignment="1">
      <alignment horizontal="center"/>
    </xf>
    <xf numFmtId="3" fontId="174" fillId="73" borderId="12" xfId="182" applyNumberFormat="1" applyFont="1" applyFill="1" applyBorder="1" applyAlignment="1">
      <alignment horizontal="right" wrapText="1" indent="1"/>
    </xf>
    <xf numFmtId="3" fontId="174" fillId="89" borderId="12" xfId="182" applyNumberFormat="1" applyFont="1" applyFill="1" applyBorder="1" applyAlignment="1">
      <alignment horizontal="right" wrapText="1" indent="1"/>
    </xf>
    <xf numFmtId="17" fontId="7" fillId="52" borderId="13" xfId="67" applyNumberFormat="1" applyFill="1" applyBorder="1" applyAlignment="1">
      <alignment horizontal="center"/>
    </xf>
    <xf numFmtId="3" fontId="174" fillId="88" borderId="11" xfId="182" applyNumberFormat="1" applyFont="1" applyFill="1" applyBorder="1" applyAlignment="1">
      <alignment horizontal="right" wrapText="1" indent="1"/>
    </xf>
    <xf numFmtId="3" fontId="174" fillId="89" borderId="11" xfId="182" applyNumberFormat="1" applyFont="1" applyFill="1" applyBorder="1" applyAlignment="1">
      <alignment horizontal="right" wrapText="1" indent="1"/>
    </xf>
    <xf numFmtId="3" fontId="7" fillId="43" borderId="100" xfId="67" applyNumberFormat="1" applyFill="1" applyBorder="1" applyAlignment="1">
      <alignment horizontal="center"/>
    </xf>
    <xf numFmtId="3" fontId="7" fillId="43" borderId="101" xfId="67" applyNumberFormat="1" applyFill="1" applyBorder="1"/>
    <xf numFmtId="3" fontId="174" fillId="43" borderId="101" xfId="182" applyNumberFormat="1" applyFont="1" applyFill="1" applyBorder="1" applyAlignment="1">
      <alignment horizontal="right" wrapText="1" indent="1"/>
    </xf>
    <xf numFmtId="4" fontId="7" fillId="43" borderId="101" xfId="67" applyNumberFormat="1" applyFill="1" applyBorder="1"/>
    <xf numFmtId="3" fontId="174" fillId="43" borderId="54" xfId="182" applyNumberFormat="1" applyFont="1" applyFill="1" applyBorder="1" applyAlignment="1">
      <alignment horizontal="right" wrapText="1" indent="1"/>
    </xf>
    <xf numFmtId="3" fontId="7" fillId="43" borderId="103" xfId="67" applyNumberFormat="1" applyFill="1" applyBorder="1" applyAlignment="1">
      <alignment horizontal="center"/>
    </xf>
    <xf numFmtId="3" fontId="7" fillId="43" borderId="104" xfId="67" applyNumberFormat="1" applyFill="1" applyBorder="1"/>
    <xf numFmtId="3" fontId="174" fillId="43" borderId="104" xfId="182" applyNumberFormat="1" applyFont="1" applyFill="1" applyBorder="1" applyAlignment="1">
      <alignment horizontal="right" wrapText="1" indent="1"/>
    </xf>
    <xf numFmtId="4" fontId="7" fillId="43" borderId="104" xfId="67" applyNumberFormat="1" applyFill="1" applyBorder="1"/>
    <xf numFmtId="3" fontId="174" fillId="43" borderId="105" xfId="182" applyNumberFormat="1" applyFont="1" applyFill="1" applyBorder="1" applyAlignment="1">
      <alignment horizontal="right" wrapText="1" indent="1"/>
    </xf>
    <xf numFmtId="17" fontId="7" fillId="52" borderId="106" xfId="67" applyNumberFormat="1" applyFill="1" applyBorder="1" applyAlignment="1">
      <alignment horizontal="center"/>
    </xf>
    <xf numFmtId="0" fontId="7" fillId="0" borderId="105" xfId="67" applyBorder="1" applyAlignment="1">
      <alignment horizontal="center"/>
    </xf>
    <xf numFmtId="3" fontId="7" fillId="0" borderId="107" xfId="67" applyNumberFormat="1" applyBorder="1" applyAlignment="1">
      <alignment horizontal="center"/>
    </xf>
    <xf numFmtId="3" fontId="7" fillId="0" borderId="19" xfId="67" applyNumberFormat="1" applyBorder="1"/>
    <xf numFmtId="3" fontId="174" fillId="73" borderId="19" xfId="182" applyNumberFormat="1" applyFont="1" applyFill="1" applyBorder="1" applyAlignment="1">
      <alignment horizontal="right" wrapText="1" indent="1"/>
    </xf>
    <xf numFmtId="4" fontId="7" fillId="0" borderId="19" xfId="67" applyNumberFormat="1" applyBorder="1"/>
    <xf numFmtId="3" fontId="174" fillId="89" borderId="19" xfId="182" applyNumberFormat="1" applyFont="1" applyFill="1" applyBorder="1" applyAlignment="1">
      <alignment horizontal="right" wrapText="1" indent="1"/>
    </xf>
    <xf numFmtId="3" fontId="175" fillId="63" borderId="12" xfId="182" applyNumberFormat="1" applyFont="1" applyFill="1" applyBorder="1" applyAlignment="1">
      <alignment horizontal="right" wrapText="1" indent="1"/>
    </xf>
    <xf numFmtId="17" fontId="7" fillId="0" borderId="17" xfId="67" applyNumberFormat="1" applyBorder="1" applyAlignment="1">
      <alignment horizontal="center"/>
    </xf>
    <xf numFmtId="0" fontId="7" fillId="0" borderId="108" xfId="67" applyBorder="1" applyAlignment="1">
      <alignment horizontal="center"/>
    </xf>
    <xf numFmtId="194" fontId="6" fillId="0" borderId="0" xfId="67" applyNumberFormat="1" applyFont="1"/>
    <xf numFmtId="17" fontId="7" fillId="0" borderId="13" xfId="67" applyNumberFormat="1" applyBorder="1" applyAlignment="1">
      <alignment horizontal="center"/>
    </xf>
    <xf numFmtId="193" fontId="6" fillId="0" borderId="0" xfId="67" applyNumberFormat="1" applyFont="1"/>
    <xf numFmtId="193" fontId="6" fillId="43" borderId="0" xfId="67" applyNumberFormat="1" applyFont="1" applyFill="1" applyAlignment="1">
      <alignment horizontal="center"/>
    </xf>
    <xf numFmtId="3" fontId="7" fillId="0" borderId="25" xfId="67" applyNumberFormat="1" applyBorder="1" applyAlignment="1">
      <alignment horizontal="center"/>
    </xf>
    <xf numFmtId="3" fontId="7" fillId="0" borderId="90" xfId="67" applyNumberFormat="1" applyBorder="1"/>
    <xf numFmtId="4" fontId="7" fillId="0" borderId="90" xfId="67" applyNumberFormat="1" applyBorder="1"/>
    <xf numFmtId="17" fontId="7" fillId="0" borderId="109" xfId="67" applyNumberFormat="1" applyBorder="1" applyAlignment="1">
      <alignment horizontal="center"/>
    </xf>
    <xf numFmtId="0" fontId="7" fillId="0" borderId="57" xfId="67" applyBorder="1" applyAlignment="1">
      <alignment horizontal="center"/>
    </xf>
    <xf numFmtId="3" fontId="6" fillId="0" borderId="86" xfId="67" applyNumberFormat="1" applyFont="1" applyBorder="1" applyAlignment="1">
      <alignment horizontal="center"/>
    </xf>
    <xf numFmtId="3" fontId="7" fillId="0" borderId="87" xfId="67" applyNumberFormat="1" applyBorder="1"/>
    <xf numFmtId="3" fontId="6" fillId="0" borderId="87" xfId="67" applyNumberFormat="1" applyFont="1" applyBorder="1" applyAlignment="1">
      <alignment horizontal="center"/>
    </xf>
    <xf numFmtId="3" fontId="6" fillId="0" borderId="87" xfId="67" applyNumberFormat="1" applyFont="1" applyBorder="1" applyAlignment="1">
      <alignment horizontal="right"/>
    </xf>
    <xf numFmtId="17" fontId="7" fillId="0" borderId="87" xfId="67" applyNumberFormat="1" applyBorder="1" applyAlignment="1">
      <alignment horizontal="center"/>
    </xf>
    <xf numFmtId="0" fontId="7" fillId="0" borderId="88" xfId="67" applyBorder="1" applyAlignment="1">
      <alignment horizontal="center"/>
    </xf>
    <xf numFmtId="0" fontId="6" fillId="0" borderId="110" xfId="67" applyFont="1" applyBorder="1" applyAlignment="1">
      <alignment horizontal="center"/>
    </xf>
    <xf numFmtId="0" fontId="6" fillId="0" borderId="21" xfId="67" applyFont="1" applyBorder="1" applyAlignment="1">
      <alignment horizontal="center"/>
    </xf>
    <xf numFmtId="3" fontId="6" fillId="0" borderId="22" xfId="67" applyNumberFormat="1" applyFont="1" applyBorder="1" applyAlignment="1">
      <alignment horizontal="center"/>
    </xf>
    <xf numFmtId="3" fontId="7" fillId="0" borderId="22" xfId="67" applyNumberFormat="1" applyBorder="1"/>
    <xf numFmtId="17" fontId="6" fillId="0" borderId="22" xfId="67" applyNumberFormat="1" applyFont="1" applyBorder="1" applyAlignment="1">
      <alignment horizontal="center"/>
    </xf>
    <xf numFmtId="0" fontId="7" fillId="0" borderId="111" xfId="67" applyBorder="1" applyAlignment="1">
      <alignment horizontal="center"/>
    </xf>
    <xf numFmtId="0" fontId="6" fillId="0" borderId="89" xfId="67" applyFont="1" applyBorder="1" applyAlignment="1">
      <alignment horizontal="center"/>
    </xf>
    <xf numFmtId="0" fontId="6" fillId="0" borderId="112" xfId="67" quotePrefix="1" applyFont="1" applyBorder="1" applyAlignment="1">
      <alignment horizontal="center"/>
    </xf>
    <xf numFmtId="40" fontId="6" fillId="0" borderId="112" xfId="67" applyNumberFormat="1" applyFont="1" applyBorder="1" applyAlignment="1">
      <alignment horizontal="center"/>
    </xf>
    <xf numFmtId="40" fontId="6" fillId="0" borderId="112" xfId="67" quotePrefix="1" applyNumberFormat="1" applyFont="1" applyBorder="1" applyAlignment="1">
      <alignment horizontal="center"/>
    </xf>
    <xf numFmtId="0" fontId="6" fillId="0" borderId="112" xfId="67" applyFont="1" applyBorder="1" applyAlignment="1">
      <alignment horizontal="center"/>
    </xf>
    <xf numFmtId="0" fontId="6" fillId="0" borderId="57" xfId="67" applyFont="1" applyBorder="1" applyAlignment="1">
      <alignment horizontal="center"/>
    </xf>
    <xf numFmtId="40" fontId="7" fillId="0" borderId="0" xfId="67" applyNumberFormat="1"/>
    <xf numFmtId="195" fontId="18" fillId="0" borderId="0" xfId="67" applyNumberFormat="1" applyFont="1"/>
    <xf numFmtId="40" fontId="7" fillId="0" borderId="0" xfId="67" applyNumberFormat="1" applyAlignment="1">
      <alignment horizontal="left"/>
    </xf>
    <xf numFmtId="4" fontId="7" fillId="0" borderId="0" xfId="67" applyNumberFormat="1"/>
    <xf numFmtId="178" fontId="7" fillId="0" borderId="0" xfId="67" applyNumberFormat="1"/>
    <xf numFmtId="0" fontId="76" fillId="0" borderId="0" xfId="67" applyFont="1" applyAlignment="1">
      <alignment horizontal="left"/>
    </xf>
    <xf numFmtId="17" fontId="76" fillId="0" borderId="0" xfId="67" applyNumberFormat="1" applyFont="1" applyAlignment="1">
      <alignment horizontal="left"/>
    </xf>
    <xf numFmtId="0" fontId="76" fillId="0" borderId="0" xfId="67" applyFont="1" applyAlignment="1">
      <alignment horizontal="centerContinuous"/>
    </xf>
    <xf numFmtId="40" fontId="76" fillId="0" borderId="0" xfId="67" applyNumberFormat="1" applyFont="1" applyAlignment="1">
      <alignment horizontal="centerContinuous"/>
    </xf>
    <xf numFmtId="0" fontId="15" fillId="0" borderId="0" xfId="67" applyFont="1" applyAlignment="1">
      <alignment horizontal="left"/>
    </xf>
    <xf numFmtId="193" fontId="6" fillId="0" borderId="0" xfId="67" applyNumberFormat="1" applyFont="1" applyAlignment="1">
      <alignment horizontal="center"/>
    </xf>
    <xf numFmtId="172" fontId="35" fillId="0" borderId="0" xfId="67" applyNumberFormat="1" applyFont="1"/>
    <xf numFmtId="171" fontId="6" fillId="60" borderId="15" xfId="0" applyNumberFormat="1" applyFont="1" applyFill="1" applyBorder="1"/>
    <xf numFmtId="172" fontId="161" fillId="0" borderId="0" xfId="0" applyNumberFormat="1" applyFont="1"/>
    <xf numFmtId="177" fontId="81" fillId="0" borderId="22" xfId="67" applyNumberFormat="1" applyFont="1" applyBorder="1"/>
    <xf numFmtId="3" fontId="6" fillId="0" borderId="21" xfId="0" applyNumberFormat="1" applyFont="1" applyBorder="1" applyAlignment="1">
      <alignment horizontal="right"/>
    </xf>
    <xf numFmtId="171" fontId="6" fillId="43" borderId="11" xfId="0" applyNumberFormat="1" applyFont="1" applyFill="1" applyBorder="1"/>
    <xf numFmtId="172" fontId="93" fillId="49" borderId="10" xfId="0" applyNumberFormat="1" applyFont="1" applyFill="1" applyBorder="1"/>
    <xf numFmtId="172" fontId="93" fillId="49" borderId="22" xfId="0" applyNumberFormat="1" applyFont="1" applyFill="1" applyBorder="1"/>
    <xf numFmtId="172" fontId="93" fillId="89" borderId="10" xfId="0" applyNumberFormat="1" applyFont="1" applyFill="1" applyBorder="1"/>
    <xf numFmtId="172" fontId="93" fillId="89" borderId="22" xfId="0" applyNumberFormat="1" applyFont="1" applyFill="1" applyBorder="1"/>
    <xf numFmtId="172" fontId="93" fillId="89" borderId="21" xfId="0" applyNumberFormat="1" applyFont="1" applyFill="1" applyBorder="1"/>
    <xf numFmtId="172" fontId="93" fillId="90" borderId="10" xfId="0" applyNumberFormat="1" applyFont="1" applyFill="1" applyBorder="1"/>
    <xf numFmtId="172" fontId="93" fillId="90" borderId="22" xfId="0" applyNumberFormat="1" applyFont="1" applyFill="1" applyBorder="1"/>
    <xf numFmtId="172" fontId="93" fillId="90" borderId="21" xfId="0" applyNumberFormat="1" applyFont="1" applyFill="1" applyBorder="1"/>
    <xf numFmtId="172" fontId="6" fillId="90" borderId="10" xfId="0" applyNumberFormat="1" applyFont="1" applyFill="1" applyBorder="1"/>
    <xf numFmtId="172" fontId="6" fillId="90" borderId="22" xfId="0" applyNumberFormat="1" applyFont="1" applyFill="1" applyBorder="1"/>
    <xf numFmtId="172" fontId="6" fillId="90" borderId="21" xfId="0" applyNumberFormat="1" applyFont="1" applyFill="1" applyBorder="1"/>
    <xf numFmtId="172" fontId="93" fillId="90" borderId="0" xfId="0" applyNumberFormat="1" applyFont="1" applyFill="1"/>
    <xf numFmtId="0" fontId="176" fillId="0" borderId="0" xfId="0" applyFont="1" applyAlignment="1">
      <alignment vertical="center"/>
    </xf>
    <xf numFmtId="0" fontId="177" fillId="0" borderId="0" xfId="0" applyFont="1" applyAlignment="1">
      <alignment vertical="center"/>
    </xf>
    <xf numFmtId="0" fontId="178" fillId="0" borderId="70" xfId="0" applyFont="1" applyBorder="1" applyAlignment="1">
      <alignment vertical="top" wrapText="1"/>
    </xf>
    <xf numFmtId="0" fontId="178" fillId="92" borderId="70" xfId="0" applyFont="1" applyFill="1" applyBorder="1" applyAlignment="1">
      <alignment vertical="top" wrapText="1"/>
    </xf>
    <xf numFmtId="0" fontId="157" fillId="91" borderId="113" xfId="0" applyFont="1" applyFill="1" applyBorder="1" applyAlignment="1">
      <alignment horizontal="left" wrapText="1"/>
    </xf>
    <xf numFmtId="0" fontId="157" fillId="91" borderId="114" xfId="0" applyFont="1" applyFill="1" applyBorder="1" applyAlignment="1">
      <alignment horizontal="left" wrapText="1"/>
    </xf>
    <xf numFmtId="0" fontId="157" fillId="91" borderId="115" xfId="0" applyFont="1" applyFill="1" applyBorder="1" applyAlignment="1">
      <alignment horizontal="left" wrapText="1"/>
    </xf>
    <xf numFmtId="0" fontId="157" fillId="91" borderId="116" xfId="0" applyFont="1" applyFill="1" applyBorder="1" applyAlignment="1">
      <alignment horizontal="left" vertical="top" wrapText="1"/>
    </xf>
    <xf numFmtId="0" fontId="157" fillId="91" borderId="117" xfId="0" applyFont="1" applyFill="1" applyBorder="1" applyAlignment="1">
      <alignment horizontal="left" vertical="top" wrapText="1"/>
    </xf>
    <xf numFmtId="0" fontId="178" fillId="73" borderId="118" xfId="0" applyFont="1" applyFill="1" applyBorder="1" applyAlignment="1">
      <alignment vertical="top" wrapText="1"/>
    </xf>
    <xf numFmtId="0" fontId="0" fillId="0" borderId="119" xfId="0" applyBorder="1"/>
    <xf numFmtId="172" fontId="93" fillId="0" borderId="0" xfId="0" applyNumberFormat="1" applyFont="1"/>
    <xf numFmtId="172" fontId="84" fillId="0" borderId="19" xfId="0" applyNumberFormat="1" applyFont="1" applyBorder="1"/>
    <xf numFmtId="172" fontId="84" fillId="0" borderId="22" xfId="0" applyNumberFormat="1" applyFont="1" applyBorder="1"/>
    <xf numFmtId="0" fontId="0" fillId="66" borderId="0" xfId="0" applyFill="1"/>
    <xf numFmtId="38" fontId="0" fillId="66" borderId="0" xfId="0" applyNumberFormat="1" applyFill="1"/>
    <xf numFmtId="38" fontId="6" fillId="30" borderId="19" xfId="0" applyNumberFormat="1" applyFont="1" applyFill="1" applyBorder="1" applyAlignment="1">
      <alignment horizontal="center" vertical="center" wrapText="1"/>
    </xf>
    <xf numFmtId="38" fontId="6" fillId="30" borderId="11" xfId="0" applyNumberFormat="1" applyFont="1" applyFill="1" applyBorder="1" applyAlignment="1">
      <alignment horizontal="center" vertical="center" wrapText="1"/>
    </xf>
    <xf numFmtId="2" fontId="0" fillId="0" borderId="12" xfId="0" applyNumberFormat="1" applyBorder="1" applyAlignment="1">
      <alignment horizontal="left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38" fontId="6" fillId="0" borderId="9" xfId="0" applyNumberFormat="1" applyFont="1" applyBorder="1"/>
    <xf numFmtId="0" fontId="0" fillId="0" borderId="19" xfId="0" applyBorder="1"/>
    <xf numFmtId="0" fontId="0" fillId="0" borderId="22" xfId="0" applyBorder="1"/>
    <xf numFmtId="0" fontId="0" fillId="89" borderId="12" xfId="0" applyFill="1" applyBorder="1"/>
    <xf numFmtId="0" fontId="0" fillId="0" borderId="17" xfId="0" applyBorder="1"/>
    <xf numFmtId="0" fontId="7" fillId="0" borderId="15" xfId="0" applyFont="1" applyBorder="1"/>
    <xf numFmtId="0" fontId="7" fillId="0" borderId="22" xfId="0" applyFont="1" applyBorder="1"/>
    <xf numFmtId="3" fontId="0" fillId="0" borderId="11" xfId="0" applyNumberFormat="1" applyBorder="1"/>
    <xf numFmtId="0" fontId="7" fillId="0" borderId="22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72" fontId="93" fillId="64" borderId="10" xfId="0" applyNumberFormat="1" applyFont="1" applyFill="1" applyBorder="1"/>
    <xf numFmtId="172" fontId="93" fillId="64" borderId="22" xfId="0" applyNumberFormat="1" applyFont="1" applyFill="1" applyBorder="1"/>
    <xf numFmtId="172" fontId="93" fillId="64" borderId="21" xfId="0" applyNumberFormat="1" applyFont="1" applyFill="1" applyBorder="1"/>
    <xf numFmtId="38" fontId="14" fillId="93" borderId="11" xfId="0" applyNumberFormat="1" applyFont="1" applyFill="1" applyBorder="1" applyAlignment="1">
      <alignment horizontal="right" vertical="center" wrapText="1"/>
    </xf>
    <xf numFmtId="38" fontId="11" fillId="93" borderId="11" xfId="0" applyNumberFormat="1" applyFont="1" applyFill="1" applyBorder="1" applyAlignment="1">
      <alignment horizontal="right" vertical="center" wrapText="1"/>
    </xf>
    <xf numFmtId="3" fontId="14" fillId="93" borderId="11" xfId="0" applyNumberFormat="1" applyFont="1" applyFill="1" applyBorder="1" applyAlignment="1">
      <alignment horizontal="right" vertical="center" wrapText="1"/>
    </xf>
    <xf numFmtId="0" fontId="6" fillId="43" borderId="11" xfId="0" applyFont="1" applyFill="1" applyBorder="1"/>
    <xf numFmtId="172" fontId="93" fillId="51" borderId="10" xfId="0" applyNumberFormat="1" applyFont="1" applyFill="1" applyBorder="1"/>
    <xf numFmtId="172" fontId="93" fillId="51" borderId="22" xfId="0" applyNumberFormat="1" applyFont="1" applyFill="1" applyBorder="1"/>
    <xf numFmtId="172" fontId="93" fillId="51" borderId="21" xfId="0" applyNumberFormat="1" applyFont="1" applyFill="1" applyBorder="1"/>
    <xf numFmtId="172" fontId="179" fillId="0" borderId="41" xfId="0" applyNumberFormat="1" applyFont="1" applyBorder="1"/>
    <xf numFmtId="172" fontId="180" fillId="0" borderId="58" xfId="0" applyNumberFormat="1" applyFont="1" applyBorder="1" applyAlignment="1">
      <alignment horizontal="center"/>
    </xf>
    <xf numFmtId="172" fontId="179" fillId="0" borderId="19" xfId="0" applyNumberFormat="1" applyFont="1" applyBorder="1"/>
    <xf numFmtId="172" fontId="179" fillId="0" borderId="58" xfId="0" applyNumberFormat="1" applyFont="1" applyBorder="1" applyAlignment="1">
      <alignment horizontal="center"/>
    </xf>
    <xf numFmtId="0" fontId="0" fillId="47" borderId="20" xfId="0" applyFill="1" applyBorder="1" applyAlignment="1">
      <alignment horizontal="left" vertical="center" wrapText="1"/>
    </xf>
    <xf numFmtId="0" fontId="9" fillId="77" borderId="15" xfId="0" applyFont="1" applyFill="1" applyBorder="1" applyAlignment="1">
      <alignment horizontal="left" vertical="center" wrapText="1"/>
    </xf>
    <xf numFmtId="0" fontId="75" fillId="94" borderId="0" xfId="0" applyFont="1" applyFill="1"/>
    <xf numFmtId="0" fontId="76" fillId="0" borderId="0" xfId="0" applyFont="1" applyAlignment="1">
      <alignment horizontal="centerContinuous"/>
    </xf>
    <xf numFmtId="0" fontId="75" fillId="0" borderId="0" xfId="0" applyFont="1"/>
    <xf numFmtId="49" fontId="7" fillId="0" borderId="0" xfId="0" applyNumberFormat="1" applyFont="1" applyAlignment="1">
      <alignment horizontal="center"/>
    </xf>
    <xf numFmtId="172" fontId="21" fillId="0" borderId="0" xfId="0" applyNumberFormat="1" applyFont="1" applyAlignment="1">
      <alignment horizontal="center"/>
    </xf>
    <xf numFmtId="172" fontId="6" fillId="0" borderId="13" xfId="67" applyNumberFormat="1" applyFont="1" applyBorder="1" applyAlignment="1">
      <alignment horizontal="center"/>
    </xf>
    <xf numFmtId="172" fontId="6" fillId="0" borderId="16" xfId="67" applyNumberFormat="1" applyFont="1" applyBorder="1" applyAlignment="1">
      <alignment horizontal="center"/>
    </xf>
    <xf numFmtId="172" fontId="0" fillId="0" borderId="13" xfId="67" applyNumberFormat="1" applyFont="1" applyBorder="1" applyAlignment="1">
      <alignment horizontal="center"/>
    </xf>
    <xf numFmtId="172" fontId="7" fillId="0" borderId="16" xfId="67" applyNumberFormat="1" applyBorder="1" applyAlignment="1">
      <alignment horizontal="center"/>
    </xf>
    <xf numFmtId="172" fontId="110" fillId="0" borderId="13" xfId="67" applyNumberFormat="1" applyFont="1" applyBorder="1" applyAlignment="1">
      <alignment horizontal="center"/>
    </xf>
    <xf numFmtId="172" fontId="63" fillId="0" borderId="16" xfId="67" applyNumberFormat="1" applyFont="1" applyBorder="1" applyAlignment="1">
      <alignment horizontal="center"/>
    </xf>
    <xf numFmtId="0" fontId="126" fillId="72" borderId="67" xfId="0" applyFont="1" applyFill="1" applyBorder="1" applyAlignment="1">
      <alignment horizontal="center" vertical="center" wrapText="1"/>
    </xf>
    <xf numFmtId="0" fontId="126" fillId="72" borderId="64" xfId="0" applyFont="1" applyFill="1" applyBorder="1" applyAlignment="1">
      <alignment horizontal="center" vertical="center" wrapText="1"/>
    </xf>
    <xf numFmtId="0" fontId="126" fillId="72" borderId="68" xfId="0" applyFont="1" applyFill="1" applyBorder="1" applyAlignment="1">
      <alignment horizontal="center" vertical="center" wrapText="1"/>
    </xf>
    <xf numFmtId="0" fontId="126" fillId="72" borderId="69" xfId="0" applyFont="1" applyFill="1" applyBorder="1" applyAlignment="1">
      <alignment horizontal="center" vertical="center" wrapText="1"/>
    </xf>
    <xf numFmtId="0" fontId="9" fillId="25" borderId="13" xfId="0" applyFont="1" applyFill="1" applyBorder="1" applyAlignment="1">
      <alignment horizontal="center" vertical="center" wrapText="1"/>
    </xf>
    <xf numFmtId="0" fontId="0" fillId="25" borderId="16" xfId="0" applyFill="1" applyBorder="1" applyAlignment="1">
      <alignment horizontal="center" vertical="center" wrapText="1"/>
    </xf>
    <xf numFmtId="0" fontId="9" fillId="47" borderId="13" xfId="0" applyFont="1" applyFill="1" applyBorder="1" applyAlignment="1">
      <alignment horizontal="left" vertical="center" wrapText="1"/>
    </xf>
    <xf numFmtId="0" fontId="0" fillId="47" borderId="16" xfId="0" applyFill="1" applyBorder="1" applyAlignment="1">
      <alignment horizontal="left" vertical="center" wrapText="1"/>
    </xf>
    <xf numFmtId="0" fontId="9" fillId="27" borderId="13" xfId="0" applyFont="1" applyFill="1" applyBorder="1" applyAlignment="1">
      <alignment horizontal="center" vertical="center" wrapText="1"/>
    </xf>
    <xf numFmtId="0" fontId="0" fillId="27" borderId="16" xfId="0" applyFill="1" applyBorder="1" applyAlignment="1">
      <alignment horizontal="center" vertical="center" wrapText="1"/>
    </xf>
    <xf numFmtId="0" fontId="9" fillId="24" borderId="1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6" fillId="25" borderId="13" xfId="0" applyFont="1" applyFill="1" applyBorder="1" applyAlignment="1">
      <alignment horizontal="center" vertical="center" wrapText="1"/>
    </xf>
    <xf numFmtId="0" fontId="67" fillId="25" borderId="16" xfId="0" applyFont="1" applyFill="1" applyBorder="1" applyAlignment="1">
      <alignment horizontal="center" vertical="center" wrapText="1"/>
    </xf>
    <xf numFmtId="0" fontId="9" fillId="26" borderId="13" xfId="0" applyFont="1" applyFill="1" applyBorder="1" applyAlignment="1">
      <alignment horizontal="center" vertical="center" wrapText="1"/>
    </xf>
    <xf numFmtId="0" fontId="0" fillId="26" borderId="16" xfId="0" applyFill="1" applyBorder="1" applyAlignment="1">
      <alignment horizontal="center" vertical="center" wrapText="1"/>
    </xf>
    <xf numFmtId="0" fontId="0" fillId="24" borderId="16" xfId="0" applyFill="1" applyBorder="1" applyAlignment="1">
      <alignment horizontal="center" vertical="center" wrapText="1"/>
    </xf>
    <xf numFmtId="0" fontId="69" fillId="25" borderId="13" xfId="0" applyFont="1" applyFill="1" applyBorder="1" applyAlignment="1">
      <alignment horizontal="center" vertical="center" wrapText="1"/>
    </xf>
    <xf numFmtId="0" fontId="70" fillId="25" borderId="16" xfId="0" applyFont="1" applyFill="1" applyBorder="1" applyAlignment="1">
      <alignment horizontal="center" vertical="center" wrapText="1"/>
    </xf>
    <xf numFmtId="0" fontId="109" fillId="25" borderId="13" xfId="0" applyFont="1" applyFill="1" applyBorder="1" applyAlignment="1">
      <alignment horizontal="center" vertical="center" wrapText="1"/>
    </xf>
    <xf numFmtId="0" fontId="82" fillId="25" borderId="16" xfId="0" applyFont="1" applyFill="1" applyBorder="1" applyAlignment="1">
      <alignment horizontal="center" vertical="center" wrapText="1"/>
    </xf>
    <xf numFmtId="0" fontId="9" fillId="44" borderId="13" xfId="0" applyFont="1" applyFill="1" applyBorder="1" applyAlignment="1">
      <alignment horizontal="center" vertical="center" wrapText="1"/>
    </xf>
    <xf numFmtId="0" fontId="0" fillId="44" borderId="16" xfId="0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9" fillId="0" borderId="19" xfId="0" applyNumberFormat="1" applyFont="1" applyBorder="1" applyAlignment="1">
      <alignment horizontal="center" vertical="center" wrapText="1"/>
    </xf>
    <xf numFmtId="0" fontId="9" fillId="53" borderId="13" xfId="0" applyFont="1" applyFill="1" applyBorder="1" applyAlignment="1">
      <alignment horizontal="center" vertical="center" wrapText="1"/>
    </xf>
    <xf numFmtId="0" fontId="0" fillId="53" borderId="16" xfId="0" applyFill="1" applyBorder="1" applyAlignment="1">
      <alignment horizontal="center" vertical="center" wrapText="1"/>
    </xf>
    <xf numFmtId="172" fontId="14" fillId="0" borderId="13" xfId="0" applyNumberFormat="1" applyFont="1" applyBorder="1" applyAlignment="1">
      <alignment horizontal="center"/>
    </xf>
    <xf numFmtId="172" fontId="14" fillId="0" borderId="16" xfId="0" applyNumberFormat="1" applyFont="1" applyBorder="1" applyAlignment="1">
      <alignment horizontal="center"/>
    </xf>
    <xf numFmtId="14" fontId="41" fillId="0" borderId="44" xfId="0" applyNumberFormat="1" applyFont="1" applyBorder="1" applyAlignment="1">
      <alignment wrapText="1"/>
    </xf>
    <xf numFmtId="14" fontId="41" fillId="0" borderId="52" xfId="0" applyNumberFormat="1" applyFont="1" applyBorder="1" applyAlignment="1">
      <alignment wrapText="1"/>
    </xf>
    <xf numFmtId="172" fontId="0" fillId="0" borderId="13" xfId="0" applyNumberFormat="1" applyBorder="1" applyAlignment="1">
      <alignment horizontal="center"/>
    </xf>
    <xf numFmtId="172" fontId="0" fillId="0" borderId="16" xfId="0" applyNumberFormat="1" applyBorder="1" applyAlignment="1">
      <alignment horizontal="center"/>
    </xf>
    <xf numFmtId="14" fontId="41" fillId="0" borderId="44" xfId="67" applyNumberFormat="1" applyFont="1" applyBorder="1" applyAlignment="1">
      <alignment wrapText="1"/>
    </xf>
    <xf numFmtId="14" fontId="41" fillId="0" borderId="52" xfId="67" applyNumberFormat="1" applyFont="1" applyBorder="1" applyAlignment="1">
      <alignment wrapText="1"/>
    </xf>
    <xf numFmtId="172" fontId="7" fillId="0" borderId="13" xfId="67" applyNumberFormat="1" applyBorder="1" applyAlignment="1">
      <alignment horizontal="center"/>
    </xf>
    <xf numFmtId="0" fontId="157" fillId="83" borderId="78" xfId="0" applyFont="1" applyFill="1" applyBorder="1" applyAlignment="1">
      <alignment horizontal="left" vertical="center" wrapText="1"/>
    </xf>
    <xf numFmtId="0" fontId="157" fillId="83" borderId="79" xfId="0" applyFont="1" applyFill="1" applyBorder="1" applyAlignment="1">
      <alignment horizontal="left" vertical="center" wrapText="1"/>
    </xf>
    <xf numFmtId="0" fontId="157" fillId="83" borderId="80" xfId="0" applyFont="1" applyFill="1" applyBorder="1" applyAlignment="1">
      <alignment horizontal="left" vertical="center" wrapText="1"/>
    </xf>
    <xf numFmtId="0" fontId="155" fillId="83" borderId="78" xfId="0" applyFont="1" applyFill="1" applyBorder="1" applyAlignment="1">
      <alignment horizontal="center" vertical="center" wrapText="1"/>
    </xf>
    <xf numFmtId="0" fontId="155" fillId="83" borderId="79" xfId="0" applyFont="1" applyFill="1" applyBorder="1" applyAlignment="1">
      <alignment horizontal="center" vertical="center" wrapText="1"/>
    </xf>
    <xf numFmtId="0" fontId="155" fillId="83" borderId="80" xfId="0" applyFont="1" applyFill="1" applyBorder="1" applyAlignment="1">
      <alignment horizontal="center" vertical="center" wrapText="1"/>
    </xf>
    <xf numFmtId="0" fontId="154" fillId="0" borderId="0" xfId="0" applyFont="1" applyAlignment="1">
      <alignment horizontal="center" vertical="center" wrapText="1"/>
    </xf>
    <xf numFmtId="0" fontId="156" fillId="0" borderId="0" xfId="0" applyFont="1" applyAlignment="1">
      <alignment horizontal="right" vertical="center" wrapText="1"/>
    </xf>
    <xf numFmtId="0" fontId="154" fillId="0" borderId="85" xfId="0" applyFont="1" applyBorder="1" applyAlignment="1">
      <alignment horizontal="center" vertical="center" wrapText="1"/>
    </xf>
    <xf numFmtId="0" fontId="6" fillId="0" borderId="85" xfId="0" applyFont="1" applyBorder="1" applyAlignment="1">
      <alignment horizontal="center" vertical="center" wrapText="1"/>
    </xf>
    <xf numFmtId="0" fontId="76" fillId="0" borderId="0" xfId="67" applyFont="1" applyAlignment="1">
      <alignment horizontal="center"/>
    </xf>
    <xf numFmtId="0" fontId="80" fillId="0" borderId="0" xfId="0" applyFont="1" applyAlignment="1">
      <alignment horizontal="center"/>
    </xf>
    <xf numFmtId="38" fontId="35" fillId="0" borderId="0" xfId="0" applyNumberFormat="1" applyFont="1" applyAlignment="1">
      <alignment horizontal="center"/>
    </xf>
    <xf numFmtId="38" fontId="37" fillId="30" borderId="13" xfId="0" applyNumberFormat="1" applyFont="1" applyFill="1" applyBorder="1" applyAlignment="1">
      <alignment horizontal="center" vertical="center"/>
    </xf>
    <xf numFmtId="38" fontId="37" fillId="30" borderId="32" xfId="0" applyNumberFormat="1" applyFont="1" applyFill="1" applyBorder="1" applyAlignment="1">
      <alignment horizontal="center" vertical="center"/>
    </xf>
    <xf numFmtId="38" fontId="37" fillId="30" borderId="16" xfId="0" applyNumberFormat="1" applyFont="1" applyFill="1" applyBorder="1" applyAlignment="1">
      <alignment horizontal="center" vertical="center"/>
    </xf>
    <xf numFmtId="0" fontId="14" fillId="30" borderId="19" xfId="0" applyFont="1" applyFill="1" applyBorder="1" applyAlignment="1">
      <alignment horizontal="center" vertical="center" wrapText="1"/>
    </xf>
    <xf numFmtId="0" fontId="14" fillId="30" borderId="11" xfId="0" applyFont="1" applyFill="1" applyBorder="1" applyAlignment="1">
      <alignment horizontal="center" vertical="center" wrapText="1"/>
    </xf>
    <xf numFmtId="2" fontId="14" fillId="30" borderId="19" xfId="0" applyNumberFormat="1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38" fontId="14" fillId="30" borderId="19" xfId="0" applyNumberFormat="1" applyFont="1" applyFill="1" applyBorder="1" applyAlignment="1">
      <alignment horizontal="center" vertical="center" wrapText="1"/>
    </xf>
    <xf numFmtId="38" fontId="14" fillId="30" borderId="11" xfId="0" applyNumberFormat="1" applyFont="1" applyFill="1" applyBorder="1" applyAlignment="1">
      <alignment horizontal="center" vertical="center" wrapText="1"/>
    </xf>
    <xf numFmtId="0" fontId="14" fillId="30" borderId="19" xfId="0" quotePrefix="1" applyFont="1" applyFill="1" applyBorder="1" applyAlignment="1">
      <alignment horizontal="center" vertical="center" wrapText="1"/>
    </xf>
    <xf numFmtId="0" fontId="0" fillId="30" borderId="11" xfId="0" applyFill="1" applyBorder="1" applyAlignment="1">
      <alignment horizontal="center" vertical="center" wrapText="1"/>
    </xf>
    <xf numFmtId="38" fontId="6" fillId="30" borderId="19" xfId="0" applyNumberFormat="1" applyFont="1" applyFill="1" applyBorder="1" applyAlignment="1">
      <alignment horizontal="center" vertical="center" wrapText="1"/>
    </xf>
    <xf numFmtId="38" fontId="14" fillId="30" borderId="19" xfId="0" applyNumberFormat="1" applyFont="1" applyFill="1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94" borderId="0" xfId="0" applyFill="1"/>
    <xf numFmtId="49" fontId="7" fillId="94" borderId="0" xfId="0" applyNumberFormat="1" applyFont="1" applyFill="1" applyAlignment="1">
      <alignment horizontal="center"/>
    </xf>
    <xf numFmtId="0" fontId="7" fillId="94" borderId="0" xfId="0" applyFont="1" applyFill="1"/>
    <xf numFmtId="0" fontId="7" fillId="94" borderId="0" xfId="0" applyFont="1" applyFill="1" applyAlignment="1">
      <alignment horizontal="center"/>
    </xf>
    <xf numFmtId="0" fontId="6" fillId="94" borderId="0" xfId="0" applyFont="1" applyFill="1"/>
  </cellXfs>
  <cellStyles count="200">
    <cellStyle name="=C:\WINNT\SYSTEM32\COMMAND.COM" xfId="1" xr:uid="{00000000-0005-0000-0000-000000000000}"/>
    <cellStyle name="20% - Énfasis1" xfId="2" builtinId="30" customBuiltin="1"/>
    <cellStyle name="20% - Énfasis1 2" xfId="91" xr:uid="{00000000-0005-0000-0000-000002000000}"/>
    <cellStyle name="20% - Énfasis2" xfId="3" builtinId="34" customBuiltin="1"/>
    <cellStyle name="20% - Énfasis2 2" xfId="92" xr:uid="{00000000-0005-0000-0000-000004000000}"/>
    <cellStyle name="20% - Énfasis3" xfId="4" builtinId="38" customBuiltin="1"/>
    <cellStyle name="20% - Énfasis3 2" xfId="93" xr:uid="{00000000-0005-0000-0000-000006000000}"/>
    <cellStyle name="20% - Énfasis4" xfId="5" builtinId="42" customBuiltin="1"/>
    <cellStyle name="20% - Énfasis4 2" xfId="94" xr:uid="{00000000-0005-0000-0000-000008000000}"/>
    <cellStyle name="20% - Énfasis5" xfId="6" builtinId="46" customBuiltin="1"/>
    <cellStyle name="20% - Énfasis5 2" xfId="95" xr:uid="{00000000-0005-0000-0000-00000A000000}"/>
    <cellStyle name="20% - Énfasis6" xfId="7" builtinId="50" customBuiltin="1"/>
    <cellStyle name="20% - Énfasis6 2" xfId="96" xr:uid="{00000000-0005-0000-0000-00000C000000}"/>
    <cellStyle name="40% - Énfasis1" xfId="8" builtinId="31" customBuiltin="1"/>
    <cellStyle name="40% - Énfasis1 2" xfId="97" xr:uid="{00000000-0005-0000-0000-00000E000000}"/>
    <cellStyle name="40% - Énfasis2" xfId="9" builtinId="35" customBuiltin="1"/>
    <cellStyle name="40% - Énfasis2 2" xfId="98" xr:uid="{00000000-0005-0000-0000-000010000000}"/>
    <cellStyle name="40% - Énfasis3" xfId="10" builtinId="39" customBuiltin="1"/>
    <cellStyle name="40% - Énfasis3 2" xfId="99" xr:uid="{00000000-0005-0000-0000-000012000000}"/>
    <cellStyle name="40% - Énfasis4" xfId="11" builtinId="43" customBuiltin="1"/>
    <cellStyle name="40% - Énfasis4 2" xfId="100" xr:uid="{00000000-0005-0000-0000-000014000000}"/>
    <cellStyle name="40% - Énfasis5" xfId="12" builtinId="47" customBuiltin="1"/>
    <cellStyle name="40% - Énfasis5 2" xfId="101" xr:uid="{00000000-0005-0000-0000-000016000000}"/>
    <cellStyle name="40% - Énfasis6" xfId="13" builtinId="51" customBuiltin="1"/>
    <cellStyle name="40% - Énfasis6 2" xfId="102" xr:uid="{00000000-0005-0000-0000-000018000000}"/>
    <cellStyle name="60% - Énfasis1" xfId="14" builtinId="32" customBuiltin="1"/>
    <cellStyle name="60% - Énfasis1 2" xfId="103" xr:uid="{00000000-0005-0000-0000-00001A000000}"/>
    <cellStyle name="60% - Énfasis2" xfId="15" builtinId="36" customBuiltin="1"/>
    <cellStyle name="60% - Énfasis2 2" xfId="104" xr:uid="{00000000-0005-0000-0000-00001C000000}"/>
    <cellStyle name="60% - Énfasis3" xfId="16" builtinId="40" customBuiltin="1"/>
    <cellStyle name="60% - Énfasis3 2" xfId="105" xr:uid="{00000000-0005-0000-0000-00001E000000}"/>
    <cellStyle name="60% - Énfasis4" xfId="17" builtinId="44" customBuiltin="1"/>
    <cellStyle name="60% - Énfasis4 2" xfId="106" xr:uid="{00000000-0005-0000-0000-000020000000}"/>
    <cellStyle name="60% - Énfasis5" xfId="18" builtinId="48" customBuiltin="1"/>
    <cellStyle name="60% - Énfasis5 2" xfId="107" xr:uid="{00000000-0005-0000-0000-000022000000}"/>
    <cellStyle name="60% - Énfasis6" xfId="19" builtinId="52" customBuiltin="1"/>
    <cellStyle name="60% - Énfasis6 2" xfId="108" xr:uid="{00000000-0005-0000-0000-000024000000}"/>
    <cellStyle name="Buena 2" xfId="109" xr:uid="{00000000-0005-0000-0000-000026000000}"/>
    <cellStyle name="Bueno" xfId="20" builtinId="26" customBuiltin="1"/>
    <cellStyle name="Cálculo" xfId="21" builtinId="22" customBuiltin="1"/>
    <cellStyle name="Cálculo 2" xfId="110" xr:uid="{00000000-0005-0000-0000-000028000000}"/>
    <cellStyle name="Celda de comprobación" xfId="22" builtinId="23" customBuiltin="1"/>
    <cellStyle name="Celda de comprobación 2" xfId="111" xr:uid="{00000000-0005-0000-0000-00002A000000}"/>
    <cellStyle name="Celda vinculada" xfId="23" builtinId="24" customBuiltin="1"/>
    <cellStyle name="Celda vinculada 2" xfId="112" xr:uid="{00000000-0005-0000-0000-00002C000000}"/>
    <cellStyle name="Comma [0]" xfId="24" xr:uid="{00000000-0005-0000-0000-00002D000000}"/>
    <cellStyle name="Comma [0] 2" xfId="198" xr:uid="{A848A30F-0F74-47F3-8032-EC9001E1C3E8}"/>
    <cellStyle name="Currency [0]" xfId="25" xr:uid="{00000000-0005-0000-0000-00002E000000}"/>
    <cellStyle name="Currency [0] 2" xfId="183" xr:uid="{E0768CB8-AF67-4705-9EC5-A695C26F9304}"/>
    <cellStyle name="Date" xfId="26" xr:uid="{00000000-0005-0000-0000-00002F000000}"/>
    <cellStyle name="Encabezado 1" xfId="62" builtinId="16" customBuiltin="1"/>
    <cellStyle name="Encabezado 4" xfId="27" builtinId="19" customBuiltin="1"/>
    <cellStyle name="Encabezado 4 2" xfId="113" xr:uid="{00000000-0005-0000-0000-000032000000}"/>
    <cellStyle name="Énfasis1" xfId="28" builtinId="29" customBuiltin="1"/>
    <cellStyle name="Énfasis1 2" xfId="114" xr:uid="{00000000-0005-0000-0000-000034000000}"/>
    <cellStyle name="Énfasis2" xfId="29" builtinId="33" customBuiltin="1"/>
    <cellStyle name="Énfasis2 2" xfId="115" xr:uid="{00000000-0005-0000-0000-000036000000}"/>
    <cellStyle name="Énfasis3" xfId="30" builtinId="37" customBuiltin="1"/>
    <cellStyle name="Énfasis3 2" xfId="116" xr:uid="{00000000-0005-0000-0000-000038000000}"/>
    <cellStyle name="Énfasis4" xfId="31" builtinId="41" customBuiltin="1"/>
    <cellStyle name="Énfasis4 2" xfId="117" xr:uid="{00000000-0005-0000-0000-00003A000000}"/>
    <cellStyle name="Énfasis5" xfId="32" builtinId="45" customBuiltin="1"/>
    <cellStyle name="Énfasis5 2" xfId="118" xr:uid="{00000000-0005-0000-0000-00003C000000}"/>
    <cellStyle name="Énfasis6" xfId="33" builtinId="49" customBuiltin="1"/>
    <cellStyle name="Énfasis6 2" xfId="119" xr:uid="{00000000-0005-0000-0000-00003E000000}"/>
    <cellStyle name="Entrada" xfId="34" builtinId="20" customBuiltin="1"/>
    <cellStyle name="Entrada 2" xfId="120" xr:uid="{00000000-0005-0000-0000-000040000000}"/>
    <cellStyle name="Estilo 1" xfId="35" xr:uid="{00000000-0005-0000-0000-000041000000}"/>
    <cellStyle name="Estilo 1 2" xfId="121" xr:uid="{00000000-0005-0000-0000-000042000000}"/>
    <cellStyle name="Euro" xfId="122" xr:uid="{00000000-0005-0000-0000-000043000000}"/>
    <cellStyle name="Euro 2" xfId="123" xr:uid="{00000000-0005-0000-0000-000044000000}"/>
    <cellStyle name="Euro 2 2" xfId="124" xr:uid="{00000000-0005-0000-0000-000045000000}"/>
    <cellStyle name="Euro 2 3" xfId="125" xr:uid="{00000000-0005-0000-0000-000046000000}"/>
    <cellStyle name="Euro 2 4" xfId="126" xr:uid="{00000000-0005-0000-0000-000047000000}"/>
    <cellStyle name="Euro 2 5" xfId="127" xr:uid="{00000000-0005-0000-0000-000048000000}"/>
    <cellStyle name="Euro 3" xfId="128" xr:uid="{00000000-0005-0000-0000-000049000000}"/>
    <cellStyle name="Euro 4" xfId="129" xr:uid="{00000000-0005-0000-0000-00004A000000}"/>
    <cellStyle name="Euro 5" xfId="130" xr:uid="{00000000-0005-0000-0000-00004B000000}"/>
    <cellStyle name="Euro 5 2" xfId="131" xr:uid="{00000000-0005-0000-0000-00004C000000}"/>
    <cellStyle name="Euro 6" xfId="132" xr:uid="{00000000-0005-0000-0000-00004D000000}"/>
    <cellStyle name="Euro 6 2" xfId="133" xr:uid="{00000000-0005-0000-0000-00004E000000}"/>
    <cellStyle name="Euro 7" xfId="134" xr:uid="{00000000-0005-0000-0000-00004F000000}"/>
    <cellStyle name="Euro 8" xfId="135" xr:uid="{00000000-0005-0000-0000-000050000000}"/>
    <cellStyle name="F2" xfId="36" xr:uid="{00000000-0005-0000-0000-000051000000}"/>
    <cellStyle name="F3" xfId="37" xr:uid="{00000000-0005-0000-0000-000052000000}"/>
    <cellStyle name="F4" xfId="38" xr:uid="{00000000-0005-0000-0000-000053000000}"/>
    <cellStyle name="F5" xfId="39" xr:uid="{00000000-0005-0000-0000-000054000000}"/>
    <cellStyle name="F6" xfId="40" xr:uid="{00000000-0005-0000-0000-000055000000}"/>
    <cellStyle name="F7" xfId="41" xr:uid="{00000000-0005-0000-0000-000056000000}"/>
    <cellStyle name="F8" xfId="42" xr:uid="{00000000-0005-0000-0000-000057000000}"/>
    <cellStyle name="Fixed" xfId="43" xr:uid="{00000000-0005-0000-0000-000058000000}"/>
    <cellStyle name="Heading1" xfId="44" xr:uid="{00000000-0005-0000-0000-000059000000}"/>
    <cellStyle name="Heading2" xfId="45" xr:uid="{00000000-0005-0000-0000-00005A000000}"/>
    <cellStyle name="Hipervínculo" xfId="178" builtinId="8"/>
    <cellStyle name="Hipervínculo 2" xfId="136" xr:uid="{00000000-0005-0000-0000-00005C000000}"/>
    <cellStyle name="Incorrecto" xfId="46" builtinId="27" customBuiltin="1"/>
    <cellStyle name="Incorrecto 2" xfId="137" xr:uid="{00000000-0005-0000-0000-00005E000000}"/>
    <cellStyle name="Millares" xfId="47" builtinId="3"/>
    <cellStyle name="Millares [0]" xfId="177" builtinId="6"/>
    <cellStyle name="Millares [0] 2" xfId="179" xr:uid="{00000000-0005-0000-0000-000061000000}"/>
    <cellStyle name="Millares 2" xfId="48" xr:uid="{00000000-0005-0000-0000-000062000000}"/>
    <cellStyle name="Millares 2 2" xfId="70" xr:uid="{00000000-0005-0000-0000-000063000000}"/>
    <cellStyle name="Millares 2 3" xfId="71" xr:uid="{00000000-0005-0000-0000-000064000000}"/>
    <cellStyle name="Millares 3" xfId="72" xr:uid="{00000000-0005-0000-0000-000065000000}"/>
    <cellStyle name="Millares 3 2" xfId="73" xr:uid="{00000000-0005-0000-0000-000066000000}"/>
    <cellStyle name="Millares 3 2 2" xfId="186" xr:uid="{80AF05F9-E625-488A-B3A5-73FB001481AC}"/>
    <cellStyle name="Millares 3 3" xfId="185" xr:uid="{FCC699AC-B29E-428A-BF67-DCB64C3CB38F}"/>
    <cellStyle name="Millares 4" xfId="74" xr:uid="{00000000-0005-0000-0000-000067000000}"/>
    <cellStyle name="Millares 4 2" xfId="75" xr:uid="{00000000-0005-0000-0000-000068000000}"/>
    <cellStyle name="Millares 4 2 2" xfId="188" xr:uid="{57EA9868-D7ED-45D0-B35A-9DC2706C4AD0}"/>
    <cellStyle name="Millares 4 3" xfId="187" xr:uid="{11E98958-21C4-4A7D-9CC6-CAE0C2F3F350}"/>
    <cellStyle name="Millares 5" xfId="69" xr:uid="{00000000-0005-0000-0000-000069000000}"/>
    <cellStyle name="Millares 6" xfId="138" xr:uid="{00000000-0005-0000-0000-00006A000000}"/>
    <cellStyle name="Moneda [0]" xfId="49" builtinId="7"/>
    <cellStyle name="Moneda 2" xfId="76" xr:uid="{00000000-0005-0000-0000-00006C000000}"/>
    <cellStyle name="Neutral" xfId="50" builtinId="28" customBuiltin="1"/>
    <cellStyle name="Neutral 2" xfId="139" xr:uid="{00000000-0005-0000-0000-00006E000000}"/>
    <cellStyle name="Normal" xfId="0" builtinId="0"/>
    <cellStyle name="Normal 10" xfId="140" xr:uid="{00000000-0005-0000-0000-000070000000}"/>
    <cellStyle name="Normal 10 2" xfId="141" xr:uid="{00000000-0005-0000-0000-000071000000}"/>
    <cellStyle name="Normal 10 2 2" xfId="199" xr:uid="{91540D0E-50B7-405D-96FC-6773047CF5FA}"/>
    <cellStyle name="Normal 10 3" xfId="90" xr:uid="{00000000-0005-0000-0000-000072000000}"/>
    <cellStyle name="Normal 10 4" xfId="197" xr:uid="{830F2D54-E6C1-428D-B0EF-C44E6D068A24}"/>
    <cellStyle name="Normal 11" xfId="181" xr:uid="{00000000-0005-0000-0000-000073000000}"/>
    <cellStyle name="Normal 2" xfId="51" xr:uid="{00000000-0005-0000-0000-000074000000}"/>
    <cellStyle name="Normal 2 2" xfId="67" xr:uid="{00000000-0005-0000-0000-000075000000}"/>
    <cellStyle name="Normal 2_SUELDOS ASETRAN 2011(2)" xfId="87" xr:uid="{00000000-0005-0000-0000-000076000000}"/>
    <cellStyle name="Normal 3" xfId="66" xr:uid="{00000000-0005-0000-0000-000077000000}"/>
    <cellStyle name="Normal 3 2" xfId="77" xr:uid="{00000000-0005-0000-0000-000078000000}"/>
    <cellStyle name="Normal 3 3" xfId="68" xr:uid="{00000000-0005-0000-0000-000079000000}"/>
    <cellStyle name="Normal 3 3 2" xfId="184" xr:uid="{987A5B21-B91F-420F-9B07-406B68AE9D1F}"/>
    <cellStyle name="Normal 4" xfId="78" xr:uid="{00000000-0005-0000-0000-00007A000000}"/>
    <cellStyle name="Normal 4 2" xfId="79" xr:uid="{00000000-0005-0000-0000-00007B000000}"/>
    <cellStyle name="Normal 4 2 2" xfId="190" xr:uid="{1A227902-C16A-4DBB-832A-F548DD5D9F22}"/>
    <cellStyle name="Normal 4 3" xfId="142" xr:uid="{00000000-0005-0000-0000-00007C000000}"/>
    <cellStyle name="Normal 4 4" xfId="189" xr:uid="{DC3255C3-370E-4244-9368-75DD70ED57C2}"/>
    <cellStyle name="Normal 5" xfId="80" xr:uid="{00000000-0005-0000-0000-00007D000000}"/>
    <cellStyle name="Normal 5 2" xfId="81" xr:uid="{00000000-0005-0000-0000-00007E000000}"/>
    <cellStyle name="Normal 5 2 2" xfId="192" xr:uid="{5AA40449-8B66-4315-9EEF-84F39F3D94C1}"/>
    <cellStyle name="Normal 5 3" xfId="143" xr:uid="{00000000-0005-0000-0000-00007F000000}"/>
    <cellStyle name="Normal 5 3 2" xfId="144" xr:uid="{00000000-0005-0000-0000-000080000000}"/>
    <cellStyle name="Normal 5 3 2 2" xfId="145" xr:uid="{00000000-0005-0000-0000-000081000000}"/>
    <cellStyle name="Normal 5 3 2 2 2" xfId="146" xr:uid="{00000000-0005-0000-0000-000082000000}"/>
    <cellStyle name="Normal 5 3 3" xfId="147" xr:uid="{00000000-0005-0000-0000-000083000000}"/>
    <cellStyle name="Normal 5 4" xfId="191" xr:uid="{6F91E637-86EF-4CC2-ADD6-E80FEA8EDA9F}"/>
    <cellStyle name="Normal 6" xfId="82" xr:uid="{00000000-0005-0000-0000-000084000000}"/>
    <cellStyle name="Normal 6 2" xfId="83" xr:uid="{00000000-0005-0000-0000-000085000000}"/>
    <cellStyle name="Normal 6 2 2" xfId="194" xr:uid="{A63392BC-5853-41EE-A727-09900E228D1C}"/>
    <cellStyle name="Normal 6 3" xfId="148" xr:uid="{00000000-0005-0000-0000-000086000000}"/>
    <cellStyle name="Normal 6 3 2" xfId="149" xr:uid="{00000000-0005-0000-0000-000087000000}"/>
    <cellStyle name="Normal 6 3 2 2" xfId="150" xr:uid="{00000000-0005-0000-0000-000088000000}"/>
    <cellStyle name="Normal 6 3 2 2 2" xfId="151" xr:uid="{00000000-0005-0000-0000-000089000000}"/>
    <cellStyle name="Normal 6 3 3" xfId="88" xr:uid="{00000000-0005-0000-0000-00008A000000}"/>
    <cellStyle name="Normal 6 4" xfId="193" xr:uid="{AE77746E-6E30-436B-847D-BC94CF5217C1}"/>
    <cellStyle name="Normal 7" xfId="84" xr:uid="{00000000-0005-0000-0000-00008B000000}"/>
    <cellStyle name="Normal 7 2" xfId="152" xr:uid="{00000000-0005-0000-0000-00008C000000}"/>
    <cellStyle name="Normal 7 2 2" xfId="153" xr:uid="{00000000-0005-0000-0000-00008D000000}"/>
    <cellStyle name="Normal 7 3" xfId="195" xr:uid="{A86D6FB9-4942-46D1-8FC1-0DDAE2181DA3}"/>
    <cellStyle name="Normal 8" xfId="86" xr:uid="{00000000-0005-0000-0000-00008E000000}"/>
    <cellStyle name="Normal 8 2" xfId="154" xr:uid="{00000000-0005-0000-0000-00008F000000}"/>
    <cellStyle name="Normal 8 3" xfId="155" xr:uid="{00000000-0005-0000-0000-000090000000}"/>
    <cellStyle name="Normal 9" xfId="156" xr:uid="{00000000-0005-0000-0000-000091000000}"/>
    <cellStyle name="Normal 9 2" xfId="157" xr:uid="{00000000-0005-0000-0000-000092000000}"/>
    <cellStyle name="Normal 9 2 2" xfId="158" xr:uid="{00000000-0005-0000-0000-000093000000}"/>
    <cellStyle name="Normal 9 2 3" xfId="89" xr:uid="{00000000-0005-0000-0000-000094000000}"/>
    <cellStyle name="Normal 9 3" xfId="159" xr:uid="{00000000-0005-0000-0000-000095000000}"/>
    <cellStyle name="Normal 9 3 2" xfId="160" xr:uid="{00000000-0005-0000-0000-000096000000}"/>
    <cellStyle name="Normal 9 3 2 2" xfId="161" xr:uid="{00000000-0005-0000-0000-000097000000}"/>
    <cellStyle name="Normal 9 4" xfId="162" xr:uid="{00000000-0005-0000-0000-000098000000}"/>
    <cellStyle name="Normal 9 4 2" xfId="163" xr:uid="{00000000-0005-0000-0000-000099000000}"/>
    <cellStyle name="Normal 9 4 2 2" xfId="182" xr:uid="{00000000-0005-0000-0000-00009A000000}"/>
    <cellStyle name="Normal 9 5" xfId="196" xr:uid="{4774913B-1B2E-408B-81D6-09B3E50D7D36}"/>
    <cellStyle name="Normal_activo fijo 2010(4)" xfId="180" xr:uid="{00000000-0005-0000-0000-00009B000000}"/>
    <cellStyle name="Normal_CAPEX2" xfId="52" xr:uid="{00000000-0005-0000-0000-00009C000000}"/>
    <cellStyle name="Normal_HONORARIOS ASETRAN 22222(1)" xfId="53" xr:uid="{00000000-0005-0000-0000-00009D000000}"/>
    <cellStyle name="Normal_MILIC-2007" xfId="54" xr:uid="{00000000-0005-0000-0000-00009E000000}"/>
    <cellStyle name="Notas" xfId="55" builtinId="10" customBuiltin="1"/>
    <cellStyle name="Notas 2" xfId="164" xr:uid="{00000000-0005-0000-0000-0000A0000000}"/>
    <cellStyle name="Percent_97citr-b" xfId="56" xr:uid="{00000000-0005-0000-0000-0000A1000000}"/>
    <cellStyle name="Porcentaje" xfId="57" builtinId="5"/>
    <cellStyle name="Porcentaje 2" xfId="85" xr:uid="{00000000-0005-0000-0000-0000A3000000}"/>
    <cellStyle name="Porcentaje 3" xfId="165" xr:uid="{00000000-0005-0000-0000-0000A4000000}"/>
    <cellStyle name="Porcentaje 4" xfId="166" xr:uid="{00000000-0005-0000-0000-0000A5000000}"/>
    <cellStyle name="Porcentaje 5" xfId="167" xr:uid="{00000000-0005-0000-0000-0000A6000000}"/>
    <cellStyle name="Porcentual 2" xfId="168" xr:uid="{00000000-0005-0000-0000-0000A7000000}"/>
    <cellStyle name="Salida" xfId="58" builtinId="21" customBuiltin="1"/>
    <cellStyle name="Salida 2" xfId="169" xr:uid="{00000000-0005-0000-0000-0000A9000000}"/>
    <cellStyle name="Texto de advertencia" xfId="59" builtinId="11" customBuiltin="1"/>
    <cellStyle name="Texto de advertencia 2" xfId="170" xr:uid="{00000000-0005-0000-0000-0000AB000000}"/>
    <cellStyle name="Texto explicativo" xfId="60" builtinId="53" customBuiltin="1"/>
    <cellStyle name="Texto explicativo 2" xfId="171" xr:uid="{00000000-0005-0000-0000-0000AD000000}"/>
    <cellStyle name="Título" xfId="61" builtinId="15" customBuiltin="1"/>
    <cellStyle name="Título 1 2" xfId="172" xr:uid="{00000000-0005-0000-0000-0000AF000000}"/>
    <cellStyle name="Título 2" xfId="63" builtinId="17" customBuiltin="1"/>
    <cellStyle name="Título 2 2" xfId="173" xr:uid="{00000000-0005-0000-0000-0000B1000000}"/>
    <cellStyle name="Título 3" xfId="64" builtinId="18" customBuiltin="1"/>
    <cellStyle name="Título 3 2" xfId="174" xr:uid="{00000000-0005-0000-0000-0000B3000000}"/>
    <cellStyle name="Título 4" xfId="175" xr:uid="{00000000-0005-0000-0000-0000B4000000}"/>
    <cellStyle name="Total" xfId="65" builtinId="25" customBuiltin="1"/>
    <cellStyle name="Total 2" xfId="176" xr:uid="{00000000-0005-0000-0000-0000B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00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ObtenerBoletaPdf('2724347300002107F7E1',%20'13101');" TargetMode="External"/><Relationship Id="rId13" Type="http://schemas.openxmlformats.org/officeDocument/2006/relationships/hyperlink" Target="javascript:ObtenerBoletaPdf('27008833000017961BB2',%20'13101');" TargetMode="External"/><Relationship Id="rId18" Type="http://schemas.openxmlformats.org/officeDocument/2006/relationships/hyperlink" Target="javascript:ObtenerBoletaPdf('1030927300088A98C579',%20'13101');" TargetMode="External"/><Relationship Id="rId3" Type="http://schemas.openxmlformats.org/officeDocument/2006/relationships/hyperlink" Target="javascript:ObtenerBoletaPdf('18150798014191F8C2D5',%20'13159');" TargetMode="External"/><Relationship Id="rId21" Type="http://schemas.openxmlformats.org/officeDocument/2006/relationships/hyperlink" Target="javascript:ObtenerBoletaPdf('091226590000236F4246',%20'16301');" TargetMode="External"/><Relationship Id="rId7" Type="http://schemas.openxmlformats.org/officeDocument/2006/relationships/hyperlink" Target="javascript:ObtenerBoletaPdf('1030927300085F87E9EB',%20'13101');" TargetMode="External"/><Relationship Id="rId12" Type="http://schemas.openxmlformats.org/officeDocument/2006/relationships/hyperlink" Target="javascript:ObtenerBoletaPdf('1030927300087A8796AA',%20'13101');" TargetMode="External"/><Relationship Id="rId17" Type="http://schemas.openxmlformats.org/officeDocument/2006/relationships/hyperlink" Target="javascript:ObtenerBoletaPdf('27243473000038C3C037',%20'13101');" TargetMode="External"/><Relationship Id="rId2" Type="http://schemas.openxmlformats.org/officeDocument/2006/relationships/image" Target="../media/image1.gif"/><Relationship Id="rId16" Type="http://schemas.openxmlformats.org/officeDocument/2006/relationships/hyperlink" Target="javascript:ObtenerBoletaPdf('27008833000042776108',%20'13101');" TargetMode="External"/><Relationship Id="rId20" Type="http://schemas.openxmlformats.org/officeDocument/2006/relationships/hyperlink" Target="javascript:ObtenerBoletaPdf('2724347300004F10FE12',%20'13101');" TargetMode="External"/><Relationship Id="rId1" Type="http://schemas.openxmlformats.org/officeDocument/2006/relationships/hyperlink" Target="javascript:ObtenerBoletaPdf('10309273000831EEC1B3',%20'13101');" TargetMode="External"/><Relationship Id="rId6" Type="http://schemas.openxmlformats.org/officeDocument/2006/relationships/hyperlink" Target="javascript:ObtenerBoletaPdf('10309273000840868D72',%20'13101');" TargetMode="External"/><Relationship Id="rId11" Type="http://schemas.openxmlformats.org/officeDocument/2006/relationships/hyperlink" Target="javascript:ObtenerBoletaPdf('18150798014219B2FA7D',%20'13159');" TargetMode="External"/><Relationship Id="rId5" Type="http://schemas.openxmlformats.org/officeDocument/2006/relationships/hyperlink" Target="javascript:ObtenerBoletaPdf('1815079801420F0F305B',%20'13159');" TargetMode="External"/><Relationship Id="rId15" Type="http://schemas.openxmlformats.org/officeDocument/2006/relationships/hyperlink" Target="javascript:ObtenerBoletaPdf('2700883300003402DB90',%20'13101');" TargetMode="External"/><Relationship Id="rId23" Type="http://schemas.openxmlformats.org/officeDocument/2006/relationships/hyperlink" Target="javascript:ObtenerBoletaPdf('2724347300006D7F6AA7',%20'13101');" TargetMode="External"/><Relationship Id="rId10" Type="http://schemas.openxmlformats.org/officeDocument/2006/relationships/hyperlink" Target="javascript:ObtenerBoletaPdf('10309273000826DEAF7C',%20'13101');" TargetMode="External"/><Relationship Id="rId19" Type="http://schemas.openxmlformats.org/officeDocument/2006/relationships/hyperlink" Target="javascript:ObtenerBoletaPdf('10309273000899C50DB0',%20'13101');" TargetMode="External"/><Relationship Id="rId4" Type="http://schemas.openxmlformats.org/officeDocument/2006/relationships/hyperlink" Target="javascript:ObtenerBoletaPdf('272434730000165F4098',%20'13101');" TargetMode="External"/><Relationship Id="rId9" Type="http://schemas.openxmlformats.org/officeDocument/2006/relationships/hyperlink" Target="javascript:ObtenerBoletaPdf('1815079801423345E3DF',%20'13159');" TargetMode="External"/><Relationship Id="rId14" Type="http://schemas.openxmlformats.org/officeDocument/2006/relationships/hyperlink" Target="javascript:ObtenerBoletaPdf('2700883300002D3FCC87',%20'13101');" TargetMode="External"/><Relationship Id="rId22" Type="http://schemas.openxmlformats.org/officeDocument/2006/relationships/hyperlink" Target="javascript:ObtenerBoletaPdf('27243473000051ACADAF',%20'13101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161925</xdr:colOff>
      <xdr:row>11</xdr:row>
      <xdr:rowOff>161925</xdr:rowOff>
    </xdr:to>
    <xdr:pic>
      <xdr:nvPicPr>
        <xdr:cNvPr id="10" name="Imagen 9" descr="https://loa.sii.cl/IMT/img/pdf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95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161925</xdr:colOff>
      <xdr:row>12</xdr:row>
      <xdr:rowOff>161925</xdr:rowOff>
    </xdr:to>
    <xdr:pic>
      <xdr:nvPicPr>
        <xdr:cNvPr id="11" name="Imagen 10" descr="https://loa.sii.cl/IMT/img/pdf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66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161925</xdr:colOff>
      <xdr:row>13</xdr:row>
      <xdr:rowOff>161925</xdr:rowOff>
    </xdr:to>
    <xdr:pic>
      <xdr:nvPicPr>
        <xdr:cNvPr id="12" name="Imagen 11" descr="https://loa.sii.cl/IMT/img/pdf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38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161925</xdr:colOff>
      <xdr:row>14</xdr:row>
      <xdr:rowOff>161925</xdr:rowOff>
    </xdr:to>
    <xdr:pic>
      <xdr:nvPicPr>
        <xdr:cNvPr id="13" name="Imagen 12" descr="https://loa.sii.cl/IMT/img/pdf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09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161925</xdr:colOff>
      <xdr:row>15</xdr:row>
      <xdr:rowOff>161925</xdr:rowOff>
    </xdr:to>
    <xdr:pic>
      <xdr:nvPicPr>
        <xdr:cNvPr id="14" name="Imagen 13" descr="https://loa.sii.cl/IMT/img/pdf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81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161925</xdr:colOff>
      <xdr:row>16</xdr:row>
      <xdr:rowOff>161925</xdr:rowOff>
    </xdr:to>
    <xdr:pic>
      <xdr:nvPicPr>
        <xdr:cNvPr id="15" name="Imagen 14" descr="https://loa.sii.cl/IMT/img/pdf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52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161925</xdr:colOff>
      <xdr:row>17</xdr:row>
      <xdr:rowOff>161925</xdr:rowOff>
    </xdr:to>
    <xdr:pic>
      <xdr:nvPicPr>
        <xdr:cNvPr id="16" name="Imagen 15" descr="https://loa.sii.cl/IMT/img/pdf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24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161925</xdr:colOff>
      <xdr:row>18</xdr:row>
      <xdr:rowOff>161925</xdr:rowOff>
    </xdr:to>
    <xdr:pic>
      <xdr:nvPicPr>
        <xdr:cNvPr id="17" name="Imagen 16" descr="https://loa.sii.cl/IMT/img/pdf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95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26</xdr:row>
      <xdr:rowOff>0</xdr:rowOff>
    </xdr:from>
    <xdr:ext cx="161925" cy="161925"/>
    <xdr:pic>
      <xdr:nvPicPr>
        <xdr:cNvPr id="18" name="Imagen 17" descr="https://loa.sii.cl/IMT/img/pdf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52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34</xdr:row>
      <xdr:rowOff>0</xdr:rowOff>
    </xdr:from>
    <xdr:to>
      <xdr:col>1</xdr:col>
      <xdr:colOff>161925</xdr:colOff>
      <xdr:row>35</xdr:row>
      <xdr:rowOff>0</xdr:rowOff>
    </xdr:to>
    <xdr:pic>
      <xdr:nvPicPr>
        <xdr:cNvPr id="19" name="Imagen 18" descr="https://loa.sii.cl/IMT/img/pdf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81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4</xdr:row>
      <xdr:rowOff>0</xdr:rowOff>
    </xdr:from>
    <xdr:ext cx="161925" cy="161925"/>
    <xdr:pic>
      <xdr:nvPicPr>
        <xdr:cNvPr id="20" name="Imagen 19" descr="https://loa.sii.cl/IMT/img/pdf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115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38</xdr:row>
      <xdr:rowOff>0</xdr:rowOff>
    </xdr:from>
    <xdr:to>
      <xdr:col>1</xdr:col>
      <xdr:colOff>161925</xdr:colOff>
      <xdr:row>39</xdr:row>
      <xdr:rowOff>0</xdr:rowOff>
    </xdr:to>
    <xdr:pic>
      <xdr:nvPicPr>
        <xdr:cNvPr id="21" name="Imagen 20" descr="https://loa.sii.cl/IMT/img/pdf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86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161925</xdr:colOff>
      <xdr:row>34</xdr:row>
      <xdr:rowOff>0</xdr:rowOff>
    </xdr:to>
    <xdr:pic>
      <xdr:nvPicPr>
        <xdr:cNvPr id="22" name="Imagen 21" descr="https://loa.sii.cl/IMT/img/pdf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248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161925</xdr:colOff>
      <xdr:row>47</xdr:row>
      <xdr:rowOff>0</xdr:rowOff>
    </xdr:to>
    <xdr:pic>
      <xdr:nvPicPr>
        <xdr:cNvPr id="23" name="Imagen 22" descr="https://loa.sii.cl/IMT/img/pdf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161925</xdr:colOff>
      <xdr:row>53</xdr:row>
      <xdr:rowOff>0</xdr:rowOff>
    </xdr:to>
    <xdr:pic>
      <xdr:nvPicPr>
        <xdr:cNvPr id="24" name="Imagen 23" descr="https://loa.sii.cl/IMT/img/pdf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734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161925</xdr:colOff>
      <xdr:row>49</xdr:row>
      <xdr:rowOff>0</xdr:rowOff>
    </xdr:to>
    <xdr:pic>
      <xdr:nvPicPr>
        <xdr:cNvPr id="25" name="Imagen 24" descr="https://loa.sii.cl/IMT/img/pdf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896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161925</xdr:colOff>
      <xdr:row>60</xdr:row>
      <xdr:rowOff>0</xdr:rowOff>
    </xdr:to>
    <xdr:pic>
      <xdr:nvPicPr>
        <xdr:cNvPr id="27" name="Imagen 26" descr="https://loa.sii.cl/IMT/img/pdf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325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161925</xdr:colOff>
      <xdr:row>68</xdr:row>
      <xdr:rowOff>0</xdr:rowOff>
    </xdr:to>
    <xdr:pic>
      <xdr:nvPicPr>
        <xdr:cNvPr id="29" name="Imagen 28" descr="https://loa.sii.cl/IMT/img/pdf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68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161925</xdr:colOff>
      <xdr:row>76</xdr:row>
      <xdr:rowOff>0</xdr:rowOff>
    </xdr:to>
    <xdr:pic>
      <xdr:nvPicPr>
        <xdr:cNvPr id="30" name="Imagen 29" descr="https://loa.sii.cl/IMT/img/pdf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11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161925</xdr:colOff>
      <xdr:row>77</xdr:row>
      <xdr:rowOff>0</xdr:rowOff>
    </xdr:to>
    <xdr:pic>
      <xdr:nvPicPr>
        <xdr:cNvPr id="31" name="Imagen 30" descr="https://loa.sii.cl/IMT/img/pdf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373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161925</xdr:colOff>
      <xdr:row>78</xdr:row>
      <xdr:rowOff>0</xdr:rowOff>
    </xdr:to>
    <xdr:pic>
      <xdr:nvPicPr>
        <xdr:cNvPr id="32" name="Imagen 31" descr="https://loa.sii.cl/IMT/img/pdf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535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161925</xdr:colOff>
      <xdr:row>89</xdr:row>
      <xdr:rowOff>161925</xdr:rowOff>
    </xdr:to>
    <xdr:pic>
      <xdr:nvPicPr>
        <xdr:cNvPr id="33" name="Imagen 32" descr="https://loa.sii.cl/IMT/img/pdf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754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161925</xdr:colOff>
      <xdr:row>91</xdr:row>
      <xdr:rowOff>0</xdr:rowOff>
    </xdr:to>
    <xdr:pic>
      <xdr:nvPicPr>
        <xdr:cNvPr id="34" name="Imagen 33" descr="https://loa.sii.cl/IMT/img/pdf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040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161925</xdr:colOff>
      <xdr:row>92</xdr:row>
      <xdr:rowOff>0</xdr:rowOff>
    </xdr:to>
    <xdr:pic>
      <xdr:nvPicPr>
        <xdr:cNvPr id="35" name="Imagen 34" descr="https://loa.sii.cl/IMT/img/pdf.gif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1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202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Manuel-PC/ASETRAN/RENTA%20AT-2018/Renta%20Atribuida/FUT-GLOBAL_Final%20_Final-AT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el/Documents/MANUEL/ASETRAN/BCE-2014/ACETRAN_BCE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FUT-2015- (2)"/>
      <sheetName val="FUT-2015-"/>
      <sheetName val="FUT-2016"/>
      <sheetName val="Valoriz."/>
      <sheetName val="Asetran"/>
      <sheetName val="ISF-Asetran"/>
      <sheetName val="A-SpA"/>
      <sheetName val="TdRental"/>
      <sheetName val="Sectra"/>
      <sheetName val="ISF-Sectra"/>
    </sheetNames>
    <sheetDataSet>
      <sheetData sheetId="0"/>
      <sheetData sheetId="1"/>
      <sheetData sheetId="2"/>
      <sheetData sheetId="3"/>
      <sheetData sheetId="4"/>
      <sheetData sheetId="5">
        <row r="49">
          <cell r="M49">
            <v>18640860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_F"/>
      <sheetName val="E-R"/>
      <sheetName val="B_T"/>
      <sheetName val="MAYOR"/>
      <sheetName val="DATOS"/>
      <sheetName val="C_P"/>
      <sheetName val="RLI"/>
      <sheetName val="FUT"/>
      <sheetName val="FUT-2014"/>
      <sheetName val="PPM"/>
      <sheetName val="DJ1879"/>
      <sheetName val="ITAU-120"/>
      <sheetName val="Pago-Chile-2013"/>
      <sheetName val="Pago-Estado-2013"/>
      <sheetName val="PagaBCOESTADO"/>
      <sheetName val="CHILE-36"/>
      <sheetName val="PTMO BANCO ESTADO"/>
      <sheetName val="Santander_36"/>
      <sheetName val="RET"/>
      <sheetName val="CAMIONETA"/>
      <sheetName val="Eq. y Otros"/>
      <sheetName val="MAQ-2013"/>
      <sheetName val="1879-1879"/>
      <sheetName val="RLI-Pago"/>
      <sheetName val="Hoja2"/>
    </sheetNames>
    <sheetDataSet>
      <sheetData sheetId="0"/>
      <sheetData sheetId="1"/>
      <sheetData sheetId="2"/>
      <sheetData sheetId="3">
        <row r="1">
          <cell r="B1" t="str">
            <v>Asesorias Legales de Tránsito Ltda.</v>
          </cell>
        </row>
        <row r="2">
          <cell r="B2" t="str">
            <v>Sotero del Rio 508 609</v>
          </cell>
        </row>
        <row r="3">
          <cell r="B3" t="str">
            <v>RUT: 76.307.410-2</v>
          </cell>
        </row>
        <row r="4">
          <cell r="B4" t="str">
            <v>ASESORIAS DE TRANSITO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linkexterno(7)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hyperlink" Target="https://zeus.sii.cl/avalu_cgi/br/brcy40.sh?NUM=00074049257" TargetMode="External"/><Relationship Id="rId1" Type="http://schemas.openxmlformats.org/officeDocument/2006/relationships/hyperlink" Target="https://zeus.sii.cl/avalu_cgi/br/brcy40.sh?NUM=00074049265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2"/>
  <sheetViews>
    <sheetView showGridLines="0" view="pageBreakPreview" topLeftCell="A27" zoomScale="80" zoomScaleNormal="80" workbookViewId="0">
      <selection activeCell="L51" sqref="L51"/>
    </sheetView>
  </sheetViews>
  <sheetFormatPr baseColWidth="10" defaultColWidth="11.42578125" defaultRowHeight="15"/>
  <cols>
    <col min="1" max="2" width="3.28515625" style="96" customWidth="1"/>
    <col min="3" max="3" width="5.140625" style="96" customWidth="1"/>
    <col min="4" max="4" width="13.28515625" style="96" customWidth="1"/>
    <col min="5" max="5" width="28.5703125" style="96" customWidth="1"/>
    <col min="6" max="6" width="17.7109375" style="96" customWidth="1"/>
    <col min="7" max="7" width="6.85546875" style="96" customWidth="1"/>
    <col min="8" max="8" width="12" style="96" customWidth="1"/>
    <col min="9" max="9" width="6.7109375" style="96" customWidth="1"/>
    <col min="10" max="10" width="5.28515625" style="96" customWidth="1"/>
    <col min="11" max="11" width="11.42578125" style="96"/>
    <col min="12" max="12" width="16.85546875" style="96" customWidth="1"/>
    <col min="13" max="14" width="17" style="96" customWidth="1"/>
    <col min="15" max="15" width="2" style="96" customWidth="1"/>
    <col min="16" max="16" width="17" style="96" customWidth="1"/>
    <col min="17" max="16384" width="11.42578125" style="96"/>
  </cols>
  <sheetData>
    <row r="1" spans="2:16">
      <c r="B1" s="1436"/>
      <c r="C1" s="1436"/>
      <c r="D1" s="1436"/>
      <c r="E1" s="1436"/>
      <c r="F1" s="1436"/>
      <c r="G1" s="1436"/>
      <c r="H1" s="1436"/>
      <c r="I1" s="1436"/>
      <c r="J1" s="1436"/>
      <c r="K1" s="1436"/>
      <c r="L1" s="1436"/>
      <c r="M1" s="1436"/>
      <c r="N1" s="1436"/>
      <c r="O1" s="1436"/>
    </row>
    <row r="2" spans="2:16" ht="18">
      <c r="B2" s="250" t="str">
        <f>+'BT IMPRESION'!A1</f>
        <v>SOCIEDAD COMERCIAL SOLMET SpA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</row>
    <row r="3" spans="2:16">
      <c r="B3" s="207" t="str">
        <f>+'BT IMPRESION'!A2</f>
        <v>BOMBEROS SALAS #1445 OFC 601B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2:16">
      <c r="B4" s="207" t="str">
        <f>+'BT IMPRESION'!A3</f>
        <v>RUT: 76.541.377-K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</row>
    <row r="5" spans="2:16">
      <c r="B5" s="207">
        <f>+'BT IMPRESION'!A4</f>
        <v>0</v>
      </c>
      <c r="F5" s="98"/>
      <c r="G5" s="98"/>
      <c r="H5" s="98"/>
    </row>
    <row r="6" spans="2:16" ht="20.25">
      <c r="B6" s="97"/>
      <c r="F6" s="98"/>
      <c r="G6" s="98"/>
      <c r="H6" s="251" t="s">
        <v>10</v>
      </c>
    </row>
    <row r="9" spans="2:16">
      <c r="F9" s="105" t="s">
        <v>70</v>
      </c>
      <c r="G9" s="103"/>
      <c r="H9" s="103"/>
      <c r="N9" s="105" t="s">
        <v>70</v>
      </c>
      <c r="O9" s="103"/>
      <c r="P9" s="103"/>
    </row>
    <row r="10" spans="2:16">
      <c r="D10" s="98" t="s">
        <v>71</v>
      </c>
      <c r="F10" s="104">
        <v>2013</v>
      </c>
      <c r="G10" s="104"/>
      <c r="H10" s="104"/>
      <c r="J10" s="98" t="s">
        <v>72</v>
      </c>
      <c r="N10" s="104">
        <f>+F10</f>
        <v>2013</v>
      </c>
      <c r="O10" s="104"/>
      <c r="P10" s="104"/>
    </row>
    <row r="11" spans="2:16">
      <c r="F11" s="105" t="s">
        <v>57</v>
      </c>
      <c r="G11" s="105"/>
      <c r="H11" s="105"/>
      <c r="N11" s="105" t="s">
        <v>57</v>
      </c>
      <c r="O11" s="105"/>
      <c r="P11" s="105"/>
    </row>
    <row r="13" spans="2:16">
      <c r="B13" s="98" t="s">
        <v>73</v>
      </c>
      <c r="F13" s="99"/>
      <c r="G13" s="99"/>
      <c r="H13" s="99"/>
      <c r="I13" s="99"/>
      <c r="J13" s="100" t="s">
        <v>74</v>
      </c>
      <c r="K13" s="99"/>
      <c r="L13" s="99"/>
      <c r="M13" s="99"/>
      <c r="N13" s="99"/>
      <c r="O13" s="99"/>
      <c r="P13" s="99"/>
    </row>
    <row r="14" spans="2:16"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6">
      <c r="C15" s="96" t="s">
        <v>75</v>
      </c>
      <c r="F15" s="96">
        <f>+'BT IMPRESION'!F12</f>
        <v>0</v>
      </c>
      <c r="K15" s="96" t="str">
        <f>+'BT IMPRESION'!A27</f>
        <v>IVA POR PAGAR</v>
      </c>
      <c r="N15" s="96">
        <f>+'BT IMPRESION'!G27</f>
        <v>0</v>
      </c>
    </row>
    <row r="16" spans="2:16">
      <c r="C16" s="96" t="e">
        <f>+'BT IMPRESION'!#REF!</f>
        <v>#REF!</v>
      </c>
      <c r="F16" s="96" t="e">
        <f>+'BT IMPRESION'!#REF!</f>
        <v>#REF!</v>
      </c>
      <c r="K16" s="96" t="s">
        <v>162</v>
      </c>
      <c r="N16" s="96">
        <f>+'BT IMPRESION'!G26</f>
        <v>0</v>
      </c>
    </row>
    <row r="17" spans="1:16">
      <c r="C17" s="96" t="e">
        <f>+'BT IMPRESION'!#REF!</f>
        <v>#REF!</v>
      </c>
      <c r="F17" s="96" t="e">
        <f>+'BT IMPRESION'!#REF!</f>
        <v>#REF!</v>
      </c>
      <c r="K17" s="96" t="s">
        <v>163</v>
      </c>
      <c r="N17" s="96">
        <f>+'BT IMPRESION'!G31</f>
        <v>4165861</v>
      </c>
    </row>
    <row r="18" spans="1:16">
      <c r="C18" s="96" t="str">
        <f>+'BT IMPRESION'!A13</f>
        <v>P.P.M.</v>
      </c>
      <c r="F18" s="96">
        <f>+'BT IMPRESION'!F13</f>
        <v>0</v>
      </c>
      <c r="K18" s="96" t="e">
        <f>+'BT IMPRESION'!#REF!</f>
        <v>#REF!</v>
      </c>
      <c r="N18" s="96" t="e">
        <f>+'BT IMPRESION'!#REF!+'BT IMPRESION'!#REF!+'BT IMPRESION'!G25</f>
        <v>#REF!</v>
      </c>
    </row>
    <row r="19" spans="1:16" s="98" customFormat="1">
      <c r="A19" s="96"/>
      <c r="B19" s="96"/>
      <c r="C19" s="96" t="str">
        <f>+'BT IMPRESION'!A23</f>
        <v>CREDITO SENCE</v>
      </c>
      <c r="F19" s="96" t="e">
        <f>+'BT IMPRESION'!#REF!</f>
        <v>#REF!</v>
      </c>
      <c r="G19" s="96"/>
      <c r="H19" s="96"/>
      <c r="K19" s="96" t="str">
        <f>+'BT IMPRESION'!A24</f>
        <v>AFP</v>
      </c>
      <c r="N19" s="96">
        <f>+'BT IMPRESION'!G24</f>
        <v>0</v>
      </c>
    </row>
    <row r="20" spans="1:16" s="98" customFormat="1">
      <c r="A20" s="96"/>
      <c r="B20" s="96"/>
      <c r="C20" s="96"/>
      <c r="F20" s="96"/>
      <c r="G20" s="96"/>
      <c r="H20" s="96"/>
      <c r="K20" s="96" t="s">
        <v>333</v>
      </c>
      <c r="N20" s="98" t="e">
        <f>+'BT IMPRESION'!#REF!</f>
        <v>#REF!</v>
      </c>
    </row>
    <row r="21" spans="1:16">
      <c r="A21" s="98"/>
      <c r="B21" s="98"/>
      <c r="D21" s="98" t="s">
        <v>76</v>
      </c>
      <c r="E21" s="98"/>
      <c r="F21" s="101" t="e">
        <f>SUM(F15:F20)</f>
        <v>#REF!</v>
      </c>
      <c r="G21" s="98"/>
      <c r="H21" s="98"/>
      <c r="J21" s="98"/>
      <c r="K21" s="98"/>
      <c r="L21" s="98" t="s">
        <v>77</v>
      </c>
      <c r="N21" s="101" t="e">
        <f>SUM(N15:N20)</f>
        <v>#REF!</v>
      </c>
      <c r="O21" s="98"/>
      <c r="P21" s="98"/>
    </row>
    <row r="23" spans="1:16">
      <c r="B23" s="98" t="s">
        <v>78</v>
      </c>
      <c r="J23" s="98" t="s">
        <v>79</v>
      </c>
    </row>
    <row r="25" spans="1:16">
      <c r="C25" s="96" t="e">
        <f>+'BT IMPRESION'!#REF!</f>
        <v>#REF!</v>
      </c>
      <c r="F25" s="96" t="e">
        <f>+'BT IMPRESION'!#REF!</f>
        <v>#REF!</v>
      </c>
      <c r="K25" s="96" t="s">
        <v>335</v>
      </c>
    </row>
    <row r="26" spans="1:16">
      <c r="C26" s="96" t="e">
        <f>+'BT IMPRESION'!#REF!</f>
        <v>#REF!</v>
      </c>
      <c r="F26" s="96" t="e">
        <f>+'BT IMPRESION'!#REF!</f>
        <v>#REF!</v>
      </c>
      <c r="K26" s="96" t="e">
        <f>+'BT IMPRESION'!#REF!</f>
        <v>#REF!</v>
      </c>
      <c r="N26" s="96" t="e">
        <f>+'BT IMPRESION'!#REF!</f>
        <v>#REF!</v>
      </c>
    </row>
    <row r="27" spans="1:16">
      <c r="C27" s="96" t="s">
        <v>332</v>
      </c>
      <c r="K27" s="96" t="s">
        <v>334</v>
      </c>
    </row>
    <row r="28" spans="1:16">
      <c r="C28" s="98"/>
      <c r="D28" s="98" t="s">
        <v>81</v>
      </c>
      <c r="E28" s="98"/>
      <c r="F28" s="101" t="e">
        <f>SUM(F25:F27)</f>
        <v>#REF!</v>
      </c>
      <c r="L28" s="98" t="s">
        <v>80</v>
      </c>
      <c r="N28" s="101" t="e">
        <f>SUM(N25:N27)</f>
        <v>#REF!</v>
      </c>
      <c r="O28" s="98"/>
      <c r="P28" s="98"/>
    </row>
    <row r="29" spans="1:16">
      <c r="L29" s="98"/>
      <c r="N29" s="98"/>
      <c r="O29" s="98"/>
      <c r="P29" s="98"/>
    </row>
    <row r="30" spans="1:16">
      <c r="L30" s="98"/>
      <c r="N30" s="98"/>
      <c r="O30" s="98"/>
      <c r="P30" s="98"/>
    </row>
    <row r="31" spans="1:16" s="98" customFormat="1">
      <c r="A31" s="96"/>
      <c r="B31" s="96"/>
      <c r="C31" s="96"/>
      <c r="D31" s="96"/>
      <c r="E31" s="96"/>
      <c r="F31" s="96"/>
      <c r="G31" s="96"/>
      <c r="H31" s="96"/>
      <c r="J31" s="96"/>
      <c r="K31" s="96"/>
      <c r="L31" s="96"/>
      <c r="M31" s="96"/>
      <c r="N31" s="96"/>
      <c r="O31" s="96"/>
      <c r="P31" s="96"/>
    </row>
    <row r="32" spans="1:16">
      <c r="A32" s="98"/>
      <c r="B32" s="98"/>
      <c r="G32" s="98"/>
      <c r="H32" s="98"/>
      <c r="J32" s="98" t="s">
        <v>82</v>
      </c>
      <c r="K32" s="98"/>
      <c r="L32" s="98"/>
      <c r="M32" s="98"/>
      <c r="N32" s="98"/>
      <c r="O32" s="98"/>
      <c r="P32" s="98"/>
    </row>
    <row r="34" spans="1:16">
      <c r="B34" s="98" t="s">
        <v>83</v>
      </c>
      <c r="K34" s="96" t="s">
        <v>155</v>
      </c>
      <c r="N34" s="96">
        <f>+'BT IMPRESION'!G35</f>
        <v>0</v>
      </c>
    </row>
    <row r="35" spans="1:16">
      <c r="D35" s="96" t="e">
        <f>+'BT IMPRESION'!#REF!</f>
        <v>#REF!</v>
      </c>
      <c r="F35" s="96" t="e">
        <f>+'BT IMPRESION'!#REF!</f>
        <v>#REF!</v>
      </c>
      <c r="K35" s="96" t="s">
        <v>156</v>
      </c>
      <c r="N35" s="96">
        <f>+'BT IMPRESION'!G36</f>
        <v>0</v>
      </c>
    </row>
    <row r="36" spans="1:16">
      <c r="D36" s="96" t="e">
        <f>+'BT IMPRESION'!#REF!</f>
        <v>#REF!</v>
      </c>
      <c r="F36" s="96" t="e">
        <f>+'BT IMPRESION'!#REF!</f>
        <v>#REF!</v>
      </c>
      <c r="K36" s="96" t="s">
        <v>157</v>
      </c>
      <c r="N36" s="96">
        <f>+'BT IMPRESION'!G38+'BT IMPRESION'!G37</f>
        <v>0</v>
      </c>
    </row>
    <row r="37" spans="1:16">
      <c r="D37" s="96" t="e">
        <f>+'BT IMPRESION'!#REF!</f>
        <v>#REF!</v>
      </c>
      <c r="F37" s="96" t="e">
        <f>+'BT IMPRESION'!#REF!</f>
        <v>#REF!</v>
      </c>
      <c r="K37" s="96" t="e">
        <f>+'BT IMPRESION'!#REF!</f>
        <v>#REF!</v>
      </c>
      <c r="N37" s="96" t="e">
        <f>-'BT IMPRESION'!#REF!</f>
        <v>#REF!</v>
      </c>
    </row>
    <row r="38" spans="1:16">
      <c r="K38" s="96" t="s">
        <v>186</v>
      </c>
      <c r="N38" s="96">
        <f>+'BT IMPRESION'!H58</f>
        <v>-49338105</v>
      </c>
    </row>
    <row r="39" spans="1:16">
      <c r="D39" s="98" t="s">
        <v>84</v>
      </c>
      <c r="F39" s="101" t="e">
        <f>SUM(F35:F37)</f>
        <v>#REF!</v>
      </c>
      <c r="H39" s="98"/>
      <c r="L39" s="98" t="s">
        <v>85</v>
      </c>
      <c r="N39" s="101" t="e">
        <f>SUM(N34:N38)</f>
        <v>#REF!</v>
      </c>
      <c r="O39" s="98"/>
      <c r="P39" s="98"/>
    </row>
    <row r="40" spans="1:16" s="98" customFormat="1">
      <c r="A40" s="96"/>
      <c r="B40" s="96"/>
      <c r="C40" s="96"/>
      <c r="D40" s="96"/>
      <c r="E40" s="96"/>
      <c r="F40" s="96"/>
      <c r="G40" s="96"/>
      <c r="H40" s="96"/>
      <c r="J40" s="96"/>
      <c r="K40" s="96"/>
      <c r="L40" s="96"/>
      <c r="M40" s="96"/>
      <c r="N40" s="96"/>
      <c r="O40" s="96"/>
      <c r="P40" s="96"/>
    </row>
    <row r="41" spans="1:16" ht="15.75" thickBot="1">
      <c r="A41" s="98"/>
      <c r="B41" s="98"/>
      <c r="C41" s="98"/>
      <c r="D41" s="98" t="s">
        <v>86</v>
      </c>
      <c r="E41" s="98"/>
      <c r="F41" s="102" t="e">
        <f>+F21+F28+F39</f>
        <v>#REF!</v>
      </c>
      <c r="G41" s="98"/>
      <c r="H41" s="98"/>
      <c r="J41" s="98"/>
      <c r="K41" s="98"/>
      <c r="L41" s="98" t="s">
        <v>87</v>
      </c>
      <c r="M41" s="98"/>
      <c r="N41" s="102" t="e">
        <f>+N21+N28+N39</f>
        <v>#REF!</v>
      </c>
      <c r="O41" s="98"/>
      <c r="P41" s="98"/>
    </row>
    <row r="42" spans="1:16" ht="15.75" thickTop="1"/>
    <row r="43" spans="1:16">
      <c r="N43" s="96" t="e">
        <f>+N41-F41</f>
        <v>#REF!</v>
      </c>
    </row>
    <row r="50" spans="6:14">
      <c r="F50" s="99" t="s">
        <v>99</v>
      </c>
      <c r="G50" s="99"/>
      <c r="H50" s="99"/>
      <c r="J50" s="99"/>
      <c r="L50" s="99" t="s">
        <v>100</v>
      </c>
      <c r="N50" s="99"/>
    </row>
    <row r="51" spans="6:14">
      <c r="F51" s="99" t="s">
        <v>173</v>
      </c>
      <c r="G51" s="99"/>
      <c r="H51" s="99"/>
      <c r="J51" s="99"/>
      <c r="L51" s="99" t="str">
        <f>+DATOS!H4</f>
        <v>MANUEL GUTIERREZ A. RUT: 10,150,081-0</v>
      </c>
      <c r="N51" s="99"/>
    </row>
    <row r="52" spans="6:14">
      <c r="F52" s="99" t="s">
        <v>174</v>
      </c>
      <c r="G52" s="99"/>
      <c r="H52" s="99"/>
      <c r="J52" s="99"/>
      <c r="L52" s="99" t="s">
        <v>101</v>
      </c>
      <c r="M52" s="99"/>
      <c r="N52" s="99"/>
    </row>
  </sheetData>
  <mergeCells count="1">
    <mergeCell ref="B1:O1"/>
  </mergeCells>
  <phoneticPr fontId="0" type="noConversion"/>
  <pageMargins left="0.75" right="0.75" top="1" bottom="1" header="0" footer="0"/>
  <pageSetup scale="5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5:L10"/>
  <sheetViews>
    <sheetView workbookViewId="0">
      <selection activeCell="J10" sqref="J10"/>
    </sheetView>
  </sheetViews>
  <sheetFormatPr baseColWidth="10" defaultRowHeight="12.75"/>
  <cols>
    <col min="10" max="10" width="13.42578125" bestFit="1" customWidth="1"/>
  </cols>
  <sheetData>
    <row r="5" spans="4:12" ht="39.75" thickBot="1">
      <c r="D5" s="892" t="s">
        <v>756</v>
      </c>
    </row>
    <row r="6" spans="4:12" ht="36.75" thickBot="1">
      <c r="D6" s="893" t="s">
        <v>757</v>
      </c>
      <c r="E6" s="893" t="s">
        <v>758</v>
      </c>
      <c r="F6" s="893" t="s">
        <v>759</v>
      </c>
      <c r="G6" s="893" t="s">
        <v>760</v>
      </c>
      <c r="H6" s="893" t="s">
        <v>761</v>
      </c>
      <c r="I6" s="893" t="s">
        <v>762</v>
      </c>
      <c r="J6" s="893" t="s">
        <v>763</v>
      </c>
      <c r="K6" s="893" t="s">
        <v>394</v>
      </c>
      <c r="L6" s="893" t="s">
        <v>764</v>
      </c>
    </row>
    <row r="7" spans="4:12" ht="13.5" thickBot="1">
      <c r="D7" s="894">
        <v>41</v>
      </c>
      <c r="E7" s="894" t="s">
        <v>765</v>
      </c>
      <c r="F7" s="894" t="s">
        <v>766</v>
      </c>
      <c r="G7" s="894" t="s">
        <v>767</v>
      </c>
      <c r="H7" s="894" t="s">
        <v>768</v>
      </c>
      <c r="I7" s="894">
        <v>2014</v>
      </c>
      <c r="J7" s="896">
        <v>30292622</v>
      </c>
      <c r="K7" s="894" t="s">
        <v>769</v>
      </c>
      <c r="L7" s="894" t="s">
        <v>770</v>
      </c>
    </row>
    <row r="8" spans="4:12" ht="13.5" thickBot="1">
      <c r="D8" s="895">
        <v>41</v>
      </c>
      <c r="E8" s="895" t="s">
        <v>765</v>
      </c>
      <c r="F8" s="895" t="s">
        <v>766</v>
      </c>
      <c r="G8" s="895" t="s">
        <v>771</v>
      </c>
      <c r="H8" s="895" t="s">
        <v>772</v>
      </c>
      <c r="I8" s="895">
        <v>2011</v>
      </c>
      <c r="J8" s="897">
        <v>22504063</v>
      </c>
      <c r="K8" s="895" t="s">
        <v>769</v>
      </c>
      <c r="L8" s="895" t="s">
        <v>770</v>
      </c>
    </row>
    <row r="9" spans="4:12" ht="13.5" thickBot="1">
      <c r="D9" s="894">
        <v>41</v>
      </c>
      <c r="E9" s="894" t="s">
        <v>765</v>
      </c>
      <c r="F9" s="894" t="s">
        <v>773</v>
      </c>
      <c r="G9" s="894" t="s">
        <v>774</v>
      </c>
      <c r="H9" s="894" t="s">
        <v>775</v>
      </c>
      <c r="I9" s="894">
        <v>2011</v>
      </c>
      <c r="J9" s="896">
        <v>22356652</v>
      </c>
      <c r="K9" s="894" t="s">
        <v>769</v>
      </c>
      <c r="L9" s="894" t="s">
        <v>770</v>
      </c>
    </row>
    <row r="10" spans="4:12">
      <c r="J10" s="898">
        <f>SUM(J7:J9)</f>
        <v>75153337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208"/>
  <sheetViews>
    <sheetView showGridLines="0" view="pageBreakPreview" topLeftCell="A37" zoomScale="80" zoomScaleNormal="100" zoomScaleSheetLayoutView="80" workbookViewId="0">
      <selection activeCell="F50" sqref="F50:I55"/>
    </sheetView>
  </sheetViews>
  <sheetFormatPr baseColWidth="10" defaultColWidth="11.42578125" defaultRowHeight="15.75" customHeight="1"/>
  <cols>
    <col min="1" max="1" width="40" style="99" bestFit="1" customWidth="1"/>
    <col min="2" max="2" width="17" style="99" customWidth="1"/>
    <col min="3" max="3" width="17.7109375" style="99" customWidth="1"/>
    <col min="4" max="9" width="18.140625" style="99" customWidth="1"/>
    <col min="10" max="11" width="11.42578125" style="99"/>
    <col min="12" max="12" width="12.28515625" style="99" bestFit="1" customWidth="1"/>
    <col min="13" max="13" width="16.7109375" style="99" customWidth="1"/>
    <col min="14" max="14" width="11.42578125" style="99"/>
    <col min="15" max="16" width="14.42578125" style="99" bestFit="1" customWidth="1"/>
    <col min="17" max="16384" width="11.42578125" style="99"/>
  </cols>
  <sheetData>
    <row r="1" spans="1:14" ht="24" customHeight="1">
      <c r="A1" s="318" t="str">
        <f>+MAYOR!B1</f>
        <v>SOCIEDAD COMERCIAL SOLMET SpA</v>
      </c>
      <c r="B1" s="96"/>
      <c r="C1" s="96"/>
      <c r="D1" s="3"/>
    </row>
    <row r="2" spans="1:14" ht="15.75" customHeight="1">
      <c r="A2" s="227" t="str">
        <f>+MAYOR!B2</f>
        <v>BOMBEROS SALAS #1445 OFC 601B</v>
      </c>
      <c r="B2" s="96"/>
      <c r="C2" s="96"/>
      <c r="D2"/>
      <c r="E2" s="99" t="s">
        <v>590</v>
      </c>
    </row>
    <row r="3" spans="1:14" ht="15.75" customHeight="1">
      <c r="A3" s="227" t="str">
        <f>+MAYOR!B3</f>
        <v>RUT: 76.541.377-K</v>
      </c>
      <c r="B3" s="96"/>
      <c r="C3" s="96"/>
      <c r="D3"/>
    </row>
    <row r="4" spans="1:14" ht="15.75" customHeight="1">
      <c r="A4" s="227">
        <f>+MAYOR!B4</f>
        <v>0</v>
      </c>
      <c r="B4" s="11"/>
      <c r="C4" s="96"/>
      <c r="D4"/>
    </row>
    <row r="5" spans="1:14" ht="15.75" customHeight="1">
      <c r="A5" s="11"/>
    </row>
    <row r="6" spans="1:14" s="115" customFormat="1" ht="20.25" customHeight="1">
      <c r="A6" s="113" t="s">
        <v>10</v>
      </c>
      <c r="B6" s="114"/>
      <c r="C6" s="114"/>
      <c r="D6" s="114"/>
      <c r="E6" s="114"/>
      <c r="F6" s="114"/>
      <c r="G6" s="114"/>
      <c r="H6" s="114"/>
      <c r="I6" s="114"/>
    </row>
    <row r="7" spans="1:14" s="118" customFormat="1" ht="15.75" customHeight="1">
      <c r="A7" s="116" t="s">
        <v>640</v>
      </c>
      <c r="B7" s="117"/>
      <c r="C7" s="117"/>
      <c r="D7" s="117"/>
      <c r="E7" s="117"/>
      <c r="F7" s="117"/>
      <c r="G7" s="117"/>
      <c r="H7" s="117"/>
      <c r="I7" s="117"/>
    </row>
    <row r="8" spans="1:14" ht="5.25" customHeight="1">
      <c r="A8" s="119"/>
    </row>
    <row r="9" spans="1:14" ht="6.75" customHeight="1"/>
    <row r="10" spans="1:14" ht="15.75" customHeight="1" thickBot="1">
      <c r="A10" s="121" t="s">
        <v>11</v>
      </c>
      <c r="B10" s="126" t="s">
        <v>12</v>
      </c>
      <c r="C10" s="126" t="s">
        <v>13</v>
      </c>
      <c r="D10" s="123" t="s">
        <v>7</v>
      </c>
      <c r="E10" s="124"/>
      <c r="F10" s="128" t="s">
        <v>14</v>
      </c>
      <c r="G10" s="129"/>
      <c r="H10" s="123" t="s">
        <v>15</v>
      </c>
      <c r="I10" s="122"/>
    </row>
    <row r="11" spans="1:14" ht="15.75" customHeight="1">
      <c r="A11" s="125"/>
      <c r="B11" s="127" t="s">
        <v>16</v>
      </c>
      <c r="C11" s="127" t="s">
        <v>17</v>
      </c>
      <c r="D11" s="131" t="s">
        <v>18</v>
      </c>
      <c r="E11" s="132" t="s">
        <v>19</v>
      </c>
      <c r="F11" s="131" t="s">
        <v>20</v>
      </c>
      <c r="G11" s="132" t="s">
        <v>21</v>
      </c>
      <c r="H11" s="132" t="s">
        <v>22</v>
      </c>
      <c r="I11" s="130" t="s">
        <v>23</v>
      </c>
    </row>
    <row r="12" spans="1:14" s="120" customFormat="1" ht="15.75" customHeight="1">
      <c r="A12" s="357" t="str">
        <f>+MAYOR!F6</f>
        <v>DISPONIBLE</v>
      </c>
      <c r="B12" s="358">
        <f>+MAYOR!F228</f>
        <v>0</v>
      </c>
      <c r="C12" s="358">
        <f>+MAYOR!G228+88934667+37000000</f>
        <v>125934667</v>
      </c>
      <c r="D12" s="358">
        <f t="shared" ref="D12:D45" si="0">IF(B12&gt;C12,B12-C12,0)</f>
        <v>0</v>
      </c>
      <c r="E12" s="358">
        <f t="shared" ref="E12:E45" si="1">IF(B12&lt;C12,C12-B12,0)</f>
        <v>125934667</v>
      </c>
      <c r="F12" s="308">
        <f t="shared" ref="F12:G27" si="2">IF(D12&lt;0,0,D12)</f>
        <v>0</v>
      </c>
      <c r="G12" s="359">
        <f t="shared" si="2"/>
        <v>125934667</v>
      </c>
      <c r="H12" s="358">
        <f t="shared" ref="H12:I27" si="3">IF(F12&lt;=0,D12,0)</f>
        <v>0</v>
      </c>
      <c r="I12" s="358">
        <f t="shared" si="3"/>
        <v>0</v>
      </c>
    </row>
    <row r="13" spans="1:14" s="120" customFormat="1" ht="15.75" customHeight="1">
      <c r="A13" s="357" t="str">
        <f>+MAYOR!R6</f>
        <v>CAMION FAENERO ANTOFAGASTA</v>
      </c>
      <c r="B13" s="358">
        <f>+MAYOR!R228</f>
        <v>0</v>
      </c>
      <c r="C13" s="358">
        <f>+MAYOR!S228</f>
        <v>0</v>
      </c>
      <c r="D13" s="358">
        <f>IF(B13&gt;C13,B13-C13,0)</f>
        <v>0</v>
      </c>
      <c r="E13" s="358">
        <f>IF(B13&lt;C13,C13-B13,0)</f>
        <v>0</v>
      </c>
      <c r="F13" s="308">
        <f>IF(D13&lt;0,0,D13)</f>
        <v>0</v>
      </c>
      <c r="G13" s="308">
        <f>IF(E13&lt;0,0,E13)</f>
        <v>0</v>
      </c>
      <c r="H13" s="358">
        <f>IF(F13&lt;=0,D13,0)</f>
        <v>0</v>
      </c>
      <c r="I13" s="358">
        <f>IF(G13&lt;=0,E13,0)</f>
        <v>0</v>
      </c>
    </row>
    <row r="14" spans="1:14" s="120" customFormat="1" ht="15.75" customHeight="1">
      <c r="A14" s="357" t="str">
        <f>+MAYOR!L6</f>
        <v>P.P.M.</v>
      </c>
      <c r="B14" s="358">
        <f>+MAYOR!L228</f>
        <v>0</v>
      </c>
      <c r="C14" s="358">
        <f>+MAYOR!M228</f>
        <v>0</v>
      </c>
      <c r="D14" s="358">
        <f t="shared" si="0"/>
        <v>0</v>
      </c>
      <c r="E14" s="358">
        <f t="shared" si="1"/>
        <v>0</v>
      </c>
      <c r="F14" s="308">
        <f t="shared" si="2"/>
        <v>0</v>
      </c>
      <c r="G14" s="308">
        <f t="shared" si="2"/>
        <v>0</v>
      </c>
      <c r="H14" s="358">
        <f t="shared" si="3"/>
        <v>0</v>
      </c>
      <c r="I14" s="358">
        <f t="shared" si="3"/>
        <v>0</v>
      </c>
      <c r="M14" s="100"/>
      <c r="N14" s="100"/>
    </row>
    <row r="15" spans="1:14" s="120" customFormat="1" ht="15.75" customHeight="1">
      <c r="A15" s="357" t="str">
        <f>+MAYOR!N6</f>
        <v>RETIROS  DEL EJERCICIO</v>
      </c>
      <c r="B15" s="358">
        <f>+MAYOR!N228+88934667</f>
        <v>88934667</v>
      </c>
      <c r="C15" s="358">
        <f>+MAYOR!O228</f>
        <v>0</v>
      </c>
      <c r="D15" s="358">
        <f t="shared" si="0"/>
        <v>88934667</v>
      </c>
      <c r="E15" s="358">
        <f t="shared" si="1"/>
        <v>0</v>
      </c>
      <c r="F15" s="308">
        <f t="shared" si="2"/>
        <v>88934667</v>
      </c>
      <c r="G15" s="308">
        <f t="shared" si="2"/>
        <v>0</v>
      </c>
      <c r="H15" s="358">
        <f t="shared" si="3"/>
        <v>0</v>
      </c>
      <c r="I15" s="358">
        <f t="shared" si="3"/>
        <v>0</v>
      </c>
    </row>
    <row r="16" spans="1:14" s="120" customFormat="1" ht="15.75" customHeight="1">
      <c r="A16" s="357" t="str">
        <f>+MAYOR!T6</f>
        <v>CREDITO SENCE</v>
      </c>
      <c r="B16" s="358">
        <f>+MAYOR!T228+37000000</f>
        <v>37000000</v>
      </c>
      <c r="C16" s="358">
        <f>+MAYOR!U228</f>
        <v>0</v>
      </c>
      <c r="D16" s="358">
        <f t="shared" si="0"/>
        <v>37000000</v>
      </c>
      <c r="E16" s="358">
        <f t="shared" si="1"/>
        <v>0</v>
      </c>
      <c r="F16" s="308">
        <f t="shared" si="2"/>
        <v>37000000</v>
      </c>
      <c r="G16" s="308">
        <f t="shared" si="2"/>
        <v>0</v>
      </c>
      <c r="H16" s="358">
        <f t="shared" si="3"/>
        <v>0</v>
      </c>
      <c r="I16" s="358">
        <f t="shared" si="3"/>
        <v>0</v>
      </c>
      <c r="K16" s="99" t="s">
        <v>648</v>
      </c>
      <c r="N16" s="100"/>
    </row>
    <row r="17" spans="1:11" s="120" customFormat="1" ht="15.75" customHeight="1">
      <c r="A17" s="357" t="str">
        <f>+MAYOR!AU6</f>
        <v>AFP</v>
      </c>
      <c r="B17" s="358">
        <f>+MAYOR!AU228</f>
        <v>0</v>
      </c>
      <c r="C17" s="358">
        <f>+MAYOR!AV228</f>
        <v>0</v>
      </c>
      <c r="D17" s="358">
        <f t="shared" si="0"/>
        <v>0</v>
      </c>
      <c r="E17" s="358">
        <f t="shared" si="1"/>
        <v>0</v>
      </c>
      <c r="F17" s="308">
        <f t="shared" si="2"/>
        <v>0</v>
      </c>
      <c r="G17" s="637">
        <f t="shared" si="2"/>
        <v>0</v>
      </c>
      <c r="H17" s="358">
        <f t="shared" si="3"/>
        <v>0</v>
      </c>
      <c r="I17" s="358">
        <f t="shared" si="3"/>
        <v>0</v>
      </c>
      <c r="J17" s="476" t="s">
        <v>647</v>
      </c>
    </row>
    <row r="18" spans="1:11" s="120" customFormat="1" ht="15.75" customHeight="1">
      <c r="A18" s="357" t="str">
        <f>+MAYOR!AW6</f>
        <v>RETENCION DE HONORARIOS</v>
      </c>
      <c r="B18" s="358">
        <f>+MAYOR!AW228</f>
        <v>0</v>
      </c>
      <c r="C18" s="358">
        <f>+MAYOR!AX228</f>
        <v>0</v>
      </c>
      <c r="D18" s="358">
        <f t="shared" si="0"/>
        <v>0</v>
      </c>
      <c r="E18" s="358">
        <f t="shared" si="1"/>
        <v>0</v>
      </c>
      <c r="F18" s="308">
        <f>IF(D18&lt;0,0,D18)</f>
        <v>0</v>
      </c>
      <c r="G18" s="308">
        <f>IF(E18&lt;0,0,E18)</f>
        <v>0</v>
      </c>
      <c r="H18" s="358">
        <f>IF(F18&lt;=0,D18,0)</f>
        <v>0</v>
      </c>
      <c r="I18" s="358">
        <f>IF(G18&lt;=0,E18,0)</f>
        <v>0</v>
      </c>
      <c r="J18" s="476"/>
      <c r="K18" s="476"/>
    </row>
    <row r="19" spans="1:11" s="120" customFormat="1" ht="15.75" customHeight="1">
      <c r="A19" s="357" t="str">
        <f>+MAYOR!AY6</f>
        <v>P.P.M. POR PAGAR</v>
      </c>
      <c r="B19" s="358">
        <f>+MAYOR!AY228</f>
        <v>0</v>
      </c>
      <c r="C19" s="358">
        <f>+MAYOR!AZ228</f>
        <v>0</v>
      </c>
      <c r="D19" s="358">
        <f t="shared" si="0"/>
        <v>0</v>
      </c>
      <c r="E19" s="358">
        <f t="shared" si="1"/>
        <v>0</v>
      </c>
      <c r="F19" s="308">
        <f t="shared" si="2"/>
        <v>0</v>
      </c>
      <c r="G19" s="308">
        <f t="shared" si="2"/>
        <v>0</v>
      </c>
      <c r="H19" s="358">
        <f t="shared" si="3"/>
        <v>0</v>
      </c>
      <c r="I19" s="358">
        <f t="shared" si="3"/>
        <v>0</v>
      </c>
      <c r="J19" s="476"/>
      <c r="K19" s="476"/>
    </row>
    <row r="20" spans="1:11" s="120" customFormat="1" ht="15.75" customHeight="1">
      <c r="A20" s="357" t="str">
        <f>+MAYOR!J6</f>
        <v>IVA POR PAGAR</v>
      </c>
      <c r="B20" s="358">
        <f>+MAYOR!J228</f>
        <v>0</v>
      </c>
      <c r="C20" s="358">
        <f>+MAYOR!K228</f>
        <v>0</v>
      </c>
      <c r="D20" s="358">
        <f t="shared" si="0"/>
        <v>0</v>
      </c>
      <c r="E20" s="358">
        <f t="shared" si="1"/>
        <v>0</v>
      </c>
      <c r="F20" s="308">
        <f t="shared" si="2"/>
        <v>0</v>
      </c>
      <c r="G20" s="308">
        <f t="shared" si="2"/>
        <v>0</v>
      </c>
      <c r="H20" s="358">
        <f t="shared" si="3"/>
        <v>0</v>
      </c>
      <c r="I20" s="358">
        <f t="shared" si="3"/>
        <v>0</v>
      </c>
      <c r="J20" s="476"/>
      <c r="K20" s="476"/>
    </row>
    <row r="21" spans="1:11" s="120" customFormat="1" ht="15.75" customHeight="1">
      <c r="A21" s="357" t="str">
        <f>+MAYOR!BA6</f>
        <v>IMPTO UNICO</v>
      </c>
      <c r="B21" s="358">
        <f>+MAYOR!BA228</f>
        <v>0</v>
      </c>
      <c r="C21" s="358">
        <f>+MAYOR!BB228</f>
        <v>0</v>
      </c>
      <c r="D21" s="358">
        <f>IF(B21&gt;C21,B21-C21,0)</f>
        <v>0</v>
      </c>
      <c r="E21" s="358">
        <f t="shared" si="1"/>
        <v>0</v>
      </c>
      <c r="F21" s="308">
        <f t="shared" si="2"/>
        <v>0</v>
      </c>
      <c r="G21" s="308">
        <f t="shared" si="2"/>
        <v>0</v>
      </c>
      <c r="H21" s="358">
        <f t="shared" si="3"/>
        <v>0</v>
      </c>
      <c r="I21" s="358">
        <f t="shared" si="3"/>
        <v>0</v>
      </c>
      <c r="J21" s="476"/>
      <c r="K21" s="476">
        <f>+G18+G21+G23</f>
        <v>0</v>
      </c>
    </row>
    <row r="22" spans="1:11" s="120" customFormat="1" ht="15.75" customHeight="1">
      <c r="A22" s="357" t="str">
        <f>+MAYOR!BO6</f>
        <v>PROVISION DE IMPUESTOS</v>
      </c>
      <c r="B22" s="358">
        <f>+MAYOR!BO228</f>
        <v>0</v>
      </c>
      <c r="C22" s="358">
        <f>+MAYOR!BP228</f>
        <v>0</v>
      </c>
      <c r="D22" s="358">
        <f t="shared" si="0"/>
        <v>0</v>
      </c>
      <c r="E22" s="358">
        <f t="shared" si="1"/>
        <v>0</v>
      </c>
      <c r="F22" s="308">
        <f t="shared" si="2"/>
        <v>0</v>
      </c>
      <c r="G22" s="637">
        <f t="shared" si="2"/>
        <v>0</v>
      </c>
      <c r="H22" s="358">
        <f t="shared" si="3"/>
        <v>0</v>
      </c>
      <c r="I22" s="358">
        <f t="shared" si="3"/>
        <v>0</v>
      </c>
      <c r="J22" s="476"/>
      <c r="K22" s="476"/>
    </row>
    <row r="23" spans="1:11" s="120" customFormat="1" ht="15.75" customHeight="1">
      <c r="A23" s="357" t="str">
        <f>+MAYOR!BK6</f>
        <v xml:space="preserve">FINANCIAMIENTO DE TERCEROS </v>
      </c>
      <c r="B23" s="358">
        <f>+MAYOR!BK228</f>
        <v>0</v>
      </c>
      <c r="C23" s="358">
        <f>+MAYOR!BL228</f>
        <v>0</v>
      </c>
      <c r="D23" s="358">
        <f t="shared" si="0"/>
        <v>0</v>
      </c>
      <c r="E23" s="358">
        <f t="shared" si="1"/>
        <v>0</v>
      </c>
      <c r="F23" s="308">
        <f t="shared" si="2"/>
        <v>0</v>
      </c>
      <c r="G23" s="308">
        <f t="shared" si="2"/>
        <v>0</v>
      </c>
      <c r="H23" s="358">
        <f t="shared" si="3"/>
        <v>0</v>
      </c>
      <c r="I23" s="358">
        <f t="shared" si="3"/>
        <v>0</v>
      </c>
      <c r="J23" s="476"/>
      <c r="K23" s="476"/>
    </row>
    <row r="24" spans="1:11" s="120" customFormat="1" ht="15.75" customHeight="1">
      <c r="A24" s="357" t="str">
        <f>+MAYOR!CC6</f>
        <v>CAPITAL</v>
      </c>
      <c r="B24" s="358">
        <f>+MAYOR!CC228</f>
        <v>0</v>
      </c>
      <c r="C24" s="358">
        <f>+MAYOR!CD228</f>
        <v>0</v>
      </c>
      <c r="D24" s="358">
        <f t="shared" si="0"/>
        <v>0</v>
      </c>
      <c r="E24" s="358">
        <f t="shared" si="1"/>
        <v>0</v>
      </c>
      <c r="F24" s="308">
        <f t="shared" si="2"/>
        <v>0</v>
      </c>
      <c r="G24" s="308">
        <f t="shared" si="2"/>
        <v>0</v>
      </c>
      <c r="H24" s="358">
        <f t="shared" si="3"/>
        <v>0</v>
      </c>
      <c r="I24" s="358">
        <f t="shared" si="3"/>
        <v>0</v>
      </c>
      <c r="J24" s="476"/>
      <c r="K24" s="476"/>
    </row>
    <row r="25" spans="1:11" s="120" customFormat="1" ht="15.75" customHeight="1">
      <c r="A25" s="357" t="str">
        <f>+MAYOR!CE6</f>
        <v>REV. CAPITAL PROPIO</v>
      </c>
      <c r="B25" s="358">
        <f>+MAYOR!CE228</f>
        <v>0</v>
      </c>
      <c r="C25" s="358">
        <f>+MAYOR!CF228</f>
        <v>0</v>
      </c>
      <c r="D25" s="358">
        <f t="shared" si="0"/>
        <v>0</v>
      </c>
      <c r="E25" s="358">
        <f t="shared" si="1"/>
        <v>0</v>
      </c>
      <c r="F25" s="308">
        <f t="shared" si="2"/>
        <v>0</v>
      </c>
      <c r="G25" s="308">
        <f t="shared" si="2"/>
        <v>0</v>
      </c>
      <c r="H25" s="358">
        <f t="shared" si="3"/>
        <v>0</v>
      </c>
      <c r="I25" s="358">
        <f t="shared" si="3"/>
        <v>0</v>
      </c>
      <c r="J25" s="476"/>
      <c r="K25" s="476"/>
    </row>
    <row r="26" spans="1:11" s="120" customFormat="1" ht="15.75" customHeight="1">
      <c r="A26" s="357" t="str">
        <f>+MAYOR!CG6</f>
        <v>RESULTADO ACUMULADO</v>
      </c>
      <c r="B26" s="358">
        <f>+MAYOR!CG228</f>
        <v>0</v>
      </c>
      <c r="C26" s="358">
        <f>+MAYOR!CH228</f>
        <v>0</v>
      </c>
      <c r="D26" s="358">
        <f t="shared" si="0"/>
        <v>0</v>
      </c>
      <c r="E26" s="358">
        <f t="shared" si="1"/>
        <v>0</v>
      </c>
      <c r="F26" s="308">
        <f t="shared" si="2"/>
        <v>0</v>
      </c>
      <c r="G26" s="308">
        <f t="shared" si="2"/>
        <v>0</v>
      </c>
      <c r="H26" s="358">
        <f t="shared" si="3"/>
        <v>0</v>
      </c>
      <c r="I26" s="358">
        <f t="shared" si="3"/>
        <v>0</v>
      </c>
      <c r="J26" s="476"/>
      <c r="K26" s="476"/>
    </row>
    <row r="27" spans="1:11" s="120" customFormat="1" ht="15.75" customHeight="1">
      <c r="A27" s="357" t="str">
        <f>+MAYOR!CI6</f>
        <v>RESULTADO EJERCICIO ANTERIOR</v>
      </c>
      <c r="B27" s="358">
        <f>+MAYOR!CI228</f>
        <v>0</v>
      </c>
      <c r="C27" s="358">
        <f>+MAYOR!CJ228</f>
        <v>0</v>
      </c>
      <c r="D27" s="358">
        <f t="shared" si="0"/>
        <v>0</v>
      </c>
      <c r="E27" s="358">
        <f t="shared" si="1"/>
        <v>0</v>
      </c>
      <c r="F27" s="308">
        <f t="shared" si="2"/>
        <v>0</v>
      </c>
      <c r="G27" s="308">
        <f t="shared" si="2"/>
        <v>0</v>
      </c>
      <c r="H27" s="358">
        <f t="shared" si="3"/>
        <v>0</v>
      </c>
      <c r="I27" s="358">
        <f t="shared" si="3"/>
        <v>0</v>
      </c>
      <c r="J27" s="476"/>
      <c r="K27" s="476"/>
    </row>
    <row r="28" spans="1:11" s="120" customFormat="1" ht="15.75" customHeight="1">
      <c r="A28" s="357" t="str">
        <f>+MAYOR!CL6</f>
        <v xml:space="preserve">INGRESOS VENTA </v>
      </c>
      <c r="B28" s="358">
        <f>+MAYOR!CL228</f>
        <v>0</v>
      </c>
      <c r="C28" s="358">
        <f>+MAYOR!CM228</f>
        <v>0</v>
      </c>
      <c r="D28" s="358">
        <f t="shared" si="0"/>
        <v>0</v>
      </c>
      <c r="E28" s="358">
        <f t="shared" si="1"/>
        <v>0</v>
      </c>
      <c r="F28" s="308">
        <v>0</v>
      </c>
      <c r="G28" s="308">
        <v>0</v>
      </c>
      <c r="H28" s="358">
        <f t="shared" ref="H28:I40" si="4">IF(F28&lt;=0,D28,0)</f>
        <v>0</v>
      </c>
      <c r="I28" s="358">
        <f t="shared" si="4"/>
        <v>0</v>
      </c>
      <c r="J28" s="476"/>
      <c r="K28" s="476"/>
    </row>
    <row r="29" spans="1:11" s="120" customFormat="1" ht="15.75" customHeight="1">
      <c r="A29" s="357" t="str">
        <f>+MAYOR!CN6</f>
        <v>INGRESOS VTA EXENTAS</v>
      </c>
      <c r="B29" s="358">
        <f>+MAYOR!CN228</f>
        <v>0</v>
      </c>
      <c r="C29" s="358">
        <f>+MAYOR!CO228</f>
        <v>0</v>
      </c>
      <c r="D29" s="358">
        <f t="shared" si="0"/>
        <v>0</v>
      </c>
      <c r="E29" s="358">
        <f t="shared" si="1"/>
        <v>0</v>
      </c>
      <c r="F29" s="308">
        <v>0</v>
      </c>
      <c r="G29" s="308">
        <v>0</v>
      </c>
      <c r="H29" s="358">
        <f t="shared" si="4"/>
        <v>0</v>
      </c>
      <c r="I29" s="358">
        <f t="shared" si="4"/>
        <v>0</v>
      </c>
      <c r="J29" s="476"/>
      <c r="K29" s="476"/>
    </row>
    <row r="30" spans="1:11" s="120" customFormat="1" ht="15.75" customHeight="1">
      <c r="A30" s="357" t="str">
        <f>+MAYOR!CP6</f>
        <v>UTILIDAD VENTA A-FIJO</v>
      </c>
      <c r="B30" s="358">
        <f>+MAYOR!CP228</f>
        <v>0</v>
      </c>
      <c r="C30" s="358">
        <f>+MAYOR!CQ228</f>
        <v>0</v>
      </c>
      <c r="D30" s="358">
        <f t="shared" si="0"/>
        <v>0</v>
      </c>
      <c r="E30" s="358">
        <f t="shared" si="1"/>
        <v>0</v>
      </c>
      <c r="F30" s="308">
        <v>0</v>
      </c>
      <c r="G30" s="308">
        <v>0</v>
      </c>
      <c r="H30" s="358">
        <f t="shared" si="4"/>
        <v>0</v>
      </c>
      <c r="I30" s="358">
        <f t="shared" si="4"/>
        <v>0</v>
      </c>
      <c r="K30" s="476"/>
    </row>
    <row r="31" spans="1:11" s="120" customFormat="1" ht="15.75" customHeight="1">
      <c r="A31" s="357" t="str">
        <f>+MAYOR!CR6</f>
        <v>OTRAS VENTA</v>
      </c>
      <c r="B31" s="358">
        <f>+MAYOR!CR228</f>
        <v>0</v>
      </c>
      <c r="C31" s="358">
        <f>+MAYOR!CS228</f>
        <v>0</v>
      </c>
      <c r="D31" s="358">
        <f t="shared" si="0"/>
        <v>0</v>
      </c>
      <c r="E31" s="358">
        <f t="shared" si="1"/>
        <v>0</v>
      </c>
      <c r="F31" s="308">
        <v>0</v>
      </c>
      <c r="G31" s="308">
        <v>0</v>
      </c>
      <c r="H31" s="358">
        <f t="shared" si="4"/>
        <v>0</v>
      </c>
      <c r="I31" s="358">
        <f t="shared" si="4"/>
        <v>0</v>
      </c>
      <c r="K31" s="476"/>
    </row>
    <row r="32" spans="1:11" s="120" customFormat="1" ht="15.75" customHeight="1">
      <c r="A32" s="357" t="str">
        <f>+MAYOR!DA6</f>
        <v>GASTOS DE VTA</v>
      </c>
      <c r="B32" s="358">
        <f>+MAYOR!DA228</f>
        <v>0</v>
      </c>
      <c r="C32" s="358">
        <f>+MAYOR!DV227</f>
        <v>0</v>
      </c>
      <c r="D32" s="358">
        <f t="shared" si="0"/>
        <v>0</v>
      </c>
      <c r="E32" s="358">
        <f t="shared" si="1"/>
        <v>0</v>
      </c>
      <c r="F32" s="308">
        <v>0</v>
      </c>
      <c r="G32" s="308">
        <v>0</v>
      </c>
      <c r="H32" s="358">
        <f t="shared" si="4"/>
        <v>0</v>
      </c>
      <c r="I32" s="358">
        <f t="shared" si="4"/>
        <v>0</v>
      </c>
      <c r="K32" s="476"/>
    </row>
    <row r="33" spans="1:12" s="120" customFormat="1" ht="15.75" customHeight="1">
      <c r="A33" s="357" t="str">
        <f>+MAYOR!DU6</f>
        <v>SUELDOS</v>
      </c>
      <c r="B33" s="358">
        <f>+MAYOR!DU228</f>
        <v>0</v>
      </c>
      <c r="C33" s="358">
        <f>+MAYOR!DV228</f>
        <v>0</v>
      </c>
      <c r="D33" s="358">
        <f t="shared" si="0"/>
        <v>0</v>
      </c>
      <c r="E33" s="358">
        <f t="shared" si="1"/>
        <v>0</v>
      </c>
      <c r="F33" s="308">
        <v>0</v>
      </c>
      <c r="G33" s="308">
        <v>0</v>
      </c>
      <c r="H33" s="358">
        <f t="shared" si="4"/>
        <v>0</v>
      </c>
      <c r="I33" s="358">
        <f t="shared" si="4"/>
        <v>0</v>
      </c>
      <c r="K33" s="476"/>
    </row>
    <row r="34" spans="1:12" s="120" customFormat="1" ht="15.75" customHeight="1">
      <c r="A34" s="357" t="str">
        <f>+MAYOR!DY6</f>
        <v>COSTO EMPLEADOR</v>
      </c>
      <c r="B34" s="358">
        <f>+MAYOR!DY229</f>
        <v>0</v>
      </c>
      <c r="C34" s="358">
        <f>+MAYOR!DZ228</f>
        <v>0</v>
      </c>
      <c r="D34" s="358">
        <f t="shared" si="0"/>
        <v>0</v>
      </c>
      <c r="E34" s="358">
        <f t="shared" si="1"/>
        <v>0</v>
      </c>
      <c r="F34" s="308">
        <v>0</v>
      </c>
      <c r="G34" s="308">
        <v>0</v>
      </c>
      <c r="H34" s="358">
        <f t="shared" si="4"/>
        <v>0</v>
      </c>
      <c r="I34" s="358">
        <f t="shared" si="4"/>
        <v>0</v>
      </c>
      <c r="K34" s="476"/>
    </row>
    <row r="35" spans="1:12" s="120" customFormat="1" ht="15.75" customHeight="1">
      <c r="A35" s="357" t="str">
        <f>+MAYOR!EC6</f>
        <v>COSTO DE VENTA</v>
      </c>
      <c r="B35" s="358">
        <f>+MAYOR!EC228</f>
        <v>0</v>
      </c>
      <c r="C35" s="358">
        <f>+MAYOR!ED228</f>
        <v>0</v>
      </c>
      <c r="D35" s="358">
        <f t="shared" si="0"/>
        <v>0</v>
      </c>
      <c r="E35" s="358">
        <f t="shared" si="1"/>
        <v>0</v>
      </c>
      <c r="F35" s="308">
        <v>0</v>
      </c>
      <c r="G35" s="308">
        <v>0</v>
      </c>
      <c r="H35" s="633">
        <f>IF(F35&lt;=0,D35,0)</f>
        <v>0</v>
      </c>
      <c r="I35" s="358">
        <f t="shared" si="4"/>
        <v>0</v>
      </c>
      <c r="K35" s="476"/>
    </row>
    <row r="36" spans="1:12" s="120" customFormat="1" ht="15.75" customHeight="1">
      <c r="A36" s="357" t="str">
        <f>+MAYOR!DC6</f>
        <v>CAPACITACION</v>
      </c>
      <c r="B36" s="358">
        <f>+MAYOR!DC228</f>
        <v>0</v>
      </c>
      <c r="C36" s="358">
        <f>+MAYOR!DD228</f>
        <v>0</v>
      </c>
      <c r="D36" s="358">
        <f t="shared" si="0"/>
        <v>0</v>
      </c>
      <c r="E36" s="358">
        <f t="shared" si="1"/>
        <v>0</v>
      </c>
      <c r="F36" s="308">
        <v>0</v>
      </c>
      <c r="G36" s="308">
        <v>0</v>
      </c>
      <c r="H36" s="358">
        <f>IF(F36&lt;=0,D36,0)</f>
        <v>0</v>
      </c>
      <c r="I36" s="358">
        <f t="shared" si="4"/>
        <v>0</v>
      </c>
      <c r="K36" s="476"/>
    </row>
    <row r="37" spans="1:12" s="120" customFormat="1" ht="15.75" customHeight="1">
      <c r="A37" s="357" t="str">
        <f>+MAYOR!EA6</f>
        <v>INTERESES FOGAPE</v>
      </c>
      <c r="B37" s="358">
        <f>+MAYOR!EA228</f>
        <v>0</v>
      </c>
      <c r="C37" s="358">
        <f>+MAYOR!EB228</f>
        <v>0</v>
      </c>
      <c r="D37" s="358">
        <f t="shared" si="0"/>
        <v>0</v>
      </c>
      <c r="E37" s="358">
        <f t="shared" si="1"/>
        <v>0</v>
      </c>
      <c r="F37" s="308">
        <v>0</v>
      </c>
      <c r="G37" s="308">
        <v>0</v>
      </c>
      <c r="H37" s="358">
        <f>IF(F37&lt;=0,D37,0)</f>
        <v>0</v>
      </c>
      <c r="I37" s="358">
        <f t="shared" si="4"/>
        <v>0</v>
      </c>
      <c r="K37" s="476"/>
    </row>
    <row r="38" spans="1:12" s="120" customFormat="1" ht="15.75" customHeight="1">
      <c r="A38" s="357" t="str">
        <f>+MAYOR!CW6</f>
        <v>GASTOS TRANSPORTE</v>
      </c>
      <c r="B38" s="358">
        <f>+MAYOR!CW228</f>
        <v>0</v>
      </c>
      <c r="C38" s="358">
        <f>+MAYOR!CX228</f>
        <v>0</v>
      </c>
      <c r="D38" s="358">
        <f t="shared" si="0"/>
        <v>0</v>
      </c>
      <c r="E38" s="358">
        <f t="shared" si="1"/>
        <v>0</v>
      </c>
      <c r="F38" s="308">
        <v>0</v>
      </c>
      <c r="G38" s="308">
        <v>0</v>
      </c>
      <c r="H38" s="633">
        <f t="shared" si="4"/>
        <v>0</v>
      </c>
      <c r="I38" s="358">
        <f t="shared" si="4"/>
        <v>0</v>
      </c>
      <c r="K38" s="476"/>
    </row>
    <row r="39" spans="1:12" s="120" customFormat="1" ht="15.75" customHeight="1">
      <c r="A39" s="357" t="str">
        <f>+MAYOR!CY6</f>
        <v>AMORTIZ. PROY. INVESTIGACION MINERA</v>
      </c>
      <c r="B39" s="358">
        <f>+MAYOR!CY228</f>
        <v>0</v>
      </c>
      <c r="C39" s="358">
        <f>+MAYOR!CZ228</f>
        <v>0</v>
      </c>
      <c r="D39" s="358">
        <f t="shared" si="0"/>
        <v>0</v>
      </c>
      <c r="E39" s="358">
        <f t="shared" si="1"/>
        <v>0</v>
      </c>
      <c r="F39" s="308">
        <v>0</v>
      </c>
      <c r="G39" s="308">
        <v>0</v>
      </c>
      <c r="H39" s="358">
        <f t="shared" si="4"/>
        <v>0</v>
      </c>
      <c r="I39" s="358">
        <f t="shared" si="4"/>
        <v>0</v>
      </c>
      <c r="J39" s="99" t="s">
        <v>642</v>
      </c>
      <c r="K39" s="476"/>
      <c r="L39" s="99">
        <f>+F47</f>
        <v>125934667</v>
      </c>
    </row>
    <row r="40" spans="1:12" s="120" customFormat="1" ht="15.75" customHeight="1">
      <c r="A40" s="357" t="str">
        <f>+MAYOR!EG6</f>
        <v>GASTOS GENERALES</v>
      </c>
      <c r="B40" s="358">
        <f>+MAYOR!EG228</f>
        <v>0</v>
      </c>
      <c r="C40" s="358">
        <f>+MAYOR!EH228</f>
        <v>0</v>
      </c>
      <c r="D40" s="358">
        <f t="shared" si="0"/>
        <v>0</v>
      </c>
      <c r="E40" s="358">
        <f t="shared" si="1"/>
        <v>0</v>
      </c>
      <c r="F40" s="308">
        <v>0</v>
      </c>
      <c r="G40" s="308">
        <v>0</v>
      </c>
      <c r="H40" s="633">
        <f t="shared" si="4"/>
        <v>0</v>
      </c>
      <c r="I40" s="358">
        <f t="shared" si="4"/>
        <v>0</v>
      </c>
      <c r="J40" s="99" t="s">
        <v>643</v>
      </c>
      <c r="K40" s="476"/>
      <c r="L40" s="99">
        <f>-F15</f>
        <v>-88934667</v>
      </c>
    </row>
    <row r="41" spans="1:12" s="120" customFormat="1" ht="15.75" customHeight="1">
      <c r="A41" s="357" t="str">
        <f>+MAYOR!DW6</f>
        <v>ARRIENDO Taller y Oficina</v>
      </c>
      <c r="B41" s="358">
        <f>+MAYOR!DW228</f>
        <v>0</v>
      </c>
      <c r="C41" s="358">
        <f>+MAYOR!DX228</f>
        <v>0</v>
      </c>
      <c r="D41" s="358">
        <f>IF(B41&gt;C41,B41-C41,0)</f>
        <v>0</v>
      </c>
      <c r="E41" s="358">
        <f>IF(B41&lt;C41,C41-B41,0)</f>
        <v>0</v>
      </c>
      <c r="F41" s="308">
        <v>0</v>
      </c>
      <c r="G41" s="308">
        <v>0</v>
      </c>
      <c r="H41" s="633">
        <f>IF(F41&lt;=0,D41,0)</f>
        <v>0</v>
      </c>
      <c r="I41" s="358">
        <f>IF(G41&lt;=0,E41,0)</f>
        <v>0</v>
      </c>
      <c r="J41" s="99" t="s">
        <v>644</v>
      </c>
      <c r="K41" s="476"/>
      <c r="L41" s="99">
        <f>SUM(L39:L40)</f>
        <v>37000000</v>
      </c>
    </row>
    <row r="42" spans="1:12" s="120" customFormat="1" ht="15.75" customHeight="1">
      <c r="A42" s="357" t="str">
        <f>+MAYOR!DS6</f>
        <v>HONORARIOS Y SERVICIOS PROFESIONALES</v>
      </c>
      <c r="B42" s="358">
        <f>+MAYOR!DS228</f>
        <v>0</v>
      </c>
      <c r="C42" s="358">
        <f>+MAYOR!DT228</f>
        <v>0</v>
      </c>
      <c r="D42" s="358">
        <f t="shared" si="0"/>
        <v>0</v>
      </c>
      <c r="E42" s="358">
        <f t="shared" si="1"/>
        <v>0</v>
      </c>
      <c r="F42" s="308">
        <v>0</v>
      </c>
      <c r="G42" s="308">
        <v>0</v>
      </c>
      <c r="H42" s="638">
        <f t="shared" ref="H42:I45" si="5">IF(F42&lt;=0,D42,0)</f>
        <v>0</v>
      </c>
      <c r="I42" s="358">
        <f t="shared" si="5"/>
        <v>0</v>
      </c>
      <c r="J42" s="99" t="s">
        <v>645</v>
      </c>
      <c r="K42" s="476"/>
      <c r="L42" s="99">
        <f>-G17-G18-G19-G21-G23</f>
        <v>0</v>
      </c>
    </row>
    <row r="43" spans="1:12" s="120" customFormat="1" ht="15.75" customHeight="1">
      <c r="A43" s="357" t="str">
        <f>+MAYOR!EI6</f>
        <v>DEPRECIACION DEL EJERCICIO</v>
      </c>
      <c r="B43" s="358">
        <f>+MAYOR!EI228</f>
        <v>0</v>
      </c>
      <c r="C43" s="358">
        <f>+MAYOR!EJ228</f>
        <v>0</v>
      </c>
      <c r="D43" s="358">
        <f t="shared" si="0"/>
        <v>0</v>
      </c>
      <c r="E43" s="358">
        <f t="shared" si="1"/>
        <v>0</v>
      </c>
      <c r="F43" s="308">
        <v>0</v>
      </c>
      <c r="G43" s="308">
        <v>0</v>
      </c>
      <c r="H43" s="635">
        <f t="shared" si="5"/>
        <v>0</v>
      </c>
      <c r="I43" s="358">
        <f t="shared" si="5"/>
        <v>0</v>
      </c>
      <c r="J43" s="99" t="s">
        <v>646</v>
      </c>
      <c r="K43" s="476"/>
      <c r="L43" s="99">
        <f>SUM(L41:L42)</f>
        <v>37000000</v>
      </c>
    </row>
    <row r="44" spans="1:12" s="120" customFormat="1" ht="15.75" customHeight="1">
      <c r="A44" s="357" t="str">
        <f>+MAYOR!EK6</f>
        <v>CORRECCION MONETARIA</v>
      </c>
      <c r="B44" s="358">
        <f>+MAYOR!EK228</f>
        <v>0</v>
      </c>
      <c r="C44" s="358">
        <f>+MAYOR!EL228</f>
        <v>0</v>
      </c>
      <c r="D44" s="358">
        <f t="shared" si="0"/>
        <v>0</v>
      </c>
      <c r="E44" s="358">
        <f t="shared" si="1"/>
        <v>0</v>
      </c>
      <c r="F44" s="308">
        <v>0</v>
      </c>
      <c r="G44" s="308">
        <v>0</v>
      </c>
      <c r="H44" s="636">
        <f t="shared" si="5"/>
        <v>0</v>
      </c>
      <c r="I44" s="358">
        <f t="shared" si="5"/>
        <v>0</v>
      </c>
      <c r="J44" s="99"/>
      <c r="K44" s="476"/>
      <c r="L44" s="99"/>
    </row>
    <row r="45" spans="1:12" s="120" customFormat="1" ht="15.75" customHeight="1">
      <c r="A45" s="357" t="str">
        <f>+MAYOR!EE6</f>
        <v>IMPUESTO RENTA</v>
      </c>
      <c r="B45" s="358">
        <f>+MAYOR!EE228</f>
        <v>0</v>
      </c>
      <c r="C45" s="358">
        <f>+MAYOR!EF228</f>
        <v>0</v>
      </c>
      <c r="D45" s="358">
        <f t="shared" si="0"/>
        <v>0</v>
      </c>
      <c r="E45" s="358">
        <f t="shared" si="1"/>
        <v>0</v>
      </c>
      <c r="F45" s="308">
        <v>0</v>
      </c>
      <c r="G45" s="308">
        <v>0</v>
      </c>
      <c r="H45" s="634">
        <f>IF(F45&lt;=0,D45,0)</f>
        <v>0</v>
      </c>
      <c r="I45" s="358">
        <f t="shared" si="5"/>
        <v>0</v>
      </c>
      <c r="J45" s="99"/>
      <c r="K45" s="476"/>
      <c r="L45" s="99"/>
    </row>
    <row r="46" spans="1:12" s="120" customFormat="1" ht="15.75" customHeight="1">
      <c r="A46" s="489"/>
      <c r="B46" s="490"/>
      <c r="C46" s="118"/>
      <c r="D46" s="490"/>
      <c r="E46" s="490"/>
      <c r="F46" s="491"/>
      <c r="G46" s="489"/>
      <c r="H46" s="490"/>
      <c r="I46" s="490"/>
      <c r="J46" s="99"/>
      <c r="K46" s="476"/>
      <c r="L46" s="99"/>
    </row>
    <row r="47" spans="1:12" s="120" customFormat="1" ht="15.75" customHeight="1">
      <c r="A47" s="198" t="s">
        <v>24</v>
      </c>
      <c r="B47" s="195">
        <f t="shared" ref="B47:I47" si="6">SUM(B12:B46)</f>
        <v>125934667</v>
      </c>
      <c r="C47" s="195">
        <f t="shared" si="6"/>
        <v>125934667</v>
      </c>
      <c r="D47" s="195">
        <f t="shared" si="6"/>
        <v>125934667</v>
      </c>
      <c r="E47" s="195">
        <f t="shared" si="6"/>
        <v>125934667</v>
      </c>
      <c r="F47" s="195">
        <f t="shared" si="6"/>
        <v>125934667</v>
      </c>
      <c r="G47" s="195">
        <f t="shared" si="6"/>
        <v>125934667</v>
      </c>
      <c r="H47" s="195">
        <f t="shared" si="6"/>
        <v>0</v>
      </c>
      <c r="I47" s="195">
        <f t="shared" si="6"/>
        <v>0</v>
      </c>
      <c r="J47" s="99"/>
      <c r="K47" s="476"/>
      <c r="L47" s="99"/>
    </row>
    <row r="48" spans="1:12" s="120" customFormat="1" ht="15.75" customHeight="1">
      <c r="A48" s="198" t="s">
        <v>25</v>
      </c>
      <c r="B48" s="195">
        <v>0</v>
      </c>
      <c r="C48" s="196">
        <v>0</v>
      </c>
      <c r="D48" s="196">
        <v>0</v>
      </c>
      <c r="E48" s="196">
        <v>0</v>
      </c>
      <c r="F48" s="196">
        <v>0</v>
      </c>
      <c r="G48" s="196">
        <f>+F47-G47</f>
        <v>0</v>
      </c>
      <c r="H48" s="196">
        <f>+I47-H47</f>
        <v>0</v>
      </c>
      <c r="I48" s="196">
        <v>0</v>
      </c>
      <c r="J48" s="99"/>
      <c r="K48" s="476"/>
      <c r="L48" s="99"/>
    </row>
    <row r="49" spans="1:14" s="120" customFormat="1" ht="15.75" customHeight="1">
      <c r="A49" s="199" t="s">
        <v>26</v>
      </c>
      <c r="B49" s="197">
        <f>+B47+B48</f>
        <v>125934667</v>
      </c>
      <c r="C49" s="197">
        <f t="shared" ref="C49:I49" si="7">+C47+C48</f>
        <v>125934667</v>
      </c>
      <c r="D49" s="197">
        <f t="shared" si="7"/>
        <v>125934667</v>
      </c>
      <c r="E49" s="197">
        <f t="shared" si="7"/>
        <v>125934667</v>
      </c>
      <c r="F49" s="197">
        <f t="shared" si="7"/>
        <v>125934667</v>
      </c>
      <c r="G49" s="197">
        <f t="shared" si="7"/>
        <v>125934667</v>
      </c>
      <c r="H49" s="197">
        <f t="shared" si="7"/>
        <v>0</v>
      </c>
      <c r="I49" s="197">
        <f t="shared" si="7"/>
        <v>0</v>
      </c>
      <c r="J49" s="99"/>
      <c r="K49" s="476"/>
      <c r="L49" s="99"/>
    </row>
    <row r="50" spans="1:14" s="120" customFormat="1" ht="15.75" customHeight="1">
      <c r="A50" s="118"/>
      <c r="B50" s="118"/>
      <c r="C50" s="118"/>
      <c r="D50" s="118"/>
      <c r="E50" s="118"/>
      <c r="F50" s="118"/>
      <c r="G50" s="118">
        <f>+G48-H48</f>
        <v>0</v>
      </c>
      <c r="H50" s="118"/>
      <c r="I50" s="118"/>
    </row>
    <row r="51" spans="1:14" s="120" customFormat="1" ht="15.75" customHeight="1">
      <c r="A51" s="118"/>
      <c r="B51" s="118">
        <f>SUM(B12:B46)</f>
        <v>125934667</v>
      </c>
      <c r="C51" s="118">
        <f>SUM(C12:C46)</f>
        <v>125934667</v>
      </c>
      <c r="D51" s="118"/>
      <c r="E51" s="118"/>
      <c r="F51" s="118" t="s">
        <v>325</v>
      </c>
      <c r="G51" s="118">
        <f>+G48+H45</f>
        <v>0</v>
      </c>
      <c r="H51" s="118">
        <f>+G48-H48</f>
        <v>0</v>
      </c>
      <c r="I51" s="118"/>
    </row>
    <row r="52" spans="1:14" s="120" customFormat="1" ht="15.75" customHeight="1">
      <c r="A52" s="118"/>
      <c r="B52" s="118"/>
      <c r="C52" s="118">
        <f>+C51-B51</f>
        <v>0</v>
      </c>
      <c r="D52" s="118"/>
      <c r="E52" s="118"/>
      <c r="F52" s="118" t="s">
        <v>324</v>
      </c>
      <c r="G52" s="118">
        <f>+G51*0.25</f>
        <v>0</v>
      </c>
      <c r="H52" s="118">
        <f>+G52/2</f>
        <v>0</v>
      </c>
      <c r="I52" s="118">
        <f>+I51*0.21</f>
        <v>0</v>
      </c>
    </row>
    <row r="53" spans="1:14" ht="15.75" customHeight="1">
      <c r="A53" s="118"/>
      <c r="B53" s="118"/>
      <c r="C53" s="118"/>
      <c r="E53" s="118"/>
      <c r="F53" s="118" t="s">
        <v>326</v>
      </c>
      <c r="G53" s="118">
        <v>0</v>
      </c>
      <c r="H53" s="118"/>
      <c r="I53" s="118"/>
    </row>
    <row r="54" spans="1:14" ht="15.75" customHeight="1">
      <c r="A54" s="118"/>
      <c r="B54" s="118"/>
      <c r="C54" s="118"/>
      <c r="E54" s="118"/>
      <c r="F54" s="118" t="s">
        <v>327</v>
      </c>
      <c r="G54" s="118">
        <f>+F14-578500</f>
        <v>-578500</v>
      </c>
      <c r="H54" s="118"/>
      <c r="I54" s="118"/>
    </row>
    <row r="55" spans="1:14" ht="15.75" customHeight="1" thickBot="1">
      <c r="G55" s="766">
        <f>+G52-G53-G54-1</f>
        <v>578499</v>
      </c>
      <c r="I55" s="99">
        <f>+G55-I52</f>
        <v>578499</v>
      </c>
    </row>
    <row r="56" spans="1:14" ht="15.75" customHeight="1" thickTop="1">
      <c r="B56" s="260" t="s">
        <v>240</v>
      </c>
      <c r="C56" s="260"/>
      <c r="D56" s="257"/>
      <c r="G56" s="260" t="s">
        <v>430</v>
      </c>
      <c r="H56" s="47"/>
    </row>
    <row r="57" spans="1:14" s="96" customFormat="1" ht="15">
      <c r="B57" s="260" t="s">
        <v>236</v>
      </c>
      <c r="C57" s="260"/>
      <c r="D57" s="257"/>
      <c r="F57" s="99"/>
      <c r="G57" s="47" t="str">
        <f>+DATOS!H4</f>
        <v>MANUEL GUTIERREZ A. RUT: 10,150,081-0</v>
      </c>
      <c r="H57" s="47"/>
      <c r="J57" s="99"/>
      <c r="L57" s="99"/>
      <c r="N57" s="99"/>
    </row>
    <row r="58" spans="1:14" s="96" customFormat="1" ht="15">
      <c r="B58" s="260" t="s">
        <v>237</v>
      </c>
      <c r="C58" s="260"/>
      <c r="D58" s="257"/>
      <c r="F58" s="99">
        <v>1130805</v>
      </c>
      <c r="G58" s="260" t="s">
        <v>429</v>
      </c>
      <c r="H58" s="47"/>
      <c r="J58" s="99"/>
      <c r="L58" s="99"/>
      <c r="N58" s="99"/>
    </row>
    <row r="59" spans="1:14" s="96" customFormat="1" ht="15">
      <c r="B59" s="261" t="s">
        <v>568</v>
      </c>
      <c r="C59" s="260"/>
      <c r="D59" s="257"/>
      <c r="F59" s="99">
        <f>+F58-F12</f>
        <v>1130805</v>
      </c>
      <c r="G59" s="47"/>
      <c r="H59" s="47"/>
      <c r="J59" s="99"/>
      <c r="L59" s="99"/>
      <c r="M59" s="99"/>
      <c r="N59" s="99"/>
    </row>
    <row r="145" spans="1:3" ht="15.75" customHeight="1">
      <c r="A145" s="99" t="s">
        <v>111</v>
      </c>
      <c r="B145" s="99">
        <v>1199231588</v>
      </c>
      <c r="C145" s="99">
        <v>1519951732</v>
      </c>
    </row>
    <row r="146" spans="1:3" ht="15.75" customHeight="1">
      <c r="A146" s="99" t="s">
        <v>196</v>
      </c>
      <c r="B146" s="99">
        <v>1210221540</v>
      </c>
      <c r="C146" s="99">
        <v>584567899</v>
      </c>
    </row>
    <row r="147" spans="1:3" ht="15.75" customHeight="1">
      <c r="A147" s="99" t="s">
        <v>160</v>
      </c>
      <c r="B147" s="99">
        <v>251071768</v>
      </c>
      <c r="C147" s="99">
        <v>257310286</v>
      </c>
    </row>
    <row r="148" spans="1:3" ht="15.75" customHeight="1">
      <c r="A148" s="99" t="s">
        <v>142</v>
      </c>
      <c r="B148" s="99">
        <v>12249613</v>
      </c>
      <c r="C148" s="99">
        <v>2542340</v>
      </c>
    </row>
    <row r="149" spans="1:3" ht="15.75" customHeight="1">
      <c r="A149" s="99" t="s">
        <v>221</v>
      </c>
      <c r="B149" s="99">
        <v>6657464</v>
      </c>
      <c r="C149" s="99">
        <v>6657464</v>
      </c>
    </row>
    <row r="150" spans="1:3" ht="15.75" customHeight="1">
      <c r="A150" s="99" t="s">
        <v>197</v>
      </c>
      <c r="B150" s="99">
        <v>0</v>
      </c>
      <c r="C150" s="99">
        <v>0</v>
      </c>
    </row>
    <row r="151" spans="1:3" ht="15.75" customHeight="1">
      <c r="A151" s="99" t="s">
        <v>234</v>
      </c>
      <c r="B151" s="99">
        <v>3789600</v>
      </c>
      <c r="C151" s="99">
        <v>0</v>
      </c>
    </row>
    <row r="152" spans="1:3" ht="15.75" customHeight="1">
      <c r="A152" s="99" t="s">
        <v>198</v>
      </c>
      <c r="B152" s="99">
        <v>0</v>
      </c>
      <c r="C152" s="99">
        <v>0</v>
      </c>
    </row>
    <row r="153" spans="1:3" ht="15.75" customHeight="1">
      <c r="A153" s="99" t="s">
        <v>199</v>
      </c>
      <c r="B153" s="99">
        <v>241876346</v>
      </c>
      <c r="C153" s="99">
        <v>0</v>
      </c>
    </row>
    <row r="154" spans="1:3" ht="15.75" customHeight="1">
      <c r="A154" s="99" t="s">
        <v>226</v>
      </c>
      <c r="B154" s="99">
        <v>80375935</v>
      </c>
      <c r="C154" s="99">
        <v>0</v>
      </c>
    </row>
    <row r="155" spans="1:3" ht="15.75" customHeight="1">
      <c r="A155" s="99" t="s">
        <v>161</v>
      </c>
      <c r="B155" s="99">
        <v>0</v>
      </c>
      <c r="C155" s="99">
        <v>0</v>
      </c>
    </row>
    <row r="156" spans="1:3" ht="15.75" customHeight="1">
      <c r="A156" s="99" t="s">
        <v>253</v>
      </c>
      <c r="B156" s="99">
        <v>49133855</v>
      </c>
      <c r="C156" s="99">
        <v>814083</v>
      </c>
    </row>
    <row r="157" spans="1:3" ht="15.75" customHeight="1">
      <c r="A157" s="99" t="s">
        <v>255</v>
      </c>
      <c r="B157" s="99">
        <v>35697471</v>
      </c>
      <c r="C157" s="99">
        <v>0</v>
      </c>
    </row>
    <row r="158" spans="1:3" ht="15.75" customHeight="1">
      <c r="A158" s="99" t="s">
        <v>198</v>
      </c>
      <c r="B158" s="99">
        <v>0</v>
      </c>
      <c r="C158" s="99">
        <v>0</v>
      </c>
    </row>
    <row r="159" spans="1:3" ht="15.75" customHeight="1">
      <c r="A159" s="99" t="s">
        <v>225</v>
      </c>
      <c r="B159" s="99">
        <v>0</v>
      </c>
      <c r="C159" s="99">
        <v>0</v>
      </c>
    </row>
    <row r="160" spans="1:3" ht="15.75" customHeight="1">
      <c r="A160" s="99">
        <v>0</v>
      </c>
      <c r="B160" s="99">
        <v>0</v>
      </c>
      <c r="C160" s="99">
        <v>0</v>
      </c>
    </row>
    <row r="161" spans="1:3" ht="15.75" customHeight="1">
      <c r="A161" s="99">
        <v>0</v>
      </c>
      <c r="B161" s="99">
        <v>0</v>
      </c>
      <c r="C161" s="99">
        <v>0</v>
      </c>
    </row>
    <row r="162" spans="1:3" ht="15.75" customHeight="1">
      <c r="A162" s="99" t="s">
        <v>201</v>
      </c>
      <c r="B162" s="99">
        <v>0</v>
      </c>
      <c r="C162" s="99">
        <v>0</v>
      </c>
    </row>
    <row r="163" spans="1:3" ht="15.75" customHeight="1">
      <c r="A163" s="99" t="s">
        <v>164</v>
      </c>
      <c r="B163" s="99">
        <v>1306278</v>
      </c>
      <c r="C163" s="99">
        <v>1376582</v>
      </c>
    </row>
    <row r="164" spans="1:3" ht="15.75" customHeight="1">
      <c r="A164" s="99" t="s">
        <v>200</v>
      </c>
      <c r="B164" s="99">
        <v>0</v>
      </c>
      <c r="C164" s="99">
        <v>0</v>
      </c>
    </row>
    <row r="165" spans="1:3" ht="15.75" customHeight="1">
      <c r="A165" s="99" t="s">
        <v>145</v>
      </c>
      <c r="B165" s="99">
        <v>255937</v>
      </c>
      <c r="C165" s="99">
        <v>255937</v>
      </c>
    </row>
    <row r="166" spans="1:3" ht="15.75" customHeight="1">
      <c r="A166" s="99" t="s">
        <v>222</v>
      </c>
      <c r="B166" s="99">
        <v>0</v>
      </c>
      <c r="C166" s="99">
        <v>3890567</v>
      </c>
    </row>
    <row r="167" spans="1:3" ht="15.75" customHeight="1">
      <c r="A167" s="99" t="s">
        <v>230</v>
      </c>
      <c r="B167" s="99">
        <v>814083</v>
      </c>
      <c r="C167" s="99">
        <v>32246919</v>
      </c>
    </row>
    <row r="168" spans="1:3" ht="15.75" customHeight="1">
      <c r="A168" s="99" t="s">
        <v>254</v>
      </c>
      <c r="B168" s="99">
        <v>27079344</v>
      </c>
      <c r="C168" s="99">
        <v>121857048</v>
      </c>
    </row>
    <row r="169" spans="1:3" ht="15.75" customHeight="1">
      <c r="A169" s="99" t="s">
        <v>256</v>
      </c>
      <c r="B169" s="99">
        <v>2279389</v>
      </c>
      <c r="C169" s="99">
        <v>41029256</v>
      </c>
    </row>
    <row r="170" spans="1:3" ht="15.75" customHeight="1">
      <c r="A170" s="99" t="s">
        <v>257</v>
      </c>
      <c r="B170" s="99">
        <v>6250270</v>
      </c>
      <c r="C170" s="99">
        <v>75000505</v>
      </c>
    </row>
    <row r="171" spans="1:3" ht="15.75" customHeight="1">
      <c r="A171" s="99" t="s">
        <v>246</v>
      </c>
      <c r="B171" s="99">
        <v>551001</v>
      </c>
      <c r="C171" s="99">
        <v>606389</v>
      </c>
    </row>
    <row r="172" spans="1:3" ht="15.75" customHeight="1">
      <c r="A172" s="99" t="s">
        <v>159</v>
      </c>
      <c r="B172" s="99">
        <v>0</v>
      </c>
      <c r="C172" s="99">
        <v>0</v>
      </c>
    </row>
    <row r="173" spans="1:3" ht="15.75" customHeight="1">
      <c r="A173" s="99" t="s">
        <v>223</v>
      </c>
      <c r="B173" s="99">
        <v>0</v>
      </c>
      <c r="C173" s="99">
        <v>2785708</v>
      </c>
    </row>
    <row r="174" spans="1:3" ht="15.75" customHeight="1">
      <c r="A174" s="99" t="s">
        <v>227</v>
      </c>
      <c r="B174" s="99">
        <v>0</v>
      </c>
      <c r="C174" s="99">
        <v>9374788</v>
      </c>
    </row>
    <row r="175" spans="1:3" ht="15.75" customHeight="1">
      <c r="A175" s="99" t="s">
        <v>251</v>
      </c>
      <c r="B175" s="99">
        <v>0</v>
      </c>
      <c r="C175" s="99">
        <v>6317820</v>
      </c>
    </row>
    <row r="176" spans="1:3" ht="15.75" customHeight="1">
      <c r="A176" s="99" t="s">
        <v>252</v>
      </c>
      <c r="B176" s="99">
        <v>0</v>
      </c>
      <c r="C176" s="99">
        <v>88007868</v>
      </c>
    </row>
    <row r="177" spans="1:3" ht="15.75" customHeight="1">
      <c r="A177" s="99" t="s">
        <v>53</v>
      </c>
      <c r="B177" s="99">
        <v>0</v>
      </c>
      <c r="C177" s="99">
        <v>20000000</v>
      </c>
    </row>
    <row r="178" spans="1:3" ht="15.75" customHeight="1">
      <c r="A178" s="99" t="s">
        <v>143</v>
      </c>
      <c r="B178" s="99">
        <v>0</v>
      </c>
      <c r="C178" s="99">
        <v>500000</v>
      </c>
    </row>
    <row r="179" spans="1:3" ht="15.75" customHeight="1">
      <c r="A179" s="99" t="s">
        <v>66</v>
      </c>
      <c r="B179" s="99">
        <v>0</v>
      </c>
      <c r="C179" s="99">
        <v>0</v>
      </c>
    </row>
    <row r="180" spans="1:3" ht="15.75" customHeight="1">
      <c r="A180" s="99" t="s">
        <v>194</v>
      </c>
      <c r="B180" s="99">
        <v>10000000</v>
      </c>
      <c r="C180" s="99">
        <v>62003027</v>
      </c>
    </row>
    <row r="181" spans="1:3" ht="15.75" customHeight="1">
      <c r="A181" s="99" t="s">
        <v>180</v>
      </c>
      <c r="B181" s="99">
        <v>0</v>
      </c>
      <c r="C181" s="99">
        <v>1354264665</v>
      </c>
    </row>
    <row r="182" spans="1:3" ht="15.75" customHeight="1">
      <c r="A182" s="99" t="s">
        <v>182</v>
      </c>
      <c r="B182" s="99">
        <v>0</v>
      </c>
      <c r="C182" s="99">
        <v>0</v>
      </c>
    </row>
    <row r="183" spans="1:3" ht="15.75" customHeight="1">
      <c r="A183" s="99" t="s">
        <v>181</v>
      </c>
      <c r="B183" s="99">
        <v>0</v>
      </c>
      <c r="C183" s="99">
        <v>0</v>
      </c>
    </row>
    <row r="184" spans="1:3" ht="15.75" customHeight="1">
      <c r="A184" s="99" t="s">
        <v>183</v>
      </c>
      <c r="B184" s="99">
        <v>0</v>
      </c>
      <c r="C184" s="99">
        <v>0</v>
      </c>
    </row>
    <row r="185" spans="1:3" ht="15.75" customHeight="1">
      <c r="A185" s="99" t="s">
        <v>177</v>
      </c>
      <c r="B185" s="99">
        <v>606389</v>
      </c>
      <c r="C185" s="99">
        <v>0</v>
      </c>
    </row>
    <row r="186" spans="1:3" ht="15.75" customHeight="1">
      <c r="A186" s="99" t="s">
        <v>229</v>
      </c>
      <c r="B186" s="99">
        <v>0</v>
      </c>
    </row>
    <row r="187" spans="1:3" ht="15.75" customHeight="1">
      <c r="A187" s="99" t="s">
        <v>178</v>
      </c>
      <c r="B187" s="99">
        <v>684941638</v>
      </c>
    </row>
    <row r="188" spans="1:3" ht="15.75" customHeight="1">
      <c r="A188" s="99">
        <v>0</v>
      </c>
      <c r="B188" s="99">
        <v>0</v>
      </c>
      <c r="C188" s="99">
        <v>0</v>
      </c>
    </row>
    <row r="189" spans="1:3" ht="15.75" customHeight="1">
      <c r="A189" s="99" t="s">
        <v>232</v>
      </c>
      <c r="B189" s="99">
        <v>0</v>
      </c>
      <c r="C189" s="99">
        <v>0</v>
      </c>
    </row>
    <row r="190" spans="1:3" ht="15.75" customHeight="1">
      <c r="A190" s="99" t="s">
        <v>233</v>
      </c>
      <c r="B190" s="99">
        <v>0</v>
      </c>
      <c r="C190" s="99">
        <v>0</v>
      </c>
    </row>
    <row r="191" spans="1:3" ht="15.75" customHeight="1">
      <c r="A191" s="99">
        <v>0</v>
      </c>
      <c r="B191" s="99">
        <v>0</v>
      </c>
      <c r="C191" s="99">
        <v>0</v>
      </c>
    </row>
    <row r="192" spans="1:3" ht="15.75" customHeight="1">
      <c r="A192" s="99">
        <v>0</v>
      </c>
      <c r="B192" s="99">
        <v>0</v>
      </c>
      <c r="C192" s="99">
        <v>0</v>
      </c>
    </row>
    <row r="193" spans="1:3" ht="15.75" customHeight="1">
      <c r="A193" s="99">
        <v>0</v>
      </c>
      <c r="B193" s="99">
        <v>0</v>
      </c>
      <c r="C193" s="99">
        <v>0</v>
      </c>
    </row>
    <row r="194" spans="1:3" ht="15.75" customHeight="1">
      <c r="A194" s="99">
        <v>0</v>
      </c>
      <c r="B194" s="99">
        <v>0</v>
      </c>
      <c r="C194" s="99">
        <v>0</v>
      </c>
    </row>
    <row r="195" spans="1:3" ht="15.75" customHeight="1">
      <c r="A195" s="99">
        <v>0</v>
      </c>
      <c r="B195" s="99">
        <v>0</v>
      </c>
      <c r="C195" s="99">
        <v>0</v>
      </c>
    </row>
    <row r="196" spans="1:3" ht="15.75" customHeight="1">
      <c r="A196" s="99">
        <v>0</v>
      </c>
      <c r="B196" s="99">
        <v>0</v>
      </c>
      <c r="C196" s="99">
        <v>0</v>
      </c>
    </row>
    <row r="197" spans="1:3" ht="15.75" customHeight="1">
      <c r="A197" s="99">
        <v>0</v>
      </c>
      <c r="B197" s="99">
        <v>0</v>
      </c>
      <c r="C197" s="99">
        <v>0</v>
      </c>
    </row>
    <row r="198" spans="1:3" ht="15.75" customHeight="1">
      <c r="A198" s="99" t="s">
        <v>3</v>
      </c>
      <c r="B198" s="99">
        <v>1038228070</v>
      </c>
      <c r="C198" s="99">
        <v>684941638</v>
      </c>
    </row>
    <row r="199" spans="1:3" ht="15.75" customHeight="1">
      <c r="A199" s="99">
        <v>0</v>
      </c>
      <c r="B199" s="99">
        <v>0</v>
      </c>
      <c r="C199" s="99">
        <v>0</v>
      </c>
    </row>
    <row r="200" spans="1:3" ht="15.75" customHeight="1">
      <c r="A200" s="99">
        <v>0</v>
      </c>
      <c r="B200" s="99">
        <v>0</v>
      </c>
      <c r="C200" s="99">
        <v>0</v>
      </c>
    </row>
    <row r="201" spans="1:3" ht="15.75" customHeight="1">
      <c r="A201" s="99" t="s">
        <v>224</v>
      </c>
      <c r="B201" s="99">
        <v>13765820</v>
      </c>
      <c r="C201" s="99">
        <v>0</v>
      </c>
    </row>
    <row r="202" spans="1:3" ht="15.75" customHeight="1">
      <c r="A202" s="99" t="s">
        <v>144</v>
      </c>
      <c r="B202" s="99">
        <v>0</v>
      </c>
      <c r="C202" s="99">
        <v>0</v>
      </c>
    </row>
    <row r="203" spans="1:3" ht="15.75" customHeight="1">
      <c r="A203" s="99" t="s">
        <v>2</v>
      </c>
      <c r="B203" s="99">
        <v>48994</v>
      </c>
      <c r="C203" s="99">
        <v>129871</v>
      </c>
    </row>
    <row r="204" spans="1:3" ht="15.75" customHeight="1">
      <c r="A204" s="99" t="s">
        <v>146</v>
      </c>
      <c r="B204" s="99">
        <v>0</v>
      </c>
      <c r="C204" s="99">
        <v>0</v>
      </c>
    </row>
    <row r="206" spans="1:3" ht="15.75" customHeight="1">
      <c r="A206" s="99" t="s">
        <v>24</v>
      </c>
      <c r="B206" s="99">
        <v>4876432393</v>
      </c>
      <c r="C206" s="99">
        <v>4876432392</v>
      </c>
    </row>
    <row r="207" spans="1:3" ht="15.75" customHeight="1">
      <c r="A207" s="99" t="s">
        <v>25</v>
      </c>
      <c r="B207" s="99">
        <v>0</v>
      </c>
      <c r="C207" s="99">
        <v>0</v>
      </c>
    </row>
    <row r="208" spans="1:3" ht="15.75" customHeight="1">
      <c r="A208" s="99" t="s">
        <v>26</v>
      </c>
      <c r="B208" s="99">
        <v>4876432393</v>
      </c>
      <c r="C208" s="99">
        <v>4876432392</v>
      </c>
    </row>
  </sheetData>
  <printOptions horizontalCentered="1"/>
  <pageMargins left="0.78740157480314965" right="0.46" top="0.17" bottom="0.22" header="0.17" footer="0.17"/>
  <pageSetup scale="58" orientation="landscape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N207"/>
  <sheetViews>
    <sheetView showGridLines="0" view="pageBreakPreview" topLeftCell="A16" zoomScale="80" zoomScaleNormal="100" zoomScaleSheetLayoutView="80" workbookViewId="0">
      <selection activeCell="B54" sqref="B54:H58"/>
    </sheetView>
  </sheetViews>
  <sheetFormatPr baseColWidth="10" defaultColWidth="11.42578125" defaultRowHeight="15.75" customHeight="1"/>
  <cols>
    <col min="1" max="1" width="40" style="99" bestFit="1" customWidth="1"/>
    <col min="2" max="2" width="17" style="99" customWidth="1"/>
    <col min="3" max="3" width="17.7109375" style="99" customWidth="1"/>
    <col min="4" max="9" width="18.140625" style="99" customWidth="1"/>
    <col min="10" max="11" width="11.42578125" style="99"/>
    <col min="12" max="12" width="12.28515625" style="99" bestFit="1" customWidth="1"/>
    <col min="13" max="13" width="16.7109375" style="99" customWidth="1"/>
    <col min="14" max="14" width="11.42578125" style="99"/>
    <col min="15" max="16" width="14.42578125" style="99" bestFit="1" customWidth="1"/>
    <col min="17" max="16384" width="11.42578125" style="99"/>
  </cols>
  <sheetData>
    <row r="1" spans="1:14" ht="24" customHeight="1">
      <c r="A1" s="648" t="str">
        <f>+MAYOR!B1</f>
        <v>SOCIEDAD COMERCIAL SOLMET SpA</v>
      </c>
      <c r="B1" s="649"/>
      <c r="C1" s="649"/>
      <c r="D1" s="650"/>
      <c r="E1" s="651"/>
      <c r="F1" s="651"/>
      <c r="G1" s="651"/>
      <c r="H1" s="651"/>
      <c r="I1" s="651"/>
    </row>
    <row r="2" spans="1:14" ht="15.75" customHeight="1">
      <c r="A2" s="652" t="str">
        <f>+MAYOR!B2</f>
        <v>BOMBEROS SALAS #1445 OFC 601B</v>
      </c>
      <c r="B2" s="649"/>
      <c r="C2" s="649"/>
      <c r="D2" s="653"/>
      <c r="E2" s="651" t="s">
        <v>590</v>
      </c>
      <c r="F2" s="651"/>
      <c r="G2" s="651"/>
      <c r="H2" s="651"/>
      <c r="I2" s="651"/>
    </row>
    <row r="3" spans="1:14" ht="15.75" customHeight="1">
      <c r="A3" s="652" t="str">
        <f>+MAYOR!B3</f>
        <v>RUT: 76.541.377-K</v>
      </c>
      <c r="B3" s="649"/>
      <c r="C3" s="649"/>
      <c r="D3" s="653"/>
      <c r="E3" s="651"/>
      <c r="F3" s="651"/>
      <c r="G3" s="651"/>
      <c r="H3" s="651"/>
      <c r="I3" s="651"/>
    </row>
    <row r="4" spans="1:14" ht="15.75" customHeight="1">
      <c r="A4" s="652">
        <f>+MAYOR!B4</f>
        <v>0</v>
      </c>
      <c r="B4" s="654"/>
      <c r="C4" s="649"/>
      <c r="D4" s="653"/>
      <c r="E4" s="651"/>
      <c r="F4" s="651"/>
      <c r="G4" s="651"/>
      <c r="H4" s="651"/>
      <c r="I4" s="651"/>
    </row>
    <row r="5" spans="1:14" ht="15.75" customHeight="1">
      <c r="A5" s="654"/>
      <c r="B5" s="651"/>
      <c r="C5" s="651"/>
      <c r="D5" s="651"/>
      <c r="E5" s="651"/>
      <c r="F5" s="651"/>
      <c r="G5" s="651"/>
      <c r="H5" s="651"/>
      <c r="I5" s="651"/>
    </row>
    <row r="6" spans="1:14" s="115" customFormat="1" ht="20.25" customHeight="1">
      <c r="A6" s="655" t="s">
        <v>10</v>
      </c>
      <c r="B6" s="656"/>
      <c r="C6" s="656"/>
      <c r="D6" s="656"/>
      <c r="E6" s="656"/>
      <c r="F6" s="656"/>
      <c r="G6" s="656"/>
      <c r="H6" s="656"/>
      <c r="I6" s="656"/>
    </row>
    <row r="7" spans="1:14" s="118" customFormat="1" ht="15.75" customHeight="1">
      <c r="A7" s="657" t="s">
        <v>640</v>
      </c>
      <c r="B7" s="658"/>
      <c r="C7" s="658"/>
      <c r="D7" s="658"/>
      <c r="E7" s="658"/>
      <c r="F7" s="658"/>
      <c r="G7" s="658"/>
      <c r="H7" s="658"/>
      <c r="I7" s="658"/>
    </row>
    <row r="8" spans="1:14" ht="5.25" customHeight="1">
      <c r="A8" s="659"/>
      <c r="B8" s="651"/>
      <c r="C8" s="651"/>
      <c r="D8" s="651"/>
      <c r="E8" s="651"/>
      <c r="F8" s="651"/>
      <c r="G8" s="651"/>
      <c r="H8" s="651"/>
      <c r="I8" s="651"/>
    </row>
    <row r="9" spans="1:14" ht="6.75" customHeight="1">
      <c r="A9" s="651"/>
      <c r="B9" s="651"/>
      <c r="C9" s="651"/>
      <c r="D9" s="651"/>
      <c r="E9" s="651"/>
      <c r="F9" s="651"/>
      <c r="G9" s="651"/>
      <c r="H9" s="651"/>
      <c r="I9" s="651"/>
    </row>
    <row r="10" spans="1:14" ht="15.75" customHeight="1" thickBot="1">
      <c r="A10" s="666" t="s">
        <v>11</v>
      </c>
      <c r="B10" s="667" t="s">
        <v>12</v>
      </c>
      <c r="C10" s="667" t="s">
        <v>13</v>
      </c>
      <c r="D10" s="668" t="s">
        <v>7</v>
      </c>
      <c r="E10" s="669"/>
      <c r="F10" s="670" t="s">
        <v>14</v>
      </c>
      <c r="G10" s="671"/>
      <c r="H10" s="668" t="s">
        <v>15</v>
      </c>
      <c r="I10" s="672"/>
    </row>
    <row r="11" spans="1:14" ht="15.75" customHeight="1">
      <c r="A11" s="673"/>
      <c r="B11" s="674" t="s">
        <v>16</v>
      </c>
      <c r="C11" s="674" t="s">
        <v>17</v>
      </c>
      <c r="D11" s="675" t="s">
        <v>18</v>
      </c>
      <c r="E11" s="676" t="s">
        <v>19</v>
      </c>
      <c r="F11" s="675" t="s">
        <v>20</v>
      </c>
      <c r="G11" s="676" t="s">
        <v>21</v>
      </c>
      <c r="H11" s="676" t="s">
        <v>22</v>
      </c>
      <c r="I11" s="677" t="s">
        <v>23</v>
      </c>
    </row>
    <row r="12" spans="1:14" s="120" customFormat="1" ht="15.75" customHeight="1">
      <c r="A12" s="660" t="str">
        <f>+MAYOR!F6</f>
        <v>DISPONIBLE</v>
      </c>
      <c r="B12" s="661">
        <f>+MAYOR!F228</f>
        <v>0</v>
      </c>
      <c r="C12" s="661">
        <f>+MAYOR!G228+88934667+37000000</f>
        <v>125934667</v>
      </c>
      <c r="D12" s="661">
        <f t="shared" ref="D12:D45" si="0">IF(B12&gt;C12,B12-C12,0)</f>
        <v>0</v>
      </c>
      <c r="E12" s="661">
        <f t="shared" ref="E12:E45" si="1">IF(B12&lt;C12,C12-B12,0)</f>
        <v>125934667</v>
      </c>
      <c r="F12" s="662">
        <f t="shared" ref="F12:G27" si="2">IF(D12&lt;0,0,D12)</f>
        <v>0</v>
      </c>
      <c r="G12" s="662">
        <f t="shared" si="2"/>
        <v>125934667</v>
      </c>
      <c r="H12" s="661">
        <f t="shared" ref="H12:I27" si="3">IF(F12&lt;=0,D12,0)</f>
        <v>0</v>
      </c>
      <c r="I12" s="661">
        <f t="shared" si="3"/>
        <v>0</v>
      </c>
    </row>
    <row r="13" spans="1:14" s="120" customFormat="1" ht="15.75" customHeight="1">
      <c r="A13" s="660" t="str">
        <f>+MAYOR!R6</f>
        <v>CAMION FAENERO ANTOFAGASTA</v>
      </c>
      <c r="B13" s="661">
        <f>+MAYOR!R228</f>
        <v>0</v>
      </c>
      <c r="C13" s="661">
        <f>+MAYOR!S228</f>
        <v>0</v>
      </c>
      <c r="D13" s="661">
        <f>IF(B13&gt;C13,B13-C13,0)</f>
        <v>0</v>
      </c>
      <c r="E13" s="661">
        <f>IF(B13&lt;C13,C13-B13,0)</f>
        <v>0</v>
      </c>
      <c r="F13" s="662">
        <f>IF(D13&lt;0,0,D13)</f>
        <v>0</v>
      </c>
      <c r="G13" s="662">
        <f>IF(E13&lt;0,0,E13)</f>
        <v>0</v>
      </c>
      <c r="H13" s="661">
        <f>IF(F13&lt;=0,D13,0)</f>
        <v>0</v>
      </c>
      <c r="I13" s="661">
        <f>IF(G13&lt;=0,E13,0)</f>
        <v>0</v>
      </c>
    </row>
    <row r="14" spans="1:14" s="120" customFormat="1" ht="15.75" customHeight="1">
      <c r="A14" s="660" t="str">
        <f>+MAYOR!L6</f>
        <v>P.P.M.</v>
      </c>
      <c r="B14" s="661">
        <f>+MAYOR!L228</f>
        <v>0</v>
      </c>
      <c r="C14" s="661">
        <f>+MAYOR!M228</f>
        <v>0</v>
      </c>
      <c r="D14" s="661">
        <f t="shared" si="0"/>
        <v>0</v>
      </c>
      <c r="E14" s="661">
        <f t="shared" si="1"/>
        <v>0</v>
      </c>
      <c r="F14" s="662">
        <f t="shared" si="2"/>
        <v>0</v>
      </c>
      <c r="G14" s="662">
        <f t="shared" si="2"/>
        <v>0</v>
      </c>
      <c r="H14" s="661">
        <f t="shared" si="3"/>
        <v>0</v>
      </c>
      <c r="I14" s="661">
        <f t="shared" si="3"/>
        <v>0</v>
      </c>
      <c r="M14" s="100"/>
      <c r="N14" s="100"/>
    </row>
    <row r="15" spans="1:14" s="120" customFormat="1" ht="15.75" customHeight="1">
      <c r="A15" s="660" t="str">
        <f>+MAYOR!N6</f>
        <v>RETIROS  DEL EJERCICIO</v>
      </c>
      <c r="B15" s="661">
        <f>+MAYOR!N228+88934667</f>
        <v>88934667</v>
      </c>
      <c r="C15" s="661">
        <f>+MAYOR!O228</f>
        <v>0</v>
      </c>
      <c r="D15" s="661">
        <f t="shared" si="0"/>
        <v>88934667</v>
      </c>
      <c r="E15" s="661">
        <f t="shared" si="1"/>
        <v>0</v>
      </c>
      <c r="F15" s="662">
        <f t="shared" si="2"/>
        <v>88934667</v>
      </c>
      <c r="G15" s="662">
        <f t="shared" si="2"/>
        <v>0</v>
      </c>
      <c r="H15" s="661">
        <f t="shared" si="3"/>
        <v>0</v>
      </c>
      <c r="I15" s="661">
        <f t="shared" si="3"/>
        <v>0</v>
      </c>
    </row>
    <row r="16" spans="1:14" s="120" customFormat="1" ht="15.75" customHeight="1">
      <c r="A16" s="660" t="str">
        <f>+MAYOR!T6</f>
        <v>CREDITO SENCE</v>
      </c>
      <c r="B16" s="661">
        <f>+MAYOR!T228+37000000+13615917</f>
        <v>50615917</v>
      </c>
      <c r="C16" s="661">
        <f>+MAYOR!U228</f>
        <v>0</v>
      </c>
      <c r="D16" s="661">
        <f t="shared" si="0"/>
        <v>50615917</v>
      </c>
      <c r="E16" s="661">
        <f t="shared" si="1"/>
        <v>0</v>
      </c>
      <c r="F16" s="662">
        <f t="shared" si="2"/>
        <v>50615917</v>
      </c>
      <c r="G16" s="662">
        <f t="shared" si="2"/>
        <v>0</v>
      </c>
      <c r="H16" s="661">
        <f t="shared" si="3"/>
        <v>0</v>
      </c>
      <c r="I16" s="661">
        <f t="shared" si="3"/>
        <v>0</v>
      </c>
      <c r="K16" s="99" t="s">
        <v>648</v>
      </c>
      <c r="N16" s="100"/>
    </row>
    <row r="17" spans="1:11" s="120" customFormat="1" ht="15.75" customHeight="1">
      <c r="A17" s="660" t="str">
        <f>+MAYOR!AU6</f>
        <v>AFP</v>
      </c>
      <c r="B17" s="661">
        <f>+MAYOR!AU228</f>
        <v>0</v>
      </c>
      <c r="C17" s="661">
        <f>+MAYOR!AV228</f>
        <v>0</v>
      </c>
      <c r="D17" s="661">
        <f t="shared" si="0"/>
        <v>0</v>
      </c>
      <c r="E17" s="661">
        <f t="shared" si="1"/>
        <v>0</v>
      </c>
      <c r="F17" s="662">
        <f t="shared" si="2"/>
        <v>0</v>
      </c>
      <c r="G17" s="662">
        <f t="shared" si="2"/>
        <v>0</v>
      </c>
      <c r="H17" s="661">
        <f t="shared" si="3"/>
        <v>0</v>
      </c>
      <c r="I17" s="661">
        <f t="shared" si="3"/>
        <v>0</v>
      </c>
      <c r="J17" s="476" t="s">
        <v>647</v>
      </c>
    </row>
    <row r="18" spans="1:11" s="120" customFormat="1" ht="15.75" customHeight="1">
      <c r="A18" s="660" t="str">
        <f>+MAYOR!AW6</f>
        <v>RETENCION DE HONORARIOS</v>
      </c>
      <c r="B18" s="661">
        <f>+MAYOR!AW228</f>
        <v>0</v>
      </c>
      <c r="C18" s="661">
        <f>+MAYOR!AX228</f>
        <v>0</v>
      </c>
      <c r="D18" s="661">
        <f t="shared" si="0"/>
        <v>0</v>
      </c>
      <c r="E18" s="661">
        <f t="shared" si="1"/>
        <v>0</v>
      </c>
      <c r="F18" s="662">
        <f>IF(D18&lt;0,0,D18)</f>
        <v>0</v>
      </c>
      <c r="G18" s="662">
        <f>IF(E18&lt;0,0,E18)</f>
        <v>0</v>
      </c>
      <c r="H18" s="661">
        <f>IF(F18&lt;=0,D18,0)</f>
        <v>0</v>
      </c>
      <c r="I18" s="661">
        <f>IF(G18&lt;=0,E18,0)</f>
        <v>0</v>
      </c>
      <c r="J18" s="476"/>
      <c r="K18" s="476"/>
    </row>
    <row r="19" spans="1:11" s="120" customFormat="1" ht="15.75" customHeight="1">
      <c r="A19" s="660" t="str">
        <f>+MAYOR!AY6</f>
        <v>P.P.M. POR PAGAR</v>
      </c>
      <c r="B19" s="661">
        <f>+MAYOR!AY228</f>
        <v>0</v>
      </c>
      <c r="C19" s="661">
        <f>+MAYOR!AZ228</f>
        <v>0</v>
      </c>
      <c r="D19" s="661">
        <f t="shared" si="0"/>
        <v>0</v>
      </c>
      <c r="E19" s="661">
        <f t="shared" si="1"/>
        <v>0</v>
      </c>
      <c r="F19" s="662">
        <f t="shared" si="2"/>
        <v>0</v>
      </c>
      <c r="G19" s="662">
        <f t="shared" si="2"/>
        <v>0</v>
      </c>
      <c r="H19" s="661">
        <f t="shared" si="3"/>
        <v>0</v>
      </c>
      <c r="I19" s="661">
        <f t="shared" si="3"/>
        <v>0</v>
      </c>
      <c r="J19" s="476"/>
      <c r="K19" s="476"/>
    </row>
    <row r="20" spans="1:11" s="120" customFormat="1" ht="15.75" customHeight="1">
      <c r="A20" s="660" t="str">
        <f>+MAYOR!J6</f>
        <v>IVA POR PAGAR</v>
      </c>
      <c r="B20" s="661">
        <f>+MAYOR!J228</f>
        <v>0</v>
      </c>
      <c r="C20" s="661">
        <f>+MAYOR!K228</f>
        <v>0</v>
      </c>
      <c r="D20" s="661">
        <f t="shared" si="0"/>
        <v>0</v>
      </c>
      <c r="E20" s="661">
        <f t="shared" si="1"/>
        <v>0</v>
      </c>
      <c r="F20" s="662">
        <f t="shared" si="2"/>
        <v>0</v>
      </c>
      <c r="G20" s="662">
        <f t="shared" si="2"/>
        <v>0</v>
      </c>
      <c r="H20" s="661">
        <f t="shared" si="3"/>
        <v>0</v>
      </c>
      <c r="I20" s="661">
        <f t="shared" si="3"/>
        <v>0</v>
      </c>
      <c r="J20" s="476"/>
      <c r="K20" s="476"/>
    </row>
    <row r="21" spans="1:11" s="120" customFormat="1" ht="15.75" customHeight="1">
      <c r="A21" s="660" t="str">
        <f>+MAYOR!BA6</f>
        <v>IMPTO UNICO</v>
      </c>
      <c r="B21" s="661">
        <f>+MAYOR!BA228</f>
        <v>0</v>
      </c>
      <c r="C21" s="661">
        <f>+MAYOR!BB228</f>
        <v>0</v>
      </c>
      <c r="D21" s="661">
        <f>IF(B21&gt;C21,B21-C21,0)</f>
        <v>0</v>
      </c>
      <c r="E21" s="661">
        <f t="shared" si="1"/>
        <v>0</v>
      </c>
      <c r="F21" s="662">
        <f t="shared" si="2"/>
        <v>0</v>
      </c>
      <c r="G21" s="662">
        <f t="shared" si="2"/>
        <v>0</v>
      </c>
      <c r="H21" s="661">
        <f t="shared" si="3"/>
        <v>0</v>
      </c>
      <c r="I21" s="661">
        <f t="shared" si="3"/>
        <v>0</v>
      </c>
      <c r="J21" s="476"/>
      <c r="K21" s="476">
        <f>+G18+G21+G23</f>
        <v>0</v>
      </c>
    </row>
    <row r="22" spans="1:11" s="120" customFormat="1" ht="15.75" customHeight="1">
      <c r="A22" s="660" t="str">
        <f>+MAYOR!BO6</f>
        <v>PROVISION DE IMPUESTOS</v>
      </c>
      <c r="B22" s="661">
        <f>+MAYOR!BO228</f>
        <v>0</v>
      </c>
      <c r="C22" s="661">
        <f>+MAYOR!BP228</f>
        <v>0</v>
      </c>
      <c r="D22" s="661">
        <f t="shared" si="0"/>
        <v>0</v>
      </c>
      <c r="E22" s="661">
        <f t="shared" si="1"/>
        <v>0</v>
      </c>
      <c r="F22" s="662">
        <f t="shared" si="2"/>
        <v>0</v>
      </c>
      <c r="G22" s="662">
        <f t="shared" si="2"/>
        <v>0</v>
      </c>
      <c r="H22" s="661">
        <f t="shared" si="3"/>
        <v>0</v>
      </c>
      <c r="I22" s="661">
        <f t="shared" si="3"/>
        <v>0</v>
      </c>
      <c r="J22" s="476"/>
      <c r="K22" s="476"/>
    </row>
    <row r="23" spans="1:11" s="120" customFormat="1" ht="15.75" customHeight="1">
      <c r="A23" s="660" t="str">
        <f>+MAYOR!BK6</f>
        <v xml:space="preserve">FINANCIAMIENTO DE TERCEROS </v>
      </c>
      <c r="B23" s="661">
        <f>+MAYOR!BK228</f>
        <v>0</v>
      </c>
      <c r="C23" s="661">
        <f>+MAYOR!BL228</f>
        <v>0</v>
      </c>
      <c r="D23" s="661">
        <f t="shared" si="0"/>
        <v>0</v>
      </c>
      <c r="E23" s="661">
        <f t="shared" si="1"/>
        <v>0</v>
      </c>
      <c r="F23" s="662">
        <f t="shared" si="2"/>
        <v>0</v>
      </c>
      <c r="G23" s="662">
        <f t="shared" si="2"/>
        <v>0</v>
      </c>
      <c r="H23" s="661">
        <f t="shared" si="3"/>
        <v>0</v>
      </c>
      <c r="I23" s="661">
        <f t="shared" si="3"/>
        <v>0</v>
      </c>
      <c r="J23" s="476"/>
      <c r="K23" s="476"/>
    </row>
    <row r="24" spans="1:11" s="120" customFormat="1" ht="15.75" customHeight="1">
      <c r="A24" s="660" t="str">
        <f>+MAYOR!CC6</f>
        <v>CAPITAL</v>
      </c>
      <c r="B24" s="661">
        <f>+MAYOR!CC228</f>
        <v>0</v>
      </c>
      <c r="C24" s="661">
        <f>+MAYOR!CD228</f>
        <v>0</v>
      </c>
      <c r="D24" s="661">
        <f t="shared" si="0"/>
        <v>0</v>
      </c>
      <c r="E24" s="661">
        <f t="shared" si="1"/>
        <v>0</v>
      </c>
      <c r="F24" s="662">
        <f t="shared" si="2"/>
        <v>0</v>
      </c>
      <c r="G24" s="662">
        <f t="shared" si="2"/>
        <v>0</v>
      </c>
      <c r="H24" s="661">
        <f t="shared" si="3"/>
        <v>0</v>
      </c>
      <c r="I24" s="661">
        <f t="shared" si="3"/>
        <v>0</v>
      </c>
      <c r="J24" s="476"/>
      <c r="K24" s="476"/>
    </row>
    <row r="25" spans="1:11" s="120" customFormat="1" ht="15.75" customHeight="1">
      <c r="A25" s="660" t="str">
        <f>+MAYOR!CE6</f>
        <v>REV. CAPITAL PROPIO</v>
      </c>
      <c r="B25" s="661">
        <f>+MAYOR!CE228</f>
        <v>0</v>
      </c>
      <c r="C25" s="661">
        <f>+MAYOR!CF228</f>
        <v>0</v>
      </c>
      <c r="D25" s="661">
        <f t="shared" si="0"/>
        <v>0</v>
      </c>
      <c r="E25" s="661">
        <f t="shared" si="1"/>
        <v>0</v>
      </c>
      <c r="F25" s="662">
        <f t="shared" si="2"/>
        <v>0</v>
      </c>
      <c r="G25" s="662">
        <f t="shared" si="2"/>
        <v>0</v>
      </c>
      <c r="H25" s="661">
        <f t="shared" si="3"/>
        <v>0</v>
      </c>
      <c r="I25" s="661">
        <f t="shared" si="3"/>
        <v>0</v>
      </c>
      <c r="J25" s="476"/>
      <c r="K25" s="476"/>
    </row>
    <row r="26" spans="1:11" s="120" customFormat="1" ht="15.75" customHeight="1">
      <c r="A26" s="660" t="str">
        <f>+MAYOR!CG6</f>
        <v>RESULTADO ACUMULADO</v>
      </c>
      <c r="B26" s="661">
        <f>+MAYOR!CG228</f>
        <v>0</v>
      </c>
      <c r="C26" s="661">
        <f>+MAYOR!CH228</f>
        <v>0</v>
      </c>
      <c r="D26" s="661">
        <f t="shared" si="0"/>
        <v>0</v>
      </c>
      <c r="E26" s="661">
        <f t="shared" si="1"/>
        <v>0</v>
      </c>
      <c r="F26" s="662">
        <f t="shared" si="2"/>
        <v>0</v>
      </c>
      <c r="G26" s="662">
        <f t="shared" si="2"/>
        <v>0</v>
      </c>
      <c r="H26" s="661">
        <f t="shared" si="3"/>
        <v>0</v>
      </c>
      <c r="I26" s="661">
        <f t="shared" si="3"/>
        <v>0</v>
      </c>
      <c r="J26" s="476"/>
      <c r="K26" s="476"/>
    </row>
    <row r="27" spans="1:11" s="120" customFormat="1" ht="15.75" customHeight="1">
      <c r="A27" s="660" t="str">
        <f>+MAYOR!CI6</f>
        <v>RESULTADO EJERCICIO ANTERIOR</v>
      </c>
      <c r="B27" s="661">
        <f>+MAYOR!CI228</f>
        <v>0</v>
      </c>
      <c r="C27" s="661">
        <f>+MAYOR!CJ228</f>
        <v>0</v>
      </c>
      <c r="D27" s="661">
        <f t="shared" si="0"/>
        <v>0</v>
      </c>
      <c r="E27" s="661">
        <f t="shared" si="1"/>
        <v>0</v>
      </c>
      <c r="F27" s="662">
        <f t="shared" si="2"/>
        <v>0</v>
      </c>
      <c r="G27" s="662">
        <f t="shared" si="2"/>
        <v>0</v>
      </c>
      <c r="H27" s="661">
        <f t="shared" si="3"/>
        <v>0</v>
      </c>
      <c r="I27" s="661">
        <f t="shared" si="3"/>
        <v>0</v>
      </c>
      <c r="J27" s="476"/>
      <c r="K27" s="476"/>
    </row>
    <row r="28" spans="1:11" s="120" customFormat="1" ht="15.75" customHeight="1">
      <c r="A28" s="660" t="str">
        <f>+MAYOR!CL6</f>
        <v xml:space="preserve">INGRESOS VENTA </v>
      </c>
      <c r="B28" s="661">
        <f>+MAYOR!CL228</f>
        <v>0</v>
      </c>
      <c r="C28" s="661">
        <f>+MAYOR!CM228</f>
        <v>0</v>
      </c>
      <c r="D28" s="661">
        <f t="shared" si="0"/>
        <v>0</v>
      </c>
      <c r="E28" s="661">
        <f t="shared" si="1"/>
        <v>0</v>
      </c>
      <c r="F28" s="662">
        <v>0</v>
      </c>
      <c r="G28" s="662">
        <v>0</v>
      </c>
      <c r="H28" s="661">
        <f t="shared" ref="H28:I40" si="4">IF(F28&lt;=0,D28,0)</f>
        <v>0</v>
      </c>
      <c r="I28" s="661">
        <f t="shared" si="4"/>
        <v>0</v>
      </c>
      <c r="J28" s="476"/>
      <c r="K28" s="476"/>
    </row>
    <row r="29" spans="1:11" s="120" customFormat="1" ht="15.75" customHeight="1">
      <c r="A29" s="660" t="str">
        <f>+MAYOR!CN6</f>
        <v>INGRESOS VTA EXENTAS</v>
      </c>
      <c r="B29" s="661">
        <f>+MAYOR!CN228</f>
        <v>0</v>
      </c>
      <c r="C29" s="661">
        <f>+MAYOR!CO228</f>
        <v>0</v>
      </c>
      <c r="D29" s="661">
        <f t="shared" si="0"/>
        <v>0</v>
      </c>
      <c r="E29" s="661">
        <f t="shared" si="1"/>
        <v>0</v>
      </c>
      <c r="F29" s="662">
        <v>0</v>
      </c>
      <c r="G29" s="662">
        <v>0</v>
      </c>
      <c r="H29" s="661">
        <f t="shared" si="4"/>
        <v>0</v>
      </c>
      <c r="I29" s="661">
        <f t="shared" si="4"/>
        <v>0</v>
      </c>
      <c r="J29" s="476"/>
      <c r="K29" s="476"/>
    </row>
    <row r="30" spans="1:11" s="120" customFormat="1" ht="15.75" customHeight="1">
      <c r="A30" s="660" t="str">
        <f>+MAYOR!CP6</f>
        <v>UTILIDAD VENTA A-FIJO</v>
      </c>
      <c r="B30" s="661">
        <f>+MAYOR!CP228</f>
        <v>0</v>
      </c>
      <c r="C30" s="661">
        <f>+MAYOR!CQ228</f>
        <v>0</v>
      </c>
      <c r="D30" s="661">
        <f t="shared" si="0"/>
        <v>0</v>
      </c>
      <c r="E30" s="661">
        <f t="shared" si="1"/>
        <v>0</v>
      </c>
      <c r="F30" s="662">
        <v>0</v>
      </c>
      <c r="G30" s="662">
        <v>0</v>
      </c>
      <c r="H30" s="661">
        <f t="shared" si="4"/>
        <v>0</v>
      </c>
      <c r="I30" s="661">
        <f t="shared" si="4"/>
        <v>0</v>
      </c>
      <c r="K30" s="476"/>
    </row>
    <row r="31" spans="1:11" s="120" customFormat="1" ht="15.75" customHeight="1">
      <c r="A31" s="660" t="str">
        <f>+MAYOR!CR6</f>
        <v>OTRAS VENTA</v>
      </c>
      <c r="B31" s="661">
        <f>+MAYOR!CR228</f>
        <v>0</v>
      </c>
      <c r="C31" s="661">
        <f>+MAYOR!CS228</f>
        <v>0</v>
      </c>
      <c r="D31" s="661">
        <f t="shared" si="0"/>
        <v>0</v>
      </c>
      <c r="E31" s="661">
        <f t="shared" si="1"/>
        <v>0</v>
      </c>
      <c r="F31" s="662">
        <v>0</v>
      </c>
      <c r="G31" s="662">
        <v>0</v>
      </c>
      <c r="H31" s="661">
        <f t="shared" si="4"/>
        <v>0</v>
      </c>
      <c r="I31" s="661">
        <f t="shared" si="4"/>
        <v>0</v>
      </c>
      <c r="K31" s="476"/>
    </row>
    <row r="32" spans="1:11" s="120" customFormat="1" ht="15.75" customHeight="1">
      <c r="A32" s="660" t="str">
        <f>+MAYOR!DA6</f>
        <v>GASTOS DE VTA</v>
      </c>
      <c r="B32" s="661">
        <f>+MAYOR!DA228</f>
        <v>0</v>
      </c>
      <c r="C32" s="661">
        <f>+MAYOR!DV227</f>
        <v>0</v>
      </c>
      <c r="D32" s="661">
        <f t="shared" si="0"/>
        <v>0</v>
      </c>
      <c r="E32" s="661">
        <f t="shared" si="1"/>
        <v>0</v>
      </c>
      <c r="F32" s="662">
        <v>0</v>
      </c>
      <c r="G32" s="662">
        <v>0</v>
      </c>
      <c r="H32" s="661">
        <f t="shared" si="4"/>
        <v>0</v>
      </c>
      <c r="I32" s="661">
        <f t="shared" si="4"/>
        <v>0</v>
      </c>
      <c r="K32" s="476"/>
    </row>
    <row r="33" spans="1:12" s="120" customFormat="1" ht="15.75" customHeight="1">
      <c r="A33" s="660" t="str">
        <f>+MAYOR!DU6</f>
        <v>SUELDOS</v>
      </c>
      <c r="B33" s="661">
        <f>+MAYOR!DU228</f>
        <v>0</v>
      </c>
      <c r="C33" s="661">
        <f>+MAYOR!DV228</f>
        <v>0</v>
      </c>
      <c r="D33" s="661">
        <f t="shared" si="0"/>
        <v>0</v>
      </c>
      <c r="E33" s="661">
        <f t="shared" si="1"/>
        <v>0</v>
      </c>
      <c r="F33" s="662">
        <v>0</v>
      </c>
      <c r="G33" s="662">
        <v>0</v>
      </c>
      <c r="H33" s="661">
        <f t="shared" si="4"/>
        <v>0</v>
      </c>
      <c r="I33" s="661">
        <f t="shared" si="4"/>
        <v>0</v>
      </c>
      <c r="K33" s="476"/>
    </row>
    <row r="34" spans="1:12" s="120" customFormat="1" ht="15.75" customHeight="1">
      <c r="A34" s="660" t="str">
        <f>+MAYOR!DY6</f>
        <v>COSTO EMPLEADOR</v>
      </c>
      <c r="B34" s="661">
        <f>+MAYOR!DY229</f>
        <v>0</v>
      </c>
      <c r="C34" s="661">
        <f>+MAYOR!DZ228</f>
        <v>0</v>
      </c>
      <c r="D34" s="661">
        <f t="shared" si="0"/>
        <v>0</v>
      </c>
      <c r="E34" s="661">
        <f t="shared" si="1"/>
        <v>0</v>
      </c>
      <c r="F34" s="662">
        <v>0</v>
      </c>
      <c r="G34" s="662">
        <v>0</v>
      </c>
      <c r="H34" s="661">
        <f t="shared" si="4"/>
        <v>0</v>
      </c>
      <c r="I34" s="661">
        <f t="shared" si="4"/>
        <v>0</v>
      </c>
      <c r="K34" s="476"/>
    </row>
    <row r="35" spans="1:12" s="120" customFormat="1" ht="15.75" customHeight="1">
      <c r="A35" s="660" t="str">
        <f>+MAYOR!EC6</f>
        <v>COSTO DE VENTA</v>
      </c>
      <c r="B35" s="661">
        <f>+MAYOR!EC228</f>
        <v>0</v>
      </c>
      <c r="C35" s="661">
        <f>+MAYOR!ED228</f>
        <v>0</v>
      </c>
      <c r="D35" s="661">
        <f t="shared" si="0"/>
        <v>0</v>
      </c>
      <c r="E35" s="661">
        <f t="shared" si="1"/>
        <v>0</v>
      </c>
      <c r="F35" s="662">
        <v>0</v>
      </c>
      <c r="G35" s="662">
        <v>0</v>
      </c>
      <c r="H35" s="661">
        <f>IF(F35&lt;=0,D35,0)</f>
        <v>0</v>
      </c>
      <c r="I35" s="661">
        <f t="shared" si="4"/>
        <v>0</v>
      </c>
      <c r="K35" s="476"/>
    </row>
    <row r="36" spans="1:12" s="120" customFormat="1" ht="15.75" customHeight="1">
      <c r="A36" s="660" t="str">
        <f>+MAYOR!DC6</f>
        <v>CAPACITACION</v>
      </c>
      <c r="B36" s="661">
        <f>+MAYOR!DC228</f>
        <v>0</v>
      </c>
      <c r="C36" s="661">
        <f>+MAYOR!DD228</f>
        <v>0</v>
      </c>
      <c r="D36" s="661">
        <f t="shared" si="0"/>
        <v>0</v>
      </c>
      <c r="E36" s="661">
        <f t="shared" si="1"/>
        <v>0</v>
      </c>
      <c r="F36" s="662">
        <v>0</v>
      </c>
      <c r="G36" s="662">
        <v>0</v>
      </c>
      <c r="H36" s="661">
        <f>IF(F36&lt;=0,D36,0)</f>
        <v>0</v>
      </c>
      <c r="I36" s="661">
        <f t="shared" si="4"/>
        <v>0</v>
      </c>
      <c r="K36" s="476"/>
    </row>
    <row r="37" spans="1:12" s="120" customFormat="1" ht="15.75" customHeight="1">
      <c r="A37" s="660" t="str">
        <f>+MAYOR!EA6</f>
        <v>INTERESES FOGAPE</v>
      </c>
      <c r="B37" s="661">
        <f>+MAYOR!EA228</f>
        <v>0</v>
      </c>
      <c r="C37" s="661">
        <f>+MAYOR!EB228</f>
        <v>0</v>
      </c>
      <c r="D37" s="661">
        <f t="shared" si="0"/>
        <v>0</v>
      </c>
      <c r="E37" s="661">
        <f t="shared" si="1"/>
        <v>0</v>
      </c>
      <c r="F37" s="662">
        <v>0</v>
      </c>
      <c r="G37" s="662">
        <v>0</v>
      </c>
      <c r="H37" s="661">
        <f>IF(F37&lt;=0,D37,0)</f>
        <v>0</v>
      </c>
      <c r="I37" s="661">
        <f t="shared" si="4"/>
        <v>0</v>
      </c>
      <c r="K37" s="476"/>
    </row>
    <row r="38" spans="1:12" s="120" customFormat="1" ht="15.75" customHeight="1">
      <c r="A38" s="660" t="str">
        <f>+MAYOR!CW6</f>
        <v>GASTOS TRANSPORTE</v>
      </c>
      <c r="B38" s="661">
        <f>+MAYOR!CW228</f>
        <v>0</v>
      </c>
      <c r="C38" s="661">
        <f>+MAYOR!CX228</f>
        <v>0</v>
      </c>
      <c r="D38" s="661">
        <f t="shared" si="0"/>
        <v>0</v>
      </c>
      <c r="E38" s="661">
        <f t="shared" si="1"/>
        <v>0</v>
      </c>
      <c r="F38" s="662">
        <v>0</v>
      </c>
      <c r="G38" s="662">
        <v>0</v>
      </c>
      <c r="H38" s="661">
        <f t="shared" si="4"/>
        <v>0</v>
      </c>
      <c r="I38" s="661">
        <f t="shared" si="4"/>
        <v>0</v>
      </c>
      <c r="K38" s="476"/>
    </row>
    <row r="39" spans="1:12" s="120" customFormat="1" ht="15.75" customHeight="1">
      <c r="A39" s="660" t="str">
        <f>+MAYOR!CY6</f>
        <v>AMORTIZ. PROY. INVESTIGACION MINERA</v>
      </c>
      <c r="B39" s="661">
        <f>+MAYOR!CY228</f>
        <v>0</v>
      </c>
      <c r="C39" s="661">
        <f>+MAYOR!CZ228</f>
        <v>0</v>
      </c>
      <c r="D39" s="661">
        <f t="shared" si="0"/>
        <v>0</v>
      </c>
      <c r="E39" s="661">
        <f t="shared" si="1"/>
        <v>0</v>
      </c>
      <c r="F39" s="662">
        <v>0</v>
      </c>
      <c r="G39" s="662">
        <v>0</v>
      </c>
      <c r="H39" s="661">
        <f t="shared" si="4"/>
        <v>0</v>
      </c>
      <c r="I39" s="661">
        <f t="shared" si="4"/>
        <v>0</v>
      </c>
      <c r="J39" s="99"/>
      <c r="K39" s="476"/>
      <c r="L39" s="99"/>
    </row>
    <row r="40" spans="1:12" s="120" customFormat="1" ht="15.75" customHeight="1">
      <c r="A40" s="660" t="str">
        <f>+MAYOR!EG6</f>
        <v>GASTOS GENERALES</v>
      </c>
      <c r="B40" s="661">
        <f>+MAYOR!EG228</f>
        <v>0</v>
      </c>
      <c r="C40" s="661">
        <f>+MAYOR!EH228</f>
        <v>0</v>
      </c>
      <c r="D40" s="661">
        <f t="shared" si="0"/>
        <v>0</v>
      </c>
      <c r="E40" s="661">
        <f t="shared" si="1"/>
        <v>0</v>
      </c>
      <c r="F40" s="662">
        <v>0</v>
      </c>
      <c r="G40" s="662">
        <v>0</v>
      </c>
      <c r="H40" s="661">
        <f t="shared" si="4"/>
        <v>0</v>
      </c>
      <c r="I40" s="661">
        <f t="shared" si="4"/>
        <v>0</v>
      </c>
      <c r="J40" s="99"/>
      <c r="K40" s="476"/>
      <c r="L40" s="99"/>
    </row>
    <row r="41" spans="1:12" s="120" customFormat="1" ht="15.75" customHeight="1">
      <c r="A41" s="660" t="str">
        <f>+MAYOR!DW6</f>
        <v>ARRIENDO Taller y Oficina</v>
      </c>
      <c r="B41" s="661">
        <f>+MAYOR!DW228</f>
        <v>0</v>
      </c>
      <c r="C41" s="661">
        <f>+MAYOR!DX228</f>
        <v>0</v>
      </c>
      <c r="D41" s="661">
        <f>IF(B41&gt;C41,B41-C41,0)</f>
        <v>0</v>
      </c>
      <c r="E41" s="661">
        <f>IF(B41&lt;C41,C41-B41,0)</f>
        <v>0</v>
      </c>
      <c r="F41" s="662">
        <v>0</v>
      </c>
      <c r="G41" s="662">
        <v>0</v>
      </c>
      <c r="H41" s="661">
        <f>IF(F41&lt;=0,D41,0)</f>
        <v>0</v>
      </c>
      <c r="I41" s="661">
        <f>IF(G41&lt;=0,E41,0)</f>
        <v>0</v>
      </c>
      <c r="J41" s="99"/>
      <c r="K41" s="476"/>
      <c r="L41" s="99"/>
    </row>
    <row r="42" spans="1:12" s="120" customFormat="1" ht="15.75" customHeight="1">
      <c r="A42" s="660" t="str">
        <f>+MAYOR!DS6</f>
        <v>HONORARIOS Y SERVICIOS PROFESIONALES</v>
      </c>
      <c r="B42" s="661">
        <f>+MAYOR!DS228</f>
        <v>0</v>
      </c>
      <c r="C42" s="661">
        <f>+MAYOR!DT228</f>
        <v>0</v>
      </c>
      <c r="D42" s="661">
        <f t="shared" si="0"/>
        <v>0</v>
      </c>
      <c r="E42" s="661">
        <f t="shared" si="1"/>
        <v>0</v>
      </c>
      <c r="F42" s="662">
        <v>0</v>
      </c>
      <c r="G42" s="662">
        <v>0</v>
      </c>
      <c r="H42" s="661">
        <f t="shared" ref="H42:I45" si="5">IF(F42&lt;=0,D42,0)</f>
        <v>0</v>
      </c>
      <c r="I42" s="661">
        <f t="shared" si="5"/>
        <v>0</v>
      </c>
      <c r="J42" s="99"/>
      <c r="K42" s="476"/>
      <c r="L42" s="99"/>
    </row>
    <row r="43" spans="1:12" s="120" customFormat="1" ht="15.75" customHeight="1">
      <c r="A43" s="660" t="str">
        <f>+MAYOR!EI6</f>
        <v>DEPRECIACION DEL EJERCICIO</v>
      </c>
      <c r="B43" s="661">
        <f>+MAYOR!EI228</f>
        <v>0</v>
      </c>
      <c r="C43" s="661">
        <f>+MAYOR!EJ228</f>
        <v>0</v>
      </c>
      <c r="D43" s="661">
        <f t="shared" si="0"/>
        <v>0</v>
      </c>
      <c r="E43" s="661">
        <f t="shared" si="1"/>
        <v>0</v>
      </c>
      <c r="F43" s="662">
        <v>0</v>
      </c>
      <c r="G43" s="662">
        <v>0</v>
      </c>
      <c r="H43" s="661">
        <f t="shared" si="5"/>
        <v>0</v>
      </c>
      <c r="I43" s="661">
        <f t="shared" si="5"/>
        <v>0</v>
      </c>
      <c r="J43" s="99"/>
      <c r="K43" s="476"/>
      <c r="L43" s="99"/>
    </row>
    <row r="44" spans="1:12" s="120" customFormat="1" ht="15.75" customHeight="1">
      <c r="A44" s="660" t="str">
        <f>+MAYOR!EK6</f>
        <v>CORRECCION MONETARIA</v>
      </c>
      <c r="B44" s="661">
        <f>+MAYOR!EK228</f>
        <v>0</v>
      </c>
      <c r="C44" s="661">
        <f>+MAYOR!EL228</f>
        <v>0</v>
      </c>
      <c r="D44" s="661">
        <f t="shared" si="0"/>
        <v>0</v>
      </c>
      <c r="E44" s="661">
        <f t="shared" si="1"/>
        <v>0</v>
      </c>
      <c r="F44" s="662">
        <v>0</v>
      </c>
      <c r="G44" s="662">
        <v>0</v>
      </c>
      <c r="H44" s="661">
        <f t="shared" si="5"/>
        <v>0</v>
      </c>
      <c r="I44" s="661">
        <f t="shared" si="5"/>
        <v>0</v>
      </c>
      <c r="J44" s="99"/>
      <c r="K44" s="476"/>
      <c r="L44" s="99"/>
    </row>
    <row r="45" spans="1:12" s="120" customFormat="1" ht="15.75" customHeight="1">
      <c r="A45" s="660" t="str">
        <f>+MAYOR!EE6</f>
        <v>IMPUESTO RENTA</v>
      </c>
      <c r="B45" s="661">
        <f>+MAYOR!EE228</f>
        <v>0</v>
      </c>
      <c r="C45" s="661">
        <f>+MAYOR!EF228</f>
        <v>0</v>
      </c>
      <c r="D45" s="661">
        <f t="shared" si="0"/>
        <v>0</v>
      </c>
      <c r="E45" s="661">
        <f t="shared" si="1"/>
        <v>0</v>
      </c>
      <c r="F45" s="662">
        <v>0</v>
      </c>
      <c r="G45" s="662">
        <v>0</v>
      </c>
      <c r="H45" s="661">
        <f>IF(F45&lt;=0,D45,0)</f>
        <v>0</v>
      </c>
      <c r="I45" s="661">
        <f t="shared" si="5"/>
        <v>0</v>
      </c>
      <c r="J45" s="99"/>
      <c r="K45" s="476"/>
      <c r="L45" s="99"/>
    </row>
    <row r="46" spans="1:12" s="120" customFormat="1" ht="15.75" customHeight="1">
      <c r="A46" s="663" t="s">
        <v>24</v>
      </c>
      <c r="B46" s="664">
        <f t="shared" ref="B46:I46" si="6">SUM(B12:B45)</f>
        <v>139550584</v>
      </c>
      <c r="C46" s="664">
        <f t="shared" si="6"/>
        <v>125934667</v>
      </c>
      <c r="D46" s="664">
        <f t="shared" si="6"/>
        <v>139550584</v>
      </c>
      <c r="E46" s="664">
        <f t="shared" si="6"/>
        <v>125934667</v>
      </c>
      <c r="F46" s="664">
        <f t="shared" si="6"/>
        <v>139550584</v>
      </c>
      <c r="G46" s="664">
        <f t="shared" si="6"/>
        <v>125934667</v>
      </c>
      <c r="H46" s="664">
        <f t="shared" si="6"/>
        <v>0</v>
      </c>
      <c r="I46" s="664">
        <f t="shared" si="6"/>
        <v>0</v>
      </c>
      <c r="J46" s="99"/>
      <c r="K46" s="476"/>
      <c r="L46" s="99"/>
    </row>
    <row r="47" spans="1:12" s="120" customFormat="1" ht="15.75" customHeight="1">
      <c r="A47" s="663" t="s">
        <v>25</v>
      </c>
      <c r="B47" s="664">
        <v>0</v>
      </c>
      <c r="C47" s="664">
        <v>0</v>
      </c>
      <c r="D47" s="664">
        <v>0</v>
      </c>
      <c r="E47" s="664">
        <v>0</v>
      </c>
      <c r="F47" s="664">
        <v>0</v>
      </c>
      <c r="G47" s="664">
        <f>+F46-G46</f>
        <v>13615917</v>
      </c>
      <c r="H47" s="664">
        <f>+I46-H46</f>
        <v>0</v>
      </c>
      <c r="I47" s="664">
        <v>0</v>
      </c>
      <c r="J47" s="99"/>
      <c r="K47" s="476"/>
      <c r="L47" s="99"/>
    </row>
    <row r="48" spans="1:12" s="120" customFormat="1" ht="15.75" customHeight="1">
      <c r="A48" s="663" t="s">
        <v>26</v>
      </c>
      <c r="B48" s="664">
        <f>+B46+B47</f>
        <v>139550584</v>
      </c>
      <c r="C48" s="665">
        <f t="shared" ref="C48:I48" si="7">+C46+C47</f>
        <v>125934667</v>
      </c>
      <c r="D48" s="665">
        <f t="shared" si="7"/>
        <v>139550584</v>
      </c>
      <c r="E48" s="665">
        <f t="shared" si="7"/>
        <v>125934667</v>
      </c>
      <c r="F48" s="665">
        <f t="shared" si="7"/>
        <v>139550584</v>
      </c>
      <c r="G48" s="665">
        <f t="shared" si="7"/>
        <v>139550584</v>
      </c>
      <c r="H48" s="665">
        <f t="shared" si="7"/>
        <v>0</v>
      </c>
      <c r="I48" s="665">
        <f t="shared" si="7"/>
        <v>0</v>
      </c>
      <c r="J48" s="99"/>
      <c r="K48" s="476"/>
      <c r="L48" s="99"/>
    </row>
    <row r="49" spans="1:14" s="120" customFormat="1" ht="15.75" customHeight="1">
      <c r="A49" s="118"/>
      <c r="B49" s="118"/>
      <c r="C49" s="118"/>
      <c r="D49" s="118"/>
      <c r="E49" s="118"/>
      <c r="F49" s="118"/>
      <c r="G49" s="118">
        <f>+G47-H47</f>
        <v>13615917</v>
      </c>
      <c r="H49" s="118"/>
      <c r="I49" s="118"/>
    </row>
    <row r="50" spans="1:14" s="120" customFormat="1" ht="15.75" customHeight="1">
      <c r="A50" s="118"/>
      <c r="B50" s="767"/>
      <c r="C50" s="767"/>
      <c r="D50" s="767"/>
      <c r="E50" s="767"/>
      <c r="F50" s="767"/>
      <c r="G50" s="767"/>
      <c r="H50" s="767"/>
      <c r="I50" s="767"/>
    </row>
    <row r="51" spans="1:14" s="120" customFormat="1" ht="15.75" customHeight="1">
      <c r="A51" s="118"/>
      <c r="B51" s="767"/>
      <c r="C51" s="767"/>
      <c r="D51" s="767"/>
      <c r="E51" s="767"/>
      <c r="F51" s="767"/>
      <c r="G51" s="767"/>
      <c r="H51" s="767"/>
      <c r="I51" s="767"/>
    </row>
    <row r="52" spans="1:14" ht="15.75" customHeight="1">
      <c r="A52" s="118"/>
      <c r="B52" s="767"/>
      <c r="C52" s="767"/>
      <c r="D52" s="768"/>
      <c r="E52" s="767"/>
      <c r="F52" s="767"/>
      <c r="G52" s="767"/>
      <c r="H52" s="767"/>
      <c r="I52" s="767"/>
    </row>
    <row r="53" spans="1:14" ht="15.75" customHeight="1">
      <c r="A53" s="118"/>
      <c r="B53" s="767"/>
      <c r="C53" s="767"/>
      <c r="D53" s="768"/>
      <c r="E53" s="767"/>
      <c r="F53" s="767"/>
      <c r="G53" s="767"/>
      <c r="H53" s="767"/>
      <c r="I53" s="767"/>
    </row>
    <row r="54" spans="1:14" ht="15.75" customHeight="1">
      <c r="B54" s="768"/>
      <c r="C54" s="768"/>
      <c r="D54" s="768"/>
      <c r="E54" s="768"/>
      <c r="F54" s="768"/>
      <c r="G54" s="769"/>
      <c r="H54" s="768"/>
      <c r="I54" s="768"/>
    </row>
    <row r="55" spans="1:14" ht="15.75" customHeight="1">
      <c r="B55" s="260" t="s">
        <v>240</v>
      </c>
      <c r="C55" s="260"/>
      <c r="D55" s="257"/>
      <c r="G55" s="260" t="s">
        <v>430</v>
      </c>
      <c r="H55" s="47"/>
    </row>
    <row r="56" spans="1:14" s="96" customFormat="1" ht="15">
      <c r="B56" s="260" t="s">
        <v>236</v>
      </c>
      <c r="C56" s="260"/>
      <c r="D56" s="257"/>
      <c r="F56" s="99"/>
      <c r="G56" s="47" t="str">
        <f>+DATOS!H4</f>
        <v>MANUEL GUTIERREZ A. RUT: 10,150,081-0</v>
      </c>
      <c r="H56" s="47"/>
      <c r="J56" s="99"/>
      <c r="L56" s="99"/>
      <c r="N56" s="99"/>
    </row>
    <row r="57" spans="1:14" s="96" customFormat="1" ht="15">
      <c r="B57" s="260" t="s">
        <v>237</v>
      </c>
      <c r="C57" s="260"/>
      <c r="D57" s="257"/>
      <c r="F57" s="99"/>
      <c r="G57" s="260" t="s">
        <v>429</v>
      </c>
      <c r="H57" s="47"/>
      <c r="J57" s="99"/>
      <c r="L57" s="99"/>
      <c r="N57" s="99"/>
    </row>
    <row r="58" spans="1:14" s="96" customFormat="1" ht="15">
      <c r="B58" s="261" t="s">
        <v>568</v>
      </c>
      <c r="C58" s="260"/>
      <c r="D58" s="257"/>
      <c r="F58" s="99"/>
      <c r="G58" s="47"/>
      <c r="H58" s="47"/>
      <c r="J58" s="99"/>
      <c r="L58" s="99"/>
      <c r="M58" s="99"/>
      <c r="N58" s="99"/>
    </row>
    <row r="144" spans="1:3" ht="15.75" customHeight="1">
      <c r="A144" s="99" t="s">
        <v>111</v>
      </c>
      <c r="B144" s="99">
        <v>1199231588</v>
      </c>
      <c r="C144" s="99">
        <v>1519951732</v>
      </c>
    </row>
    <row r="145" spans="1:3" ht="15.75" customHeight="1">
      <c r="A145" s="99" t="s">
        <v>196</v>
      </c>
      <c r="B145" s="99">
        <v>1210221540</v>
      </c>
      <c r="C145" s="99">
        <v>584567899</v>
      </c>
    </row>
    <row r="146" spans="1:3" ht="15.75" customHeight="1">
      <c r="A146" s="99" t="s">
        <v>160</v>
      </c>
      <c r="B146" s="99">
        <v>251071768</v>
      </c>
      <c r="C146" s="99">
        <v>257310286</v>
      </c>
    </row>
    <row r="147" spans="1:3" ht="15.75" customHeight="1">
      <c r="A147" s="99" t="s">
        <v>142</v>
      </c>
      <c r="B147" s="99">
        <v>12249613</v>
      </c>
      <c r="C147" s="99">
        <v>2542340</v>
      </c>
    </row>
    <row r="148" spans="1:3" ht="15.75" customHeight="1">
      <c r="A148" s="99" t="s">
        <v>221</v>
      </c>
      <c r="B148" s="99">
        <v>6657464</v>
      </c>
      <c r="C148" s="99">
        <v>6657464</v>
      </c>
    </row>
    <row r="149" spans="1:3" ht="15.75" customHeight="1">
      <c r="A149" s="99" t="s">
        <v>197</v>
      </c>
      <c r="B149" s="99">
        <v>0</v>
      </c>
      <c r="C149" s="99">
        <v>0</v>
      </c>
    </row>
    <row r="150" spans="1:3" ht="15.75" customHeight="1">
      <c r="A150" s="99" t="s">
        <v>234</v>
      </c>
      <c r="B150" s="99">
        <v>3789600</v>
      </c>
      <c r="C150" s="99">
        <v>0</v>
      </c>
    </row>
    <row r="151" spans="1:3" ht="15.75" customHeight="1">
      <c r="A151" s="99" t="s">
        <v>198</v>
      </c>
      <c r="B151" s="99">
        <v>0</v>
      </c>
      <c r="C151" s="99">
        <v>0</v>
      </c>
    </row>
    <row r="152" spans="1:3" ht="15.75" customHeight="1">
      <c r="A152" s="99" t="s">
        <v>199</v>
      </c>
      <c r="B152" s="99">
        <v>241876346</v>
      </c>
      <c r="C152" s="99">
        <v>0</v>
      </c>
    </row>
    <row r="153" spans="1:3" ht="15.75" customHeight="1">
      <c r="A153" s="99" t="s">
        <v>226</v>
      </c>
      <c r="B153" s="99">
        <v>80375935</v>
      </c>
      <c r="C153" s="99">
        <v>0</v>
      </c>
    </row>
    <row r="154" spans="1:3" ht="15.75" customHeight="1">
      <c r="A154" s="99" t="s">
        <v>161</v>
      </c>
      <c r="B154" s="99">
        <v>0</v>
      </c>
      <c r="C154" s="99">
        <v>0</v>
      </c>
    </row>
    <row r="155" spans="1:3" ht="15.75" customHeight="1">
      <c r="A155" s="99" t="s">
        <v>253</v>
      </c>
      <c r="B155" s="99">
        <v>49133855</v>
      </c>
      <c r="C155" s="99">
        <v>814083</v>
      </c>
    </row>
    <row r="156" spans="1:3" ht="15.75" customHeight="1">
      <c r="A156" s="99" t="s">
        <v>255</v>
      </c>
      <c r="B156" s="99">
        <v>35697471</v>
      </c>
      <c r="C156" s="99">
        <v>0</v>
      </c>
    </row>
    <row r="157" spans="1:3" ht="15.75" customHeight="1">
      <c r="A157" s="99" t="s">
        <v>198</v>
      </c>
      <c r="B157" s="99">
        <v>0</v>
      </c>
      <c r="C157" s="99">
        <v>0</v>
      </c>
    </row>
    <row r="158" spans="1:3" ht="15.75" customHeight="1">
      <c r="A158" s="99" t="s">
        <v>225</v>
      </c>
      <c r="B158" s="99">
        <v>0</v>
      </c>
      <c r="C158" s="99">
        <v>0</v>
      </c>
    </row>
    <row r="159" spans="1:3" ht="15.75" customHeight="1">
      <c r="A159" s="99">
        <v>0</v>
      </c>
      <c r="B159" s="99">
        <v>0</v>
      </c>
      <c r="C159" s="99">
        <v>0</v>
      </c>
    </row>
    <row r="160" spans="1:3" ht="15.75" customHeight="1">
      <c r="A160" s="99">
        <v>0</v>
      </c>
      <c r="B160" s="99">
        <v>0</v>
      </c>
      <c r="C160" s="99">
        <v>0</v>
      </c>
    </row>
    <row r="161" spans="1:3" ht="15.75" customHeight="1">
      <c r="A161" s="99" t="s">
        <v>201</v>
      </c>
      <c r="B161" s="99">
        <v>0</v>
      </c>
      <c r="C161" s="99">
        <v>0</v>
      </c>
    </row>
    <row r="162" spans="1:3" ht="15.75" customHeight="1">
      <c r="A162" s="99" t="s">
        <v>164</v>
      </c>
      <c r="B162" s="99">
        <v>1306278</v>
      </c>
      <c r="C162" s="99">
        <v>1376582</v>
      </c>
    </row>
    <row r="163" spans="1:3" ht="15.75" customHeight="1">
      <c r="A163" s="99" t="s">
        <v>200</v>
      </c>
      <c r="B163" s="99">
        <v>0</v>
      </c>
      <c r="C163" s="99">
        <v>0</v>
      </c>
    </row>
    <row r="164" spans="1:3" ht="15.75" customHeight="1">
      <c r="A164" s="99" t="s">
        <v>145</v>
      </c>
      <c r="B164" s="99">
        <v>255937</v>
      </c>
      <c r="C164" s="99">
        <v>255937</v>
      </c>
    </row>
    <row r="165" spans="1:3" ht="15.75" customHeight="1">
      <c r="A165" s="99" t="s">
        <v>222</v>
      </c>
      <c r="B165" s="99">
        <v>0</v>
      </c>
      <c r="C165" s="99">
        <v>3890567</v>
      </c>
    </row>
    <row r="166" spans="1:3" ht="15.75" customHeight="1">
      <c r="A166" s="99" t="s">
        <v>230</v>
      </c>
      <c r="B166" s="99">
        <v>814083</v>
      </c>
      <c r="C166" s="99">
        <v>32246919</v>
      </c>
    </row>
    <row r="167" spans="1:3" ht="15.75" customHeight="1">
      <c r="A167" s="99" t="s">
        <v>254</v>
      </c>
      <c r="B167" s="99">
        <v>27079344</v>
      </c>
      <c r="C167" s="99">
        <v>121857048</v>
      </c>
    </row>
    <row r="168" spans="1:3" ht="15.75" customHeight="1">
      <c r="A168" s="99" t="s">
        <v>256</v>
      </c>
      <c r="B168" s="99">
        <v>2279389</v>
      </c>
      <c r="C168" s="99">
        <v>41029256</v>
      </c>
    </row>
    <row r="169" spans="1:3" ht="15.75" customHeight="1">
      <c r="A169" s="99" t="s">
        <v>257</v>
      </c>
      <c r="B169" s="99">
        <v>6250270</v>
      </c>
      <c r="C169" s="99">
        <v>75000505</v>
      </c>
    </row>
    <row r="170" spans="1:3" ht="15.75" customHeight="1">
      <c r="A170" s="99" t="s">
        <v>246</v>
      </c>
      <c r="B170" s="99">
        <v>551001</v>
      </c>
      <c r="C170" s="99">
        <v>606389</v>
      </c>
    </row>
    <row r="171" spans="1:3" ht="15.75" customHeight="1">
      <c r="A171" s="99" t="s">
        <v>159</v>
      </c>
      <c r="B171" s="99">
        <v>0</v>
      </c>
      <c r="C171" s="99">
        <v>0</v>
      </c>
    </row>
    <row r="172" spans="1:3" ht="15.75" customHeight="1">
      <c r="A172" s="99" t="s">
        <v>223</v>
      </c>
      <c r="B172" s="99">
        <v>0</v>
      </c>
      <c r="C172" s="99">
        <v>2785708</v>
      </c>
    </row>
    <row r="173" spans="1:3" ht="15.75" customHeight="1">
      <c r="A173" s="99" t="s">
        <v>227</v>
      </c>
      <c r="B173" s="99">
        <v>0</v>
      </c>
      <c r="C173" s="99">
        <v>9374788</v>
      </c>
    </row>
    <row r="174" spans="1:3" ht="15.75" customHeight="1">
      <c r="A174" s="99" t="s">
        <v>251</v>
      </c>
      <c r="B174" s="99">
        <v>0</v>
      </c>
      <c r="C174" s="99">
        <v>6317820</v>
      </c>
    </row>
    <row r="175" spans="1:3" ht="15.75" customHeight="1">
      <c r="A175" s="99" t="s">
        <v>252</v>
      </c>
      <c r="B175" s="99">
        <v>0</v>
      </c>
      <c r="C175" s="99">
        <v>88007868</v>
      </c>
    </row>
    <row r="176" spans="1:3" ht="15.75" customHeight="1">
      <c r="A176" s="99" t="s">
        <v>53</v>
      </c>
      <c r="B176" s="99">
        <v>0</v>
      </c>
      <c r="C176" s="99">
        <v>20000000</v>
      </c>
    </row>
    <row r="177" spans="1:3" ht="15.75" customHeight="1">
      <c r="A177" s="99" t="s">
        <v>143</v>
      </c>
      <c r="B177" s="99">
        <v>0</v>
      </c>
      <c r="C177" s="99">
        <v>500000</v>
      </c>
    </row>
    <row r="178" spans="1:3" ht="15.75" customHeight="1">
      <c r="A178" s="99" t="s">
        <v>66</v>
      </c>
      <c r="B178" s="99">
        <v>0</v>
      </c>
      <c r="C178" s="99">
        <v>0</v>
      </c>
    </row>
    <row r="179" spans="1:3" ht="15.75" customHeight="1">
      <c r="A179" s="99" t="s">
        <v>194</v>
      </c>
      <c r="B179" s="99">
        <v>10000000</v>
      </c>
      <c r="C179" s="99">
        <v>62003027</v>
      </c>
    </row>
    <row r="180" spans="1:3" ht="15.75" customHeight="1">
      <c r="A180" s="99" t="s">
        <v>180</v>
      </c>
      <c r="B180" s="99">
        <v>0</v>
      </c>
      <c r="C180" s="99">
        <v>1354264665</v>
      </c>
    </row>
    <row r="181" spans="1:3" ht="15.75" customHeight="1">
      <c r="A181" s="99" t="s">
        <v>182</v>
      </c>
      <c r="B181" s="99">
        <v>0</v>
      </c>
      <c r="C181" s="99">
        <v>0</v>
      </c>
    </row>
    <row r="182" spans="1:3" ht="15.75" customHeight="1">
      <c r="A182" s="99" t="s">
        <v>181</v>
      </c>
      <c r="B182" s="99">
        <v>0</v>
      </c>
      <c r="C182" s="99">
        <v>0</v>
      </c>
    </row>
    <row r="183" spans="1:3" ht="15.75" customHeight="1">
      <c r="A183" s="99" t="s">
        <v>183</v>
      </c>
      <c r="B183" s="99">
        <v>0</v>
      </c>
      <c r="C183" s="99">
        <v>0</v>
      </c>
    </row>
    <row r="184" spans="1:3" ht="15.75" customHeight="1">
      <c r="A184" s="99" t="s">
        <v>177</v>
      </c>
      <c r="B184" s="99">
        <v>606389</v>
      </c>
      <c r="C184" s="99">
        <v>0</v>
      </c>
    </row>
    <row r="185" spans="1:3" ht="15.75" customHeight="1">
      <c r="A185" s="99" t="s">
        <v>229</v>
      </c>
      <c r="B185" s="99">
        <v>0</v>
      </c>
    </row>
    <row r="186" spans="1:3" ht="15.75" customHeight="1">
      <c r="A186" s="99" t="s">
        <v>178</v>
      </c>
      <c r="B186" s="99">
        <v>684941638</v>
      </c>
    </row>
    <row r="187" spans="1:3" ht="15.75" customHeight="1">
      <c r="A187" s="99">
        <v>0</v>
      </c>
      <c r="B187" s="99">
        <v>0</v>
      </c>
      <c r="C187" s="99">
        <v>0</v>
      </c>
    </row>
    <row r="188" spans="1:3" ht="15.75" customHeight="1">
      <c r="A188" s="99" t="s">
        <v>232</v>
      </c>
      <c r="B188" s="99">
        <v>0</v>
      </c>
      <c r="C188" s="99">
        <v>0</v>
      </c>
    </row>
    <row r="189" spans="1:3" ht="15.75" customHeight="1">
      <c r="A189" s="99" t="s">
        <v>233</v>
      </c>
      <c r="B189" s="99">
        <v>0</v>
      </c>
      <c r="C189" s="99">
        <v>0</v>
      </c>
    </row>
    <row r="190" spans="1:3" ht="15.75" customHeight="1">
      <c r="A190" s="99">
        <v>0</v>
      </c>
      <c r="B190" s="99">
        <v>0</v>
      </c>
      <c r="C190" s="99">
        <v>0</v>
      </c>
    </row>
    <row r="191" spans="1:3" ht="15.75" customHeight="1">
      <c r="A191" s="99">
        <v>0</v>
      </c>
      <c r="B191" s="99">
        <v>0</v>
      </c>
      <c r="C191" s="99">
        <v>0</v>
      </c>
    </row>
    <row r="192" spans="1:3" ht="15.75" customHeight="1">
      <c r="A192" s="99">
        <v>0</v>
      </c>
      <c r="B192" s="99">
        <v>0</v>
      </c>
      <c r="C192" s="99">
        <v>0</v>
      </c>
    </row>
    <row r="193" spans="1:3" ht="15.75" customHeight="1">
      <c r="A193" s="99">
        <v>0</v>
      </c>
      <c r="B193" s="99">
        <v>0</v>
      </c>
      <c r="C193" s="99">
        <v>0</v>
      </c>
    </row>
    <row r="194" spans="1:3" ht="15.75" customHeight="1">
      <c r="A194" s="99">
        <v>0</v>
      </c>
      <c r="B194" s="99">
        <v>0</v>
      </c>
      <c r="C194" s="99">
        <v>0</v>
      </c>
    </row>
    <row r="195" spans="1:3" ht="15.75" customHeight="1">
      <c r="A195" s="99">
        <v>0</v>
      </c>
      <c r="B195" s="99">
        <v>0</v>
      </c>
      <c r="C195" s="99">
        <v>0</v>
      </c>
    </row>
    <row r="196" spans="1:3" ht="15.75" customHeight="1">
      <c r="A196" s="99">
        <v>0</v>
      </c>
      <c r="B196" s="99">
        <v>0</v>
      </c>
      <c r="C196" s="99">
        <v>0</v>
      </c>
    </row>
    <row r="197" spans="1:3" ht="15.75" customHeight="1">
      <c r="A197" s="99" t="s">
        <v>3</v>
      </c>
      <c r="B197" s="99">
        <v>1038228070</v>
      </c>
      <c r="C197" s="99">
        <v>684941638</v>
      </c>
    </row>
    <row r="198" spans="1:3" ht="15.75" customHeight="1">
      <c r="A198" s="99">
        <v>0</v>
      </c>
      <c r="B198" s="99">
        <v>0</v>
      </c>
      <c r="C198" s="99">
        <v>0</v>
      </c>
    </row>
    <row r="199" spans="1:3" ht="15.75" customHeight="1">
      <c r="A199" s="99">
        <v>0</v>
      </c>
      <c r="B199" s="99">
        <v>0</v>
      </c>
      <c r="C199" s="99">
        <v>0</v>
      </c>
    </row>
    <row r="200" spans="1:3" ht="15.75" customHeight="1">
      <c r="A200" s="99" t="s">
        <v>224</v>
      </c>
      <c r="B200" s="99">
        <v>13765820</v>
      </c>
      <c r="C200" s="99">
        <v>0</v>
      </c>
    </row>
    <row r="201" spans="1:3" ht="15.75" customHeight="1">
      <c r="A201" s="99" t="s">
        <v>144</v>
      </c>
      <c r="B201" s="99">
        <v>0</v>
      </c>
      <c r="C201" s="99">
        <v>0</v>
      </c>
    </row>
    <row r="202" spans="1:3" ht="15.75" customHeight="1">
      <c r="A202" s="99" t="s">
        <v>2</v>
      </c>
      <c r="B202" s="99">
        <v>48994</v>
      </c>
      <c r="C202" s="99">
        <v>129871</v>
      </c>
    </row>
    <row r="203" spans="1:3" ht="15.75" customHeight="1">
      <c r="A203" s="99" t="s">
        <v>146</v>
      </c>
      <c r="B203" s="99">
        <v>0</v>
      </c>
      <c r="C203" s="99">
        <v>0</v>
      </c>
    </row>
    <row r="205" spans="1:3" ht="15.75" customHeight="1">
      <c r="A205" s="99" t="s">
        <v>24</v>
      </c>
      <c r="B205" s="99">
        <v>4876432393</v>
      </c>
      <c r="C205" s="99">
        <v>4876432392</v>
      </c>
    </row>
    <row r="206" spans="1:3" ht="15.75" customHeight="1">
      <c r="A206" s="99" t="s">
        <v>25</v>
      </c>
      <c r="B206" s="99">
        <v>0</v>
      </c>
      <c r="C206" s="99">
        <v>0</v>
      </c>
    </row>
    <row r="207" spans="1:3" ht="15.75" customHeight="1">
      <c r="A207" s="99" t="s">
        <v>26</v>
      </c>
      <c r="B207" s="99">
        <v>4876432393</v>
      </c>
      <c r="C207" s="99">
        <v>4876432392</v>
      </c>
    </row>
  </sheetData>
  <printOptions horizontalCentered="1"/>
  <pageMargins left="0.78740157480314965" right="0.46" top="0.17" bottom="0.22" header="0.17" footer="0.17"/>
  <pageSetup scale="58" orientation="landscape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1"/>
  <sheetViews>
    <sheetView workbookViewId="0">
      <selection activeCell="K9" sqref="K9"/>
    </sheetView>
  </sheetViews>
  <sheetFormatPr baseColWidth="10" defaultRowHeight="12.75"/>
  <sheetData>
    <row r="1" spans="1:13">
      <c r="A1" s="167" t="str">
        <f>+DATOS!B1</f>
        <v>SOCIEDAD COMERCIAL SOLMET SpA</v>
      </c>
      <c r="B1" s="167"/>
      <c r="C1" s="167"/>
      <c r="D1" s="167"/>
    </row>
    <row r="2" spans="1:13">
      <c r="A2" s="167" t="str">
        <f>+DATOS!B2</f>
        <v>BOMBEROS SALAS #1445 OFC 601B</v>
      </c>
      <c r="B2" s="167"/>
      <c r="C2" s="167"/>
      <c r="D2" s="167"/>
    </row>
    <row r="3" spans="1:13">
      <c r="A3" s="167" t="str">
        <f>+DATOS!B3</f>
        <v>RUT: 76.541.377-K</v>
      </c>
      <c r="B3" s="167"/>
      <c r="C3" s="167"/>
      <c r="D3" s="167"/>
    </row>
    <row r="4" spans="1:13">
      <c r="A4" s="167"/>
      <c r="B4" s="167"/>
      <c r="C4" s="167"/>
      <c r="D4" s="167"/>
    </row>
    <row r="7" spans="1:13" ht="26.25" thickBot="1">
      <c r="C7" s="858" t="s">
        <v>733</v>
      </c>
    </row>
    <row r="8" spans="1:13" ht="36.75" thickBot="1">
      <c r="C8" s="863" t="s">
        <v>734</v>
      </c>
      <c r="D8" s="864" t="s">
        <v>735</v>
      </c>
      <c r="E8" s="864" t="s">
        <v>736</v>
      </c>
      <c r="F8" s="864" t="s">
        <v>737</v>
      </c>
      <c r="G8" s="864" t="s">
        <v>738</v>
      </c>
      <c r="H8" s="864" t="s">
        <v>739</v>
      </c>
      <c r="I8" s="865" t="s">
        <v>740</v>
      </c>
      <c r="J8" s="861">
        <v>1000</v>
      </c>
      <c r="K8" s="868">
        <v>22231997</v>
      </c>
      <c r="L8" s="869">
        <v>0.1</v>
      </c>
      <c r="M8" s="870">
        <v>0.111111</v>
      </c>
    </row>
    <row r="9" spans="1:13" ht="48.75" thickBot="1">
      <c r="C9" s="866" t="s">
        <v>741</v>
      </c>
      <c r="D9" s="860" t="s">
        <v>742</v>
      </c>
      <c r="E9" s="860">
        <v>1</v>
      </c>
      <c r="F9" s="860">
        <v>0</v>
      </c>
      <c r="G9" s="860">
        <v>50</v>
      </c>
      <c r="H9" s="860">
        <v>90</v>
      </c>
      <c r="I9" s="867">
        <v>42898</v>
      </c>
      <c r="J9" s="871">
        <f>+$J$8*G9%</f>
        <v>500</v>
      </c>
      <c r="K9" s="872">
        <f>+ROUND($K$8*H9%,0)</f>
        <v>20008797</v>
      </c>
      <c r="L9" s="872"/>
      <c r="M9" s="873">
        <f>ROUND((+K9*$M$8),0)+2</f>
        <v>2223199</v>
      </c>
    </row>
    <row r="10" spans="1:13" ht="60.75" thickBot="1">
      <c r="C10" s="866" t="s">
        <v>743</v>
      </c>
      <c r="D10" s="860" t="s">
        <v>744</v>
      </c>
      <c r="E10" s="860">
        <v>1</v>
      </c>
      <c r="F10" s="860">
        <v>0</v>
      </c>
      <c r="G10" s="860">
        <v>50</v>
      </c>
      <c r="H10" s="860">
        <v>10</v>
      </c>
      <c r="I10" s="867">
        <v>43440</v>
      </c>
      <c r="J10" s="871">
        <f>+$J$8*G10%</f>
        <v>500</v>
      </c>
      <c r="K10" s="872">
        <f>+ROUND($K$8*H10%,0)</f>
        <v>2223200</v>
      </c>
      <c r="L10" s="872"/>
      <c r="M10" s="873">
        <f>ROUND((+K10*$M$8),0)+1</f>
        <v>247023</v>
      </c>
    </row>
    <row r="11" spans="1:13" ht="13.5" thickBot="1">
      <c r="C11" s="1443" t="s">
        <v>745</v>
      </c>
      <c r="D11" s="1444"/>
      <c r="E11" s="859">
        <v>2</v>
      </c>
      <c r="F11" s="859">
        <v>0</v>
      </c>
      <c r="G11" s="859">
        <v>100</v>
      </c>
      <c r="H11" s="859">
        <v>100</v>
      </c>
      <c r="I11" s="862"/>
      <c r="J11" s="874">
        <f>SUM(J9:J10)</f>
        <v>1000</v>
      </c>
      <c r="K11" s="874">
        <f>SUM(K9:K10)</f>
        <v>22231997</v>
      </c>
      <c r="L11" s="874">
        <f>SUM(L9:L10)</f>
        <v>0</v>
      </c>
      <c r="M11" s="874">
        <f>+M9+M10</f>
        <v>2470222</v>
      </c>
    </row>
    <row r="12" spans="1:13">
      <c r="C12" s="1445" t="s">
        <v>746</v>
      </c>
      <c r="D12" s="1446"/>
      <c r="E12" s="1445">
        <v>2</v>
      </c>
      <c r="F12" s="1446"/>
      <c r="M12" s="874">
        <f>+M11-L19</f>
        <v>6987446.4000000004</v>
      </c>
    </row>
    <row r="17" spans="11:13">
      <c r="K17" s="248"/>
      <c r="L17" s="875" t="s">
        <v>747</v>
      </c>
    </row>
    <row r="18" spans="11:13">
      <c r="K18" s="166" t="s">
        <v>748</v>
      </c>
      <c r="L18" s="876">
        <f>+'BT IMPRESION'!H58</f>
        <v>-49338105</v>
      </c>
      <c r="M18" s="873"/>
    </row>
    <row r="19" spans="11:13">
      <c r="K19" s="166" t="s">
        <v>107</v>
      </c>
      <c r="L19" s="877">
        <f>+'BT IMPRESION'!G62</f>
        <v>-4517224.4000000004</v>
      </c>
      <c r="M19" s="873"/>
    </row>
    <row r="20" spans="11:13">
      <c r="K20" s="166" t="s">
        <v>749</v>
      </c>
      <c r="L20" s="873">
        <f>SUM(L18:L19)</f>
        <v>-53855329.399999999</v>
      </c>
      <c r="M20" s="873">
        <f>+ROUND((L20*0.1),0)</f>
        <v>-5385533</v>
      </c>
    </row>
    <row r="21" spans="11:13">
      <c r="L21" s="873">
        <f>+L20*0.1</f>
        <v>-5385532.9400000004</v>
      </c>
      <c r="M21" s="873">
        <f>+L20-M20</f>
        <v>-48469796.399999999</v>
      </c>
    </row>
  </sheetData>
  <mergeCells count="3">
    <mergeCell ref="C11:D11"/>
    <mergeCell ref="C12:D12"/>
    <mergeCell ref="E12:F12"/>
  </mergeCells>
  <hyperlinks>
    <hyperlink ref="C7" r:id="rId1" tooltip="Actualizar datos de socios" display="javascript:linkexterno(7)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AN22"/>
  <sheetViews>
    <sheetView workbookViewId="0">
      <selection activeCell="G6" sqref="G6"/>
    </sheetView>
  </sheetViews>
  <sheetFormatPr baseColWidth="10" defaultColWidth="11.42578125" defaultRowHeight="15"/>
  <cols>
    <col min="1" max="16384" width="11.42578125" style="1091"/>
  </cols>
  <sheetData>
    <row r="7" spans="4:40" ht="15.75" thickBot="1"/>
    <row r="8" spans="4:40" ht="15.75" thickBot="1">
      <c r="D8" s="1092">
        <v>432</v>
      </c>
      <c r="E8" s="1092">
        <v>0</v>
      </c>
      <c r="F8" s="1092" t="s">
        <v>891</v>
      </c>
      <c r="G8" s="1092"/>
      <c r="H8" s="1092"/>
      <c r="I8" s="1092"/>
      <c r="J8" s="1092" t="s">
        <v>892</v>
      </c>
      <c r="K8" s="1092" t="s">
        <v>892</v>
      </c>
      <c r="L8" s="1092" t="s">
        <v>892</v>
      </c>
      <c r="M8" s="1092">
        <v>793432</v>
      </c>
      <c r="N8" s="1092"/>
      <c r="O8" s="1092"/>
      <c r="P8" s="1092"/>
      <c r="Q8" s="1092"/>
      <c r="R8" s="1092"/>
      <c r="S8" s="1092">
        <v>1</v>
      </c>
      <c r="T8" s="1092">
        <v>0</v>
      </c>
      <c r="U8" s="1092">
        <v>0</v>
      </c>
      <c r="V8" s="1092">
        <v>0</v>
      </c>
      <c r="W8" s="1093">
        <v>345636</v>
      </c>
      <c r="X8" s="1093">
        <v>445720</v>
      </c>
      <c r="Y8" s="1093">
        <v>264596</v>
      </c>
      <c r="Z8" s="1093">
        <v>197684</v>
      </c>
      <c r="AA8" s="1092">
        <v>0</v>
      </c>
      <c r="AB8" s="1092">
        <v>0</v>
      </c>
      <c r="AC8" s="1092">
        <v>0</v>
      </c>
      <c r="AD8" s="1092">
        <v>0</v>
      </c>
      <c r="AE8" s="1092">
        <v>0</v>
      </c>
      <c r="AF8" s="1094"/>
      <c r="AG8" s="1094"/>
      <c r="AH8" s="1094"/>
      <c r="AI8" s="1094"/>
      <c r="AJ8" s="1094"/>
      <c r="AK8" s="1094"/>
      <c r="AL8" s="1094"/>
      <c r="AM8" s="1094"/>
      <c r="AN8" s="1094"/>
    </row>
    <row r="9" spans="4:40" ht="15.75" thickBot="1">
      <c r="D9" s="1095" t="s">
        <v>893</v>
      </c>
      <c r="E9" s="1096">
        <v>2</v>
      </c>
      <c r="F9" s="1093">
        <v>9979911</v>
      </c>
      <c r="G9" s="1097" t="s">
        <v>893</v>
      </c>
      <c r="H9" s="1092">
        <v>0</v>
      </c>
      <c r="I9" s="1093">
        <v>4650921</v>
      </c>
      <c r="J9" s="1092">
        <v>0</v>
      </c>
      <c r="K9" s="1092">
        <v>0</v>
      </c>
      <c r="L9" s="1092">
        <v>0</v>
      </c>
      <c r="M9" s="1093">
        <v>135265</v>
      </c>
      <c r="N9" s="1092">
        <v>0</v>
      </c>
      <c r="O9" s="1092">
        <v>0</v>
      </c>
      <c r="P9" s="1092"/>
      <c r="Q9" s="1092"/>
      <c r="R9" s="1092"/>
      <c r="S9" s="1092" t="s">
        <v>894</v>
      </c>
      <c r="T9" s="1092" t="s">
        <v>894</v>
      </c>
      <c r="U9" s="1092" t="s">
        <v>894</v>
      </c>
      <c r="V9" s="1092" t="s">
        <v>894</v>
      </c>
      <c r="W9" s="1092" t="s">
        <v>894</v>
      </c>
      <c r="X9" s="1092" t="s">
        <v>894</v>
      </c>
      <c r="Y9" s="1092" t="s">
        <v>894</v>
      </c>
      <c r="Z9" s="1092" t="s">
        <v>894</v>
      </c>
      <c r="AA9" s="1092" t="s">
        <v>894</v>
      </c>
      <c r="AB9" s="1092">
        <v>2</v>
      </c>
      <c r="AC9" s="1092">
        <v>0</v>
      </c>
      <c r="AD9" s="1092">
        <v>0</v>
      </c>
      <c r="AE9" s="1092">
        <v>0</v>
      </c>
      <c r="AF9" s="1093">
        <v>345636</v>
      </c>
      <c r="AG9" s="1093">
        <v>506500</v>
      </c>
      <c r="AH9" s="1093">
        <v>506500</v>
      </c>
      <c r="AI9" s="1093">
        <v>504812</v>
      </c>
      <c r="AJ9" s="1093">
        <v>504812</v>
      </c>
      <c r="AK9" s="1093">
        <v>521640</v>
      </c>
      <c r="AL9" s="1093">
        <v>618088</v>
      </c>
      <c r="AM9" s="1093">
        <v>505937</v>
      </c>
      <c r="AN9" s="1093">
        <v>505937</v>
      </c>
    </row>
    <row r="10" spans="4:40" ht="15.75" thickBot="1">
      <c r="D10" s="1095" t="s">
        <v>893</v>
      </c>
      <c r="E10" s="1096">
        <v>3</v>
      </c>
      <c r="F10" s="1093">
        <v>10150081</v>
      </c>
      <c r="G10" s="1097" t="s">
        <v>893</v>
      </c>
      <c r="H10" s="1092">
        <v>0</v>
      </c>
      <c r="I10" s="1093">
        <v>319051</v>
      </c>
      <c r="J10" s="1092">
        <v>0</v>
      </c>
      <c r="K10" s="1092">
        <v>0</v>
      </c>
      <c r="L10" s="1092">
        <v>0</v>
      </c>
      <c r="M10" s="1092">
        <v>0</v>
      </c>
      <c r="N10" s="1092">
        <v>0</v>
      </c>
      <c r="O10" s="1092">
        <v>0</v>
      </c>
      <c r="P10" s="1092"/>
      <c r="Q10" s="1092"/>
      <c r="R10" s="1092"/>
      <c r="S10" s="1092"/>
      <c r="T10" s="1092"/>
      <c r="U10" s="1092"/>
      <c r="V10" s="1092"/>
      <c r="W10" s="1092"/>
      <c r="X10" s="1092"/>
      <c r="Y10" s="1092" t="s">
        <v>894</v>
      </c>
      <c r="Z10" s="1092"/>
      <c r="AA10" s="1092"/>
      <c r="AB10" s="1092">
        <v>3</v>
      </c>
      <c r="AC10" s="1092">
        <v>0</v>
      </c>
      <c r="AD10" s="1092">
        <v>0</v>
      </c>
      <c r="AE10" s="1092">
        <v>0</v>
      </c>
      <c r="AF10" s="1092">
        <v>0</v>
      </c>
      <c r="AG10" s="1092">
        <v>0</v>
      </c>
      <c r="AH10" s="1092">
        <v>0</v>
      </c>
      <c r="AI10" s="1092">
        <v>0</v>
      </c>
      <c r="AJ10" s="1092">
        <v>0</v>
      </c>
      <c r="AK10" s="1092">
        <v>0</v>
      </c>
      <c r="AL10" s="1093">
        <v>313410</v>
      </c>
      <c r="AM10" s="1092">
        <v>0</v>
      </c>
      <c r="AN10" s="1092">
        <v>0</v>
      </c>
    </row>
    <row r="11" spans="4:40" ht="15.75" thickBot="1">
      <c r="D11" s="1095" t="s">
        <v>893</v>
      </c>
      <c r="E11" s="1096">
        <v>4</v>
      </c>
      <c r="F11" s="1093">
        <v>11695440</v>
      </c>
      <c r="G11" s="1097" t="s">
        <v>893</v>
      </c>
      <c r="H11" s="1092">
        <v>0</v>
      </c>
      <c r="I11" s="1093">
        <v>171764</v>
      </c>
      <c r="J11" s="1092">
        <v>0</v>
      </c>
      <c r="K11" s="1092">
        <v>0</v>
      </c>
      <c r="L11" s="1092">
        <v>0</v>
      </c>
      <c r="M11" s="1092">
        <v>0</v>
      </c>
      <c r="N11" s="1092">
        <v>0</v>
      </c>
      <c r="O11" s="1092">
        <v>0</v>
      </c>
      <c r="P11" s="1092"/>
      <c r="Q11" s="1092"/>
      <c r="R11" s="1092"/>
      <c r="S11" s="1092"/>
      <c r="T11" s="1092"/>
      <c r="U11" s="1092"/>
      <c r="V11" s="1092"/>
      <c r="W11" s="1092"/>
      <c r="X11" s="1092"/>
      <c r="Y11" s="1092"/>
      <c r="Z11" s="1092"/>
      <c r="AA11" s="1092" t="s">
        <v>894</v>
      </c>
      <c r="AB11" s="1092">
        <v>4</v>
      </c>
      <c r="AC11" s="1092">
        <v>0</v>
      </c>
      <c r="AD11" s="1092">
        <v>0</v>
      </c>
      <c r="AE11" s="1092">
        <v>0</v>
      </c>
      <c r="AF11" s="1092">
        <v>0</v>
      </c>
      <c r="AG11" s="1092">
        <v>0</v>
      </c>
      <c r="AH11" s="1092">
        <v>0</v>
      </c>
      <c r="AI11" s="1092">
        <v>0</v>
      </c>
      <c r="AJ11" s="1092">
        <v>0</v>
      </c>
      <c r="AK11" s="1092">
        <v>0</v>
      </c>
      <c r="AL11" s="1092">
        <v>0</v>
      </c>
      <c r="AM11" s="1092">
        <v>0</v>
      </c>
      <c r="AN11" s="1093">
        <v>171764</v>
      </c>
    </row>
    <row r="12" spans="4:40" ht="15.75" thickBot="1">
      <c r="D12" s="1095" t="s">
        <v>893</v>
      </c>
      <c r="E12" s="1096">
        <v>5</v>
      </c>
      <c r="F12" s="1093">
        <v>11812546</v>
      </c>
      <c r="G12" s="1097" t="s">
        <v>893</v>
      </c>
      <c r="H12" s="1092">
        <v>0</v>
      </c>
      <c r="I12" s="1093">
        <v>3967290</v>
      </c>
      <c r="J12" s="1092">
        <v>0</v>
      </c>
      <c r="K12" s="1092">
        <v>0</v>
      </c>
      <c r="L12" s="1092">
        <v>0</v>
      </c>
      <c r="M12" s="1092">
        <v>0</v>
      </c>
      <c r="N12" s="1092">
        <v>0</v>
      </c>
      <c r="O12" s="1092">
        <v>0</v>
      </c>
      <c r="P12" s="1092" t="s">
        <v>894</v>
      </c>
      <c r="Q12" s="1092" t="s">
        <v>894</v>
      </c>
      <c r="R12" s="1092" t="s">
        <v>894</v>
      </c>
      <c r="S12" s="1092" t="s">
        <v>894</v>
      </c>
      <c r="T12" s="1092" t="s">
        <v>894</v>
      </c>
      <c r="U12" s="1092" t="s">
        <v>894</v>
      </c>
      <c r="V12" s="1092" t="s">
        <v>894</v>
      </c>
      <c r="W12" s="1092" t="s">
        <v>894</v>
      </c>
      <c r="X12" s="1092" t="s">
        <v>894</v>
      </c>
      <c r="Y12" s="1092" t="s">
        <v>894</v>
      </c>
      <c r="Z12" s="1092" t="s">
        <v>894</v>
      </c>
      <c r="AA12" s="1092" t="s">
        <v>894</v>
      </c>
      <c r="AB12" s="1092">
        <v>5</v>
      </c>
      <c r="AC12" s="1093">
        <v>262865</v>
      </c>
      <c r="AD12" s="1093">
        <v>262865</v>
      </c>
      <c r="AE12" s="1093">
        <v>262865</v>
      </c>
      <c r="AF12" s="1093">
        <v>264041</v>
      </c>
      <c r="AG12" s="1093">
        <v>264041</v>
      </c>
      <c r="AH12" s="1093">
        <v>330050</v>
      </c>
      <c r="AI12" s="1093">
        <v>377611</v>
      </c>
      <c r="AJ12" s="1093">
        <v>362296</v>
      </c>
      <c r="AK12" s="1093">
        <v>360685</v>
      </c>
      <c r="AL12" s="1093">
        <v>362296</v>
      </c>
      <c r="AM12" s="1093">
        <v>362296</v>
      </c>
      <c r="AN12" s="1093">
        <v>362296</v>
      </c>
    </row>
    <row r="13" spans="4:40" ht="15.75" thickBot="1">
      <c r="D13" s="1095" t="s">
        <v>893</v>
      </c>
      <c r="E13" s="1096">
        <v>6</v>
      </c>
      <c r="F13" s="1093">
        <v>13348955</v>
      </c>
      <c r="G13" s="1097" t="s">
        <v>893</v>
      </c>
      <c r="H13" s="1092" t="s">
        <v>895</v>
      </c>
      <c r="I13" s="1093">
        <v>589045</v>
      </c>
      <c r="J13" s="1092">
        <v>0</v>
      </c>
      <c r="K13" s="1092">
        <v>0</v>
      </c>
      <c r="L13" s="1092">
        <v>0</v>
      </c>
      <c r="M13" s="1093">
        <v>715632</v>
      </c>
      <c r="N13" s="1092">
        <v>0</v>
      </c>
      <c r="O13" s="1092">
        <v>0</v>
      </c>
      <c r="P13" s="1092"/>
      <c r="Q13" s="1092"/>
      <c r="R13" s="1092"/>
      <c r="S13" s="1092"/>
      <c r="T13" s="1092"/>
      <c r="U13" s="1092"/>
      <c r="V13" s="1092" t="s">
        <v>894</v>
      </c>
      <c r="W13" s="1092"/>
      <c r="X13" s="1092"/>
      <c r="Y13" s="1092"/>
      <c r="Z13" s="1092"/>
      <c r="AA13" s="1092"/>
      <c r="AB13" s="1092">
        <v>6</v>
      </c>
      <c r="AC13" s="1092">
        <v>0</v>
      </c>
      <c r="AD13" s="1092">
        <v>0</v>
      </c>
      <c r="AE13" s="1092">
        <v>0</v>
      </c>
      <c r="AF13" s="1092">
        <v>0</v>
      </c>
      <c r="AG13" s="1092">
        <v>0</v>
      </c>
      <c r="AH13" s="1092">
        <v>0</v>
      </c>
      <c r="AI13" s="1093">
        <v>564760</v>
      </c>
      <c r="AJ13" s="1092">
        <v>0</v>
      </c>
      <c r="AK13" s="1092">
        <v>0</v>
      </c>
      <c r="AL13" s="1092">
        <v>0</v>
      </c>
      <c r="AM13" s="1092">
        <v>0</v>
      </c>
      <c r="AN13" s="1092">
        <v>0</v>
      </c>
    </row>
    <row r="14" spans="4:40" ht="15.75" thickBot="1">
      <c r="D14" s="1095" t="s">
        <v>893</v>
      </c>
      <c r="E14" s="1096">
        <v>7</v>
      </c>
      <c r="F14" s="1093">
        <v>13895424</v>
      </c>
      <c r="G14" s="1097" t="s">
        <v>893</v>
      </c>
      <c r="H14" s="1092">
        <v>2</v>
      </c>
      <c r="I14" s="1093">
        <v>558187</v>
      </c>
      <c r="J14" s="1092">
        <v>0</v>
      </c>
      <c r="K14" s="1092">
        <v>0</v>
      </c>
      <c r="L14" s="1092">
        <v>0</v>
      </c>
      <c r="M14" s="1093">
        <v>1805367</v>
      </c>
      <c r="N14" s="1092">
        <v>0</v>
      </c>
      <c r="O14" s="1092">
        <v>0</v>
      </c>
      <c r="P14" s="1092" t="s">
        <v>894</v>
      </c>
      <c r="Q14" s="1092" t="s">
        <v>894</v>
      </c>
      <c r="R14" s="1092"/>
      <c r="S14" s="1092"/>
      <c r="T14" s="1092"/>
      <c r="U14" s="1092"/>
      <c r="V14" s="1092"/>
      <c r="W14" s="1092"/>
      <c r="X14" s="1092"/>
      <c r="Y14" s="1092"/>
      <c r="Z14" s="1092"/>
      <c r="AA14" s="1092"/>
      <c r="AB14" s="1092">
        <v>7</v>
      </c>
      <c r="AC14" s="1093">
        <v>263420</v>
      </c>
      <c r="AD14" s="1093">
        <v>263420</v>
      </c>
      <c r="AE14" s="1092">
        <v>0</v>
      </c>
      <c r="AF14" s="1092">
        <v>0</v>
      </c>
      <c r="AG14" s="1092">
        <v>0</v>
      </c>
      <c r="AH14" s="1092">
        <v>0</v>
      </c>
      <c r="AI14" s="1092">
        <v>0</v>
      </c>
      <c r="AJ14" s="1092">
        <v>0</v>
      </c>
      <c r="AK14" s="1092">
        <v>0</v>
      </c>
      <c r="AL14" s="1092">
        <v>0</v>
      </c>
      <c r="AM14" s="1092">
        <v>0</v>
      </c>
      <c r="AN14" s="1092">
        <v>0</v>
      </c>
    </row>
    <row r="15" spans="4:40" ht="15.75" thickBot="1">
      <c r="D15" s="1095" t="s">
        <v>893</v>
      </c>
      <c r="E15" s="1096">
        <v>8</v>
      </c>
      <c r="F15" s="1093">
        <v>14017319</v>
      </c>
      <c r="G15" s="1097" t="s">
        <v>893</v>
      </c>
      <c r="H15" s="1092">
        <v>3</v>
      </c>
      <c r="I15" s="1093">
        <v>2602756</v>
      </c>
      <c r="J15" s="1092">
        <v>0</v>
      </c>
      <c r="K15" s="1092">
        <v>0</v>
      </c>
      <c r="L15" s="1092">
        <v>0</v>
      </c>
      <c r="M15" s="1093">
        <v>2380427</v>
      </c>
      <c r="N15" s="1092">
        <v>0</v>
      </c>
      <c r="O15" s="1092">
        <v>0</v>
      </c>
      <c r="P15" s="1092" t="s">
        <v>894</v>
      </c>
      <c r="Q15" s="1092" t="s">
        <v>894</v>
      </c>
      <c r="R15" s="1092" t="s">
        <v>894</v>
      </c>
      <c r="S15" s="1092" t="s">
        <v>894</v>
      </c>
      <c r="T15" s="1092" t="s">
        <v>894</v>
      </c>
      <c r="U15" s="1092" t="s">
        <v>894</v>
      </c>
      <c r="V15" s="1092" t="s">
        <v>894</v>
      </c>
      <c r="W15" s="1092" t="s">
        <v>894</v>
      </c>
      <c r="X15" s="1092"/>
      <c r="Y15" s="1092"/>
      <c r="Z15" s="1092"/>
      <c r="AA15" s="1092"/>
      <c r="AB15" s="1092">
        <v>8</v>
      </c>
      <c r="AC15" s="1093">
        <v>265053</v>
      </c>
      <c r="AD15" s="1093">
        <v>265053</v>
      </c>
      <c r="AE15" s="1093">
        <v>331315</v>
      </c>
      <c r="AF15" s="1093">
        <v>266228</v>
      </c>
      <c r="AG15" s="1093">
        <v>333151</v>
      </c>
      <c r="AH15" s="1093">
        <v>299507</v>
      </c>
      <c r="AI15" s="1093">
        <v>381125</v>
      </c>
      <c r="AJ15" s="1093">
        <v>342349</v>
      </c>
      <c r="AK15" s="1092">
        <v>0</v>
      </c>
      <c r="AL15" s="1092">
        <v>0</v>
      </c>
      <c r="AM15" s="1092">
        <v>0</v>
      </c>
      <c r="AN15" s="1092">
        <v>0</v>
      </c>
    </row>
    <row r="16" spans="4:40" ht="15.75" thickBot="1">
      <c r="D16" s="1095" t="s">
        <v>893</v>
      </c>
      <c r="E16" s="1096">
        <v>9</v>
      </c>
      <c r="F16" s="1093">
        <v>16628561</v>
      </c>
      <c r="G16" s="1097" t="s">
        <v>893</v>
      </c>
      <c r="H16" s="1092">
        <v>5</v>
      </c>
      <c r="I16" s="1093">
        <v>1878701</v>
      </c>
      <c r="J16" s="1092">
        <v>0</v>
      </c>
      <c r="K16" s="1092">
        <v>0</v>
      </c>
      <c r="L16" s="1092">
        <v>0</v>
      </c>
      <c r="M16" s="1093">
        <v>1025122</v>
      </c>
      <c r="N16" s="1092">
        <v>0</v>
      </c>
      <c r="O16" s="1092">
        <v>0</v>
      </c>
      <c r="P16" s="1092"/>
      <c r="Q16" s="1092" t="s">
        <v>894</v>
      </c>
      <c r="R16" s="1092" t="s">
        <v>894</v>
      </c>
      <c r="S16" s="1092" t="s">
        <v>894</v>
      </c>
      <c r="T16" s="1092" t="s">
        <v>894</v>
      </c>
      <c r="U16" s="1092"/>
      <c r="V16" s="1092"/>
      <c r="W16" s="1092"/>
      <c r="X16" s="1092"/>
      <c r="Y16" s="1092"/>
      <c r="Z16" s="1092"/>
      <c r="AA16" s="1092"/>
      <c r="AB16" s="1092">
        <v>9</v>
      </c>
      <c r="AC16" s="1092">
        <v>0</v>
      </c>
      <c r="AD16" s="1093">
        <v>486660</v>
      </c>
      <c r="AE16" s="1093">
        <v>486660</v>
      </c>
      <c r="AF16" s="1093">
        <v>425776</v>
      </c>
      <c r="AG16" s="1093">
        <v>386920</v>
      </c>
      <c r="AH16" s="1092">
        <v>0</v>
      </c>
      <c r="AI16" s="1092">
        <v>0</v>
      </c>
      <c r="AJ16" s="1092">
        <v>0</v>
      </c>
      <c r="AK16" s="1092">
        <v>0</v>
      </c>
      <c r="AL16" s="1092">
        <v>0</v>
      </c>
      <c r="AM16" s="1092">
        <v>0</v>
      </c>
      <c r="AN16" s="1092">
        <v>0</v>
      </c>
    </row>
    <row r="17" spans="4:40" ht="15.75" thickBot="1">
      <c r="D17" s="1095" t="s">
        <v>893</v>
      </c>
      <c r="E17" s="1096">
        <v>10</v>
      </c>
      <c r="F17" s="1093">
        <v>18150798</v>
      </c>
      <c r="G17" s="1097" t="s">
        <v>893</v>
      </c>
      <c r="H17" s="1092">
        <v>5</v>
      </c>
      <c r="I17" s="1093">
        <v>3754505</v>
      </c>
      <c r="J17" s="1092">
        <v>0</v>
      </c>
      <c r="K17" s="1092">
        <v>0</v>
      </c>
      <c r="L17" s="1092">
        <v>0</v>
      </c>
      <c r="M17" s="1092">
        <v>0</v>
      </c>
      <c r="N17" s="1092">
        <v>0</v>
      </c>
      <c r="O17" s="1092">
        <v>0</v>
      </c>
      <c r="P17" s="1092"/>
      <c r="Q17" s="1092"/>
      <c r="R17" s="1092"/>
      <c r="S17" s="1092"/>
      <c r="T17" s="1092"/>
      <c r="U17" s="1092"/>
      <c r="V17" s="1092" t="s">
        <v>894</v>
      </c>
      <c r="W17" s="1092" t="s">
        <v>894</v>
      </c>
      <c r="X17" s="1092" t="s">
        <v>894</v>
      </c>
      <c r="Y17" s="1092" t="s">
        <v>894</v>
      </c>
      <c r="Z17" s="1092" t="s">
        <v>894</v>
      </c>
      <c r="AA17" s="1092" t="s">
        <v>894</v>
      </c>
      <c r="AB17" s="1092">
        <v>10</v>
      </c>
      <c r="AC17" s="1092">
        <v>0</v>
      </c>
      <c r="AD17" s="1092">
        <v>0</v>
      </c>
      <c r="AE17" s="1092">
        <v>0</v>
      </c>
      <c r="AF17" s="1092">
        <v>0</v>
      </c>
      <c r="AG17" s="1092">
        <v>0</v>
      </c>
      <c r="AH17" s="1092">
        <v>0</v>
      </c>
      <c r="AI17" s="1093">
        <v>580347</v>
      </c>
      <c r="AJ17" s="1093">
        <v>582916</v>
      </c>
      <c r="AK17" s="1093">
        <v>580347</v>
      </c>
      <c r="AL17" s="1093">
        <v>701230</v>
      </c>
      <c r="AM17" s="1093">
        <v>615600</v>
      </c>
      <c r="AN17" s="1093">
        <v>615600</v>
      </c>
    </row>
    <row r="18" spans="4:40" ht="15.75" thickBot="1">
      <c r="D18" s="1095" t="s">
        <v>893</v>
      </c>
      <c r="E18" s="1096">
        <v>11</v>
      </c>
      <c r="F18" s="1093">
        <v>20053990</v>
      </c>
      <c r="G18" s="1097" t="s">
        <v>893</v>
      </c>
      <c r="H18" s="1092">
        <v>7</v>
      </c>
      <c r="I18" s="1093">
        <v>1055900</v>
      </c>
      <c r="J18" s="1092">
        <v>0</v>
      </c>
      <c r="K18" s="1092">
        <v>0</v>
      </c>
      <c r="L18" s="1092">
        <v>0</v>
      </c>
      <c r="M18" s="1093">
        <v>155100</v>
      </c>
      <c r="N18" s="1092">
        <v>0</v>
      </c>
      <c r="O18" s="1092">
        <v>0</v>
      </c>
      <c r="P18" s="1092"/>
      <c r="Q18" s="1092"/>
      <c r="R18" s="1092"/>
      <c r="S18" s="1092"/>
      <c r="T18" s="1092"/>
      <c r="U18" s="1092"/>
      <c r="V18" s="1092"/>
      <c r="W18" s="1092" t="s">
        <v>894</v>
      </c>
      <c r="X18" s="1092" t="s">
        <v>894</v>
      </c>
      <c r="Y18" s="1092"/>
      <c r="Z18" s="1092"/>
      <c r="AA18" s="1092"/>
      <c r="AB18" s="1092">
        <v>11</v>
      </c>
      <c r="AC18" s="1092">
        <v>0</v>
      </c>
      <c r="AD18" s="1092">
        <v>0</v>
      </c>
      <c r="AE18" s="1092">
        <v>0</v>
      </c>
      <c r="AF18" s="1092">
        <v>0</v>
      </c>
      <c r="AG18" s="1092">
        <v>0</v>
      </c>
      <c r="AH18" s="1092">
        <v>0</v>
      </c>
      <c r="AI18" s="1092">
        <v>0</v>
      </c>
      <c r="AJ18" s="1093">
        <v>568016</v>
      </c>
      <c r="AK18" s="1093">
        <v>454482</v>
      </c>
      <c r="AL18" s="1092">
        <v>0</v>
      </c>
      <c r="AM18" s="1092">
        <v>0</v>
      </c>
      <c r="AN18" s="1092">
        <v>0</v>
      </c>
    </row>
    <row r="19" spans="4:40" ht="15.75" thickBot="1">
      <c r="D19" s="1095" t="s">
        <v>893</v>
      </c>
      <c r="E19" s="1096">
        <v>12</v>
      </c>
      <c r="F19" s="1093">
        <v>20224974</v>
      </c>
      <c r="G19" s="1097" t="s">
        <v>893</v>
      </c>
      <c r="H19" s="1092">
        <v>4</v>
      </c>
      <c r="I19" s="1093">
        <v>735265</v>
      </c>
      <c r="J19" s="1092">
        <v>0</v>
      </c>
      <c r="K19" s="1092">
        <v>0</v>
      </c>
      <c r="L19" s="1092">
        <v>0</v>
      </c>
      <c r="M19" s="1092">
        <v>0</v>
      </c>
      <c r="N19" s="1092">
        <v>0</v>
      </c>
      <c r="O19" s="1092">
        <v>0</v>
      </c>
      <c r="P19" s="1092"/>
      <c r="Q19" s="1092"/>
      <c r="R19" s="1092"/>
      <c r="S19" s="1092"/>
      <c r="T19" s="1092"/>
      <c r="U19" s="1092"/>
      <c r="V19" s="1092"/>
      <c r="W19" s="1092"/>
      <c r="X19" s="1092"/>
      <c r="Y19" s="1092"/>
      <c r="Z19" s="1092" t="s">
        <v>894</v>
      </c>
      <c r="AA19" s="1092" t="s">
        <v>894</v>
      </c>
      <c r="AB19" s="1092">
        <v>12</v>
      </c>
      <c r="AC19" s="1092">
        <v>0</v>
      </c>
      <c r="AD19" s="1092">
        <v>0</v>
      </c>
      <c r="AE19" s="1092">
        <v>0</v>
      </c>
      <c r="AF19" s="1092">
        <v>0</v>
      </c>
      <c r="AG19" s="1092">
        <v>0</v>
      </c>
      <c r="AH19" s="1092">
        <v>0</v>
      </c>
      <c r="AI19" s="1092">
        <v>0</v>
      </c>
      <c r="AJ19" s="1092">
        <v>0</v>
      </c>
      <c r="AK19" s="1092">
        <v>0</v>
      </c>
      <c r="AL19" s="1092">
        <v>0</v>
      </c>
      <c r="AM19" s="1093">
        <v>483015</v>
      </c>
      <c r="AN19" s="1093">
        <v>249835</v>
      </c>
    </row>
    <row r="20" spans="4:40" ht="15.75" thickBot="1">
      <c r="D20" s="1095" t="s">
        <v>893</v>
      </c>
      <c r="E20" s="1096">
        <v>13</v>
      </c>
      <c r="F20" s="1093">
        <v>26156566</v>
      </c>
      <c r="G20" s="1097" t="s">
        <v>893</v>
      </c>
      <c r="H20" s="1092">
        <v>8</v>
      </c>
      <c r="I20" s="1093">
        <v>1408863</v>
      </c>
      <c r="J20" s="1092">
        <v>0</v>
      </c>
      <c r="K20" s="1092">
        <v>0</v>
      </c>
      <c r="L20" s="1092">
        <v>0</v>
      </c>
      <c r="M20" s="1093">
        <v>774637</v>
      </c>
      <c r="N20" s="1094"/>
      <c r="O20" s="1094"/>
      <c r="P20" s="1094"/>
      <c r="Q20" s="1094"/>
      <c r="R20" s="1094"/>
      <c r="S20" s="1094"/>
      <c r="T20" s="1094"/>
      <c r="U20" s="1094"/>
      <c r="V20" s="1094"/>
      <c r="W20" s="1094"/>
      <c r="X20" s="1094"/>
      <c r="Y20" s="1094"/>
      <c r="Z20" s="1094"/>
      <c r="AA20" s="1094"/>
      <c r="AB20" s="1094"/>
      <c r="AC20" s="1094"/>
      <c r="AD20" s="1094"/>
      <c r="AE20" s="1094"/>
      <c r="AF20" s="1094"/>
      <c r="AG20" s="1094"/>
      <c r="AH20" s="1094"/>
      <c r="AI20" s="1094"/>
      <c r="AJ20" s="1094"/>
      <c r="AK20" s="1094"/>
      <c r="AL20" s="1094"/>
      <c r="AM20" s="1094"/>
      <c r="AN20" s="1094"/>
    </row>
    <row r="21" spans="4:40">
      <c r="L21" s="1098">
        <v>22233153</v>
      </c>
      <c r="M21" s="1099">
        <f>SUM(M8:M20)</f>
        <v>7784982</v>
      </c>
    </row>
    <row r="22" spans="4:40">
      <c r="M22" s="1099">
        <f>+M21+L21</f>
        <v>30018135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pageSetUpPr fitToPage="1"/>
  </sheetPr>
  <dimension ref="A1:N219"/>
  <sheetViews>
    <sheetView showGridLines="0" view="pageBreakPreview" zoomScale="80" zoomScaleNormal="85" zoomScaleSheetLayoutView="80" workbookViewId="0">
      <pane xSplit="1" ySplit="11" topLeftCell="B54" activePane="bottomRight" state="frozen"/>
      <selection pane="topRight" activeCell="B1" sqref="B1"/>
      <selection pane="bottomLeft" activeCell="A12" sqref="A12"/>
      <selection pane="bottomRight" sqref="A1:I71"/>
    </sheetView>
  </sheetViews>
  <sheetFormatPr baseColWidth="10" defaultColWidth="11.42578125" defaultRowHeight="15.75" customHeight="1"/>
  <cols>
    <col min="1" max="1" width="40" style="99" bestFit="1" customWidth="1"/>
    <col min="2" max="2" width="17" style="99" customWidth="1"/>
    <col min="3" max="3" width="17.7109375" style="99" customWidth="1"/>
    <col min="4" max="9" width="18.140625" style="99" customWidth="1"/>
    <col min="10" max="11" width="13.5703125" style="476" bestFit="1" customWidth="1"/>
    <col min="12" max="12" width="21.42578125" style="476" customWidth="1"/>
    <col min="13" max="13" width="16.7109375" style="99" customWidth="1"/>
    <col min="14" max="14" width="11.42578125" style="99"/>
    <col min="15" max="16" width="14.42578125" style="99" bestFit="1" customWidth="1"/>
    <col min="17" max="16384" width="11.42578125" style="99"/>
  </cols>
  <sheetData>
    <row r="1" spans="1:14" ht="24" customHeight="1">
      <c r="A1" s="648" t="str">
        <f>+MAYOR!B1</f>
        <v>SOCIEDAD COMERCIAL SOLMET SpA</v>
      </c>
      <c r="B1" s="649"/>
      <c r="C1" s="649"/>
      <c r="D1" s="650"/>
      <c r="E1" s="651"/>
      <c r="F1" s="651"/>
      <c r="G1" s="651"/>
      <c r="H1" s="651"/>
      <c r="I1" s="651"/>
    </row>
    <row r="2" spans="1:14" ht="15.75" customHeight="1">
      <c r="A2" s="652" t="str">
        <f>+MAYOR!B2</f>
        <v>BOMBEROS SALAS #1445 OFC 601B</v>
      </c>
      <c r="B2" s="649"/>
      <c r="C2" s="649"/>
      <c r="D2" s="653"/>
      <c r="E2" s="651"/>
      <c r="F2" s="651"/>
      <c r="G2" s="651"/>
      <c r="H2" s="651"/>
      <c r="I2" s="651"/>
    </row>
    <row r="3" spans="1:14" ht="15.75" customHeight="1">
      <c r="A3" s="652" t="str">
        <f>+MAYOR!B3</f>
        <v>RUT: 76.541.377-K</v>
      </c>
      <c r="B3" s="649"/>
      <c r="C3" s="649"/>
      <c r="D3" s="653"/>
      <c r="E3" s="651"/>
      <c r="F3" s="651"/>
      <c r="G3" s="651"/>
      <c r="H3" s="651"/>
      <c r="I3" s="651"/>
    </row>
    <row r="4" spans="1:14" ht="15.75" customHeight="1">
      <c r="A4" s="652"/>
      <c r="B4" s="654"/>
      <c r="C4" s="649"/>
      <c r="D4" s="653"/>
      <c r="E4" s="651"/>
      <c r="F4" s="651"/>
      <c r="G4" s="651"/>
      <c r="H4" s="651"/>
      <c r="I4" s="651"/>
    </row>
    <row r="5" spans="1:14" ht="15.75" customHeight="1">
      <c r="A5" s="654"/>
      <c r="B5" s="651"/>
      <c r="C5" s="651"/>
      <c r="D5" s="651"/>
      <c r="E5" s="651"/>
      <c r="F5" s="651"/>
      <c r="G5" s="651"/>
      <c r="H5" s="651"/>
      <c r="I5" s="651"/>
    </row>
    <row r="6" spans="1:14" s="115" customFormat="1" ht="20.25" customHeight="1">
      <c r="A6" s="655" t="s">
        <v>924</v>
      </c>
      <c r="B6" s="656"/>
      <c r="C6" s="656"/>
      <c r="D6" s="656"/>
      <c r="E6" s="656"/>
      <c r="F6" s="656"/>
      <c r="G6" s="656"/>
      <c r="H6" s="656"/>
      <c r="I6" s="656"/>
      <c r="J6" s="476"/>
      <c r="K6" s="476"/>
      <c r="L6" s="476"/>
    </row>
    <row r="7" spans="1:14" s="118" customFormat="1" ht="15.75" customHeight="1">
      <c r="A7" s="657" t="s">
        <v>923</v>
      </c>
      <c r="B7" s="658"/>
      <c r="C7" s="658"/>
      <c r="D7" s="658"/>
      <c r="E7" s="658"/>
      <c r="F7" s="658"/>
      <c r="G7" s="658"/>
      <c r="H7" s="658"/>
      <c r="I7" s="658"/>
      <c r="J7" s="476"/>
      <c r="K7" s="476"/>
      <c r="L7" s="476"/>
    </row>
    <row r="8" spans="1:14" ht="5.25" customHeight="1">
      <c r="A8" s="659"/>
      <c r="B8" s="651"/>
      <c r="C8" s="651"/>
      <c r="D8" s="651"/>
      <c r="E8" s="651"/>
      <c r="F8" s="651"/>
      <c r="G8" s="651"/>
      <c r="H8" s="651"/>
      <c r="I8" s="651"/>
    </row>
    <row r="9" spans="1:14" ht="6.75" customHeight="1">
      <c r="A9" s="651"/>
      <c r="B9" s="651"/>
      <c r="C9" s="651"/>
      <c r="D9" s="651"/>
      <c r="E9" s="651"/>
      <c r="F9" s="651"/>
      <c r="G9" s="651"/>
      <c r="H9" s="651"/>
      <c r="I9" s="651"/>
    </row>
    <row r="10" spans="1:14" ht="15.75" customHeight="1" thickBot="1">
      <c r="A10" s="666" t="s">
        <v>11</v>
      </c>
      <c r="B10" s="667" t="s">
        <v>12</v>
      </c>
      <c r="C10" s="667" t="s">
        <v>13</v>
      </c>
      <c r="D10" s="668" t="s">
        <v>7</v>
      </c>
      <c r="E10" s="669"/>
      <c r="F10" s="670" t="s">
        <v>14</v>
      </c>
      <c r="G10" s="671"/>
      <c r="H10" s="668" t="s">
        <v>15</v>
      </c>
      <c r="I10" s="672"/>
    </row>
    <row r="11" spans="1:14" ht="15.75" customHeight="1">
      <c r="A11" s="673"/>
      <c r="B11" s="674" t="s">
        <v>16</v>
      </c>
      <c r="C11" s="674" t="s">
        <v>17</v>
      </c>
      <c r="D11" s="675" t="s">
        <v>18</v>
      </c>
      <c r="E11" s="676" t="s">
        <v>19</v>
      </c>
      <c r="F11" s="675" t="s">
        <v>20</v>
      </c>
      <c r="G11" s="676" t="s">
        <v>21</v>
      </c>
      <c r="H11" s="676" t="s">
        <v>22</v>
      </c>
      <c r="I11" s="677" t="s">
        <v>23</v>
      </c>
    </row>
    <row r="12" spans="1:14" s="120" customFormat="1" ht="15.75" customHeight="1">
      <c r="A12" s="660" t="str">
        <f>+MAYOR!F6</f>
        <v>DISPONIBLE</v>
      </c>
      <c r="B12" s="661">
        <f>+MAYOR!F228</f>
        <v>0</v>
      </c>
      <c r="C12" s="661">
        <f>+MAYOR!G228</f>
        <v>0</v>
      </c>
      <c r="D12" s="661">
        <f t="shared" ref="D12:D57" si="0">IF(B12&gt;C12,B12-C12,0)</f>
        <v>0</v>
      </c>
      <c r="E12" s="661">
        <f t="shared" ref="E12:E57" si="1">IF(B12&lt;C12,C12-B12,0)</f>
        <v>0</v>
      </c>
      <c r="F12" s="662">
        <f t="shared" ref="F12:G16" si="2">IF(D12&lt;0,0,D12)</f>
        <v>0</v>
      </c>
      <c r="G12" s="662">
        <f t="shared" si="2"/>
        <v>0</v>
      </c>
      <c r="H12" s="661">
        <f t="shared" ref="H12:I16" si="3">IF(F12&lt;=0,D12,0)</f>
        <v>0</v>
      </c>
      <c r="I12" s="661">
        <f t="shared" si="3"/>
        <v>0</v>
      </c>
      <c r="J12" s="476"/>
      <c r="K12" s="476"/>
      <c r="L12" s="476"/>
    </row>
    <row r="13" spans="1:14" s="857" customFormat="1" ht="15.75" customHeight="1">
      <c r="A13" s="660" t="str">
        <f>+MAYOR!L6</f>
        <v>P.P.M.</v>
      </c>
      <c r="B13" s="661">
        <f>+MAYOR!L228</f>
        <v>0</v>
      </c>
      <c r="C13" s="661">
        <f>+MAYOR!M228</f>
        <v>0</v>
      </c>
      <c r="D13" s="661">
        <f t="shared" si="0"/>
        <v>0</v>
      </c>
      <c r="E13" s="661">
        <f t="shared" si="1"/>
        <v>0</v>
      </c>
      <c r="F13" s="662">
        <f t="shared" si="2"/>
        <v>0</v>
      </c>
      <c r="G13" s="662">
        <f t="shared" si="2"/>
        <v>0</v>
      </c>
      <c r="H13" s="661">
        <f t="shared" si="3"/>
        <v>0</v>
      </c>
      <c r="I13" s="661">
        <f t="shared" si="3"/>
        <v>0</v>
      </c>
      <c r="J13" s="476"/>
      <c r="K13" s="476"/>
      <c r="L13" s="476"/>
      <c r="M13" s="120"/>
      <c r="N13" s="120"/>
    </row>
    <row r="14" spans="1:14" s="857" customFormat="1" ht="15.75" hidden="1" customHeight="1">
      <c r="A14" s="660" t="str">
        <f>+MAYOR!R6</f>
        <v>CAMION FAENERO ANTOFAGASTA</v>
      </c>
      <c r="B14" s="661">
        <f>+MAYOR!R228</f>
        <v>0</v>
      </c>
      <c r="C14" s="661">
        <f>+MAYOR!S228</f>
        <v>0</v>
      </c>
      <c r="D14" s="661">
        <f t="shared" si="0"/>
        <v>0</v>
      </c>
      <c r="E14" s="661">
        <f t="shared" si="1"/>
        <v>0</v>
      </c>
      <c r="F14" s="662">
        <f t="shared" si="2"/>
        <v>0</v>
      </c>
      <c r="G14" s="662">
        <f t="shared" si="2"/>
        <v>0</v>
      </c>
      <c r="H14" s="661">
        <f t="shared" si="3"/>
        <v>0</v>
      </c>
      <c r="I14" s="661">
        <f t="shared" si="3"/>
        <v>0</v>
      </c>
      <c r="J14" s="476"/>
      <c r="K14" s="476"/>
      <c r="L14" s="476"/>
      <c r="M14" s="120"/>
      <c r="N14" s="120"/>
    </row>
    <row r="15" spans="1:14" s="120" customFormat="1" ht="15.75" customHeight="1">
      <c r="A15" s="660" t="str">
        <f>+MAYOR!Z6</f>
        <v>VEHICULOS</v>
      </c>
      <c r="B15" s="661">
        <f>+MAYOR!Z228</f>
        <v>0</v>
      </c>
      <c r="C15" s="661">
        <f>+MAYOR!AA228</f>
        <v>0</v>
      </c>
      <c r="D15" s="661">
        <f t="shared" si="0"/>
        <v>0</v>
      </c>
      <c r="E15" s="661">
        <f t="shared" si="1"/>
        <v>0</v>
      </c>
      <c r="F15" s="662">
        <f t="shared" si="2"/>
        <v>0</v>
      </c>
      <c r="G15" s="662">
        <f t="shared" si="2"/>
        <v>0</v>
      </c>
      <c r="H15" s="661">
        <f t="shared" si="3"/>
        <v>0</v>
      </c>
      <c r="I15" s="661">
        <f t="shared" si="3"/>
        <v>0</v>
      </c>
      <c r="J15" s="476"/>
      <c r="K15" s="476"/>
      <c r="L15" s="476"/>
    </row>
    <row r="16" spans="1:14" s="120" customFormat="1" ht="15.75" customHeight="1">
      <c r="A16" s="660" t="str">
        <f>+MAYOR!P6</f>
        <v>INVESTIGACION NUEVOS PROYECTOS MINEROS</v>
      </c>
      <c r="B16" s="661">
        <f>+MAYOR!P228</f>
        <v>0</v>
      </c>
      <c r="C16" s="661">
        <f>+MAYOR!Q228</f>
        <v>0</v>
      </c>
      <c r="D16" s="661">
        <f t="shared" si="0"/>
        <v>0</v>
      </c>
      <c r="E16" s="661">
        <f t="shared" si="1"/>
        <v>0</v>
      </c>
      <c r="F16" s="662">
        <f t="shared" si="2"/>
        <v>0</v>
      </c>
      <c r="G16" s="662">
        <f t="shared" si="2"/>
        <v>0</v>
      </c>
      <c r="H16" s="661">
        <f t="shared" si="3"/>
        <v>0</v>
      </c>
      <c r="I16" s="661">
        <f t="shared" si="3"/>
        <v>0</v>
      </c>
      <c r="J16" s="476"/>
      <c r="K16" s="476"/>
      <c r="L16" s="476"/>
    </row>
    <row r="17" spans="1:14" s="120" customFormat="1" ht="15.75" hidden="1" customHeight="1">
      <c r="A17" s="660"/>
      <c r="B17" s="661"/>
      <c r="C17" s="661"/>
      <c r="D17" s="661"/>
      <c r="E17" s="661"/>
      <c r="F17" s="662"/>
      <c r="G17" s="662"/>
      <c r="H17" s="661"/>
      <c r="I17" s="661"/>
      <c r="J17" s="476"/>
      <c r="K17" s="476"/>
      <c r="L17" s="476"/>
    </row>
    <row r="18" spans="1:14" s="120" customFormat="1" ht="15.75" hidden="1" customHeight="1">
      <c r="A18" s="660" t="s">
        <v>161</v>
      </c>
      <c r="B18" s="661"/>
      <c r="C18" s="661"/>
      <c r="D18" s="661">
        <f>IF(B18&gt;C18,B18-C18,0)</f>
        <v>0</v>
      </c>
      <c r="E18" s="661">
        <f>IF(B18&lt;C18,C18-B18,0)</f>
        <v>0</v>
      </c>
      <c r="F18" s="662">
        <f>IF(D18&lt;0,0,D18)</f>
        <v>0</v>
      </c>
      <c r="G18" s="662">
        <f>IF(E18&lt;0,0,E18)</f>
        <v>0</v>
      </c>
      <c r="H18" s="661">
        <f>IF(F18&lt;=0,D18,0)</f>
        <v>0</v>
      </c>
      <c r="I18" s="661">
        <f>IF(G18&lt;=0,E18,0)</f>
        <v>0</v>
      </c>
      <c r="J18" s="476"/>
      <c r="K18" s="476"/>
      <c r="L18" s="476"/>
    </row>
    <row r="19" spans="1:14" s="120" customFormat="1" ht="15.75" hidden="1" customHeight="1">
      <c r="A19" s="660"/>
      <c r="B19" s="661"/>
      <c r="C19" s="661"/>
      <c r="D19" s="661"/>
      <c r="E19" s="661"/>
      <c r="F19" s="662"/>
      <c r="G19" s="662"/>
      <c r="H19" s="661"/>
      <c r="I19" s="661"/>
      <c r="J19" s="476"/>
      <c r="K19" s="476"/>
      <c r="L19" s="476"/>
    </row>
    <row r="20" spans="1:14" s="120" customFormat="1" ht="15.75" hidden="1" customHeight="1">
      <c r="A20" s="660" t="str">
        <f>+MAYOR!AL6</f>
        <v>INTERESES DIFERIDOS BCI</v>
      </c>
      <c r="B20" s="661">
        <f>+MAYOR!AL228</f>
        <v>0</v>
      </c>
      <c r="C20" s="661"/>
      <c r="D20" s="661">
        <f>IF(B20&gt;C20,B20-C20,0)</f>
        <v>0</v>
      </c>
      <c r="E20" s="661">
        <f>IF(B20&lt;C20,C20-B20,0)</f>
        <v>0</v>
      </c>
      <c r="F20" s="662">
        <f t="shared" ref="F20:G35" si="4">IF(D20&lt;0,0,D20)</f>
        <v>0</v>
      </c>
      <c r="G20" s="662">
        <f t="shared" si="4"/>
        <v>0</v>
      </c>
      <c r="H20" s="661">
        <f t="shared" ref="H20:I35" si="5">IF(F20&lt;=0,D20,0)</f>
        <v>0</v>
      </c>
      <c r="I20" s="661">
        <f t="shared" si="5"/>
        <v>0</v>
      </c>
      <c r="J20" s="476"/>
      <c r="K20" s="476"/>
      <c r="L20" s="476"/>
    </row>
    <row r="21" spans="1:14" s="120" customFormat="1" ht="15.75" hidden="1" customHeight="1">
      <c r="A21" s="660" t="str">
        <f>+MAYOR!AN6</f>
        <v>Vehiculos usados Faena MEL</v>
      </c>
      <c r="B21" s="661">
        <f>+MAYOR!AN228</f>
        <v>0</v>
      </c>
      <c r="C21" s="661">
        <f>+MAYOR!AO228</f>
        <v>0</v>
      </c>
      <c r="D21" s="661">
        <f>IF(B21&gt;C21,B21-C21,0)</f>
        <v>0</v>
      </c>
      <c r="E21" s="661">
        <f>IF(B21&lt;C21,C21-B21,0)</f>
        <v>0</v>
      </c>
      <c r="F21" s="662">
        <f t="shared" si="4"/>
        <v>0</v>
      </c>
      <c r="G21" s="662">
        <f t="shared" si="4"/>
        <v>0</v>
      </c>
      <c r="H21" s="661">
        <f t="shared" si="5"/>
        <v>0</v>
      </c>
      <c r="I21" s="661">
        <f t="shared" si="5"/>
        <v>0</v>
      </c>
      <c r="J21" s="476"/>
      <c r="K21" s="476"/>
      <c r="L21" s="476"/>
    </row>
    <row r="22" spans="1:14" s="120" customFormat="1" ht="15.75" hidden="1" customHeight="1">
      <c r="A22" s="660" t="str">
        <f>+MAYOR!N6</f>
        <v>RETIROS  DEL EJERCICIO</v>
      </c>
      <c r="B22" s="661">
        <f>+MAYOR!N228</f>
        <v>0</v>
      </c>
      <c r="C22" s="661"/>
      <c r="D22" s="661">
        <f t="shared" si="0"/>
        <v>0</v>
      </c>
      <c r="E22" s="661">
        <f t="shared" si="1"/>
        <v>0</v>
      </c>
      <c r="F22" s="662">
        <f t="shared" si="4"/>
        <v>0</v>
      </c>
      <c r="G22" s="662">
        <f t="shared" si="4"/>
        <v>0</v>
      </c>
      <c r="H22" s="661">
        <f t="shared" si="5"/>
        <v>0</v>
      </c>
      <c r="I22" s="661">
        <f t="shared" si="5"/>
        <v>0</v>
      </c>
      <c r="J22" s="476"/>
      <c r="K22" s="476"/>
      <c r="L22" s="476"/>
    </row>
    <row r="23" spans="1:14" s="120" customFormat="1" ht="15.75" hidden="1" customHeight="1">
      <c r="A23" s="660" t="str">
        <f>+MAYOR!T6</f>
        <v>CREDITO SENCE</v>
      </c>
      <c r="B23" s="661">
        <f>+MAYOR!T228</f>
        <v>0</v>
      </c>
      <c r="C23" s="661"/>
      <c r="D23" s="661">
        <f t="shared" si="0"/>
        <v>0</v>
      </c>
      <c r="E23" s="661">
        <f t="shared" si="1"/>
        <v>0</v>
      </c>
      <c r="F23" s="662">
        <f t="shared" si="4"/>
        <v>0</v>
      </c>
      <c r="G23" s="662">
        <f t="shared" si="4"/>
        <v>0</v>
      </c>
      <c r="H23" s="661">
        <f t="shared" si="5"/>
        <v>0</v>
      </c>
      <c r="I23" s="661">
        <f t="shared" si="5"/>
        <v>0</v>
      </c>
      <c r="J23" s="476"/>
      <c r="K23" s="476"/>
      <c r="L23" s="476"/>
    </row>
    <row r="24" spans="1:14" s="120" customFormat="1" ht="15.75" customHeight="1">
      <c r="A24" s="660" t="str">
        <f>+MAYOR!AU6</f>
        <v>AFP</v>
      </c>
      <c r="B24" s="661">
        <f>+MAYOR!AU228</f>
        <v>0</v>
      </c>
      <c r="C24" s="661">
        <f>+MAYOR!AV228</f>
        <v>0</v>
      </c>
      <c r="D24" s="661">
        <f t="shared" si="0"/>
        <v>0</v>
      </c>
      <c r="E24" s="661">
        <f t="shared" si="1"/>
        <v>0</v>
      </c>
      <c r="F24" s="662">
        <f t="shared" si="4"/>
        <v>0</v>
      </c>
      <c r="G24" s="662">
        <f t="shared" si="4"/>
        <v>0</v>
      </c>
      <c r="H24" s="661">
        <f t="shared" si="5"/>
        <v>0</v>
      </c>
      <c r="I24" s="661">
        <f t="shared" si="5"/>
        <v>0</v>
      </c>
      <c r="J24" s="476"/>
      <c r="K24" s="476"/>
      <c r="L24" s="476"/>
    </row>
    <row r="25" spans="1:14" s="120" customFormat="1" ht="15.75" customHeight="1">
      <c r="A25" s="660" t="str">
        <f>+MAYOR!AW6</f>
        <v>RETENCION DE HONORARIOS</v>
      </c>
      <c r="B25" s="661">
        <f>+MAYOR!AW228</f>
        <v>0</v>
      </c>
      <c r="C25" s="661">
        <f>+MAYOR!AX228</f>
        <v>0</v>
      </c>
      <c r="D25" s="661">
        <f t="shared" si="0"/>
        <v>0</v>
      </c>
      <c r="E25" s="661">
        <f t="shared" si="1"/>
        <v>0</v>
      </c>
      <c r="F25" s="662">
        <f>IF(D25&lt;0,0,D25)</f>
        <v>0</v>
      </c>
      <c r="G25" s="662">
        <f>IF(E25&lt;0,0,E25)</f>
        <v>0</v>
      </c>
      <c r="H25" s="661">
        <f>IF(F25&lt;=0,D25,0)</f>
        <v>0</v>
      </c>
      <c r="I25" s="661">
        <f>IF(G25&lt;=0,E25,0)</f>
        <v>0</v>
      </c>
      <c r="J25" s="476"/>
      <c r="K25" s="476"/>
      <c r="L25" s="476"/>
    </row>
    <row r="26" spans="1:14" s="120" customFormat="1" ht="15.75" customHeight="1">
      <c r="A26" s="817" t="str">
        <f>+MAYOR!AY6</f>
        <v>P.P.M. POR PAGAR</v>
      </c>
      <c r="B26" s="818">
        <f>+MAYOR!AY228</f>
        <v>0</v>
      </c>
      <c r="C26" s="818">
        <f>+MAYOR!AZ228</f>
        <v>0</v>
      </c>
      <c r="D26" s="818">
        <f t="shared" si="0"/>
        <v>0</v>
      </c>
      <c r="E26" s="818">
        <f t="shared" si="1"/>
        <v>0</v>
      </c>
      <c r="F26" s="819">
        <f t="shared" si="4"/>
        <v>0</v>
      </c>
      <c r="G26" s="819">
        <f t="shared" si="4"/>
        <v>0</v>
      </c>
      <c r="H26" s="818">
        <f t="shared" si="5"/>
        <v>0</v>
      </c>
      <c r="I26" s="818">
        <f t="shared" si="5"/>
        <v>0</v>
      </c>
      <c r="J26" s="476"/>
      <c r="K26" s="476"/>
      <c r="L26" s="476"/>
    </row>
    <row r="27" spans="1:14" s="120" customFormat="1" ht="15.75" customHeight="1">
      <c r="A27" s="660" t="str">
        <f>+MAYOR!J6</f>
        <v>IVA POR PAGAR</v>
      </c>
      <c r="B27" s="661">
        <f>+MAYOR!J228</f>
        <v>0</v>
      </c>
      <c r="C27" s="661">
        <f>+MAYOR!K228</f>
        <v>0</v>
      </c>
      <c r="D27" s="661">
        <f t="shared" si="0"/>
        <v>0</v>
      </c>
      <c r="E27" s="661">
        <f t="shared" si="1"/>
        <v>0</v>
      </c>
      <c r="F27" s="662">
        <f t="shared" si="4"/>
        <v>0</v>
      </c>
      <c r="G27" s="662">
        <f t="shared" si="4"/>
        <v>0</v>
      </c>
      <c r="H27" s="661">
        <f t="shared" si="5"/>
        <v>0</v>
      </c>
      <c r="I27" s="661">
        <f t="shared" si="5"/>
        <v>0</v>
      </c>
      <c r="J27" s="476"/>
      <c r="K27" s="476"/>
      <c r="L27" s="476"/>
    </row>
    <row r="28" spans="1:14" s="857" customFormat="1" ht="15.75" customHeight="1">
      <c r="A28" s="660" t="str">
        <f>+MAYOR!BA6</f>
        <v>IMPTO UNICO</v>
      </c>
      <c r="B28" s="661">
        <f>+MAYOR!BA228</f>
        <v>0</v>
      </c>
      <c r="C28" s="661">
        <f>+MAYOR!BB228</f>
        <v>0</v>
      </c>
      <c r="D28" s="661">
        <f>IF(B28&gt;C28,B28-C28,0)</f>
        <v>0</v>
      </c>
      <c r="E28" s="661">
        <f t="shared" si="1"/>
        <v>0</v>
      </c>
      <c r="F28" s="662">
        <f t="shared" si="4"/>
        <v>0</v>
      </c>
      <c r="G28" s="662">
        <f t="shared" si="4"/>
        <v>0</v>
      </c>
      <c r="H28" s="661">
        <f t="shared" si="5"/>
        <v>0</v>
      </c>
      <c r="I28" s="661">
        <f t="shared" si="5"/>
        <v>0</v>
      </c>
      <c r="J28" s="476"/>
      <c r="K28" s="476"/>
      <c r="L28" s="476"/>
      <c r="M28" s="120"/>
      <c r="N28" s="120"/>
    </row>
    <row r="29" spans="1:14" s="120" customFormat="1" ht="15.75" hidden="1" customHeight="1">
      <c r="A29" s="660" t="str">
        <f>+MAYOR!BQ6</f>
        <v>Ptmo para Pago Proveedores</v>
      </c>
      <c r="B29" s="661">
        <f>+MAYOR!BQ228</f>
        <v>0</v>
      </c>
      <c r="C29" s="661">
        <f>+MAYOR!BR228</f>
        <v>0</v>
      </c>
      <c r="D29" s="661">
        <f>IF(B29&gt;C29,B29-C29,0)</f>
        <v>0</v>
      </c>
      <c r="E29" s="661">
        <f t="shared" si="1"/>
        <v>0</v>
      </c>
      <c r="F29" s="662">
        <f t="shared" si="4"/>
        <v>0</v>
      </c>
      <c r="G29" s="662">
        <f t="shared" si="4"/>
        <v>0</v>
      </c>
      <c r="H29" s="661">
        <f t="shared" si="5"/>
        <v>0</v>
      </c>
      <c r="I29" s="661">
        <f t="shared" si="5"/>
        <v>0</v>
      </c>
      <c r="J29" s="476"/>
      <c r="K29" s="476"/>
      <c r="L29" s="476"/>
    </row>
    <row r="30" spans="1:14" s="120" customFormat="1" ht="15.75" hidden="1" customHeight="1">
      <c r="A30" s="660" t="str">
        <f>+MAYOR!BS6</f>
        <v>OBLIG. CON BANCOESTADO</v>
      </c>
      <c r="B30" s="661"/>
      <c r="C30" s="661">
        <f>+MAYOR!BT228</f>
        <v>0</v>
      </c>
      <c r="D30" s="661">
        <f>IF(B30&gt;C30,B30-C30,0)</f>
        <v>0</v>
      </c>
      <c r="E30" s="661">
        <f t="shared" si="1"/>
        <v>0</v>
      </c>
      <c r="F30" s="662">
        <f t="shared" si="4"/>
        <v>0</v>
      </c>
      <c r="G30" s="662">
        <f t="shared" si="4"/>
        <v>0</v>
      </c>
      <c r="H30" s="661">
        <f t="shared" si="5"/>
        <v>0</v>
      </c>
      <c r="I30" s="661">
        <f t="shared" si="5"/>
        <v>0</v>
      </c>
      <c r="J30" s="476"/>
      <c r="K30" s="476"/>
      <c r="L30" s="476"/>
    </row>
    <row r="31" spans="1:14" s="120" customFormat="1" ht="15.75" customHeight="1">
      <c r="A31" s="660" t="str">
        <f>+MAYOR!BO6</f>
        <v>PROVISION DE IMPUESTOS</v>
      </c>
      <c r="B31" s="661">
        <f>+MAYOR!BO228</f>
        <v>0</v>
      </c>
      <c r="C31" s="661">
        <f>+MAYOR!BP228</f>
        <v>0</v>
      </c>
      <c r="D31" s="661">
        <f t="shared" si="0"/>
        <v>0</v>
      </c>
      <c r="E31" s="661">
        <f t="shared" si="1"/>
        <v>0</v>
      </c>
      <c r="F31" s="662">
        <f t="shared" si="4"/>
        <v>0</v>
      </c>
      <c r="G31" s="662">
        <f t="shared" si="4"/>
        <v>0</v>
      </c>
      <c r="H31" s="661">
        <f t="shared" si="5"/>
        <v>0</v>
      </c>
      <c r="I31" s="661">
        <f t="shared" si="5"/>
        <v>0</v>
      </c>
      <c r="J31" s="476"/>
      <c r="K31" s="476"/>
      <c r="L31" s="476"/>
    </row>
    <row r="32" spans="1:14" s="120" customFormat="1" ht="15.75" hidden="1" customHeight="1">
      <c r="A32" s="817" t="s">
        <v>468</v>
      </c>
      <c r="B32" s="818">
        <f>+MAYOR!BO229</f>
        <v>0</v>
      </c>
      <c r="C32" s="818"/>
      <c r="D32" s="818">
        <f t="shared" si="0"/>
        <v>0</v>
      </c>
      <c r="E32" s="818">
        <f t="shared" si="1"/>
        <v>0</v>
      </c>
      <c r="F32" s="818">
        <f t="shared" si="4"/>
        <v>0</v>
      </c>
      <c r="G32" s="818">
        <f t="shared" si="4"/>
        <v>0</v>
      </c>
      <c r="H32" s="818">
        <f t="shared" si="5"/>
        <v>0</v>
      </c>
      <c r="I32" s="818">
        <f t="shared" si="5"/>
        <v>0</v>
      </c>
      <c r="J32" s="476"/>
      <c r="K32" s="476"/>
      <c r="L32" s="476"/>
    </row>
    <row r="33" spans="1:14" s="120" customFormat="1" ht="15.75" customHeight="1">
      <c r="A33" s="817" t="str">
        <f>+MAYOR!BK6</f>
        <v xml:space="preserve">FINANCIAMIENTO DE TERCEROS </v>
      </c>
      <c r="B33" s="818">
        <f>+MAYOR!BK228</f>
        <v>0</v>
      </c>
      <c r="C33" s="818">
        <f>+MAYOR!BL228</f>
        <v>0</v>
      </c>
      <c r="D33" s="818">
        <f t="shared" si="0"/>
        <v>0</v>
      </c>
      <c r="E33" s="818">
        <f t="shared" si="1"/>
        <v>0</v>
      </c>
      <c r="F33" s="819">
        <f t="shared" si="4"/>
        <v>0</v>
      </c>
      <c r="G33" s="819">
        <f t="shared" si="4"/>
        <v>0</v>
      </c>
      <c r="H33" s="661">
        <f t="shared" si="5"/>
        <v>0</v>
      </c>
      <c r="I33" s="661">
        <f t="shared" si="5"/>
        <v>0</v>
      </c>
      <c r="J33" s="476"/>
      <c r="K33" s="476"/>
      <c r="L33" s="476"/>
    </row>
    <row r="34" spans="1:14" s="120" customFormat="1" ht="15.75" customHeight="1">
      <c r="A34" s="660" t="str">
        <f>+MAYOR!BM6</f>
        <v>CTAS POR PAGAR</v>
      </c>
      <c r="B34" s="661">
        <f>+MAYOR!BM228</f>
        <v>0</v>
      </c>
      <c r="C34" s="661">
        <f>+MAYOR!BN228</f>
        <v>0</v>
      </c>
      <c r="D34" s="661">
        <f t="shared" si="0"/>
        <v>0</v>
      </c>
      <c r="E34" s="661">
        <f t="shared" si="1"/>
        <v>0</v>
      </c>
      <c r="F34" s="662">
        <f t="shared" si="4"/>
        <v>0</v>
      </c>
      <c r="G34" s="662">
        <f t="shared" si="4"/>
        <v>0</v>
      </c>
      <c r="H34" s="661">
        <f t="shared" si="5"/>
        <v>0</v>
      </c>
      <c r="I34" s="661">
        <f t="shared" si="5"/>
        <v>0</v>
      </c>
      <c r="J34" s="476"/>
      <c r="K34" s="476"/>
      <c r="L34" s="476"/>
    </row>
    <row r="35" spans="1:14" s="120" customFormat="1" ht="15.75" customHeight="1">
      <c r="A35" s="660" t="str">
        <f>+MAYOR!CC6</f>
        <v>CAPITAL</v>
      </c>
      <c r="B35" s="661">
        <f>+MAYOR!CC228</f>
        <v>0</v>
      </c>
      <c r="C35" s="661">
        <f>+MAYOR!CD228</f>
        <v>0</v>
      </c>
      <c r="D35" s="661">
        <f t="shared" si="0"/>
        <v>0</v>
      </c>
      <c r="E35" s="661">
        <f t="shared" si="1"/>
        <v>0</v>
      </c>
      <c r="F35" s="662">
        <f t="shared" si="4"/>
        <v>0</v>
      </c>
      <c r="G35" s="662">
        <f t="shared" si="4"/>
        <v>0</v>
      </c>
      <c r="H35" s="661">
        <f t="shared" si="5"/>
        <v>0</v>
      </c>
      <c r="I35" s="661">
        <f t="shared" si="5"/>
        <v>0</v>
      </c>
      <c r="J35" s="476"/>
      <c r="K35" s="476"/>
      <c r="L35" s="476"/>
    </row>
    <row r="36" spans="1:14" s="120" customFormat="1" ht="15.75" customHeight="1">
      <c r="A36" s="660" t="str">
        <f>+MAYOR!CE6</f>
        <v>REV. CAPITAL PROPIO</v>
      </c>
      <c r="B36" s="661">
        <f>+MAYOR!CE228</f>
        <v>0</v>
      </c>
      <c r="C36" s="661">
        <f>+MAYOR!CF228</f>
        <v>0</v>
      </c>
      <c r="D36" s="661">
        <f t="shared" si="0"/>
        <v>0</v>
      </c>
      <c r="E36" s="661">
        <f t="shared" si="1"/>
        <v>0</v>
      </c>
      <c r="F36" s="662">
        <f t="shared" ref="F36:G38" si="6">IF(D36&lt;0,0,D36)</f>
        <v>0</v>
      </c>
      <c r="G36" s="662">
        <f t="shared" si="6"/>
        <v>0</v>
      </c>
      <c r="H36" s="661">
        <f t="shared" ref="H36:I52" si="7">IF(F36&lt;=0,D36,0)</f>
        <v>0</v>
      </c>
      <c r="I36" s="661">
        <f t="shared" si="7"/>
        <v>0</v>
      </c>
      <c r="J36" s="476"/>
      <c r="K36" s="476"/>
      <c r="L36" s="476"/>
    </row>
    <row r="37" spans="1:14" s="120" customFormat="1" ht="15.75" customHeight="1">
      <c r="A37" s="660" t="str">
        <f>+MAYOR!CG6</f>
        <v>RESULTADO ACUMULADO</v>
      </c>
      <c r="B37" s="661">
        <f>+MAYOR!CG228</f>
        <v>0</v>
      </c>
      <c r="C37" s="661">
        <f>+MAYOR!CH228</f>
        <v>0</v>
      </c>
      <c r="D37" s="661">
        <f t="shared" si="0"/>
        <v>0</v>
      </c>
      <c r="E37" s="661">
        <f t="shared" si="1"/>
        <v>0</v>
      </c>
      <c r="F37" s="662">
        <f t="shared" si="6"/>
        <v>0</v>
      </c>
      <c r="G37" s="662">
        <f t="shared" si="6"/>
        <v>0</v>
      </c>
      <c r="H37" s="661">
        <f t="shared" si="7"/>
        <v>0</v>
      </c>
      <c r="I37" s="661">
        <f t="shared" si="7"/>
        <v>0</v>
      </c>
      <c r="J37" s="476"/>
      <c r="K37" s="476"/>
      <c r="L37" s="476"/>
    </row>
    <row r="38" spans="1:14" s="120" customFormat="1" ht="15.75" customHeight="1">
      <c r="A38" s="660" t="str">
        <f>+MAYOR!CI6</f>
        <v>RESULTADO EJERCICIO ANTERIOR</v>
      </c>
      <c r="B38" s="358">
        <f>+MAYOR!CI228</f>
        <v>0</v>
      </c>
      <c r="C38" s="661">
        <f>+MAYOR!CJ228</f>
        <v>0</v>
      </c>
      <c r="D38" s="358">
        <f t="shared" si="0"/>
        <v>0</v>
      </c>
      <c r="E38" s="661">
        <f t="shared" si="1"/>
        <v>0</v>
      </c>
      <c r="F38" s="661">
        <f t="shared" si="6"/>
        <v>0</v>
      </c>
      <c r="G38" s="661">
        <f t="shared" si="6"/>
        <v>0</v>
      </c>
      <c r="H38" s="358">
        <f t="shared" si="7"/>
        <v>0</v>
      </c>
      <c r="I38" s="358">
        <f t="shared" si="7"/>
        <v>0</v>
      </c>
      <c r="J38" s="476"/>
      <c r="K38" s="476"/>
      <c r="L38" s="476"/>
    </row>
    <row r="39" spans="1:14" s="857" customFormat="1" ht="15.75" customHeight="1">
      <c r="A39" s="660" t="str">
        <f>+MAYOR!CL6</f>
        <v xml:space="preserve">INGRESOS VENTA </v>
      </c>
      <c r="B39" s="661">
        <f>+MAYOR!CL228</f>
        <v>0</v>
      </c>
      <c r="C39" s="661">
        <f>+MAYOR!CM228</f>
        <v>0</v>
      </c>
      <c r="D39" s="661">
        <f t="shared" si="0"/>
        <v>0</v>
      </c>
      <c r="E39" s="661">
        <f t="shared" si="1"/>
        <v>0</v>
      </c>
      <c r="F39" s="662">
        <v>0</v>
      </c>
      <c r="G39" s="662">
        <v>0</v>
      </c>
      <c r="H39" s="661">
        <f t="shared" si="7"/>
        <v>0</v>
      </c>
      <c r="I39" s="661">
        <f t="shared" si="7"/>
        <v>0</v>
      </c>
      <c r="J39" s="476"/>
      <c r="K39" s="476"/>
      <c r="L39" s="476"/>
      <c r="M39" s="120"/>
      <c r="N39" s="120"/>
    </row>
    <row r="40" spans="1:14" s="857" customFormat="1" ht="15.75" customHeight="1">
      <c r="A40" s="660" t="str">
        <f>+MAYOR!CN6</f>
        <v>INGRESOS VTA EXENTAS</v>
      </c>
      <c r="B40" s="661">
        <f>+MAYOR!CN228</f>
        <v>0</v>
      </c>
      <c r="C40" s="661">
        <f>+MAYOR!CO228</f>
        <v>0</v>
      </c>
      <c r="D40" s="661">
        <f t="shared" si="0"/>
        <v>0</v>
      </c>
      <c r="E40" s="661">
        <f t="shared" si="1"/>
        <v>0</v>
      </c>
      <c r="F40" s="662">
        <v>0</v>
      </c>
      <c r="G40" s="662">
        <v>0</v>
      </c>
      <c r="H40" s="661">
        <f t="shared" si="7"/>
        <v>0</v>
      </c>
      <c r="I40" s="661">
        <f t="shared" si="7"/>
        <v>0</v>
      </c>
      <c r="J40" s="476"/>
      <c r="K40" s="476"/>
      <c r="L40" s="476"/>
      <c r="M40" s="120"/>
      <c r="N40" s="120"/>
    </row>
    <row r="41" spans="1:14" s="120" customFormat="1" ht="15.75" hidden="1" customHeight="1">
      <c r="A41" s="660" t="str">
        <f>+MAYOR!CP6</f>
        <v>UTILIDAD VENTA A-FIJO</v>
      </c>
      <c r="B41" s="661">
        <f>+MAYOR!CP228</f>
        <v>0</v>
      </c>
      <c r="C41" s="661">
        <f>+MAYOR!CQ228</f>
        <v>0</v>
      </c>
      <c r="D41" s="661">
        <f t="shared" si="0"/>
        <v>0</v>
      </c>
      <c r="E41" s="661">
        <f t="shared" si="1"/>
        <v>0</v>
      </c>
      <c r="F41" s="662">
        <v>0</v>
      </c>
      <c r="G41" s="662">
        <v>0</v>
      </c>
      <c r="H41" s="661">
        <f t="shared" si="7"/>
        <v>0</v>
      </c>
      <c r="I41" s="661">
        <f t="shared" si="7"/>
        <v>0</v>
      </c>
      <c r="J41" s="476"/>
      <c r="K41" s="476"/>
      <c r="L41" s="476"/>
    </row>
    <row r="42" spans="1:14" s="120" customFormat="1" ht="15.75" hidden="1" customHeight="1">
      <c r="A42" s="660" t="str">
        <f>+MAYOR!CR6</f>
        <v>OTRAS VENTA</v>
      </c>
      <c r="B42" s="661">
        <f>+MAYOR!CR228</f>
        <v>0</v>
      </c>
      <c r="C42" s="661">
        <f>+MAYOR!CS228</f>
        <v>0</v>
      </c>
      <c r="D42" s="661">
        <f t="shared" si="0"/>
        <v>0</v>
      </c>
      <c r="E42" s="661">
        <f t="shared" si="1"/>
        <v>0</v>
      </c>
      <c r="F42" s="662">
        <v>0</v>
      </c>
      <c r="G42" s="662">
        <v>0</v>
      </c>
      <c r="H42" s="661">
        <f t="shared" si="7"/>
        <v>0</v>
      </c>
      <c r="I42" s="661">
        <f t="shared" si="7"/>
        <v>0</v>
      </c>
      <c r="J42" s="476"/>
      <c r="K42" s="476"/>
      <c r="L42" s="476"/>
    </row>
    <row r="43" spans="1:14" s="120" customFormat="1" ht="15.75" hidden="1" customHeight="1">
      <c r="A43" s="660" t="str">
        <f>+MAYOR!DA6</f>
        <v>GASTOS DE VTA</v>
      </c>
      <c r="B43" s="661">
        <f>+MAYOR!DA228</f>
        <v>0</v>
      </c>
      <c r="C43" s="661">
        <f>+MAYOR!DV227</f>
        <v>0</v>
      </c>
      <c r="D43" s="661">
        <f t="shared" si="0"/>
        <v>0</v>
      </c>
      <c r="E43" s="661">
        <f t="shared" si="1"/>
        <v>0</v>
      </c>
      <c r="F43" s="662">
        <v>0</v>
      </c>
      <c r="G43" s="662">
        <v>0</v>
      </c>
      <c r="H43" s="661">
        <f t="shared" si="7"/>
        <v>0</v>
      </c>
      <c r="I43" s="661">
        <f t="shared" si="7"/>
        <v>0</v>
      </c>
      <c r="J43" s="476"/>
      <c r="K43" s="476"/>
      <c r="L43" s="476"/>
    </row>
    <row r="44" spans="1:14" s="857" customFormat="1" ht="15.75" customHeight="1">
      <c r="A44" s="660" t="str">
        <f>+MAYOR!DU6</f>
        <v>SUELDOS</v>
      </c>
      <c r="B44" s="661">
        <f>+MAYOR!DU228</f>
        <v>0</v>
      </c>
      <c r="C44" s="661">
        <f>+MAYOR!DV228</f>
        <v>0</v>
      </c>
      <c r="D44" s="661">
        <f t="shared" si="0"/>
        <v>0</v>
      </c>
      <c r="E44" s="661">
        <f t="shared" si="1"/>
        <v>0</v>
      </c>
      <c r="F44" s="662">
        <v>0</v>
      </c>
      <c r="G44" s="662">
        <v>0</v>
      </c>
      <c r="H44" s="661">
        <f t="shared" si="7"/>
        <v>0</v>
      </c>
      <c r="I44" s="661">
        <f t="shared" si="7"/>
        <v>0</v>
      </c>
      <c r="J44" s="476"/>
      <c r="K44" s="476"/>
      <c r="L44" s="476"/>
      <c r="M44" s="120"/>
      <c r="N44" s="120"/>
    </row>
    <row r="45" spans="1:14" s="857" customFormat="1" ht="17.25" customHeight="1">
      <c r="A45" s="660" t="str">
        <f>+MAYOR!DY6</f>
        <v>COSTO EMPLEADOR</v>
      </c>
      <c r="B45" s="661">
        <f>+MAYOR!DY229</f>
        <v>0</v>
      </c>
      <c r="C45" s="661">
        <f>+MAYOR!DZ228</f>
        <v>0</v>
      </c>
      <c r="D45" s="661">
        <f t="shared" si="0"/>
        <v>0</v>
      </c>
      <c r="E45" s="661">
        <f t="shared" si="1"/>
        <v>0</v>
      </c>
      <c r="F45" s="662">
        <v>0</v>
      </c>
      <c r="G45" s="662">
        <v>0</v>
      </c>
      <c r="H45" s="661">
        <f t="shared" si="7"/>
        <v>0</v>
      </c>
      <c r="I45" s="661">
        <f t="shared" si="7"/>
        <v>0</v>
      </c>
      <c r="J45" s="476"/>
      <c r="K45" s="476"/>
      <c r="L45" s="476"/>
      <c r="M45" s="120"/>
      <c r="N45" s="120"/>
    </row>
    <row r="46" spans="1:14" s="120" customFormat="1" ht="15.75" hidden="1" customHeight="1">
      <c r="A46" s="660" t="str">
        <f>+MAYOR!EC6</f>
        <v>COSTO DE VENTA</v>
      </c>
      <c r="B46" s="661">
        <f>+MAYOR!EC228</f>
        <v>0</v>
      </c>
      <c r="C46" s="661">
        <f>+MAYOR!ED228</f>
        <v>0</v>
      </c>
      <c r="D46" s="661">
        <f t="shared" si="0"/>
        <v>0</v>
      </c>
      <c r="E46" s="661">
        <f t="shared" si="1"/>
        <v>0</v>
      </c>
      <c r="F46" s="662">
        <v>0</v>
      </c>
      <c r="G46" s="662">
        <v>0</v>
      </c>
      <c r="H46" s="661">
        <f>IF(F46&lt;=0,D46,0)</f>
        <v>0</v>
      </c>
      <c r="I46" s="661">
        <f t="shared" si="7"/>
        <v>0</v>
      </c>
      <c r="J46" s="476"/>
      <c r="K46" s="476"/>
      <c r="L46" s="476"/>
    </row>
    <row r="47" spans="1:14" s="120" customFormat="1" ht="15.75" hidden="1" customHeight="1">
      <c r="A47" s="660" t="str">
        <f>+MAYOR!DC6</f>
        <v>CAPACITACION</v>
      </c>
      <c r="B47" s="661">
        <f>+MAYOR!DC228</f>
        <v>0</v>
      </c>
      <c r="C47" s="661">
        <f>+MAYOR!DD228</f>
        <v>0</v>
      </c>
      <c r="D47" s="661">
        <f t="shared" si="0"/>
        <v>0</v>
      </c>
      <c r="E47" s="661">
        <f t="shared" si="1"/>
        <v>0</v>
      </c>
      <c r="F47" s="662">
        <v>0</v>
      </c>
      <c r="G47" s="662">
        <v>0</v>
      </c>
      <c r="H47" s="661">
        <f>IF(F47&lt;=0,D47,0)</f>
        <v>0</v>
      </c>
      <c r="I47" s="661">
        <f t="shared" si="7"/>
        <v>0</v>
      </c>
      <c r="J47" s="476"/>
      <c r="K47" s="476"/>
      <c r="L47" s="476"/>
    </row>
    <row r="48" spans="1:14" s="120" customFormat="1" ht="15.75" hidden="1" customHeight="1">
      <c r="A48" s="660" t="str">
        <f>+MAYOR!EA6</f>
        <v>INTERESES FOGAPE</v>
      </c>
      <c r="B48" s="661">
        <f>+MAYOR!EA228</f>
        <v>0</v>
      </c>
      <c r="C48" s="661">
        <f>+MAYOR!EB228</f>
        <v>0</v>
      </c>
      <c r="D48" s="661">
        <f t="shared" si="0"/>
        <v>0</v>
      </c>
      <c r="E48" s="661">
        <f t="shared" si="1"/>
        <v>0</v>
      </c>
      <c r="F48" s="662">
        <v>0</v>
      </c>
      <c r="G48" s="662">
        <v>0</v>
      </c>
      <c r="H48" s="661">
        <f>IF(F48&lt;=0,D48,0)</f>
        <v>0</v>
      </c>
      <c r="I48" s="661">
        <f t="shared" si="7"/>
        <v>0</v>
      </c>
      <c r="J48" s="476"/>
      <c r="K48" s="476"/>
      <c r="L48" s="476"/>
    </row>
    <row r="49" spans="1:14" s="120" customFormat="1" ht="15.75" hidden="1" customHeight="1">
      <c r="A49" s="660" t="s">
        <v>904</v>
      </c>
      <c r="B49" s="661"/>
      <c r="C49" s="661">
        <f>+MAYOR!CX228</f>
        <v>0</v>
      </c>
      <c r="D49" s="661">
        <f t="shared" si="0"/>
        <v>0</v>
      </c>
      <c r="E49" s="661">
        <f t="shared" si="1"/>
        <v>0</v>
      </c>
      <c r="F49" s="662">
        <v>0</v>
      </c>
      <c r="G49" s="662">
        <v>0</v>
      </c>
      <c r="H49" s="661">
        <f t="shared" si="7"/>
        <v>0</v>
      </c>
      <c r="I49" s="661">
        <f t="shared" si="7"/>
        <v>0</v>
      </c>
      <c r="J49" s="476"/>
      <c r="K49" s="476"/>
      <c r="L49" s="476"/>
    </row>
    <row r="50" spans="1:14" s="120" customFormat="1" ht="15.75" hidden="1" customHeight="1">
      <c r="A50" s="660" t="str">
        <f>+MAYOR!CY6</f>
        <v>AMORTIZ. PROY. INVESTIGACION MINERA</v>
      </c>
      <c r="B50" s="661">
        <f>+MAYOR!CY228</f>
        <v>0</v>
      </c>
      <c r="C50" s="661">
        <f>+MAYOR!CX229</f>
        <v>0</v>
      </c>
      <c r="D50" s="661">
        <f t="shared" si="0"/>
        <v>0</v>
      </c>
      <c r="E50" s="661">
        <f t="shared" si="1"/>
        <v>0</v>
      </c>
      <c r="F50" s="662">
        <v>0</v>
      </c>
      <c r="G50" s="662">
        <v>0</v>
      </c>
      <c r="H50" s="661">
        <f t="shared" si="7"/>
        <v>0</v>
      </c>
      <c r="I50" s="661">
        <f t="shared" si="7"/>
        <v>0</v>
      </c>
      <c r="J50" s="476"/>
      <c r="K50" s="476"/>
      <c r="L50" s="476"/>
    </row>
    <row r="51" spans="1:14" s="120" customFormat="1" ht="15.75" customHeight="1">
      <c r="A51" s="660" t="str">
        <f>+MAYOR!CW6</f>
        <v>GASTOS TRANSPORTE</v>
      </c>
      <c r="B51" s="661">
        <f>+MAYOR!CW228</f>
        <v>0</v>
      </c>
      <c r="C51" s="661">
        <f>+MAYOR!CX228</f>
        <v>0</v>
      </c>
      <c r="D51" s="661">
        <f t="shared" si="0"/>
        <v>0</v>
      </c>
      <c r="E51" s="661">
        <f t="shared" si="1"/>
        <v>0</v>
      </c>
      <c r="F51" s="662">
        <v>0</v>
      </c>
      <c r="G51" s="662">
        <v>0</v>
      </c>
      <c r="H51" s="661">
        <f t="shared" si="7"/>
        <v>0</v>
      </c>
      <c r="I51" s="661"/>
      <c r="J51" s="476"/>
      <c r="K51" s="476"/>
      <c r="L51" s="476"/>
    </row>
    <row r="52" spans="1:14" s="857" customFormat="1" ht="15.75" customHeight="1">
      <c r="A52" s="660" t="str">
        <f>+MAYOR!EG6</f>
        <v>GASTOS GENERALES</v>
      </c>
      <c r="B52" s="661">
        <f>+MAYOR!EG228</f>
        <v>0</v>
      </c>
      <c r="C52" s="661">
        <f>+MAYOR!EH228</f>
        <v>0</v>
      </c>
      <c r="D52" s="661">
        <f t="shared" si="0"/>
        <v>0</v>
      </c>
      <c r="E52" s="661">
        <f t="shared" si="1"/>
        <v>0</v>
      </c>
      <c r="F52" s="662">
        <v>0</v>
      </c>
      <c r="G52" s="662">
        <v>0</v>
      </c>
      <c r="H52" s="661">
        <f t="shared" si="7"/>
        <v>0</v>
      </c>
      <c r="I52" s="661">
        <f t="shared" si="7"/>
        <v>0</v>
      </c>
      <c r="J52" s="476"/>
      <c r="K52" s="476"/>
      <c r="L52" s="476"/>
      <c r="M52" s="120"/>
      <c r="N52" s="120"/>
    </row>
    <row r="53" spans="1:14" s="120" customFormat="1" ht="15.75" hidden="1" customHeight="1">
      <c r="A53" s="660" t="str">
        <f>+MAYOR!DW6</f>
        <v>ARRIENDO Taller y Oficina</v>
      </c>
      <c r="B53" s="661">
        <f>+MAYOR!DW228</f>
        <v>0</v>
      </c>
      <c r="C53" s="661">
        <f>+MAYOR!DX228</f>
        <v>0</v>
      </c>
      <c r="D53" s="661">
        <f>IF(B53&gt;C53,B53-C53,0)</f>
        <v>0</v>
      </c>
      <c r="E53" s="661">
        <f>IF(B53&lt;C53,C53-B53,0)</f>
        <v>0</v>
      </c>
      <c r="F53" s="662">
        <v>0</v>
      </c>
      <c r="G53" s="662">
        <v>0</v>
      </c>
      <c r="H53" s="661">
        <f>IF(F53&lt;=0,D53,0)</f>
        <v>0</v>
      </c>
      <c r="I53" s="661">
        <f>IF(G53&lt;=0,E53,0)</f>
        <v>0</v>
      </c>
      <c r="J53" s="476"/>
      <c r="K53" s="476"/>
      <c r="L53" s="476"/>
    </row>
    <row r="54" spans="1:14" s="857" customFormat="1" ht="15.75" customHeight="1">
      <c r="A54" s="660" t="str">
        <f>+MAYOR!DS6</f>
        <v>HONORARIOS Y SERVICIOS PROFESIONALES</v>
      </c>
      <c r="B54" s="661">
        <f>+MAYOR!DS228</f>
        <v>0</v>
      </c>
      <c r="C54" s="661">
        <f>+MAYOR!DT228</f>
        <v>0</v>
      </c>
      <c r="D54" s="661">
        <f t="shared" si="0"/>
        <v>0</v>
      </c>
      <c r="E54" s="661">
        <f t="shared" si="1"/>
        <v>0</v>
      </c>
      <c r="F54" s="662">
        <v>0</v>
      </c>
      <c r="G54" s="662">
        <v>0</v>
      </c>
      <c r="H54" s="661">
        <f t="shared" ref="H54:I57" si="8">IF(F54&lt;=0,D54,0)</f>
        <v>0</v>
      </c>
      <c r="I54" s="661">
        <f t="shared" si="8"/>
        <v>0</v>
      </c>
      <c r="J54" s="476"/>
      <c r="K54" s="476"/>
      <c r="L54" s="476"/>
      <c r="M54" s="120"/>
      <c r="N54" s="120"/>
    </row>
    <row r="55" spans="1:14" s="120" customFormat="1" ht="15.75" hidden="1" customHeight="1">
      <c r="A55" s="660" t="str">
        <f>+MAYOR!EI6</f>
        <v>DEPRECIACION DEL EJERCICIO</v>
      </c>
      <c r="B55" s="661"/>
      <c r="C55" s="661">
        <f>+MAYOR!EJ228</f>
        <v>0</v>
      </c>
      <c r="D55" s="661">
        <f t="shared" si="0"/>
        <v>0</v>
      </c>
      <c r="E55" s="661">
        <f t="shared" si="1"/>
        <v>0</v>
      </c>
      <c r="F55" s="662">
        <v>0</v>
      </c>
      <c r="G55" s="662">
        <v>0</v>
      </c>
      <c r="H55" s="661">
        <f t="shared" si="8"/>
        <v>0</v>
      </c>
      <c r="I55" s="661">
        <f t="shared" si="8"/>
        <v>0</v>
      </c>
      <c r="J55" s="476"/>
      <c r="K55" s="476"/>
      <c r="L55" s="476"/>
    </row>
    <row r="56" spans="1:14" s="120" customFormat="1" ht="15.75" customHeight="1">
      <c r="A56" s="660" t="str">
        <f>+MAYOR!EK6</f>
        <v>CORRECCION MONETARIA</v>
      </c>
      <c r="B56" s="661">
        <f>+MAYOR!EK228</f>
        <v>0</v>
      </c>
      <c r="C56" s="661">
        <f>+MAYOR!EL228</f>
        <v>0</v>
      </c>
      <c r="D56" s="661">
        <f t="shared" si="0"/>
        <v>0</v>
      </c>
      <c r="E56" s="661">
        <f t="shared" si="1"/>
        <v>0</v>
      </c>
      <c r="F56" s="662">
        <v>0</v>
      </c>
      <c r="G56" s="662">
        <v>0</v>
      </c>
      <c r="H56" s="661">
        <f t="shared" si="8"/>
        <v>0</v>
      </c>
      <c r="I56" s="661">
        <f t="shared" si="8"/>
        <v>0</v>
      </c>
      <c r="J56" s="476"/>
      <c r="K56" s="476"/>
      <c r="L56" s="476"/>
    </row>
    <row r="57" spans="1:14" s="120" customFormat="1" ht="15.75" hidden="1" customHeight="1">
      <c r="A57" s="660" t="str">
        <f>+MAYOR!EE6</f>
        <v>IMPUESTO RENTA</v>
      </c>
      <c r="B57" s="661"/>
      <c r="C57" s="661">
        <f>+MAYOR!EF228</f>
        <v>0</v>
      </c>
      <c r="D57" s="661">
        <f t="shared" si="0"/>
        <v>0</v>
      </c>
      <c r="E57" s="661">
        <f t="shared" si="1"/>
        <v>0</v>
      </c>
      <c r="F57" s="662">
        <v>0</v>
      </c>
      <c r="G57" s="662">
        <v>0</v>
      </c>
      <c r="H57" s="661">
        <f>IF(F57&lt;=0,D57,0)</f>
        <v>0</v>
      </c>
      <c r="I57" s="661">
        <f t="shared" si="8"/>
        <v>0</v>
      </c>
      <c r="J57" s="476"/>
      <c r="K57" s="476"/>
      <c r="L57" s="476"/>
    </row>
    <row r="58" spans="1:14" s="120" customFormat="1" ht="15.75" customHeight="1">
      <c r="A58" s="663" t="s">
        <v>24</v>
      </c>
      <c r="B58" s="664">
        <f t="shared" ref="B58:I58" si="9">SUM(B12:B57)</f>
        <v>0</v>
      </c>
      <c r="C58" s="664">
        <f t="shared" si="9"/>
        <v>0</v>
      </c>
      <c r="D58" s="664">
        <f t="shared" si="9"/>
        <v>0</v>
      </c>
      <c r="E58" s="664">
        <f t="shared" si="9"/>
        <v>0</v>
      </c>
      <c r="F58" s="664">
        <f t="shared" si="9"/>
        <v>0</v>
      </c>
      <c r="G58" s="664">
        <f t="shared" si="9"/>
        <v>0</v>
      </c>
      <c r="H58" s="664">
        <f t="shared" si="9"/>
        <v>0</v>
      </c>
      <c r="I58" s="664">
        <f t="shared" si="9"/>
        <v>0</v>
      </c>
      <c r="J58" s="476"/>
      <c r="K58" s="476"/>
      <c r="L58" s="476"/>
    </row>
    <row r="59" spans="1:14" s="120" customFormat="1" ht="15.75" customHeight="1">
      <c r="A59" s="663" t="s">
        <v>25</v>
      </c>
      <c r="B59" s="664">
        <v>0</v>
      </c>
      <c r="C59" s="664">
        <v>0</v>
      </c>
      <c r="D59" s="664">
        <v>0</v>
      </c>
      <c r="E59" s="664">
        <v>0</v>
      </c>
      <c r="F59" s="664">
        <v>0</v>
      </c>
      <c r="G59" s="664">
        <f>+F58-G58</f>
        <v>0</v>
      </c>
      <c r="H59" s="664">
        <f>+I58-H58</f>
        <v>0</v>
      </c>
      <c r="I59" s="664">
        <v>0</v>
      </c>
      <c r="J59" s="476"/>
      <c r="K59" s="476"/>
      <c r="L59" s="476"/>
    </row>
    <row r="60" spans="1:14" s="120" customFormat="1" ht="15.75" customHeight="1">
      <c r="A60" s="663" t="s">
        <v>26</v>
      </c>
      <c r="B60" s="664">
        <f>+B58+B59</f>
        <v>0</v>
      </c>
      <c r="C60" s="665">
        <f t="shared" ref="C60:I60" si="10">+C58+C59</f>
        <v>0</v>
      </c>
      <c r="D60" s="665">
        <f t="shared" si="10"/>
        <v>0</v>
      </c>
      <c r="E60" s="665">
        <f t="shared" si="10"/>
        <v>0</v>
      </c>
      <c r="F60" s="665">
        <f t="shared" si="10"/>
        <v>0</v>
      </c>
      <c r="G60" s="665">
        <f t="shared" si="10"/>
        <v>0</v>
      </c>
      <c r="H60" s="665">
        <f t="shared" si="10"/>
        <v>0</v>
      </c>
      <c r="I60" s="665">
        <f t="shared" si="10"/>
        <v>0</v>
      </c>
      <c r="J60" s="476"/>
      <c r="K60" s="476"/>
      <c r="L60" s="476"/>
    </row>
    <row r="61" spans="1:14" s="120" customFormat="1" ht="15.75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476"/>
      <c r="K61" s="476"/>
      <c r="L61" s="476"/>
    </row>
    <row r="62" spans="1:14" s="120" customFormat="1" ht="15.7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476"/>
      <c r="K62" s="476"/>
      <c r="L62" s="476"/>
    </row>
    <row r="63" spans="1:14" s="120" customFormat="1" ht="15.7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476"/>
      <c r="K63" s="476"/>
      <c r="L63" s="476"/>
    </row>
    <row r="64" spans="1:14" ht="15.75" customHeight="1">
      <c r="A64" s="118"/>
      <c r="B64" s="118"/>
      <c r="C64" s="118"/>
      <c r="D64" s="118"/>
      <c r="E64" s="118"/>
      <c r="F64" s="118"/>
      <c r="G64" s="118"/>
      <c r="H64" s="118"/>
      <c r="I64" s="118"/>
    </row>
    <row r="65" spans="1:14" ht="15.75" customHeight="1">
      <c r="A65" s="118"/>
      <c r="B65" s="118"/>
      <c r="C65" s="118"/>
      <c r="D65" s="118"/>
      <c r="E65" s="118"/>
      <c r="F65" s="118"/>
      <c r="G65" s="118"/>
      <c r="H65" s="118"/>
      <c r="I65" s="118"/>
    </row>
    <row r="66" spans="1:14" ht="15.75" customHeight="1">
      <c r="A66" s="118"/>
      <c r="B66" s="118"/>
      <c r="C66" s="118"/>
      <c r="D66" s="118"/>
      <c r="E66" s="118"/>
      <c r="F66" s="118"/>
      <c r="G66" s="118"/>
      <c r="H66" s="118"/>
      <c r="I66" s="118"/>
    </row>
    <row r="67" spans="1:14" ht="15.75" customHeight="1">
      <c r="B67" s="260" t="s">
        <v>240</v>
      </c>
      <c r="C67" s="260"/>
      <c r="D67" s="257"/>
      <c r="G67" s="260" t="s">
        <v>430</v>
      </c>
      <c r="H67" s="47"/>
    </row>
    <row r="68" spans="1:14" s="96" customFormat="1" ht="15">
      <c r="B68" s="260" t="s">
        <v>236</v>
      </c>
      <c r="C68" s="260"/>
      <c r="D68" s="257"/>
      <c r="F68" s="99"/>
      <c r="G68" s="47" t="str">
        <f>+DATOS!H4</f>
        <v>MANUEL GUTIERREZ A. RUT: 10,150,081-0</v>
      </c>
      <c r="H68" s="47"/>
      <c r="J68" s="476"/>
      <c r="L68" s="476"/>
      <c r="N68" s="99"/>
    </row>
    <row r="69" spans="1:14" s="96" customFormat="1" ht="15">
      <c r="B69" s="260" t="s">
        <v>237</v>
      </c>
      <c r="C69" s="260"/>
      <c r="D69" s="257"/>
      <c r="F69" s="99"/>
      <c r="G69" s="260" t="s">
        <v>429</v>
      </c>
      <c r="H69" s="47"/>
      <c r="J69" s="476"/>
      <c r="L69" s="476"/>
      <c r="N69" s="99"/>
    </row>
    <row r="70" spans="1:14" s="96" customFormat="1" ht="15">
      <c r="B70" s="261" t="s">
        <v>568</v>
      </c>
      <c r="C70" s="260"/>
      <c r="D70" s="257"/>
      <c r="F70" s="99"/>
      <c r="G70" s="47"/>
      <c r="H70" s="47"/>
      <c r="J70" s="476"/>
      <c r="L70" s="476"/>
      <c r="M70" s="99"/>
      <c r="N70" s="99"/>
    </row>
    <row r="73" spans="1:14" ht="15.75" customHeight="1">
      <c r="B73" s="774"/>
      <c r="C73" s="775"/>
      <c r="D73" s="775"/>
      <c r="E73" s="775"/>
      <c r="F73" s="775"/>
      <c r="G73" s="775"/>
      <c r="H73" s="775"/>
      <c r="I73" s="776"/>
    </row>
    <row r="74" spans="1:14" ht="15.75" customHeight="1">
      <c r="B74" s="777"/>
      <c r="C74" s="778" t="s">
        <v>653</v>
      </c>
      <c r="D74" s="778"/>
      <c r="E74" s="778"/>
      <c r="F74" s="778"/>
      <c r="G74" s="778"/>
      <c r="H74" s="778"/>
      <c r="I74" s="779"/>
    </row>
    <row r="75" spans="1:14" ht="15.75" customHeight="1">
      <c r="B75" s="780" t="s">
        <v>654</v>
      </c>
      <c r="C75" s="781" t="s">
        <v>655</v>
      </c>
      <c r="D75" s="782"/>
      <c r="E75" s="782"/>
      <c r="F75" s="782"/>
      <c r="G75" s="782"/>
      <c r="H75" s="783"/>
      <c r="I75" s="784"/>
    </row>
    <row r="76" spans="1:14" ht="15.75" customHeight="1">
      <c r="B76" s="785">
        <v>1</v>
      </c>
      <c r="C76" s="778" t="s">
        <v>656</v>
      </c>
      <c r="D76" s="786"/>
      <c r="E76" s="787">
        <v>628</v>
      </c>
      <c r="F76" s="788" t="s">
        <v>657</v>
      </c>
      <c r="G76" s="789">
        <f>+I39</f>
        <v>0</v>
      </c>
      <c r="H76" s="789"/>
      <c r="I76" s="784"/>
    </row>
    <row r="77" spans="1:14" ht="15.75" customHeight="1">
      <c r="B77" s="790">
        <v>2</v>
      </c>
      <c r="C77" s="778" t="s">
        <v>658</v>
      </c>
      <c r="D77" s="786"/>
      <c r="E77" s="791">
        <v>851</v>
      </c>
      <c r="F77" s="788" t="s">
        <v>657</v>
      </c>
      <c r="G77" s="789"/>
      <c r="H77" s="789"/>
      <c r="I77" s="784"/>
    </row>
    <row r="78" spans="1:14" ht="15.75" customHeight="1">
      <c r="B78" s="790">
        <v>3</v>
      </c>
      <c r="C78" s="778" t="s">
        <v>659</v>
      </c>
      <c r="D78" s="786"/>
      <c r="E78" s="791">
        <v>629</v>
      </c>
      <c r="F78" s="788" t="s">
        <v>657</v>
      </c>
      <c r="G78" s="789"/>
      <c r="H78" s="789"/>
      <c r="I78" s="784"/>
    </row>
    <row r="79" spans="1:14" ht="15.75" customHeight="1">
      <c r="B79" s="785">
        <v>4</v>
      </c>
      <c r="C79" s="778" t="s">
        <v>660</v>
      </c>
      <c r="D79" s="786"/>
      <c r="E79" s="791">
        <v>651</v>
      </c>
      <c r="F79" s="788" t="s">
        <v>657</v>
      </c>
      <c r="G79" s="789"/>
      <c r="H79" s="789"/>
      <c r="I79" s="784"/>
    </row>
    <row r="80" spans="1:14" ht="15.75" customHeight="1" thickBot="1">
      <c r="B80" s="792"/>
      <c r="C80" s="793" t="s">
        <v>661</v>
      </c>
      <c r="D80" s="794"/>
      <c r="E80" s="795" t="s">
        <v>662</v>
      </c>
      <c r="F80" s="795" t="s">
        <v>662</v>
      </c>
      <c r="G80" s="796">
        <f>SUM(G76:G79)</f>
        <v>0</v>
      </c>
      <c r="H80" s="789">
        <f>+G80-K62</f>
        <v>0</v>
      </c>
      <c r="I80" s="784"/>
    </row>
    <row r="81" spans="2:9" ht="15.75" customHeight="1" thickTop="1">
      <c r="B81" s="790"/>
      <c r="C81" s="778"/>
      <c r="D81" s="786"/>
      <c r="E81" s="786"/>
      <c r="F81" s="783"/>
      <c r="G81" s="797"/>
      <c r="H81" s="789"/>
      <c r="I81" s="784"/>
    </row>
    <row r="82" spans="2:9" ht="15.75" customHeight="1">
      <c r="B82" s="798"/>
      <c r="C82" s="781" t="s">
        <v>663</v>
      </c>
      <c r="D82" s="782"/>
      <c r="E82" s="782"/>
      <c r="F82" s="782"/>
      <c r="G82" s="799"/>
      <c r="H82" s="789"/>
      <c r="I82" s="784"/>
    </row>
    <row r="83" spans="2:9" ht="15.75" customHeight="1">
      <c r="B83" s="785">
        <v>5</v>
      </c>
      <c r="C83" s="778" t="s">
        <v>664</v>
      </c>
      <c r="D83" s="786"/>
      <c r="E83" s="786">
        <v>630</v>
      </c>
      <c r="F83" s="783" t="s">
        <v>665</v>
      </c>
      <c r="G83" s="797">
        <f>-H49-H52</f>
        <v>0</v>
      </c>
      <c r="H83" s="789"/>
      <c r="I83" s="784"/>
    </row>
    <row r="84" spans="2:9" ht="15.75" customHeight="1" thickBot="1">
      <c r="B84" s="792"/>
      <c r="C84" s="793" t="s">
        <v>666</v>
      </c>
      <c r="D84" s="794"/>
      <c r="E84" s="795" t="s">
        <v>662</v>
      </c>
      <c r="F84" s="795" t="s">
        <v>662</v>
      </c>
      <c r="G84" s="796">
        <f>SUM(G83)</f>
        <v>0</v>
      </c>
      <c r="H84" s="789"/>
      <c r="I84" s="784"/>
    </row>
    <row r="85" spans="2:9" ht="15.75" customHeight="1" thickTop="1">
      <c r="B85" s="790"/>
      <c r="C85" s="778"/>
      <c r="D85" s="786"/>
      <c r="E85" s="786"/>
      <c r="F85" s="783"/>
      <c r="G85" s="797"/>
      <c r="H85" s="789"/>
      <c r="I85" s="784"/>
    </row>
    <row r="86" spans="2:9" ht="15.75" customHeight="1">
      <c r="B86" s="798"/>
      <c r="C86" s="781" t="s">
        <v>667</v>
      </c>
      <c r="D86" s="782"/>
      <c r="E86" s="782"/>
      <c r="F86" s="782"/>
      <c r="G86" s="799"/>
      <c r="H86" s="789"/>
      <c r="I86" s="784"/>
    </row>
    <row r="87" spans="2:9" ht="15.75" customHeight="1">
      <c r="B87" s="785">
        <v>6</v>
      </c>
      <c r="C87" s="778" t="s">
        <v>668</v>
      </c>
      <c r="D87" s="786"/>
      <c r="E87" s="787">
        <v>631</v>
      </c>
      <c r="F87" s="788" t="s">
        <v>665</v>
      </c>
      <c r="G87" s="797">
        <f>-H44-H54</f>
        <v>0</v>
      </c>
      <c r="H87" s="789"/>
      <c r="I87" s="784"/>
    </row>
    <row r="88" spans="2:9" ht="15.75" customHeight="1">
      <c r="B88" s="790">
        <v>7</v>
      </c>
      <c r="C88" s="778" t="s">
        <v>669</v>
      </c>
      <c r="D88" s="786"/>
      <c r="E88" s="791">
        <v>632</v>
      </c>
      <c r="F88" s="788" t="s">
        <v>665</v>
      </c>
      <c r="G88" s="797"/>
      <c r="H88" s="789"/>
      <c r="I88" s="784"/>
    </row>
    <row r="89" spans="2:9" ht="15.75" customHeight="1">
      <c r="B89" s="790">
        <v>8</v>
      </c>
      <c r="C89" s="778" t="s">
        <v>670</v>
      </c>
      <c r="D89" s="786"/>
      <c r="E89" s="791">
        <v>633</v>
      </c>
      <c r="F89" s="788" t="s">
        <v>665</v>
      </c>
      <c r="G89" s="797">
        <f>-H48</f>
        <v>0</v>
      </c>
      <c r="H89" s="789"/>
      <c r="I89" s="784"/>
    </row>
    <row r="90" spans="2:9" ht="15.75" customHeight="1">
      <c r="B90" s="790">
        <v>9</v>
      </c>
      <c r="C90" s="778" t="s">
        <v>671</v>
      </c>
      <c r="D90" s="786"/>
      <c r="E90" s="791">
        <v>966</v>
      </c>
      <c r="F90" s="788" t="s">
        <v>665</v>
      </c>
      <c r="G90" s="797"/>
      <c r="H90" s="789"/>
      <c r="I90" s="784"/>
    </row>
    <row r="91" spans="2:9" ht="15.75" customHeight="1">
      <c r="B91" s="790">
        <v>10</v>
      </c>
      <c r="C91" s="778" t="s">
        <v>672</v>
      </c>
      <c r="D91" s="786"/>
      <c r="E91" s="791">
        <v>967</v>
      </c>
      <c r="F91" s="788" t="s">
        <v>665</v>
      </c>
      <c r="G91" s="797"/>
      <c r="H91" s="789"/>
      <c r="I91" s="784"/>
    </row>
    <row r="92" spans="2:9" ht="15.75" customHeight="1">
      <c r="B92" s="790">
        <v>11</v>
      </c>
      <c r="C92" s="778" t="s">
        <v>673</v>
      </c>
      <c r="D92" s="786"/>
      <c r="E92" s="791">
        <v>852</v>
      </c>
      <c r="F92" s="788" t="s">
        <v>665</v>
      </c>
      <c r="G92" s="797"/>
      <c r="H92" s="789"/>
      <c r="I92" s="784"/>
    </row>
    <row r="93" spans="2:9" ht="15.75" customHeight="1">
      <c r="B93" s="790">
        <v>12</v>
      </c>
      <c r="C93" s="778" t="s">
        <v>674</v>
      </c>
      <c r="D93" s="786"/>
      <c r="E93" s="791">
        <v>897</v>
      </c>
      <c r="F93" s="788" t="s">
        <v>665</v>
      </c>
      <c r="G93" s="797"/>
      <c r="H93" s="789"/>
      <c r="I93" s="784"/>
    </row>
    <row r="94" spans="2:9" ht="15.75" customHeight="1">
      <c r="B94" s="790">
        <v>13</v>
      </c>
      <c r="C94" s="778" t="s">
        <v>675</v>
      </c>
      <c r="D94" s="786"/>
      <c r="E94" s="791">
        <v>853</v>
      </c>
      <c r="F94" s="788" t="s">
        <v>665</v>
      </c>
      <c r="G94" s="797"/>
      <c r="H94" s="789"/>
      <c r="I94" s="784"/>
    </row>
    <row r="95" spans="2:9" ht="15.75" customHeight="1">
      <c r="B95" s="785">
        <v>14</v>
      </c>
      <c r="C95" s="778" t="s">
        <v>676</v>
      </c>
      <c r="D95" s="786"/>
      <c r="E95" s="791">
        <v>968</v>
      </c>
      <c r="F95" s="788" t="s">
        <v>665</v>
      </c>
      <c r="G95" s="797">
        <f>-H57</f>
        <v>0</v>
      </c>
      <c r="H95" s="789"/>
      <c r="I95" s="784"/>
    </row>
    <row r="96" spans="2:9" ht="15.75" customHeight="1">
      <c r="B96" s="790">
        <v>15</v>
      </c>
      <c r="C96" s="778" t="s">
        <v>677</v>
      </c>
      <c r="D96" s="786"/>
      <c r="E96" s="791">
        <v>969</v>
      </c>
      <c r="F96" s="788" t="s">
        <v>665</v>
      </c>
      <c r="G96" s="797"/>
      <c r="H96" s="789"/>
      <c r="I96" s="784"/>
    </row>
    <row r="97" spans="2:9" ht="15.75" customHeight="1">
      <c r="B97" s="790">
        <v>16</v>
      </c>
      <c r="C97" s="778" t="s">
        <v>678</v>
      </c>
      <c r="D97" s="786"/>
      <c r="E97" s="791">
        <v>635</v>
      </c>
      <c r="F97" s="788" t="s">
        <v>665</v>
      </c>
      <c r="G97" s="797"/>
      <c r="H97" s="789"/>
      <c r="I97" s="784"/>
    </row>
    <row r="98" spans="2:9" ht="15.75" customHeight="1" thickBot="1">
      <c r="B98" s="792"/>
      <c r="C98" s="793" t="s">
        <v>679</v>
      </c>
      <c r="D98" s="794"/>
      <c r="E98" s="795" t="s">
        <v>662</v>
      </c>
      <c r="F98" s="795" t="s">
        <v>662</v>
      </c>
      <c r="G98" s="796">
        <f>SUM(G87:G97)</f>
        <v>0</v>
      </c>
      <c r="H98" s="789"/>
      <c r="I98" s="784"/>
    </row>
    <row r="99" spans="2:9" ht="15.75" customHeight="1" thickTop="1" thickBot="1">
      <c r="B99" s="792"/>
      <c r="C99" s="793" t="s">
        <v>680</v>
      </c>
      <c r="D99" s="794"/>
      <c r="E99" s="795" t="s">
        <v>662</v>
      </c>
      <c r="F99" s="795" t="s">
        <v>662</v>
      </c>
      <c r="G99" s="796">
        <f>+G80+G84+G98</f>
        <v>0</v>
      </c>
      <c r="H99" s="789"/>
      <c r="I99" s="784"/>
    </row>
    <row r="100" spans="2:9" ht="15.75" customHeight="1" thickTop="1">
      <c r="B100" s="790"/>
      <c r="C100" s="778"/>
      <c r="D100" s="786"/>
      <c r="E100" s="786"/>
      <c r="F100" s="783"/>
      <c r="G100" s="797"/>
      <c r="H100" s="789"/>
      <c r="I100" s="784"/>
    </row>
    <row r="101" spans="2:9" ht="15.75" customHeight="1">
      <c r="B101" s="798"/>
      <c r="C101" s="781" t="s">
        <v>681</v>
      </c>
      <c r="D101" s="782"/>
      <c r="E101" s="782"/>
      <c r="F101" s="782"/>
      <c r="G101" s="799"/>
      <c r="H101" s="789"/>
      <c r="I101" s="784"/>
    </row>
    <row r="102" spans="2:9" ht="15.75" customHeight="1">
      <c r="B102" s="785">
        <v>17</v>
      </c>
      <c r="C102" s="800" t="s">
        <v>682</v>
      </c>
      <c r="D102" s="801"/>
      <c r="E102" s="801">
        <v>637</v>
      </c>
      <c r="F102" s="802" t="s">
        <v>665</v>
      </c>
      <c r="G102" s="797">
        <f>-H56</f>
        <v>0</v>
      </c>
      <c r="H102" s="789"/>
      <c r="I102" s="784"/>
    </row>
    <row r="103" spans="2:9" ht="15.75" customHeight="1">
      <c r="B103" s="790">
        <v>18</v>
      </c>
      <c r="C103" s="800" t="s">
        <v>683</v>
      </c>
      <c r="D103" s="801"/>
      <c r="E103" s="801">
        <v>638</v>
      </c>
      <c r="F103" s="802" t="s">
        <v>657</v>
      </c>
      <c r="G103" s="797">
        <f>+I56</f>
        <v>0</v>
      </c>
      <c r="H103" s="789"/>
      <c r="I103" s="784"/>
    </row>
    <row r="104" spans="2:9" ht="15.75" customHeight="1" thickBot="1">
      <c r="B104" s="792"/>
      <c r="C104" s="793" t="s">
        <v>684</v>
      </c>
      <c r="D104" s="794"/>
      <c r="E104" s="795"/>
      <c r="F104" s="795"/>
      <c r="G104" s="796">
        <f>+G102+G103</f>
        <v>0</v>
      </c>
      <c r="H104" s="789"/>
      <c r="I104" s="784"/>
    </row>
    <row r="105" spans="2:9" ht="15.75" customHeight="1" thickTop="1">
      <c r="B105" s="790"/>
      <c r="C105" s="778"/>
      <c r="D105" s="786"/>
      <c r="E105" s="786"/>
      <c r="F105" s="783"/>
      <c r="G105" s="797"/>
      <c r="H105" s="789"/>
      <c r="I105" s="784"/>
    </row>
    <row r="106" spans="2:9" ht="15.75" customHeight="1">
      <c r="B106" s="798"/>
      <c r="C106" s="781" t="s">
        <v>681</v>
      </c>
      <c r="D106" s="782"/>
      <c r="E106" s="782"/>
      <c r="F106" s="782"/>
      <c r="G106" s="799"/>
      <c r="H106" s="789"/>
      <c r="I106" s="784"/>
    </row>
    <row r="107" spans="2:9" ht="15.75" customHeight="1">
      <c r="B107" s="803">
        <v>19</v>
      </c>
      <c r="C107" s="804" t="s">
        <v>685</v>
      </c>
      <c r="D107" s="805"/>
      <c r="E107" s="805"/>
      <c r="F107" s="806" t="s">
        <v>657</v>
      </c>
      <c r="G107" s="807">
        <f>+H57</f>
        <v>0</v>
      </c>
      <c r="H107" s="789"/>
      <c r="I107" s="784"/>
    </row>
    <row r="108" spans="2:9" ht="15.75" customHeight="1">
      <c r="B108" s="808">
        <v>20</v>
      </c>
      <c r="C108" s="778" t="s">
        <v>686</v>
      </c>
      <c r="D108" s="786"/>
      <c r="E108" s="783">
        <v>926</v>
      </c>
      <c r="F108" s="788" t="s">
        <v>657</v>
      </c>
      <c r="G108" s="797"/>
      <c r="H108" s="789"/>
      <c r="I108" s="784"/>
    </row>
    <row r="109" spans="2:9" ht="15.75" customHeight="1">
      <c r="B109" s="808">
        <v>21</v>
      </c>
      <c r="C109" s="778" t="s">
        <v>687</v>
      </c>
      <c r="D109" s="786"/>
      <c r="E109" s="786">
        <v>970</v>
      </c>
      <c r="F109" s="788" t="s">
        <v>665</v>
      </c>
      <c r="G109" s="797"/>
      <c r="H109" s="789"/>
      <c r="I109" s="784"/>
    </row>
    <row r="110" spans="2:9" ht="15.75" customHeight="1">
      <c r="B110" s="808">
        <v>22</v>
      </c>
      <c r="C110" s="778" t="s">
        <v>688</v>
      </c>
      <c r="D110" s="786"/>
      <c r="E110" s="786">
        <v>971</v>
      </c>
      <c r="F110" s="788" t="s">
        <v>657</v>
      </c>
      <c r="G110" s="797"/>
      <c r="H110" s="789"/>
      <c r="I110" s="784"/>
    </row>
    <row r="111" spans="2:9" ht="15.75" customHeight="1">
      <c r="B111" s="808">
        <v>23</v>
      </c>
      <c r="C111" s="778" t="s">
        <v>689</v>
      </c>
      <c r="D111" s="786"/>
      <c r="E111" s="786">
        <v>639</v>
      </c>
      <c r="F111" s="788" t="s">
        <v>665</v>
      </c>
      <c r="G111" s="797"/>
      <c r="H111" s="789"/>
      <c r="I111" s="784"/>
    </row>
    <row r="112" spans="2:9" ht="15.75" customHeight="1" thickBot="1">
      <c r="B112" s="792"/>
      <c r="C112" s="793" t="s">
        <v>690</v>
      </c>
      <c r="D112" s="794"/>
      <c r="E112" s="795"/>
      <c r="F112" s="795"/>
      <c r="G112" s="796">
        <f>SUM(G107:G111)</f>
        <v>0</v>
      </c>
      <c r="H112" s="789"/>
      <c r="I112" s="784"/>
    </row>
    <row r="113" spans="2:9" ht="15.75" customHeight="1" thickTop="1">
      <c r="B113" s="808"/>
      <c r="C113" s="778"/>
      <c r="D113" s="786"/>
      <c r="E113" s="786"/>
      <c r="F113" s="783"/>
      <c r="G113" s="797"/>
      <c r="H113" s="789"/>
      <c r="I113" s="784"/>
    </row>
    <row r="114" spans="2:9" ht="15.75" customHeight="1">
      <c r="B114" s="798"/>
      <c r="C114" s="781" t="s">
        <v>691</v>
      </c>
      <c r="D114" s="782"/>
      <c r="E114" s="782"/>
      <c r="F114" s="782"/>
      <c r="G114" s="799"/>
      <c r="H114" s="789"/>
      <c r="I114" s="784"/>
    </row>
    <row r="115" spans="2:9" ht="15.75" customHeight="1">
      <c r="B115" s="808">
        <v>24</v>
      </c>
      <c r="C115" s="778" t="s">
        <v>692</v>
      </c>
      <c r="D115" s="786"/>
      <c r="E115" s="786">
        <v>927</v>
      </c>
      <c r="F115" s="788" t="s">
        <v>665</v>
      </c>
      <c r="G115" s="797"/>
      <c r="H115" s="789"/>
      <c r="I115" s="784"/>
    </row>
    <row r="116" spans="2:9" ht="15.75" customHeight="1">
      <c r="B116" s="808">
        <v>25</v>
      </c>
      <c r="C116" s="778" t="s">
        <v>693</v>
      </c>
      <c r="D116" s="786"/>
      <c r="E116" s="783">
        <v>1000</v>
      </c>
      <c r="F116" s="788" t="s">
        <v>665</v>
      </c>
      <c r="G116" s="797"/>
      <c r="H116" s="789"/>
      <c r="I116" s="784"/>
    </row>
    <row r="117" spans="2:9" ht="15.75" customHeight="1">
      <c r="B117" s="808">
        <v>26</v>
      </c>
      <c r="C117" s="778" t="s">
        <v>694</v>
      </c>
      <c r="D117" s="786"/>
      <c r="E117" s="786">
        <v>827</v>
      </c>
      <c r="F117" s="788" t="s">
        <v>665</v>
      </c>
      <c r="G117" s="797"/>
      <c r="H117" s="789"/>
      <c r="I117" s="784"/>
    </row>
    <row r="118" spans="2:9" ht="15.75" customHeight="1">
      <c r="B118" s="808">
        <v>27</v>
      </c>
      <c r="C118" s="778" t="s">
        <v>695</v>
      </c>
      <c r="D118" s="786"/>
      <c r="E118" s="786">
        <v>928</v>
      </c>
      <c r="F118" s="788" t="s">
        <v>665</v>
      </c>
      <c r="G118" s="797"/>
      <c r="H118" s="789"/>
      <c r="I118" s="784"/>
    </row>
    <row r="119" spans="2:9" ht="15.75" customHeight="1">
      <c r="B119" s="808">
        <v>28</v>
      </c>
      <c r="C119" s="778" t="s">
        <v>696</v>
      </c>
      <c r="D119" s="786"/>
      <c r="E119" s="786">
        <v>929</v>
      </c>
      <c r="F119" s="788" t="s">
        <v>665</v>
      </c>
      <c r="G119" s="797"/>
      <c r="H119" s="789"/>
      <c r="I119" s="784"/>
    </row>
    <row r="120" spans="2:9" ht="15.75" customHeight="1">
      <c r="B120" s="808">
        <v>29</v>
      </c>
      <c r="C120" s="778" t="s">
        <v>697</v>
      </c>
      <c r="D120" s="786"/>
      <c r="E120" s="786">
        <v>807</v>
      </c>
      <c r="F120" s="788" t="s">
        <v>665</v>
      </c>
      <c r="G120" s="797"/>
      <c r="H120" s="789"/>
      <c r="I120" s="784"/>
    </row>
    <row r="121" spans="2:9" ht="15.75" customHeight="1">
      <c r="B121" s="808">
        <v>30</v>
      </c>
      <c r="C121" s="778" t="s">
        <v>698</v>
      </c>
      <c r="D121" s="786"/>
      <c r="E121" s="783">
        <v>641</v>
      </c>
      <c r="F121" s="788" t="s">
        <v>665</v>
      </c>
      <c r="G121" s="797"/>
      <c r="H121" s="789"/>
      <c r="I121" s="784"/>
    </row>
    <row r="122" spans="2:9" ht="15.75" customHeight="1">
      <c r="B122" s="808">
        <v>31</v>
      </c>
      <c r="C122" s="778" t="s">
        <v>699</v>
      </c>
      <c r="D122" s="786"/>
      <c r="E122" s="786">
        <v>642</v>
      </c>
      <c r="F122" s="788" t="s">
        <v>665</v>
      </c>
      <c r="G122" s="797"/>
      <c r="H122" s="789"/>
      <c r="I122" s="784"/>
    </row>
    <row r="123" spans="2:9" ht="15.75" customHeight="1">
      <c r="B123" s="808">
        <v>32</v>
      </c>
      <c r="C123" s="778" t="s">
        <v>700</v>
      </c>
      <c r="D123" s="786"/>
      <c r="E123" s="786">
        <v>973</v>
      </c>
      <c r="F123" s="788" t="s">
        <v>665</v>
      </c>
      <c r="G123" s="797"/>
      <c r="H123" s="789"/>
      <c r="I123" s="784"/>
    </row>
    <row r="124" spans="2:9" ht="15.75" customHeight="1">
      <c r="B124" s="808">
        <v>34</v>
      </c>
      <c r="C124" s="778" t="s">
        <v>701</v>
      </c>
      <c r="D124" s="786"/>
      <c r="E124" s="786">
        <v>640</v>
      </c>
      <c r="F124" s="788" t="s">
        <v>665</v>
      </c>
      <c r="G124" s="797"/>
      <c r="H124" s="789"/>
      <c r="I124" s="784"/>
    </row>
    <row r="125" spans="2:9" ht="15.75" customHeight="1">
      <c r="B125" s="808">
        <v>34</v>
      </c>
      <c r="C125" s="778" t="s">
        <v>702</v>
      </c>
      <c r="D125" s="786"/>
      <c r="E125" s="786">
        <v>634</v>
      </c>
      <c r="F125" s="788" t="s">
        <v>665</v>
      </c>
      <c r="G125" s="797"/>
      <c r="H125" s="789"/>
      <c r="I125" s="784"/>
    </row>
    <row r="126" spans="2:9" ht="15.75" customHeight="1" thickBot="1">
      <c r="B126" s="792"/>
      <c r="C126" s="793" t="s">
        <v>690</v>
      </c>
      <c r="D126" s="794"/>
      <c r="E126" s="795">
        <v>643</v>
      </c>
      <c r="F126" s="795"/>
      <c r="G126" s="796">
        <f>SUM(G115:G125)</f>
        <v>0</v>
      </c>
      <c r="H126" s="789"/>
      <c r="I126" s="784"/>
    </row>
    <row r="127" spans="2:9" ht="15.75" customHeight="1" thickTop="1">
      <c r="B127" s="808"/>
      <c r="C127" s="778"/>
      <c r="D127" s="786"/>
      <c r="E127" s="786"/>
      <c r="F127" s="783"/>
      <c r="G127" s="797"/>
      <c r="H127" s="789"/>
      <c r="I127" s="784"/>
    </row>
    <row r="128" spans="2:9" ht="15.75" customHeight="1" thickBot="1">
      <c r="B128" s="792"/>
      <c r="C128" s="793" t="s">
        <v>680</v>
      </c>
      <c r="D128" s="794"/>
      <c r="E128" s="795" t="s">
        <v>662</v>
      </c>
      <c r="F128" s="795" t="s">
        <v>662</v>
      </c>
      <c r="G128" s="796">
        <f>+G99+G104+G112+G126</f>
        <v>0</v>
      </c>
      <c r="H128" s="789">
        <f>+G44</f>
        <v>0</v>
      </c>
      <c r="I128" s="784">
        <f>+H128-G128</f>
        <v>0</v>
      </c>
    </row>
    <row r="129" spans="2:9" ht="15.75" customHeight="1" thickTop="1">
      <c r="B129" s="808"/>
      <c r="C129" s="778"/>
      <c r="D129" s="786"/>
      <c r="E129" s="786"/>
      <c r="F129" s="783"/>
      <c r="G129" s="797"/>
      <c r="H129" s="789"/>
      <c r="I129" s="784"/>
    </row>
    <row r="130" spans="2:9" ht="15.75" customHeight="1">
      <c r="B130" s="809"/>
      <c r="C130" s="810"/>
      <c r="D130" s="811"/>
      <c r="E130" s="811"/>
      <c r="F130" s="812"/>
      <c r="G130" s="813"/>
      <c r="H130" s="813"/>
      <c r="I130" s="814"/>
    </row>
    <row r="156" spans="1:3" ht="15.75" customHeight="1">
      <c r="A156" s="99" t="s">
        <v>111</v>
      </c>
      <c r="B156" s="99">
        <v>1199231588</v>
      </c>
      <c r="C156" s="99">
        <v>1519951732</v>
      </c>
    </row>
    <row r="157" spans="1:3" ht="15.75" customHeight="1">
      <c r="A157" s="99" t="s">
        <v>196</v>
      </c>
      <c r="B157" s="99">
        <v>1210221540</v>
      </c>
      <c r="C157" s="99">
        <v>584567899</v>
      </c>
    </row>
    <row r="158" spans="1:3" ht="15.75" customHeight="1">
      <c r="A158" s="99" t="s">
        <v>160</v>
      </c>
      <c r="B158" s="99">
        <v>251071768</v>
      </c>
      <c r="C158" s="99">
        <v>257310286</v>
      </c>
    </row>
    <row r="159" spans="1:3" ht="15.75" customHeight="1">
      <c r="A159" s="99" t="s">
        <v>142</v>
      </c>
      <c r="B159" s="99">
        <v>12249613</v>
      </c>
      <c r="C159" s="99">
        <v>2542340</v>
      </c>
    </row>
    <row r="160" spans="1:3" ht="15.75" customHeight="1">
      <c r="A160" s="99" t="s">
        <v>221</v>
      </c>
      <c r="B160" s="99">
        <v>6657464</v>
      </c>
      <c r="C160" s="99">
        <v>6657464</v>
      </c>
    </row>
    <row r="161" spans="1:3" ht="15.75" customHeight="1">
      <c r="A161" s="99" t="s">
        <v>197</v>
      </c>
      <c r="B161" s="99">
        <v>0</v>
      </c>
      <c r="C161" s="99">
        <v>0</v>
      </c>
    </row>
    <row r="162" spans="1:3" ht="15.75" customHeight="1">
      <c r="A162" s="99" t="s">
        <v>234</v>
      </c>
      <c r="B162" s="99">
        <v>3789600</v>
      </c>
      <c r="C162" s="99">
        <v>0</v>
      </c>
    </row>
    <row r="163" spans="1:3" ht="15.75" customHeight="1">
      <c r="A163" s="99" t="s">
        <v>198</v>
      </c>
      <c r="B163" s="99">
        <v>0</v>
      </c>
      <c r="C163" s="99">
        <v>0</v>
      </c>
    </row>
    <row r="164" spans="1:3" ht="15.75" customHeight="1">
      <c r="A164" s="99" t="s">
        <v>199</v>
      </c>
      <c r="B164" s="99">
        <v>241876346</v>
      </c>
      <c r="C164" s="99">
        <v>0</v>
      </c>
    </row>
    <row r="165" spans="1:3" ht="15.75" customHeight="1">
      <c r="A165" s="99" t="s">
        <v>226</v>
      </c>
      <c r="B165" s="99">
        <v>80375935</v>
      </c>
      <c r="C165" s="99">
        <v>0</v>
      </c>
    </row>
    <row r="166" spans="1:3" ht="15.75" customHeight="1">
      <c r="A166" s="99" t="s">
        <v>161</v>
      </c>
      <c r="B166" s="99">
        <v>0</v>
      </c>
      <c r="C166" s="99">
        <v>0</v>
      </c>
    </row>
    <row r="167" spans="1:3" ht="15.75" customHeight="1">
      <c r="A167" s="99" t="s">
        <v>253</v>
      </c>
      <c r="B167" s="99">
        <v>49133855</v>
      </c>
      <c r="C167" s="99">
        <v>814083</v>
      </c>
    </row>
    <row r="168" spans="1:3" ht="15.75" customHeight="1">
      <c r="A168" s="99" t="s">
        <v>255</v>
      </c>
      <c r="B168" s="99">
        <v>35697471</v>
      </c>
      <c r="C168" s="99">
        <v>0</v>
      </c>
    </row>
    <row r="169" spans="1:3" ht="15.75" customHeight="1">
      <c r="A169" s="99" t="s">
        <v>198</v>
      </c>
      <c r="B169" s="99">
        <v>0</v>
      </c>
      <c r="C169" s="99">
        <v>0</v>
      </c>
    </row>
    <row r="170" spans="1:3" ht="15.75" customHeight="1">
      <c r="A170" s="99" t="s">
        <v>225</v>
      </c>
      <c r="B170" s="99">
        <v>0</v>
      </c>
      <c r="C170" s="99">
        <v>0</v>
      </c>
    </row>
    <row r="171" spans="1:3" ht="15.75" customHeight="1">
      <c r="A171" s="99">
        <v>0</v>
      </c>
      <c r="B171" s="99">
        <v>0</v>
      </c>
      <c r="C171" s="99">
        <v>0</v>
      </c>
    </row>
    <row r="172" spans="1:3" ht="15.75" customHeight="1">
      <c r="A172" s="99">
        <v>0</v>
      </c>
      <c r="B172" s="99">
        <v>0</v>
      </c>
      <c r="C172" s="99">
        <v>0</v>
      </c>
    </row>
    <row r="173" spans="1:3" ht="15.75" customHeight="1">
      <c r="A173" s="99" t="s">
        <v>201</v>
      </c>
      <c r="B173" s="99">
        <v>0</v>
      </c>
      <c r="C173" s="99">
        <v>0</v>
      </c>
    </row>
    <row r="174" spans="1:3" ht="15.75" customHeight="1">
      <c r="A174" s="99" t="s">
        <v>164</v>
      </c>
      <c r="B174" s="99">
        <v>1306278</v>
      </c>
      <c r="C174" s="99">
        <v>1376582</v>
      </c>
    </row>
    <row r="175" spans="1:3" ht="15.75" customHeight="1">
      <c r="A175" s="99" t="s">
        <v>200</v>
      </c>
      <c r="B175" s="99">
        <v>0</v>
      </c>
      <c r="C175" s="99">
        <v>0</v>
      </c>
    </row>
    <row r="176" spans="1:3" ht="15.75" customHeight="1">
      <c r="A176" s="99" t="s">
        <v>145</v>
      </c>
      <c r="B176" s="99">
        <v>255937</v>
      </c>
      <c r="C176" s="99">
        <v>255937</v>
      </c>
    </row>
    <row r="177" spans="1:3" ht="15.75" customHeight="1">
      <c r="A177" s="99" t="s">
        <v>222</v>
      </c>
      <c r="B177" s="99">
        <v>0</v>
      </c>
      <c r="C177" s="99">
        <v>3890567</v>
      </c>
    </row>
    <row r="178" spans="1:3" ht="15.75" customHeight="1">
      <c r="A178" s="99" t="s">
        <v>230</v>
      </c>
      <c r="B178" s="99">
        <v>814083</v>
      </c>
      <c r="C178" s="99">
        <v>32246919</v>
      </c>
    </row>
    <row r="179" spans="1:3" ht="15.75" customHeight="1">
      <c r="A179" s="99" t="s">
        <v>254</v>
      </c>
      <c r="B179" s="99">
        <v>27079344</v>
      </c>
      <c r="C179" s="99">
        <v>121857048</v>
      </c>
    </row>
    <row r="180" spans="1:3" ht="15.75" customHeight="1">
      <c r="A180" s="99" t="s">
        <v>256</v>
      </c>
      <c r="B180" s="99">
        <v>2279389</v>
      </c>
      <c r="C180" s="99">
        <v>41029256</v>
      </c>
    </row>
    <row r="181" spans="1:3" ht="15.75" customHeight="1">
      <c r="A181" s="99" t="s">
        <v>257</v>
      </c>
      <c r="B181" s="99">
        <v>6250270</v>
      </c>
      <c r="C181" s="99">
        <v>75000505</v>
      </c>
    </row>
    <row r="182" spans="1:3" ht="15.75" customHeight="1">
      <c r="A182" s="99" t="s">
        <v>246</v>
      </c>
      <c r="B182" s="99">
        <v>551001</v>
      </c>
      <c r="C182" s="99">
        <v>606389</v>
      </c>
    </row>
    <row r="183" spans="1:3" ht="15.75" customHeight="1">
      <c r="A183" s="99" t="s">
        <v>159</v>
      </c>
      <c r="B183" s="99">
        <v>0</v>
      </c>
      <c r="C183" s="99">
        <v>0</v>
      </c>
    </row>
    <row r="184" spans="1:3" ht="15.75" customHeight="1">
      <c r="A184" s="99" t="s">
        <v>223</v>
      </c>
      <c r="B184" s="99">
        <v>0</v>
      </c>
      <c r="C184" s="99">
        <v>2785708</v>
      </c>
    </row>
    <row r="185" spans="1:3" ht="15.75" customHeight="1">
      <c r="A185" s="99" t="s">
        <v>227</v>
      </c>
      <c r="B185" s="99">
        <v>0</v>
      </c>
      <c r="C185" s="99">
        <v>9374788</v>
      </c>
    </row>
    <row r="186" spans="1:3" ht="15.75" customHeight="1">
      <c r="A186" s="99" t="s">
        <v>251</v>
      </c>
      <c r="B186" s="99">
        <v>0</v>
      </c>
      <c r="C186" s="99">
        <v>6317820</v>
      </c>
    </row>
    <row r="187" spans="1:3" ht="15.75" customHeight="1">
      <c r="A187" s="99" t="s">
        <v>252</v>
      </c>
      <c r="B187" s="99">
        <v>0</v>
      </c>
      <c r="C187" s="99">
        <v>88007868</v>
      </c>
    </row>
    <row r="188" spans="1:3" ht="15.75" customHeight="1">
      <c r="A188" s="99" t="s">
        <v>53</v>
      </c>
      <c r="B188" s="99">
        <v>0</v>
      </c>
      <c r="C188" s="99">
        <v>20000000</v>
      </c>
    </row>
    <row r="189" spans="1:3" ht="15.75" customHeight="1">
      <c r="A189" s="99" t="s">
        <v>143</v>
      </c>
      <c r="B189" s="99">
        <v>0</v>
      </c>
      <c r="C189" s="99">
        <v>500000</v>
      </c>
    </row>
    <row r="190" spans="1:3" ht="15.75" customHeight="1">
      <c r="A190" s="99" t="s">
        <v>66</v>
      </c>
      <c r="B190" s="99">
        <v>0</v>
      </c>
      <c r="C190" s="99">
        <v>0</v>
      </c>
    </row>
    <row r="191" spans="1:3" ht="15.75" customHeight="1">
      <c r="A191" s="99" t="s">
        <v>194</v>
      </c>
      <c r="B191" s="99">
        <v>10000000</v>
      </c>
      <c r="C191" s="99">
        <v>62003027</v>
      </c>
    </row>
    <row r="192" spans="1:3" ht="15.75" customHeight="1">
      <c r="A192" s="99" t="s">
        <v>180</v>
      </c>
      <c r="B192" s="99">
        <v>0</v>
      </c>
      <c r="C192" s="99">
        <v>1354264665</v>
      </c>
    </row>
    <row r="193" spans="1:3" ht="15.75" customHeight="1">
      <c r="A193" s="99" t="s">
        <v>182</v>
      </c>
      <c r="B193" s="99">
        <v>0</v>
      </c>
      <c r="C193" s="99">
        <v>0</v>
      </c>
    </row>
    <row r="194" spans="1:3" ht="15.75" customHeight="1">
      <c r="A194" s="99" t="s">
        <v>181</v>
      </c>
      <c r="B194" s="99">
        <v>0</v>
      </c>
      <c r="C194" s="99">
        <v>0</v>
      </c>
    </row>
    <row r="195" spans="1:3" ht="15.75" customHeight="1">
      <c r="A195" s="99" t="s">
        <v>183</v>
      </c>
      <c r="B195" s="99">
        <v>0</v>
      </c>
      <c r="C195" s="99">
        <v>0</v>
      </c>
    </row>
    <row r="196" spans="1:3" ht="15.75" customHeight="1">
      <c r="A196" s="99" t="s">
        <v>177</v>
      </c>
      <c r="B196" s="99">
        <v>606389</v>
      </c>
      <c r="C196" s="99">
        <v>0</v>
      </c>
    </row>
    <row r="197" spans="1:3" ht="15.75" customHeight="1">
      <c r="A197" s="99" t="s">
        <v>229</v>
      </c>
      <c r="B197" s="99">
        <v>0</v>
      </c>
    </row>
    <row r="198" spans="1:3" ht="15.75" customHeight="1">
      <c r="A198" s="99" t="s">
        <v>178</v>
      </c>
      <c r="B198" s="99">
        <v>684941638</v>
      </c>
    </row>
    <row r="199" spans="1:3" ht="15.75" customHeight="1">
      <c r="A199" s="99">
        <v>0</v>
      </c>
      <c r="B199" s="99">
        <v>0</v>
      </c>
      <c r="C199" s="99">
        <v>0</v>
      </c>
    </row>
    <row r="200" spans="1:3" ht="15.75" customHeight="1">
      <c r="A200" s="99" t="s">
        <v>232</v>
      </c>
      <c r="B200" s="99">
        <v>0</v>
      </c>
      <c r="C200" s="99">
        <v>0</v>
      </c>
    </row>
    <row r="201" spans="1:3" ht="15.75" customHeight="1">
      <c r="A201" s="99" t="s">
        <v>233</v>
      </c>
      <c r="B201" s="99">
        <v>0</v>
      </c>
      <c r="C201" s="99">
        <v>0</v>
      </c>
    </row>
    <row r="202" spans="1:3" ht="15.75" customHeight="1">
      <c r="A202" s="99">
        <v>0</v>
      </c>
      <c r="B202" s="99">
        <v>0</v>
      </c>
      <c r="C202" s="99">
        <v>0</v>
      </c>
    </row>
    <row r="203" spans="1:3" ht="15.75" customHeight="1">
      <c r="A203" s="99">
        <v>0</v>
      </c>
      <c r="B203" s="99">
        <v>0</v>
      </c>
      <c r="C203" s="99">
        <v>0</v>
      </c>
    </row>
    <row r="204" spans="1:3" ht="15.75" customHeight="1">
      <c r="A204" s="99">
        <v>0</v>
      </c>
      <c r="B204" s="99">
        <v>0</v>
      </c>
      <c r="C204" s="99">
        <v>0</v>
      </c>
    </row>
    <row r="205" spans="1:3" ht="15.75" customHeight="1">
      <c r="A205" s="99">
        <v>0</v>
      </c>
      <c r="B205" s="99">
        <v>0</v>
      </c>
      <c r="C205" s="99">
        <v>0</v>
      </c>
    </row>
    <row r="206" spans="1:3" ht="15.75" customHeight="1">
      <c r="A206" s="99">
        <v>0</v>
      </c>
      <c r="B206" s="99">
        <v>0</v>
      </c>
      <c r="C206" s="99">
        <v>0</v>
      </c>
    </row>
    <row r="207" spans="1:3" ht="15.75" customHeight="1">
      <c r="A207" s="99">
        <v>0</v>
      </c>
      <c r="B207" s="99">
        <v>0</v>
      </c>
      <c r="C207" s="99">
        <v>0</v>
      </c>
    </row>
    <row r="208" spans="1:3" ht="15.75" customHeight="1">
      <c r="A208" s="99">
        <v>0</v>
      </c>
      <c r="B208" s="99">
        <v>0</v>
      </c>
      <c r="C208" s="99">
        <v>0</v>
      </c>
    </row>
    <row r="209" spans="1:3" ht="15.75" customHeight="1">
      <c r="A209" s="99" t="s">
        <v>3</v>
      </c>
      <c r="B209" s="99">
        <v>1038228070</v>
      </c>
      <c r="C209" s="99">
        <v>684941638</v>
      </c>
    </row>
    <row r="210" spans="1:3" ht="15.75" customHeight="1">
      <c r="A210" s="99">
        <v>0</v>
      </c>
      <c r="B210" s="99">
        <v>0</v>
      </c>
      <c r="C210" s="99">
        <v>0</v>
      </c>
    </row>
    <row r="211" spans="1:3" ht="15.75" customHeight="1">
      <c r="A211" s="99">
        <v>0</v>
      </c>
      <c r="B211" s="99">
        <v>0</v>
      </c>
      <c r="C211" s="99">
        <v>0</v>
      </c>
    </row>
    <row r="212" spans="1:3" ht="15.75" customHeight="1">
      <c r="A212" s="99" t="s">
        <v>224</v>
      </c>
      <c r="B212" s="99">
        <v>13765820</v>
      </c>
      <c r="C212" s="99">
        <v>0</v>
      </c>
    </row>
    <row r="213" spans="1:3" ht="15.75" customHeight="1">
      <c r="A213" s="99" t="s">
        <v>144</v>
      </c>
      <c r="B213" s="99">
        <v>0</v>
      </c>
      <c r="C213" s="99">
        <v>0</v>
      </c>
    </row>
    <row r="214" spans="1:3" ht="15.75" customHeight="1">
      <c r="A214" s="99" t="s">
        <v>2</v>
      </c>
      <c r="B214" s="99">
        <v>48994</v>
      </c>
      <c r="C214" s="99">
        <v>129871</v>
      </c>
    </row>
    <row r="215" spans="1:3" ht="15.75" customHeight="1">
      <c r="A215" s="99" t="s">
        <v>146</v>
      </c>
      <c r="B215" s="99">
        <v>0</v>
      </c>
      <c r="C215" s="99">
        <v>0</v>
      </c>
    </row>
    <row r="217" spans="1:3" ht="15.75" customHeight="1">
      <c r="A217" s="99" t="s">
        <v>24</v>
      </c>
      <c r="B217" s="99">
        <v>4876432393</v>
      </c>
      <c r="C217" s="99">
        <v>4876432392</v>
      </c>
    </row>
    <row r="218" spans="1:3" ht="15.75" customHeight="1">
      <c r="A218" s="99" t="s">
        <v>25</v>
      </c>
      <c r="B218" s="99">
        <v>0</v>
      </c>
      <c r="C218" s="99">
        <v>0</v>
      </c>
    </row>
    <row r="219" spans="1:3" ht="15.75" customHeight="1">
      <c r="A219" s="99" t="s">
        <v>26</v>
      </c>
      <c r="B219" s="99">
        <v>4876432393</v>
      </c>
      <c r="C219" s="99">
        <v>4876432392</v>
      </c>
    </row>
  </sheetData>
  <printOptions horizontalCentered="1"/>
  <pageMargins left="0.78740157480314965" right="0.46" top="0.17" bottom="0.22" header="0.17" footer="0.17"/>
  <pageSetup scale="6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pageSetUpPr fitToPage="1"/>
  </sheetPr>
  <dimension ref="A1:P218"/>
  <sheetViews>
    <sheetView showGridLines="0" view="pageBreakPreview" zoomScale="80" zoomScaleNormal="85" zoomScaleSheetLayoutView="80" workbookViewId="0">
      <pane xSplit="1" ySplit="11" topLeftCell="B54" activePane="bottomRight" state="frozen"/>
      <selection pane="topRight" activeCell="B1" sqref="B1"/>
      <selection pane="bottomLeft" activeCell="A12" sqref="A12"/>
      <selection pane="bottomRight" activeCell="C65" sqref="C65"/>
    </sheetView>
  </sheetViews>
  <sheetFormatPr baseColWidth="10" defaultColWidth="11.42578125" defaultRowHeight="15.75" customHeight="1"/>
  <cols>
    <col min="1" max="1" width="40" style="99" bestFit="1" customWidth="1"/>
    <col min="2" max="2" width="18.140625" style="99" customWidth="1"/>
    <col min="3" max="3" width="20.42578125" style="99" customWidth="1"/>
    <col min="4" max="9" width="18.140625" style="99" customWidth="1"/>
    <col min="10" max="11" width="13.5703125" style="476" bestFit="1" customWidth="1"/>
    <col min="12" max="12" width="21.42578125" style="476" customWidth="1"/>
    <col min="13" max="13" width="16.7109375" style="99" customWidth="1"/>
    <col min="14" max="14" width="11.42578125" style="99"/>
    <col min="15" max="16" width="14.42578125" style="99" bestFit="1" customWidth="1"/>
    <col min="17" max="16384" width="11.42578125" style="99"/>
  </cols>
  <sheetData>
    <row r="1" spans="1:14" ht="24" customHeight="1">
      <c r="A1" s="1175" t="str">
        <f>+MAYOR!B1</f>
        <v>SOCIEDAD COMERCIAL SOLMET SpA</v>
      </c>
      <c r="B1" s="1176"/>
      <c r="C1" s="1176"/>
      <c r="D1" s="1177"/>
      <c r="E1" s="1178"/>
      <c r="F1" s="1178"/>
      <c r="G1" s="1178"/>
      <c r="H1" s="1178"/>
      <c r="I1" s="1178"/>
    </row>
    <row r="2" spans="1:14" ht="15.75" customHeight="1">
      <c r="A2" s="1179" t="str">
        <f>+MAYOR!B2</f>
        <v>BOMBEROS SALAS #1445 OFC 601B</v>
      </c>
      <c r="B2" s="1176"/>
      <c r="C2" s="1176"/>
      <c r="D2" s="1177"/>
      <c r="E2" s="1178"/>
      <c r="F2" s="1178"/>
      <c r="G2" s="1178"/>
      <c r="H2" s="1178"/>
      <c r="I2" s="1178"/>
    </row>
    <row r="3" spans="1:14" ht="15.75" customHeight="1">
      <c r="A3" s="1179" t="str">
        <f>+MAYOR!B3</f>
        <v>RUT: 76.541.377-K</v>
      </c>
      <c r="B3" s="1176"/>
      <c r="C3" s="1176"/>
      <c r="D3" s="1177"/>
      <c r="E3" s="1178"/>
      <c r="F3" s="1178"/>
      <c r="G3" s="1178"/>
      <c r="H3" s="1178"/>
      <c r="I3" s="1178"/>
    </row>
    <row r="4" spans="1:14" ht="15.75" customHeight="1">
      <c r="A4" s="1179">
        <f>+MAYOR!B4</f>
        <v>0</v>
      </c>
      <c r="B4" s="1180"/>
      <c r="C4" s="1176"/>
      <c r="D4" s="1177"/>
      <c r="E4" s="1178"/>
      <c r="F4" s="1178"/>
      <c r="G4" s="1178"/>
      <c r="H4" s="1178"/>
      <c r="I4" s="1178"/>
    </row>
    <row r="5" spans="1:14" ht="15.75" customHeight="1">
      <c r="A5" s="1180"/>
      <c r="B5" s="1178"/>
      <c r="C5" s="1178"/>
      <c r="D5" s="1177"/>
      <c r="E5" s="1178"/>
      <c r="F5" s="1178"/>
      <c r="G5" s="1178"/>
      <c r="H5" s="1178"/>
      <c r="I5" s="1178"/>
    </row>
    <row r="6" spans="1:14" s="115" customFormat="1" ht="20.25" customHeight="1">
      <c r="A6" s="1181" t="s">
        <v>924</v>
      </c>
      <c r="B6" s="1182"/>
      <c r="C6" s="1182"/>
      <c r="D6" s="1182"/>
      <c r="E6" s="1182"/>
      <c r="F6" s="1182"/>
      <c r="G6" s="1182"/>
      <c r="H6" s="1182"/>
      <c r="I6" s="1182"/>
      <c r="J6" s="476"/>
      <c r="K6" s="476"/>
      <c r="L6" s="476"/>
    </row>
    <row r="7" spans="1:14" s="118" customFormat="1" ht="15.75" customHeight="1">
      <c r="A7" s="1183" t="s">
        <v>962</v>
      </c>
      <c r="B7" s="1184"/>
      <c r="C7" s="1184"/>
      <c r="D7" s="1184"/>
      <c r="E7" s="1184"/>
      <c r="F7" s="1184"/>
      <c r="G7" s="1184"/>
      <c r="H7" s="1184"/>
      <c r="I7" s="1184"/>
      <c r="J7" s="476"/>
      <c r="K7" s="476"/>
      <c r="L7" s="476"/>
    </row>
    <row r="8" spans="1:14" ht="5.25" customHeight="1">
      <c r="A8" s="1185"/>
      <c r="B8" s="1178"/>
      <c r="C8" s="1178"/>
      <c r="D8" s="1178"/>
      <c r="E8" s="1178"/>
      <c r="F8" s="1178"/>
      <c r="G8" s="1178"/>
      <c r="H8" s="1178"/>
      <c r="I8" s="1178"/>
    </row>
    <row r="9" spans="1:14" ht="6.75" customHeight="1">
      <c r="A9" s="1178"/>
      <c r="B9" s="1178"/>
      <c r="C9" s="1178"/>
      <c r="D9" s="1178"/>
      <c r="E9" s="1178"/>
      <c r="F9" s="1178"/>
      <c r="G9" s="1178"/>
      <c r="H9" s="1178"/>
      <c r="I9" s="1178"/>
    </row>
    <row r="10" spans="1:14" ht="15.75" customHeight="1" thickBot="1">
      <c r="A10" s="1203" t="s">
        <v>11</v>
      </c>
      <c r="B10" s="1204" t="s">
        <v>12</v>
      </c>
      <c r="C10" s="1204" t="s">
        <v>13</v>
      </c>
      <c r="D10" s="1205" t="s">
        <v>7</v>
      </c>
      <c r="E10" s="1206"/>
      <c r="F10" s="1207" t="s">
        <v>14</v>
      </c>
      <c r="G10" s="1208"/>
      <c r="H10" s="1205" t="s">
        <v>15</v>
      </c>
      <c r="I10" s="1209"/>
    </row>
    <row r="11" spans="1:14" ht="15.75" customHeight="1">
      <c r="A11" s="1210"/>
      <c r="B11" s="1211" t="s">
        <v>16</v>
      </c>
      <c r="C11" s="1211" t="s">
        <v>17</v>
      </c>
      <c r="D11" s="1212" t="s">
        <v>18</v>
      </c>
      <c r="E11" s="1213" t="s">
        <v>19</v>
      </c>
      <c r="F11" s="1212" t="s">
        <v>20</v>
      </c>
      <c r="G11" s="1213" t="s">
        <v>21</v>
      </c>
      <c r="H11" s="1213" t="s">
        <v>22</v>
      </c>
      <c r="I11" s="1214" t="s">
        <v>23</v>
      </c>
    </row>
    <row r="12" spans="1:14" s="120" customFormat="1" ht="15.75" customHeight="1">
      <c r="A12" s="1186" t="str">
        <f>+MAYOR!F6</f>
        <v>DISPONIBLE</v>
      </c>
      <c r="B12" s="1187">
        <f>+MAYOR!F228</f>
        <v>0</v>
      </c>
      <c r="C12" s="1187">
        <f>+MAYOR!G228</f>
        <v>0</v>
      </c>
      <c r="D12" s="1187">
        <f t="shared" ref="D12:D57" si="0">IF(B12&gt;C12,B12-C12,0)</f>
        <v>0</v>
      </c>
      <c r="E12" s="1187">
        <f t="shared" ref="E12:E57" si="1">IF(B12&lt;C12,C12-B12,0)</f>
        <v>0</v>
      </c>
      <c r="F12" s="1188">
        <f t="shared" ref="F12:G16" si="2">IF(D12&lt;0,0,D12)</f>
        <v>0</v>
      </c>
      <c r="G12" s="1188">
        <f t="shared" si="2"/>
        <v>0</v>
      </c>
      <c r="H12" s="1187">
        <f t="shared" ref="H12:I16" si="3">IF(F12&lt;=0,D12,0)</f>
        <v>0</v>
      </c>
      <c r="I12" s="1187">
        <f t="shared" si="3"/>
        <v>0</v>
      </c>
      <c r="J12" s="476"/>
      <c r="K12" s="476"/>
      <c r="L12" s="476"/>
    </row>
    <row r="13" spans="1:14" s="857" customFormat="1" ht="15.75" customHeight="1">
      <c r="A13" s="1186" t="str">
        <f>+MAYOR!L6</f>
        <v>P.P.M.</v>
      </c>
      <c r="B13" s="1187">
        <f>+MAYOR!L228</f>
        <v>0</v>
      </c>
      <c r="C13" s="1187">
        <f>+MAYOR!M228</f>
        <v>0</v>
      </c>
      <c r="D13" s="1187">
        <f t="shared" si="0"/>
        <v>0</v>
      </c>
      <c r="E13" s="1187">
        <f t="shared" si="1"/>
        <v>0</v>
      </c>
      <c r="F13" s="1188">
        <f t="shared" si="2"/>
        <v>0</v>
      </c>
      <c r="G13" s="1188">
        <f t="shared" si="2"/>
        <v>0</v>
      </c>
      <c r="H13" s="1187">
        <f t="shared" si="3"/>
        <v>0</v>
      </c>
      <c r="I13" s="1187">
        <f t="shared" si="3"/>
        <v>0</v>
      </c>
      <c r="J13" s="476"/>
      <c r="K13" s="476"/>
      <c r="L13" s="476"/>
      <c r="M13" s="120"/>
      <c r="N13" s="503"/>
    </row>
    <row r="14" spans="1:14" s="857" customFormat="1" ht="15.75" hidden="1" customHeight="1">
      <c r="A14" s="1186" t="str">
        <f>+MAYOR!R6</f>
        <v>CAMION FAENERO ANTOFAGASTA</v>
      </c>
      <c r="B14" s="1187">
        <f>+MAYOR!R228</f>
        <v>0</v>
      </c>
      <c r="C14" s="1187">
        <f>+MAYOR!S228</f>
        <v>0</v>
      </c>
      <c r="D14" s="1187">
        <f t="shared" si="0"/>
        <v>0</v>
      </c>
      <c r="E14" s="1187">
        <f t="shared" si="1"/>
        <v>0</v>
      </c>
      <c r="F14" s="1188">
        <f>IF(D14&lt;0,0,D14)</f>
        <v>0</v>
      </c>
      <c r="G14" s="1188">
        <f t="shared" si="2"/>
        <v>0</v>
      </c>
      <c r="H14" s="1187">
        <f t="shared" si="3"/>
        <v>0</v>
      </c>
      <c r="I14" s="1187">
        <f t="shared" si="3"/>
        <v>0</v>
      </c>
      <c r="J14" s="476"/>
      <c r="K14" s="476"/>
      <c r="L14" s="476"/>
      <c r="M14" s="120"/>
      <c r="N14" s="503"/>
    </row>
    <row r="15" spans="1:14" s="120" customFormat="1" ht="15.75" customHeight="1">
      <c r="A15" s="1186" t="str">
        <f>+MAYOR!Z6</f>
        <v>VEHICULOS</v>
      </c>
      <c r="B15" s="1187">
        <f>+MAYOR!Z228</f>
        <v>0</v>
      </c>
      <c r="C15" s="1187">
        <f>+MAYOR!AA228</f>
        <v>0</v>
      </c>
      <c r="D15" s="1187">
        <f t="shared" si="0"/>
        <v>0</v>
      </c>
      <c r="E15" s="1187">
        <f t="shared" si="1"/>
        <v>0</v>
      </c>
      <c r="F15" s="1188">
        <f t="shared" si="2"/>
        <v>0</v>
      </c>
      <c r="G15" s="1188">
        <f t="shared" si="2"/>
        <v>0</v>
      </c>
      <c r="H15" s="1187">
        <f t="shared" si="3"/>
        <v>0</v>
      </c>
      <c r="I15" s="1187">
        <f t="shared" si="3"/>
        <v>0</v>
      </c>
      <c r="J15" s="476"/>
      <c r="K15" s="476"/>
      <c r="L15" s="476"/>
      <c r="N15" s="100"/>
    </row>
    <row r="16" spans="1:14" s="120" customFormat="1" ht="15.75" customHeight="1">
      <c r="A16" s="1186" t="str">
        <f>+MAYOR!P6</f>
        <v>INVESTIGACION NUEVOS PROYECTOS MINEROS</v>
      </c>
      <c r="B16" s="1187">
        <f>+MAYOR!P228</f>
        <v>0</v>
      </c>
      <c r="C16" s="1187">
        <f>+MAYOR!Q228</f>
        <v>0</v>
      </c>
      <c r="D16" s="1187">
        <f t="shared" si="0"/>
        <v>0</v>
      </c>
      <c r="E16" s="1187">
        <f t="shared" si="1"/>
        <v>0</v>
      </c>
      <c r="F16" s="1188">
        <f t="shared" si="2"/>
        <v>0</v>
      </c>
      <c r="G16" s="1188">
        <f t="shared" si="2"/>
        <v>0</v>
      </c>
      <c r="H16" s="1187">
        <f t="shared" si="3"/>
        <v>0</v>
      </c>
      <c r="I16" s="1187">
        <f t="shared" si="3"/>
        <v>0</v>
      </c>
      <c r="J16" s="476"/>
      <c r="K16" s="476"/>
      <c r="L16" s="476"/>
      <c r="N16" s="100"/>
    </row>
    <row r="17" spans="1:14" s="120" customFormat="1" ht="15.75" hidden="1" customHeight="1">
      <c r="A17" s="1186"/>
      <c r="B17" s="1187"/>
      <c r="C17" s="1187"/>
      <c r="D17" s="1187"/>
      <c r="E17" s="1187"/>
      <c r="F17" s="1188"/>
      <c r="G17" s="1188"/>
      <c r="H17" s="1187"/>
      <c r="I17" s="1187"/>
      <c r="J17" s="476"/>
      <c r="K17" s="476"/>
      <c r="L17" s="476"/>
      <c r="N17" s="100"/>
    </row>
    <row r="18" spans="1:14" s="120" customFormat="1" ht="15.75" hidden="1" customHeight="1">
      <c r="A18" s="1186" t="s">
        <v>161</v>
      </c>
      <c r="B18" s="1187"/>
      <c r="C18" s="1187"/>
      <c r="D18" s="1187">
        <f>IF(B18&gt;C18,B18-C18,0)</f>
        <v>0</v>
      </c>
      <c r="E18" s="1187">
        <f>IF(B18&lt;C18,C18-B18,0)</f>
        <v>0</v>
      </c>
      <c r="F18" s="1188">
        <f>IF(D18&lt;0,0,D18)</f>
        <v>0</v>
      </c>
      <c r="G18" s="1188">
        <f>IF(E18&lt;0,0,E18)</f>
        <v>0</v>
      </c>
      <c r="H18" s="1187">
        <f>IF(F18&lt;=0,D18,0)</f>
        <v>0</v>
      </c>
      <c r="I18" s="1187">
        <f>IF(G18&lt;=0,E18,0)</f>
        <v>0</v>
      </c>
      <c r="J18" s="476"/>
      <c r="K18" s="476"/>
      <c r="L18" s="476"/>
      <c r="N18" s="100"/>
    </row>
    <row r="19" spans="1:14" s="120" customFormat="1" ht="15.75" hidden="1" customHeight="1">
      <c r="A19" s="1186"/>
      <c r="B19" s="1187"/>
      <c r="C19" s="1187"/>
      <c r="D19" s="1187"/>
      <c r="E19" s="1187"/>
      <c r="F19" s="1188"/>
      <c r="G19" s="1188"/>
      <c r="H19" s="1187"/>
      <c r="I19" s="1187"/>
      <c r="J19" s="476"/>
      <c r="K19" s="476"/>
      <c r="L19" s="476"/>
      <c r="N19" s="100"/>
    </row>
    <row r="20" spans="1:14" s="120" customFormat="1" ht="15.75" hidden="1" customHeight="1">
      <c r="A20" s="1186" t="str">
        <f>+MAYOR!AL6</f>
        <v>INTERESES DIFERIDOS BCI</v>
      </c>
      <c r="B20" s="1187">
        <f>+MAYOR!AL228</f>
        <v>0</v>
      </c>
      <c r="C20" s="1187"/>
      <c r="D20" s="1187">
        <f>IF(B20&gt;C20,B20-C20,0)</f>
        <v>0</v>
      </c>
      <c r="E20" s="1187">
        <f>IF(B20&lt;C20,C20-B20,0)</f>
        <v>0</v>
      </c>
      <c r="F20" s="1188">
        <f t="shared" ref="F20:G35" si="4">IF(D20&lt;0,0,D20)</f>
        <v>0</v>
      </c>
      <c r="G20" s="1188">
        <f t="shared" si="4"/>
        <v>0</v>
      </c>
      <c r="H20" s="1187">
        <f t="shared" ref="H20:I35" si="5">IF(F20&lt;=0,D20,0)</f>
        <v>0</v>
      </c>
      <c r="I20" s="1187">
        <f t="shared" si="5"/>
        <v>0</v>
      </c>
      <c r="J20" s="476"/>
      <c r="K20" s="476"/>
      <c r="L20" s="476"/>
      <c r="N20" s="100"/>
    </row>
    <row r="21" spans="1:14" s="120" customFormat="1" ht="15.75" hidden="1" customHeight="1">
      <c r="A21" s="1186" t="str">
        <f>+MAYOR!AN6</f>
        <v>Vehiculos usados Faena MEL</v>
      </c>
      <c r="B21" s="1187">
        <f>+MAYOR!AN228</f>
        <v>0</v>
      </c>
      <c r="C21" s="1187">
        <f>+MAYOR!AO228</f>
        <v>0</v>
      </c>
      <c r="D21" s="1187">
        <f>IF(B21&gt;C21,B21-C21,0)</f>
        <v>0</v>
      </c>
      <c r="E21" s="1187">
        <f>IF(B21&lt;C21,C21-B21,0)</f>
        <v>0</v>
      </c>
      <c r="F21" s="1188">
        <f t="shared" si="4"/>
        <v>0</v>
      </c>
      <c r="G21" s="1188">
        <f t="shared" si="4"/>
        <v>0</v>
      </c>
      <c r="H21" s="1187">
        <f t="shared" si="5"/>
        <v>0</v>
      </c>
      <c r="I21" s="1187">
        <f t="shared" si="5"/>
        <v>0</v>
      </c>
      <c r="J21" s="476"/>
      <c r="K21" s="476"/>
      <c r="L21" s="476"/>
      <c r="N21" s="100"/>
    </row>
    <row r="22" spans="1:14" s="120" customFormat="1" ht="15.75" customHeight="1">
      <c r="A22" s="1186" t="str">
        <f>+MAYOR!N6</f>
        <v>RETIROS  DEL EJERCICIO</v>
      </c>
      <c r="B22" s="1187">
        <f>+MAYOR!N228</f>
        <v>0</v>
      </c>
      <c r="C22" s="1187"/>
      <c r="D22" s="1187">
        <f t="shared" si="0"/>
        <v>0</v>
      </c>
      <c r="E22" s="1187">
        <f t="shared" si="1"/>
        <v>0</v>
      </c>
      <c r="F22" s="1188">
        <f t="shared" si="4"/>
        <v>0</v>
      </c>
      <c r="G22" s="1188">
        <f t="shared" si="4"/>
        <v>0</v>
      </c>
      <c r="H22" s="1187">
        <f t="shared" si="5"/>
        <v>0</v>
      </c>
      <c r="I22" s="1187">
        <f t="shared" si="5"/>
        <v>0</v>
      </c>
      <c r="J22" s="476"/>
      <c r="K22" s="476"/>
      <c r="L22" s="476"/>
    </row>
    <row r="23" spans="1:14" s="120" customFormat="1" ht="15.75" hidden="1" customHeight="1">
      <c r="A23" s="1186" t="str">
        <f>+MAYOR!T6</f>
        <v>CREDITO SENCE</v>
      </c>
      <c r="B23" s="1187">
        <f>+MAYOR!T228</f>
        <v>0</v>
      </c>
      <c r="C23" s="1187"/>
      <c r="D23" s="1187">
        <f t="shared" si="0"/>
        <v>0</v>
      </c>
      <c r="E23" s="1187">
        <f t="shared" si="1"/>
        <v>0</v>
      </c>
      <c r="F23" s="1188">
        <f t="shared" si="4"/>
        <v>0</v>
      </c>
      <c r="G23" s="1188">
        <f t="shared" si="4"/>
        <v>0</v>
      </c>
      <c r="H23" s="1187">
        <f t="shared" si="5"/>
        <v>0</v>
      </c>
      <c r="I23" s="1187">
        <f t="shared" si="5"/>
        <v>0</v>
      </c>
      <c r="J23" s="476"/>
      <c r="K23" s="476"/>
      <c r="L23" s="476"/>
      <c r="N23" s="100"/>
    </row>
    <row r="24" spans="1:14" s="120" customFormat="1" ht="15.75" customHeight="1">
      <c r="A24" s="1186" t="str">
        <f>+MAYOR!AU6</f>
        <v>AFP</v>
      </c>
      <c r="B24" s="1187">
        <f>+MAYOR!AU228</f>
        <v>0</v>
      </c>
      <c r="C24" s="1187">
        <f>+MAYOR!AV228</f>
        <v>0</v>
      </c>
      <c r="D24" s="1187">
        <f t="shared" si="0"/>
        <v>0</v>
      </c>
      <c r="E24" s="1187">
        <f t="shared" si="1"/>
        <v>0</v>
      </c>
      <c r="F24" s="1188">
        <f t="shared" si="4"/>
        <v>0</v>
      </c>
      <c r="G24" s="1188">
        <f t="shared" si="4"/>
        <v>0</v>
      </c>
      <c r="H24" s="1187">
        <f t="shared" si="5"/>
        <v>0</v>
      </c>
      <c r="I24" s="1187">
        <f t="shared" si="5"/>
        <v>0</v>
      </c>
      <c r="J24" s="476"/>
      <c r="K24" s="476"/>
      <c r="L24" s="476"/>
    </row>
    <row r="25" spans="1:14" s="120" customFormat="1" ht="15.75" customHeight="1">
      <c r="A25" s="1186" t="str">
        <f>+MAYOR!AW6</f>
        <v>RETENCION DE HONORARIOS</v>
      </c>
      <c r="B25" s="1187">
        <f>+MAYOR!AW228</f>
        <v>0</v>
      </c>
      <c r="C25" s="1187">
        <f>+MAYOR!AX228</f>
        <v>0</v>
      </c>
      <c r="D25" s="1187">
        <f t="shared" si="0"/>
        <v>0</v>
      </c>
      <c r="E25" s="1187">
        <f t="shared" si="1"/>
        <v>0</v>
      </c>
      <c r="F25" s="1188">
        <f>IF(D25&lt;0,0,D25)</f>
        <v>0</v>
      </c>
      <c r="G25" s="1188">
        <f>IF(E25&lt;0,0,E25)</f>
        <v>0</v>
      </c>
      <c r="H25" s="1187">
        <f>IF(F25&lt;=0,D25,0)</f>
        <v>0</v>
      </c>
      <c r="I25" s="1187">
        <f>IF(G25&lt;=0,E25,0)</f>
        <v>0</v>
      </c>
      <c r="J25" s="476"/>
      <c r="K25" s="476"/>
      <c r="L25" s="476"/>
    </row>
    <row r="26" spans="1:14" s="120" customFormat="1" ht="15.75" customHeight="1">
      <c r="A26" s="1186" t="str">
        <f>+MAYOR!AY6</f>
        <v>P.P.M. POR PAGAR</v>
      </c>
      <c r="B26" s="1187">
        <f>+MAYOR!AY228</f>
        <v>0</v>
      </c>
      <c r="C26" s="1187">
        <f>+MAYOR!AZ228</f>
        <v>0</v>
      </c>
      <c r="D26" s="1187">
        <f t="shared" si="0"/>
        <v>0</v>
      </c>
      <c r="E26" s="1187">
        <f t="shared" si="1"/>
        <v>0</v>
      </c>
      <c r="F26" s="1188">
        <f t="shared" si="4"/>
        <v>0</v>
      </c>
      <c r="G26" s="1188">
        <f t="shared" si="4"/>
        <v>0</v>
      </c>
      <c r="H26" s="1187">
        <f t="shared" si="5"/>
        <v>0</v>
      </c>
      <c r="I26" s="1187">
        <f t="shared" si="5"/>
        <v>0</v>
      </c>
      <c r="J26" s="476"/>
      <c r="K26" s="476"/>
      <c r="L26" s="476"/>
    </row>
    <row r="27" spans="1:14" s="120" customFormat="1" ht="15.75" customHeight="1">
      <c r="A27" s="1186" t="str">
        <f>+MAYOR!J6</f>
        <v>IVA POR PAGAR</v>
      </c>
      <c r="B27" s="1187">
        <f>+MAYOR!J228</f>
        <v>0</v>
      </c>
      <c r="C27" s="1187">
        <f>+MAYOR!K228</f>
        <v>0</v>
      </c>
      <c r="D27" s="1187">
        <f t="shared" si="0"/>
        <v>0</v>
      </c>
      <c r="E27" s="1187">
        <f t="shared" si="1"/>
        <v>0</v>
      </c>
      <c r="F27" s="1188">
        <f t="shared" si="4"/>
        <v>0</v>
      </c>
      <c r="G27" s="1188">
        <f t="shared" si="4"/>
        <v>0</v>
      </c>
      <c r="H27" s="1187">
        <f t="shared" si="5"/>
        <v>0</v>
      </c>
      <c r="I27" s="1187">
        <f t="shared" si="5"/>
        <v>0</v>
      </c>
      <c r="J27" s="476"/>
      <c r="K27" s="476"/>
      <c r="L27" s="476"/>
    </row>
    <row r="28" spans="1:14" s="857" customFormat="1" ht="15.75" customHeight="1">
      <c r="A28" s="1186" t="str">
        <f>+MAYOR!BA6</f>
        <v>IMPTO UNICO</v>
      </c>
      <c r="B28" s="1187">
        <f>+MAYOR!BA228</f>
        <v>0</v>
      </c>
      <c r="C28" s="1187">
        <f>+MAYOR!BB228</f>
        <v>0</v>
      </c>
      <c r="D28" s="1187">
        <f>IF(B28&gt;C28,B28-C28,0)</f>
        <v>0</v>
      </c>
      <c r="E28" s="1187">
        <f t="shared" si="1"/>
        <v>0</v>
      </c>
      <c r="F28" s="1188">
        <f t="shared" si="4"/>
        <v>0</v>
      </c>
      <c r="G28" s="1188">
        <f t="shared" si="4"/>
        <v>0</v>
      </c>
      <c r="H28" s="1187">
        <f t="shared" si="5"/>
        <v>0</v>
      </c>
      <c r="I28" s="1187">
        <f t="shared" si="5"/>
        <v>0</v>
      </c>
      <c r="J28" s="476"/>
      <c r="K28" s="476"/>
      <c r="L28" s="476"/>
      <c r="M28" s="120"/>
    </row>
    <row r="29" spans="1:14" s="120" customFormat="1" ht="15.75" hidden="1" customHeight="1">
      <c r="A29" s="1186" t="str">
        <f>+MAYOR!BQ6</f>
        <v>Ptmo para Pago Proveedores</v>
      </c>
      <c r="B29" s="1187">
        <f>+MAYOR!BQ228</f>
        <v>0</v>
      </c>
      <c r="C29" s="1187">
        <f>+MAYOR!BR228</f>
        <v>0</v>
      </c>
      <c r="D29" s="1187">
        <f>IF(B29&gt;C29,B29-C29,0)</f>
        <v>0</v>
      </c>
      <c r="E29" s="1187">
        <f t="shared" si="1"/>
        <v>0</v>
      </c>
      <c r="F29" s="1188">
        <f t="shared" si="4"/>
        <v>0</v>
      </c>
      <c r="G29" s="1188">
        <f t="shared" si="4"/>
        <v>0</v>
      </c>
      <c r="H29" s="1187">
        <f t="shared" si="5"/>
        <v>0</v>
      </c>
      <c r="I29" s="1187">
        <f t="shared" si="5"/>
        <v>0</v>
      </c>
      <c r="J29" s="476"/>
      <c r="K29" s="476"/>
      <c r="L29" s="476"/>
    </row>
    <row r="30" spans="1:14" s="120" customFormat="1" ht="15.75" hidden="1" customHeight="1">
      <c r="A30" s="1186" t="str">
        <f>+MAYOR!BS6</f>
        <v>OBLIG. CON BANCOESTADO</v>
      </c>
      <c r="B30" s="1187"/>
      <c r="C30" s="1187">
        <f>+MAYOR!BT228</f>
        <v>0</v>
      </c>
      <c r="D30" s="1187">
        <f>IF(B30&gt;C30,B30-C30,0)</f>
        <v>0</v>
      </c>
      <c r="E30" s="1187">
        <f t="shared" si="1"/>
        <v>0</v>
      </c>
      <c r="F30" s="1188">
        <f t="shared" si="4"/>
        <v>0</v>
      </c>
      <c r="G30" s="1188">
        <f t="shared" si="4"/>
        <v>0</v>
      </c>
      <c r="H30" s="1187">
        <f t="shared" si="5"/>
        <v>0</v>
      </c>
      <c r="I30" s="1187">
        <f t="shared" si="5"/>
        <v>0</v>
      </c>
      <c r="J30" s="476"/>
      <c r="K30" s="476"/>
      <c r="L30" s="476"/>
    </row>
    <row r="31" spans="1:14" s="120" customFormat="1" ht="15.75" customHeight="1">
      <c r="A31" s="1186" t="str">
        <f>+MAYOR!BO6</f>
        <v>PROVISION DE IMPUESTOS</v>
      </c>
      <c r="B31" s="1187">
        <f>+MAYOR!BO228</f>
        <v>0</v>
      </c>
      <c r="C31" s="1187">
        <f>+MAYOR!BP228</f>
        <v>0</v>
      </c>
      <c r="D31" s="1187">
        <f t="shared" si="0"/>
        <v>0</v>
      </c>
      <c r="E31" s="1187">
        <f t="shared" si="1"/>
        <v>0</v>
      </c>
      <c r="F31" s="1188">
        <f t="shared" si="4"/>
        <v>0</v>
      </c>
      <c r="G31" s="1188">
        <f t="shared" si="4"/>
        <v>0</v>
      </c>
      <c r="H31" s="1187">
        <f t="shared" si="5"/>
        <v>0</v>
      </c>
      <c r="I31" s="1187">
        <f t="shared" si="5"/>
        <v>0</v>
      </c>
      <c r="J31" s="476"/>
      <c r="K31" s="476"/>
      <c r="L31" s="476"/>
    </row>
    <row r="32" spans="1:14" s="120" customFormat="1" ht="15.75" hidden="1" customHeight="1" thickBot="1">
      <c r="A32" s="1189" t="s">
        <v>468</v>
      </c>
      <c r="B32" s="1190">
        <f>+MAYOR!BO229</f>
        <v>0</v>
      </c>
      <c r="C32" s="1190"/>
      <c r="D32" s="1190">
        <f t="shared" si="0"/>
        <v>0</v>
      </c>
      <c r="E32" s="1190">
        <f t="shared" si="1"/>
        <v>0</v>
      </c>
      <c r="F32" s="1191">
        <f t="shared" si="4"/>
        <v>0</v>
      </c>
      <c r="G32" s="1191">
        <f t="shared" si="4"/>
        <v>0</v>
      </c>
      <c r="H32" s="1190">
        <f t="shared" si="5"/>
        <v>0</v>
      </c>
      <c r="I32" s="1192">
        <f t="shared" si="5"/>
        <v>0</v>
      </c>
      <c r="J32" s="476"/>
      <c r="K32" s="476"/>
      <c r="L32" s="476"/>
    </row>
    <row r="33" spans="1:13" s="120" customFormat="1" ht="15.75" customHeight="1">
      <c r="A33" s="1186" t="str">
        <f>+MAYOR!BK6</f>
        <v xml:space="preserve">FINANCIAMIENTO DE TERCEROS </v>
      </c>
      <c r="B33" s="1187">
        <f>+MAYOR!BK228</f>
        <v>0</v>
      </c>
      <c r="C33" s="1187">
        <f>+MAYOR!BL228</f>
        <v>0</v>
      </c>
      <c r="D33" s="1187">
        <f t="shared" si="0"/>
        <v>0</v>
      </c>
      <c r="E33" s="1187">
        <f t="shared" si="1"/>
        <v>0</v>
      </c>
      <c r="F33" s="1188">
        <f t="shared" si="4"/>
        <v>0</v>
      </c>
      <c r="G33" s="1188">
        <f t="shared" si="4"/>
        <v>0</v>
      </c>
      <c r="H33" s="1187">
        <f t="shared" si="5"/>
        <v>0</v>
      </c>
      <c r="I33" s="1187">
        <f t="shared" si="5"/>
        <v>0</v>
      </c>
      <c r="J33" s="476"/>
      <c r="K33" s="476"/>
      <c r="L33" s="476"/>
    </row>
    <row r="34" spans="1:13" s="120" customFormat="1" ht="15.75" customHeight="1">
      <c r="A34" s="1186" t="str">
        <f>+MAYOR!BM6</f>
        <v>CTAS POR PAGAR</v>
      </c>
      <c r="B34" s="1187">
        <f>+MAYOR!BM228</f>
        <v>0</v>
      </c>
      <c r="C34" s="1187">
        <f>+MAYOR!BN228</f>
        <v>0</v>
      </c>
      <c r="D34" s="1187">
        <f t="shared" si="0"/>
        <v>0</v>
      </c>
      <c r="E34" s="1187">
        <f t="shared" si="1"/>
        <v>0</v>
      </c>
      <c r="F34" s="1188">
        <f t="shared" si="4"/>
        <v>0</v>
      </c>
      <c r="G34" s="1188">
        <f t="shared" si="4"/>
        <v>0</v>
      </c>
      <c r="H34" s="1187">
        <f t="shared" si="5"/>
        <v>0</v>
      </c>
      <c r="I34" s="1187">
        <f t="shared" si="5"/>
        <v>0</v>
      </c>
      <c r="J34" s="476"/>
      <c r="K34" s="476"/>
      <c r="L34" s="476"/>
    </row>
    <row r="35" spans="1:13" s="120" customFormat="1" ht="15.75" customHeight="1">
      <c r="A35" s="1186" t="str">
        <f>+MAYOR!CC6</f>
        <v>CAPITAL</v>
      </c>
      <c r="B35" s="1187">
        <f>+MAYOR!CC228</f>
        <v>0</v>
      </c>
      <c r="C35" s="1187">
        <f>+MAYOR!CD228</f>
        <v>0</v>
      </c>
      <c r="D35" s="1187">
        <f t="shared" si="0"/>
        <v>0</v>
      </c>
      <c r="E35" s="1187">
        <f t="shared" si="1"/>
        <v>0</v>
      </c>
      <c r="F35" s="1188">
        <f t="shared" si="4"/>
        <v>0</v>
      </c>
      <c r="G35" s="1188">
        <f t="shared" si="4"/>
        <v>0</v>
      </c>
      <c r="H35" s="1187">
        <f t="shared" si="5"/>
        <v>0</v>
      </c>
      <c r="I35" s="1187">
        <f t="shared" si="5"/>
        <v>0</v>
      </c>
      <c r="J35" s="476"/>
      <c r="K35" s="476"/>
      <c r="L35" s="476"/>
    </row>
    <row r="36" spans="1:13" s="120" customFormat="1" ht="15.75" customHeight="1">
      <c r="A36" s="1186" t="str">
        <f>+MAYOR!CE6</f>
        <v>REV. CAPITAL PROPIO</v>
      </c>
      <c r="B36" s="1187">
        <f>+MAYOR!CE228</f>
        <v>0</v>
      </c>
      <c r="C36" s="1187">
        <f>+MAYOR!CF228</f>
        <v>0</v>
      </c>
      <c r="D36" s="1187">
        <f t="shared" si="0"/>
        <v>0</v>
      </c>
      <c r="E36" s="1187">
        <f t="shared" si="1"/>
        <v>0</v>
      </c>
      <c r="F36" s="1188">
        <f t="shared" ref="F36:G38" si="6">IF(D36&lt;0,0,D36)</f>
        <v>0</v>
      </c>
      <c r="G36" s="1188">
        <f t="shared" si="6"/>
        <v>0</v>
      </c>
      <c r="H36" s="1187">
        <f t="shared" ref="H36:I52" si="7">IF(F36&lt;=0,D36,0)</f>
        <v>0</v>
      </c>
      <c r="I36" s="1187">
        <f t="shared" si="7"/>
        <v>0</v>
      </c>
      <c r="J36" s="476"/>
      <c r="K36" s="476"/>
      <c r="L36" s="476"/>
    </row>
    <row r="37" spans="1:13" s="120" customFormat="1" ht="15.75" customHeight="1">
      <c r="A37" s="1186" t="str">
        <f>+MAYOR!CG6</f>
        <v>RESULTADO ACUMULADO</v>
      </c>
      <c r="B37" s="1187">
        <f>+MAYOR!CG228</f>
        <v>0</v>
      </c>
      <c r="C37" s="1187">
        <f>+MAYOR!CH228</f>
        <v>0</v>
      </c>
      <c r="D37" s="1187">
        <f t="shared" si="0"/>
        <v>0</v>
      </c>
      <c r="E37" s="1187">
        <f t="shared" si="1"/>
        <v>0</v>
      </c>
      <c r="F37" s="1188">
        <f t="shared" si="6"/>
        <v>0</v>
      </c>
      <c r="G37" s="1188">
        <f t="shared" si="6"/>
        <v>0</v>
      </c>
      <c r="H37" s="1187">
        <f t="shared" si="7"/>
        <v>0</v>
      </c>
      <c r="I37" s="1187">
        <f t="shared" si="7"/>
        <v>0</v>
      </c>
      <c r="J37" s="476"/>
      <c r="K37" s="476"/>
      <c r="L37" s="476"/>
    </row>
    <row r="38" spans="1:13" s="120" customFormat="1" ht="15.75" customHeight="1">
      <c r="A38" s="1186" t="str">
        <f>+MAYOR!CI6</f>
        <v>RESULTADO EJERCICIO ANTERIOR</v>
      </c>
      <c r="B38" s="1187">
        <f>+MAYOR!CI228</f>
        <v>0</v>
      </c>
      <c r="C38" s="1187">
        <f>+MAYOR!CJ228</f>
        <v>0</v>
      </c>
      <c r="D38" s="1187">
        <f t="shared" si="0"/>
        <v>0</v>
      </c>
      <c r="E38" s="1187">
        <f t="shared" si="1"/>
        <v>0</v>
      </c>
      <c r="F38" s="1188">
        <f t="shared" si="6"/>
        <v>0</v>
      </c>
      <c r="G38" s="1188">
        <f t="shared" si="6"/>
        <v>0</v>
      </c>
      <c r="H38" s="1187">
        <f t="shared" si="7"/>
        <v>0</v>
      </c>
      <c r="I38" s="1187">
        <f t="shared" si="7"/>
        <v>0</v>
      </c>
      <c r="J38" s="476"/>
      <c r="K38" s="476"/>
      <c r="L38" s="476"/>
    </row>
    <row r="39" spans="1:13" s="857" customFormat="1" ht="15.75" customHeight="1">
      <c r="A39" s="1186" t="str">
        <f>+MAYOR!CL6</f>
        <v xml:space="preserve">INGRESOS VENTA </v>
      </c>
      <c r="B39" s="1187">
        <f>+MAYOR!CL228</f>
        <v>0</v>
      </c>
      <c r="C39" s="1187">
        <f>+MAYOR!CM228</f>
        <v>0</v>
      </c>
      <c r="D39" s="1187">
        <f t="shared" si="0"/>
        <v>0</v>
      </c>
      <c r="E39" s="1187">
        <f t="shared" si="1"/>
        <v>0</v>
      </c>
      <c r="F39" s="1188">
        <v>0</v>
      </c>
      <c r="G39" s="1188">
        <v>0</v>
      </c>
      <c r="H39" s="1187">
        <f t="shared" si="7"/>
        <v>0</v>
      </c>
      <c r="I39" s="1187">
        <f t="shared" si="7"/>
        <v>0</v>
      </c>
      <c r="J39" s="476"/>
      <c r="K39" s="476"/>
      <c r="L39" s="476"/>
      <c r="M39" s="120"/>
    </row>
    <row r="40" spans="1:13" s="857" customFormat="1" ht="15.75" customHeight="1">
      <c r="A40" s="1186" t="str">
        <f>+MAYOR!CN6</f>
        <v>INGRESOS VTA EXENTAS</v>
      </c>
      <c r="B40" s="1187">
        <f>+MAYOR!CN228</f>
        <v>0</v>
      </c>
      <c r="C40" s="1187">
        <f>+MAYOR!CO228</f>
        <v>0</v>
      </c>
      <c r="D40" s="1187">
        <f t="shared" si="0"/>
        <v>0</v>
      </c>
      <c r="E40" s="1187">
        <f t="shared" si="1"/>
        <v>0</v>
      </c>
      <c r="F40" s="1188">
        <v>0</v>
      </c>
      <c r="G40" s="1188">
        <v>0</v>
      </c>
      <c r="H40" s="1187">
        <f t="shared" si="7"/>
        <v>0</v>
      </c>
      <c r="I40" s="1187">
        <f t="shared" si="7"/>
        <v>0</v>
      </c>
      <c r="J40" s="476"/>
      <c r="K40" s="476"/>
      <c r="L40" s="476"/>
      <c r="M40" s="120"/>
    </row>
    <row r="41" spans="1:13" s="120" customFormat="1" ht="15.75" hidden="1" customHeight="1">
      <c r="A41" s="1186" t="str">
        <f>+MAYOR!CP6</f>
        <v>UTILIDAD VENTA A-FIJO</v>
      </c>
      <c r="B41" s="1187">
        <f>+MAYOR!CP228</f>
        <v>0</v>
      </c>
      <c r="C41" s="1187">
        <f>+MAYOR!CQ228</f>
        <v>0</v>
      </c>
      <c r="D41" s="1187">
        <f t="shared" si="0"/>
        <v>0</v>
      </c>
      <c r="E41" s="1187">
        <f t="shared" si="1"/>
        <v>0</v>
      </c>
      <c r="F41" s="1188">
        <v>0</v>
      </c>
      <c r="G41" s="1188">
        <v>0</v>
      </c>
      <c r="H41" s="1187">
        <f t="shared" si="7"/>
        <v>0</v>
      </c>
      <c r="I41" s="1187">
        <f t="shared" si="7"/>
        <v>0</v>
      </c>
      <c r="J41" s="476"/>
      <c r="K41" s="476"/>
      <c r="L41" s="476"/>
    </row>
    <row r="42" spans="1:13" s="120" customFormat="1" ht="15.75" hidden="1" customHeight="1">
      <c r="A42" s="1186" t="str">
        <f>+MAYOR!CR6</f>
        <v>OTRAS VENTA</v>
      </c>
      <c r="B42" s="1187">
        <f>+MAYOR!CR228</f>
        <v>0</v>
      </c>
      <c r="C42" s="1187">
        <f>+MAYOR!CS228</f>
        <v>0</v>
      </c>
      <c r="D42" s="1187">
        <f t="shared" si="0"/>
        <v>0</v>
      </c>
      <c r="E42" s="1187">
        <f t="shared" si="1"/>
        <v>0</v>
      </c>
      <c r="F42" s="1188">
        <v>0</v>
      </c>
      <c r="G42" s="1188">
        <v>0</v>
      </c>
      <c r="H42" s="1187">
        <f t="shared" si="7"/>
        <v>0</v>
      </c>
      <c r="I42" s="1187">
        <f t="shared" si="7"/>
        <v>0</v>
      </c>
      <c r="J42" s="476"/>
      <c r="K42" s="476"/>
      <c r="L42" s="476"/>
    </row>
    <row r="43" spans="1:13" s="120" customFormat="1" ht="15.75" hidden="1" customHeight="1">
      <c r="A43" s="1186" t="str">
        <f>+MAYOR!DA6</f>
        <v>GASTOS DE VTA</v>
      </c>
      <c r="B43" s="1187">
        <f>+MAYOR!DA228</f>
        <v>0</v>
      </c>
      <c r="C43" s="1187">
        <f>+MAYOR!DV227</f>
        <v>0</v>
      </c>
      <c r="D43" s="1187">
        <f t="shared" si="0"/>
        <v>0</v>
      </c>
      <c r="E43" s="1187">
        <f t="shared" si="1"/>
        <v>0</v>
      </c>
      <c r="F43" s="1188">
        <v>0</v>
      </c>
      <c r="G43" s="1188">
        <v>0</v>
      </c>
      <c r="H43" s="1187">
        <f t="shared" si="7"/>
        <v>0</v>
      </c>
      <c r="I43" s="1187">
        <f t="shared" si="7"/>
        <v>0</v>
      </c>
      <c r="J43" s="476"/>
      <c r="K43" s="476"/>
      <c r="L43" s="476"/>
    </row>
    <row r="44" spans="1:13" s="857" customFormat="1" ht="15.75" customHeight="1">
      <c r="A44" s="1186" t="str">
        <f>+MAYOR!DU6</f>
        <v>SUELDOS</v>
      </c>
      <c r="B44" s="1187">
        <f>+MAYOR!DU228</f>
        <v>0</v>
      </c>
      <c r="C44" s="1187">
        <f>+MAYOR!DV228</f>
        <v>0</v>
      </c>
      <c r="D44" s="1187">
        <f t="shared" si="0"/>
        <v>0</v>
      </c>
      <c r="E44" s="1187">
        <f t="shared" si="1"/>
        <v>0</v>
      </c>
      <c r="F44" s="1188">
        <v>0</v>
      </c>
      <c r="G44" s="1188">
        <v>0</v>
      </c>
      <c r="H44" s="1187">
        <f t="shared" si="7"/>
        <v>0</v>
      </c>
      <c r="I44" s="1187">
        <f t="shared" si="7"/>
        <v>0</v>
      </c>
      <c r="J44" s="476"/>
      <c r="K44" s="476"/>
      <c r="L44" s="476"/>
      <c r="M44" s="120"/>
    </row>
    <row r="45" spans="1:13" s="857" customFormat="1" ht="21" customHeight="1">
      <c r="A45" s="1186" t="str">
        <f>+MAYOR!DY6</f>
        <v>COSTO EMPLEADOR</v>
      </c>
      <c r="B45" s="1187">
        <f>+MAYOR!DY229</f>
        <v>0</v>
      </c>
      <c r="C45" s="1187">
        <f>+MAYOR!DZ228</f>
        <v>0</v>
      </c>
      <c r="D45" s="1187">
        <f t="shared" si="0"/>
        <v>0</v>
      </c>
      <c r="E45" s="1187">
        <f t="shared" si="1"/>
        <v>0</v>
      </c>
      <c r="F45" s="1188">
        <v>0</v>
      </c>
      <c r="G45" s="1188">
        <v>0</v>
      </c>
      <c r="H45" s="1187">
        <f t="shared" si="7"/>
        <v>0</v>
      </c>
      <c r="I45" s="1187">
        <f t="shared" si="7"/>
        <v>0</v>
      </c>
      <c r="J45" s="476"/>
      <c r="K45" s="476"/>
      <c r="L45" s="476"/>
      <c r="M45" s="120"/>
    </row>
    <row r="46" spans="1:13" s="120" customFormat="1" ht="15.75" hidden="1" customHeight="1">
      <c r="A46" s="1186" t="str">
        <f>+MAYOR!EC6</f>
        <v>COSTO DE VENTA</v>
      </c>
      <c r="B46" s="1187">
        <f>+MAYOR!EC228</f>
        <v>0</v>
      </c>
      <c r="C46" s="1187">
        <f>+MAYOR!ED228</f>
        <v>0</v>
      </c>
      <c r="D46" s="1187">
        <f t="shared" si="0"/>
        <v>0</v>
      </c>
      <c r="E46" s="1187">
        <f t="shared" si="1"/>
        <v>0</v>
      </c>
      <c r="F46" s="1188">
        <v>0</v>
      </c>
      <c r="G46" s="1188">
        <v>0</v>
      </c>
      <c r="H46" s="1187">
        <f>IF(F46&lt;=0,D46,0)</f>
        <v>0</v>
      </c>
      <c r="I46" s="1187">
        <f t="shared" si="7"/>
        <v>0</v>
      </c>
      <c r="J46" s="476"/>
      <c r="K46" s="476"/>
      <c r="L46" s="476"/>
    </row>
    <row r="47" spans="1:13" s="120" customFormat="1" ht="15.75" hidden="1" customHeight="1">
      <c r="A47" s="1186" t="str">
        <f>+MAYOR!DC6</f>
        <v>CAPACITACION</v>
      </c>
      <c r="B47" s="1187">
        <f>+MAYOR!DC228</f>
        <v>0</v>
      </c>
      <c r="C47" s="1187">
        <f>+MAYOR!DD228</f>
        <v>0</v>
      </c>
      <c r="D47" s="1187">
        <f t="shared" si="0"/>
        <v>0</v>
      </c>
      <c r="E47" s="1187">
        <f t="shared" si="1"/>
        <v>0</v>
      </c>
      <c r="F47" s="1188">
        <v>0</v>
      </c>
      <c r="G47" s="1188">
        <v>0</v>
      </c>
      <c r="H47" s="1187">
        <f>IF(F47&lt;=0,D47,0)</f>
        <v>0</v>
      </c>
      <c r="I47" s="1187">
        <f t="shared" si="7"/>
        <v>0</v>
      </c>
      <c r="J47" s="476"/>
      <c r="K47" s="476"/>
      <c r="L47" s="476"/>
    </row>
    <row r="48" spans="1:13" s="120" customFormat="1" ht="15.75" hidden="1" customHeight="1">
      <c r="A48" s="1186" t="str">
        <f>+MAYOR!EA6</f>
        <v>INTERESES FOGAPE</v>
      </c>
      <c r="B48" s="1187">
        <f>+MAYOR!EA228</f>
        <v>0</v>
      </c>
      <c r="C48" s="1187">
        <f>+MAYOR!EB228</f>
        <v>0</v>
      </c>
      <c r="D48" s="1187">
        <f t="shared" si="0"/>
        <v>0</v>
      </c>
      <c r="E48" s="1187">
        <f t="shared" si="1"/>
        <v>0</v>
      </c>
      <c r="F48" s="1188">
        <v>0</v>
      </c>
      <c r="G48" s="1188">
        <v>0</v>
      </c>
      <c r="H48" s="1187">
        <f>IF(F48&lt;=0,D48,0)</f>
        <v>0</v>
      </c>
      <c r="I48" s="1187">
        <f t="shared" si="7"/>
        <v>0</v>
      </c>
      <c r="J48" s="476"/>
      <c r="K48" s="476"/>
      <c r="L48" s="476"/>
    </row>
    <row r="49" spans="1:13" s="120" customFormat="1" ht="15.75" hidden="1" customHeight="1">
      <c r="A49" s="1186" t="s">
        <v>904</v>
      </c>
      <c r="B49" s="1187"/>
      <c r="C49" s="1187">
        <f>+MAYOR!CX228</f>
        <v>0</v>
      </c>
      <c r="D49" s="1187">
        <f t="shared" si="0"/>
        <v>0</v>
      </c>
      <c r="E49" s="1187">
        <f t="shared" si="1"/>
        <v>0</v>
      </c>
      <c r="F49" s="1188">
        <v>0</v>
      </c>
      <c r="G49" s="1188">
        <v>0</v>
      </c>
      <c r="H49" s="1187">
        <f t="shared" si="7"/>
        <v>0</v>
      </c>
      <c r="I49" s="1187">
        <f t="shared" si="7"/>
        <v>0</v>
      </c>
      <c r="J49" s="476"/>
      <c r="K49" s="476"/>
      <c r="L49" s="476"/>
    </row>
    <row r="50" spans="1:13" s="120" customFormat="1" ht="15.75" hidden="1" customHeight="1">
      <c r="A50" s="1186" t="str">
        <f>+MAYOR!CY6</f>
        <v>AMORTIZ. PROY. INVESTIGACION MINERA</v>
      </c>
      <c r="B50" s="1187">
        <f>+MAYOR!CY228</f>
        <v>0</v>
      </c>
      <c r="C50" s="1187">
        <f>+MAYOR!CX229</f>
        <v>0</v>
      </c>
      <c r="D50" s="1187">
        <f t="shared" si="0"/>
        <v>0</v>
      </c>
      <c r="E50" s="1187">
        <f t="shared" si="1"/>
        <v>0</v>
      </c>
      <c r="F50" s="1188">
        <v>0</v>
      </c>
      <c r="G50" s="1188">
        <v>0</v>
      </c>
      <c r="H50" s="1187">
        <f t="shared" si="7"/>
        <v>0</v>
      </c>
      <c r="I50" s="1187">
        <f t="shared" si="7"/>
        <v>0</v>
      </c>
      <c r="J50" s="476"/>
      <c r="K50" s="476"/>
      <c r="L50" s="476"/>
    </row>
    <row r="51" spans="1:13" s="120" customFormat="1" ht="15.75" customHeight="1">
      <c r="A51" s="1186" t="str">
        <f>+MAYOR!CW6</f>
        <v>GASTOS TRANSPORTE</v>
      </c>
      <c r="B51" s="1187">
        <f>+MAYOR!CW228</f>
        <v>0</v>
      </c>
      <c r="C51" s="1187">
        <f>+MAYOR!CX228</f>
        <v>0</v>
      </c>
      <c r="D51" s="1187">
        <f t="shared" si="0"/>
        <v>0</v>
      </c>
      <c r="E51" s="1187">
        <f t="shared" si="1"/>
        <v>0</v>
      </c>
      <c r="F51" s="1188">
        <v>0</v>
      </c>
      <c r="G51" s="1188">
        <v>0</v>
      </c>
      <c r="H51" s="1187">
        <f t="shared" si="7"/>
        <v>0</v>
      </c>
      <c r="I51" s="1187"/>
      <c r="J51" s="476"/>
      <c r="K51" s="476"/>
      <c r="L51" s="476"/>
    </row>
    <row r="52" spans="1:13" s="857" customFormat="1" ht="15.75" customHeight="1">
      <c r="A52" s="1186" t="str">
        <f>+MAYOR!EG6</f>
        <v>GASTOS GENERALES</v>
      </c>
      <c r="B52" s="1187">
        <f>+MAYOR!EG228</f>
        <v>0</v>
      </c>
      <c r="C52" s="1187">
        <f>+MAYOR!EH228</f>
        <v>0</v>
      </c>
      <c r="D52" s="1187">
        <f t="shared" si="0"/>
        <v>0</v>
      </c>
      <c r="E52" s="1187">
        <f t="shared" si="1"/>
        <v>0</v>
      </c>
      <c r="F52" s="1188">
        <v>0</v>
      </c>
      <c r="G52" s="1188">
        <v>0</v>
      </c>
      <c r="H52" s="1187">
        <f t="shared" si="7"/>
        <v>0</v>
      </c>
      <c r="I52" s="1187">
        <f t="shared" si="7"/>
        <v>0</v>
      </c>
      <c r="J52" s="476"/>
      <c r="K52" s="476"/>
      <c r="L52" s="476"/>
      <c r="M52" s="120"/>
    </row>
    <row r="53" spans="1:13" s="120" customFormat="1" ht="15.75" hidden="1" customHeight="1">
      <c r="A53" s="1186" t="str">
        <f>+MAYOR!DW6</f>
        <v>ARRIENDO Taller y Oficina</v>
      </c>
      <c r="B53" s="1187">
        <f>+MAYOR!DW228</f>
        <v>0</v>
      </c>
      <c r="C53" s="1187">
        <f>+MAYOR!DX228</f>
        <v>0</v>
      </c>
      <c r="D53" s="1187">
        <f>IF(B53&gt;C53,B53-C53,0)</f>
        <v>0</v>
      </c>
      <c r="E53" s="1187">
        <f>IF(B53&lt;C53,C53-B53,0)</f>
        <v>0</v>
      </c>
      <c r="F53" s="1188">
        <v>0</v>
      </c>
      <c r="G53" s="1188">
        <v>0</v>
      </c>
      <c r="H53" s="1187">
        <f>IF(F53&lt;=0,D53,0)</f>
        <v>0</v>
      </c>
      <c r="I53" s="1187">
        <f>IF(G53&lt;=0,E53,0)</f>
        <v>0</v>
      </c>
      <c r="J53" s="476"/>
      <c r="K53" s="476"/>
      <c r="L53" s="476"/>
    </row>
    <row r="54" spans="1:13" s="857" customFormat="1" ht="15.75" customHeight="1">
      <c r="A54" s="1186" t="str">
        <f>+MAYOR!DS6</f>
        <v>HONORARIOS Y SERVICIOS PROFESIONALES</v>
      </c>
      <c r="B54" s="1187">
        <f>+MAYOR!DS228</f>
        <v>0</v>
      </c>
      <c r="C54" s="1187">
        <f>+MAYOR!DT228</f>
        <v>0</v>
      </c>
      <c r="D54" s="1187">
        <f t="shared" si="0"/>
        <v>0</v>
      </c>
      <c r="E54" s="1187">
        <f t="shared" si="1"/>
        <v>0</v>
      </c>
      <c r="F54" s="1188">
        <v>0</v>
      </c>
      <c r="G54" s="1188">
        <v>0</v>
      </c>
      <c r="H54" s="1187">
        <f t="shared" ref="H54:I57" si="8">IF(F54&lt;=0,D54,0)</f>
        <v>0</v>
      </c>
      <c r="I54" s="1187">
        <f t="shared" si="8"/>
        <v>0</v>
      </c>
      <c r="J54" s="476"/>
      <c r="K54" s="476"/>
      <c r="L54" s="476"/>
      <c r="M54" s="120"/>
    </row>
    <row r="55" spans="1:13" s="120" customFormat="1" ht="15.75" customHeight="1">
      <c r="A55" s="1186" t="str">
        <f>+MAYOR!EI6</f>
        <v>DEPRECIACION DEL EJERCICIO</v>
      </c>
      <c r="B55" s="1187"/>
      <c r="C55" s="1187">
        <f>+MAYOR!EJ228</f>
        <v>0</v>
      </c>
      <c r="D55" s="1187">
        <f t="shared" si="0"/>
        <v>0</v>
      </c>
      <c r="E55" s="1187">
        <f t="shared" si="1"/>
        <v>0</v>
      </c>
      <c r="F55" s="1188">
        <v>0</v>
      </c>
      <c r="G55" s="1188">
        <v>0</v>
      </c>
      <c r="H55" s="1187">
        <f t="shared" si="8"/>
        <v>0</v>
      </c>
      <c r="I55" s="1187">
        <f t="shared" si="8"/>
        <v>0</v>
      </c>
      <c r="J55" s="476"/>
      <c r="K55" s="476"/>
      <c r="L55" s="476"/>
    </row>
    <row r="56" spans="1:13" s="120" customFormat="1" ht="15.75" customHeight="1">
      <c r="A56" s="1186" t="str">
        <f>+MAYOR!EK6</f>
        <v>CORRECCION MONETARIA</v>
      </c>
      <c r="B56" s="1187">
        <f>+MAYOR!EK228</f>
        <v>0</v>
      </c>
      <c r="C56" s="1187">
        <f>+MAYOR!EL228</f>
        <v>0</v>
      </c>
      <c r="D56" s="1187">
        <f t="shared" si="0"/>
        <v>0</v>
      </c>
      <c r="E56" s="1187">
        <f t="shared" si="1"/>
        <v>0</v>
      </c>
      <c r="F56" s="1188">
        <v>0</v>
      </c>
      <c r="G56" s="1188">
        <v>0</v>
      </c>
      <c r="H56" s="1187">
        <f t="shared" si="8"/>
        <v>0</v>
      </c>
      <c r="I56" s="1187">
        <f t="shared" si="8"/>
        <v>0</v>
      </c>
      <c r="J56" s="476"/>
      <c r="K56" s="476"/>
      <c r="L56" s="476"/>
    </row>
    <row r="57" spans="1:13" s="120" customFormat="1" ht="15.75" customHeight="1">
      <c r="A57" s="1186" t="str">
        <f>+MAYOR!EE6</f>
        <v>IMPUESTO RENTA</v>
      </c>
      <c r="B57" s="1187"/>
      <c r="C57" s="1187">
        <f>+MAYOR!EF228</f>
        <v>0</v>
      </c>
      <c r="D57" s="1187">
        <f t="shared" si="0"/>
        <v>0</v>
      </c>
      <c r="E57" s="1187">
        <f t="shared" si="1"/>
        <v>0</v>
      </c>
      <c r="F57" s="1188">
        <v>0</v>
      </c>
      <c r="G57" s="1188">
        <v>0</v>
      </c>
      <c r="H57" s="1187">
        <f>IF(F57&lt;=0,D57,0)</f>
        <v>0</v>
      </c>
      <c r="I57" s="1187">
        <f t="shared" si="8"/>
        <v>0</v>
      </c>
      <c r="J57" s="476"/>
      <c r="K57" s="476"/>
      <c r="L57" s="476"/>
    </row>
    <row r="58" spans="1:13" s="120" customFormat="1" ht="15.75" customHeight="1">
      <c r="A58" s="1193" t="s">
        <v>24</v>
      </c>
      <c r="B58" s="1194">
        <f t="shared" ref="B58:I58" si="9">SUM(B12:B57)</f>
        <v>0</v>
      </c>
      <c r="C58" s="1194">
        <f t="shared" si="9"/>
        <v>0</v>
      </c>
      <c r="D58" s="1194">
        <f t="shared" si="9"/>
        <v>0</v>
      </c>
      <c r="E58" s="1194">
        <f t="shared" si="9"/>
        <v>0</v>
      </c>
      <c r="F58" s="1194">
        <f t="shared" si="9"/>
        <v>0</v>
      </c>
      <c r="G58" s="1194">
        <f t="shared" si="9"/>
        <v>0</v>
      </c>
      <c r="H58" s="1194">
        <f t="shared" si="9"/>
        <v>0</v>
      </c>
      <c r="I58" s="1194">
        <f t="shared" si="9"/>
        <v>0</v>
      </c>
      <c r="J58" s="476"/>
      <c r="K58" s="476"/>
      <c r="L58" s="476"/>
    </row>
    <row r="59" spans="1:13" s="120" customFormat="1" ht="15.75" customHeight="1">
      <c r="A59" s="1193" t="s">
        <v>25</v>
      </c>
      <c r="B59" s="1194">
        <v>0</v>
      </c>
      <c r="C59" s="1194">
        <v>0</v>
      </c>
      <c r="D59" s="1194">
        <v>0</v>
      </c>
      <c r="E59" s="1194">
        <v>0</v>
      </c>
      <c r="F59" s="1194">
        <v>0</v>
      </c>
      <c r="G59" s="1194">
        <f>+F58-G58</f>
        <v>0</v>
      </c>
      <c r="H59" s="1194">
        <f>+I58-H58</f>
        <v>0</v>
      </c>
      <c r="I59" s="1194">
        <v>0</v>
      </c>
      <c r="J59" s="476"/>
      <c r="K59" s="476"/>
      <c r="L59" s="476"/>
    </row>
    <row r="60" spans="1:13" s="120" customFormat="1" ht="15.75" customHeight="1">
      <c r="A60" s="1193" t="s">
        <v>26</v>
      </c>
      <c r="B60" s="1194">
        <f>+B58+B59</f>
        <v>0</v>
      </c>
      <c r="C60" s="1195">
        <f t="shared" ref="C60:I60" si="10">+C58+C59</f>
        <v>0</v>
      </c>
      <c r="D60" s="1195">
        <f t="shared" si="10"/>
        <v>0</v>
      </c>
      <c r="E60" s="1195">
        <f t="shared" si="10"/>
        <v>0</v>
      </c>
      <c r="F60" s="1195">
        <f t="shared" si="10"/>
        <v>0</v>
      </c>
      <c r="G60" s="1195">
        <f t="shared" si="10"/>
        <v>0</v>
      </c>
      <c r="H60" s="1195">
        <f t="shared" si="10"/>
        <v>0</v>
      </c>
      <c r="I60" s="1195">
        <f t="shared" si="10"/>
        <v>0</v>
      </c>
      <c r="J60" s="476"/>
      <c r="K60" s="476"/>
      <c r="L60" s="476"/>
    </row>
    <row r="61" spans="1:13" s="120" customFormat="1" ht="15.75" customHeight="1">
      <c r="A61" s="1178"/>
      <c r="B61" s="1178"/>
      <c r="C61" s="1178"/>
      <c r="D61" s="1178"/>
      <c r="E61" s="1178"/>
      <c r="F61" s="1178"/>
      <c r="G61" s="1178"/>
      <c r="H61" s="1178"/>
      <c r="I61" s="1178"/>
      <c r="J61" s="476"/>
      <c r="K61" s="476"/>
      <c r="L61" s="476"/>
    </row>
    <row r="62" spans="1:13" s="120" customFormat="1" ht="15.75" customHeight="1">
      <c r="A62" s="1178"/>
      <c r="B62" s="1178"/>
      <c r="C62" s="1178"/>
      <c r="D62" s="1178"/>
      <c r="E62" s="1178"/>
      <c r="F62" s="1199" t="s">
        <v>966</v>
      </c>
      <c r="G62" s="1197">
        <f>+G59+H57</f>
        <v>0</v>
      </c>
      <c r="H62" s="1178"/>
      <c r="I62" s="1178"/>
      <c r="J62" s="476"/>
      <c r="K62" s="476"/>
      <c r="L62" s="476"/>
    </row>
    <row r="63" spans="1:13" s="120" customFormat="1" ht="15.75" customHeight="1">
      <c r="A63" s="1178"/>
      <c r="B63" s="1178"/>
      <c r="C63" s="1178"/>
      <c r="D63" s="1178"/>
      <c r="E63" s="1178"/>
      <c r="F63" s="1200" t="s">
        <v>324</v>
      </c>
      <c r="G63" s="1198">
        <f>+G62*0.1</f>
        <v>0</v>
      </c>
      <c r="H63" s="1178"/>
      <c r="I63" s="1178"/>
      <c r="J63" s="476"/>
      <c r="K63" s="476"/>
      <c r="L63" s="476"/>
    </row>
    <row r="64" spans="1:13" ht="15.75" customHeight="1">
      <c r="A64" s="1178"/>
      <c r="B64" s="1178"/>
      <c r="C64" s="1178"/>
      <c r="D64" s="1178"/>
      <c r="E64" s="1178"/>
      <c r="F64" s="1200" t="s">
        <v>327</v>
      </c>
      <c r="G64" s="1198">
        <f>+F13</f>
        <v>0</v>
      </c>
      <c r="H64" s="1178"/>
      <c r="I64" s="1178"/>
      <c r="M64" s="120"/>
    </row>
    <row r="65" spans="1:16" ht="15.75" customHeight="1" thickBot="1">
      <c r="A65" s="1178"/>
      <c r="B65" s="1178"/>
      <c r="C65" s="1178"/>
      <c r="D65" s="1178"/>
      <c r="E65" s="1178"/>
      <c r="F65" s="1201" t="s">
        <v>967</v>
      </c>
      <c r="G65" s="1202">
        <f>+G63-G64</f>
        <v>0</v>
      </c>
      <c r="H65" s="1178"/>
      <c r="I65" s="1178"/>
      <c r="M65" s="120"/>
    </row>
    <row r="66" spans="1:16" ht="15.75" customHeight="1" thickTop="1">
      <c r="A66" s="1178"/>
      <c r="B66" s="1178" t="s">
        <v>240</v>
      </c>
      <c r="C66" s="1178"/>
      <c r="D66" s="1196"/>
      <c r="E66" s="1178"/>
      <c r="F66" s="1178"/>
      <c r="G66" s="1178" t="s">
        <v>430</v>
      </c>
      <c r="H66" s="1178"/>
      <c r="I66" s="1178"/>
      <c r="M66" s="120"/>
    </row>
    <row r="67" spans="1:16" s="96" customFormat="1" ht="15">
      <c r="A67" s="1176"/>
      <c r="B67" s="1178" t="s">
        <v>236</v>
      </c>
      <c r="C67" s="1178"/>
      <c r="D67" s="1196"/>
      <c r="E67" s="1176"/>
      <c r="F67" s="1178"/>
      <c r="G67" s="1178" t="str">
        <f>+DATOS!H4</f>
        <v>MANUEL GUTIERREZ A. RUT: 10,150,081-0</v>
      </c>
      <c r="H67" s="1178"/>
      <c r="I67" s="1176"/>
      <c r="J67" s="476"/>
      <c r="K67" s="476"/>
      <c r="L67" s="476"/>
      <c r="M67" s="120"/>
      <c r="N67" s="99"/>
    </row>
    <row r="68" spans="1:16" s="96" customFormat="1" ht="15">
      <c r="A68" s="1176"/>
      <c r="B68" s="1178" t="s">
        <v>237</v>
      </c>
      <c r="C68" s="1178"/>
      <c r="D68" s="1196"/>
      <c r="E68" s="1176"/>
      <c r="F68" s="1178"/>
      <c r="G68" s="1178" t="s">
        <v>429</v>
      </c>
      <c r="H68" s="1178"/>
      <c r="I68" s="1176"/>
      <c r="J68" s="476"/>
      <c r="K68" s="476"/>
      <c r="L68" s="476"/>
      <c r="M68" s="120"/>
      <c r="N68" s="99"/>
    </row>
    <row r="69" spans="1:16" s="96" customFormat="1" ht="15">
      <c r="B69" s="261" t="s">
        <v>568</v>
      </c>
      <c r="C69" s="260"/>
      <c r="D69" s="257"/>
      <c r="F69" s="99"/>
      <c r="G69" s="47"/>
      <c r="H69" s="47"/>
      <c r="J69" s="476"/>
      <c r="K69" s="476"/>
      <c r="L69" s="476"/>
      <c r="M69" s="120"/>
      <c r="N69" s="99"/>
    </row>
    <row r="70" spans="1:16" ht="15.75" customHeight="1">
      <c r="M70" s="120"/>
    </row>
    <row r="71" spans="1:16" ht="15.75" customHeight="1">
      <c r="M71" s="120"/>
    </row>
    <row r="72" spans="1:16" ht="15.75" customHeight="1">
      <c r="B72" s="774"/>
      <c r="C72" s="775"/>
      <c r="D72" s="775"/>
      <c r="E72" s="775"/>
      <c r="F72" s="775"/>
      <c r="G72" s="775"/>
      <c r="H72" s="775"/>
      <c r="I72" s="776"/>
      <c r="M72" s="120"/>
    </row>
    <row r="73" spans="1:16" ht="15.75" customHeight="1">
      <c r="B73" s="777"/>
      <c r="C73" s="778" t="s">
        <v>653</v>
      </c>
      <c r="D73" s="778"/>
      <c r="E73" s="778"/>
      <c r="F73" s="778"/>
      <c r="G73" s="778"/>
      <c r="H73" s="778"/>
      <c r="I73" s="779"/>
      <c r="M73" s="120"/>
    </row>
    <row r="74" spans="1:16" ht="15.75" customHeight="1">
      <c r="B74" s="780" t="s">
        <v>654</v>
      </c>
      <c r="C74" s="781" t="s">
        <v>655</v>
      </c>
      <c r="D74" s="782"/>
      <c r="E74" s="782"/>
      <c r="F74" s="782"/>
      <c r="G74" s="782"/>
      <c r="H74" s="783"/>
      <c r="I74" s="784"/>
      <c r="M74" s="120"/>
    </row>
    <row r="75" spans="1:16" ht="15.75" customHeight="1">
      <c r="B75" s="785">
        <v>1</v>
      </c>
      <c r="C75" s="778" t="s">
        <v>656</v>
      </c>
      <c r="D75" s="786"/>
      <c r="E75" s="787">
        <v>628</v>
      </c>
      <c r="F75" s="788" t="s">
        <v>657</v>
      </c>
      <c r="G75" s="789">
        <f>+I39</f>
        <v>0</v>
      </c>
      <c r="H75" s="789"/>
      <c r="I75" s="784"/>
      <c r="M75" s="120"/>
    </row>
    <row r="76" spans="1:16" ht="15.75" customHeight="1">
      <c r="B76" s="790">
        <v>2</v>
      </c>
      <c r="C76" s="778" t="s">
        <v>658</v>
      </c>
      <c r="D76" s="786"/>
      <c r="E76" s="791">
        <v>851</v>
      </c>
      <c r="F76" s="788" t="s">
        <v>657</v>
      </c>
      <c r="G76" s="789"/>
      <c r="H76" s="789"/>
      <c r="I76" s="784"/>
      <c r="M76" s="120"/>
    </row>
    <row r="77" spans="1:16" ht="15.75" customHeight="1">
      <c r="B77" s="790">
        <v>3</v>
      </c>
      <c r="C77" s="778" t="s">
        <v>659</v>
      </c>
      <c r="D77" s="786"/>
      <c r="E77" s="791">
        <v>629</v>
      </c>
      <c r="F77" s="788" t="s">
        <v>657</v>
      </c>
      <c r="G77" s="789"/>
      <c r="H77" s="789"/>
      <c r="I77" s="784"/>
      <c r="M77" s="120"/>
    </row>
    <row r="78" spans="1:16" ht="15.75" customHeight="1">
      <c r="B78" s="785">
        <v>4</v>
      </c>
      <c r="C78" s="778" t="s">
        <v>660</v>
      </c>
      <c r="D78" s="786"/>
      <c r="E78" s="791">
        <v>651</v>
      </c>
      <c r="F78" s="788" t="s">
        <v>657</v>
      </c>
      <c r="G78" s="789"/>
      <c r="H78" s="789"/>
      <c r="I78" s="784"/>
      <c r="M78" s="120"/>
    </row>
    <row r="79" spans="1:16" ht="15.75" customHeight="1" thickBot="1">
      <c r="B79" s="792"/>
      <c r="C79" s="793" t="s">
        <v>661</v>
      </c>
      <c r="D79" s="794"/>
      <c r="E79" s="795" t="s">
        <v>662</v>
      </c>
      <c r="F79" s="795" t="s">
        <v>662</v>
      </c>
      <c r="G79" s="796">
        <f>SUM(G75:G78)</f>
        <v>0</v>
      </c>
      <c r="H79" s="789">
        <f>+G79-K62</f>
        <v>0</v>
      </c>
      <c r="I79" s="784"/>
      <c r="M79" s="120"/>
    </row>
    <row r="80" spans="1:16" s="476" customFormat="1" ht="15.75" customHeight="1" thickTop="1">
      <c r="A80" s="99"/>
      <c r="B80" s="790"/>
      <c r="C80" s="778"/>
      <c r="D80" s="786"/>
      <c r="E80" s="786"/>
      <c r="F80" s="783"/>
      <c r="G80" s="797"/>
      <c r="H80" s="789"/>
      <c r="I80" s="784"/>
      <c r="M80" s="99"/>
      <c r="N80" s="99"/>
      <c r="O80" s="99"/>
      <c r="P80" s="99"/>
    </row>
    <row r="81" spans="1:16" s="476" customFormat="1" ht="15.75" customHeight="1">
      <c r="A81" s="99"/>
      <c r="B81" s="798"/>
      <c r="C81" s="781" t="s">
        <v>663</v>
      </c>
      <c r="D81" s="782"/>
      <c r="E81" s="782"/>
      <c r="F81" s="782"/>
      <c r="G81" s="799"/>
      <c r="H81" s="789"/>
      <c r="I81" s="784"/>
      <c r="M81" s="99"/>
      <c r="N81" s="99"/>
      <c r="O81" s="99"/>
      <c r="P81" s="99"/>
    </row>
    <row r="82" spans="1:16" s="476" customFormat="1" ht="15.75" customHeight="1">
      <c r="A82" s="99"/>
      <c r="B82" s="785">
        <v>5</v>
      </c>
      <c r="C82" s="778" t="s">
        <v>664</v>
      </c>
      <c r="D82" s="786"/>
      <c r="E82" s="786">
        <v>630</v>
      </c>
      <c r="F82" s="783" t="s">
        <v>665</v>
      </c>
      <c r="G82" s="797">
        <f>-H49-H52</f>
        <v>0</v>
      </c>
      <c r="H82" s="789"/>
      <c r="I82" s="784"/>
      <c r="M82" s="99"/>
      <c r="N82" s="99"/>
      <c r="O82" s="99"/>
      <c r="P82" s="99"/>
    </row>
    <row r="83" spans="1:16" s="476" customFormat="1" ht="15.75" customHeight="1" thickBot="1">
      <c r="A83" s="99"/>
      <c r="B83" s="792"/>
      <c r="C83" s="793" t="s">
        <v>666</v>
      </c>
      <c r="D83" s="794"/>
      <c r="E83" s="795" t="s">
        <v>662</v>
      </c>
      <c r="F83" s="795" t="s">
        <v>662</v>
      </c>
      <c r="G83" s="796">
        <f>SUM(G82)</f>
        <v>0</v>
      </c>
      <c r="H83" s="789"/>
      <c r="I83" s="784"/>
      <c r="M83" s="99"/>
      <c r="N83" s="99"/>
      <c r="O83" s="99"/>
      <c r="P83" s="99"/>
    </row>
    <row r="84" spans="1:16" s="476" customFormat="1" ht="15.75" customHeight="1" thickTop="1">
      <c r="A84" s="99"/>
      <c r="B84" s="790"/>
      <c r="C84" s="778"/>
      <c r="D84" s="786"/>
      <c r="E84" s="786"/>
      <c r="F84" s="783"/>
      <c r="G84" s="797"/>
      <c r="H84" s="789"/>
      <c r="I84" s="784"/>
      <c r="M84" s="99"/>
      <c r="N84" s="99"/>
      <c r="O84" s="99"/>
      <c r="P84" s="99"/>
    </row>
    <row r="85" spans="1:16" s="476" customFormat="1" ht="15.75" customHeight="1">
      <c r="A85" s="99"/>
      <c r="B85" s="798"/>
      <c r="C85" s="781" t="s">
        <v>667</v>
      </c>
      <c r="D85" s="782"/>
      <c r="E85" s="782"/>
      <c r="F85" s="782"/>
      <c r="G85" s="799"/>
      <c r="H85" s="789"/>
      <c r="I85" s="784"/>
      <c r="M85" s="99"/>
      <c r="N85" s="99"/>
      <c r="O85" s="99"/>
      <c r="P85" s="99"/>
    </row>
    <row r="86" spans="1:16" s="476" customFormat="1" ht="15.75" customHeight="1">
      <c r="A86" s="99"/>
      <c r="B86" s="785">
        <v>6</v>
      </c>
      <c r="C86" s="778" t="s">
        <v>668</v>
      </c>
      <c r="D86" s="786"/>
      <c r="E86" s="787">
        <v>631</v>
      </c>
      <c r="F86" s="788" t="s">
        <v>665</v>
      </c>
      <c r="G86" s="797">
        <f>-H44-H54</f>
        <v>0</v>
      </c>
      <c r="H86" s="789"/>
      <c r="I86" s="784"/>
      <c r="M86" s="99"/>
      <c r="N86" s="99"/>
      <c r="O86" s="99"/>
      <c r="P86" s="99"/>
    </row>
    <row r="87" spans="1:16" s="476" customFormat="1" ht="15.75" customHeight="1">
      <c r="A87" s="99"/>
      <c r="B87" s="790">
        <v>7</v>
      </c>
      <c r="C87" s="778" t="s">
        <v>669</v>
      </c>
      <c r="D87" s="786"/>
      <c r="E87" s="791">
        <v>632</v>
      </c>
      <c r="F87" s="788" t="s">
        <v>665</v>
      </c>
      <c r="G87" s="797"/>
      <c r="H87" s="789"/>
      <c r="I87" s="784"/>
      <c r="M87" s="99"/>
      <c r="N87" s="99"/>
      <c r="O87" s="99"/>
      <c r="P87" s="99"/>
    </row>
    <row r="88" spans="1:16" s="476" customFormat="1" ht="15.75" customHeight="1">
      <c r="A88" s="99"/>
      <c r="B88" s="790">
        <v>8</v>
      </c>
      <c r="C88" s="778" t="s">
        <v>670</v>
      </c>
      <c r="D88" s="786"/>
      <c r="E88" s="791">
        <v>633</v>
      </c>
      <c r="F88" s="788" t="s">
        <v>665</v>
      </c>
      <c r="G88" s="797">
        <f>-H48</f>
        <v>0</v>
      </c>
      <c r="H88" s="789"/>
      <c r="I88" s="784"/>
      <c r="M88" s="99"/>
      <c r="N88" s="99"/>
      <c r="O88" s="99"/>
      <c r="P88" s="99"/>
    </row>
    <row r="89" spans="1:16" s="476" customFormat="1" ht="15.75" customHeight="1">
      <c r="A89" s="99"/>
      <c r="B89" s="790">
        <v>9</v>
      </c>
      <c r="C89" s="778" t="s">
        <v>671</v>
      </c>
      <c r="D89" s="786"/>
      <c r="E89" s="791">
        <v>966</v>
      </c>
      <c r="F89" s="788" t="s">
        <v>665</v>
      </c>
      <c r="G89" s="797"/>
      <c r="H89" s="789"/>
      <c r="I89" s="784"/>
      <c r="M89" s="99"/>
      <c r="N89" s="99"/>
      <c r="O89" s="99"/>
      <c r="P89" s="99"/>
    </row>
    <row r="90" spans="1:16" s="476" customFormat="1" ht="15.75" customHeight="1">
      <c r="A90" s="99"/>
      <c r="B90" s="790">
        <v>10</v>
      </c>
      <c r="C90" s="778" t="s">
        <v>672</v>
      </c>
      <c r="D90" s="786"/>
      <c r="E90" s="791">
        <v>967</v>
      </c>
      <c r="F90" s="788" t="s">
        <v>665</v>
      </c>
      <c r="G90" s="797"/>
      <c r="H90" s="789"/>
      <c r="I90" s="784"/>
      <c r="M90" s="99"/>
      <c r="N90" s="99"/>
      <c r="O90" s="99"/>
      <c r="P90" s="99"/>
    </row>
    <row r="91" spans="1:16" s="476" customFormat="1" ht="15.75" customHeight="1">
      <c r="A91" s="99"/>
      <c r="B91" s="790">
        <v>11</v>
      </c>
      <c r="C91" s="778" t="s">
        <v>673</v>
      </c>
      <c r="D91" s="786"/>
      <c r="E91" s="791">
        <v>852</v>
      </c>
      <c r="F91" s="788" t="s">
        <v>665</v>
      </c>
      <c r="G91" s="797"/>
      <c r="H91" s="789"/>
      <c r="I91" s="784"/>
      <c r="M91" s="99"/>
      <c r="N91" s="99"/>
      <c r="O91" s="99"/>
      <c r="P91" s="99"/>
    </row>
    <row r="92" spans="1:16" s="476" customFormat="1" ht="15.75" customHeight="1">
      <c r="A92" s="99"/>
      <c r="B92" s="790">
        <v>12</v>
      </c>
      <c r="C92" s="778" t="s">
        <v>674</v>
      </c>
      <c r="D92" s="786"/>
      <c r="E92" s="791">
        <v>897</v>
      </c>
      <c r="F92" s="788" t="s">
        <v>665</v>
      </c>
      <c r="G92" s="797"/>
      <c r="H92" s="789"/>
      <c r="I92" s="784"/>
      <c r="M92" s="99"/>
      <c r="N92" s="99"/>
      <c r="O92" s="99"/>
      <c r="P92" s="99"/>
    </row>
    <row r="93" spans="1:16" s="476" customFormat="1" ht="15.75" customHeight="1">
      <c r="A93" s="99"/>
      <c r="B93" s="790">
        <v>13</v>
      </c>
      <c r="C93" s="778" t="s">
        <v>675</v>
      </c>
      <c r="D93" s="786"/>
      <c r="E93" s="791">
        <v>853</v>
      </c>
      <c r="F93" s="788" t="s">
        <v>665</v>
      </c>
      <c r="G93" s="797"/>
      <c r="H93" s="789"/>
      <c r="I93" s="784"/>
      <c r="M93" s="99"/>
      <c r="N93" s="99"/>
      <c r="O93" s="99"/>
      <c r="P93" s="99"/>
    </row>
    <row r="94" spans="1:16" s="476" customFormat="1" ht="15.75" customHeight="1">
      <c r="A94" s="99"/>
      <c r="B94" s="785">
        <v>14</v>
      </c>
      <c r="C94" s="778" t="s">
        <v>676</v>
      </c>
      <c r="D94" s="786"/>
      <c r="E94" s="791">
        <v>968</v>
      </c>
      <c r="F94" s="788" t="s">
        <v>665</v>
      </c>
      <c r="G94" s="797">
        <f>-H57</f>
        <v>0</v>
      </c>
      <c r="H94" s="789"/>
      <c r="I94" s="784"/>
      <c r="M94" s="99"/>
      <c r="N94" s="99"/>
      <c r="O94" s="99"/>
      <c r="P94" s="99"/>
    </row>
    <row r="95" spans="1:16" s="476" customFormat="1" ht="15.75" customHeight="1">
      <c r="A95" s="99"/>
      <c r="B95" s="790">
        <v>15</v>
      </c>
      <c r="C95" s="778" t="s">
        <v>677</v>
      </c>
      <c r="D95" s="786"/>
      <c r="E95" s="791">
        <v>969</v>
      </c>
      <c r="F95" s="788" t="s">
        <v>665</v>
      </c>
      <c r="G95" s="797"/>
      <c r="H95" s="789"/>
      <c r="I95" s="784"/>
      <c r="M95" s="99"/>
      <c r="N95" s="99"/>
      <c r="O95" s="99"/>
      <c r="P95" s="99"/>
    </row>
    <row r="96" spans="1:16" s="476" customFormat="1" ht="15.75" customHeight="1">
      <c r="A96" s="99"/>
      <c r="B96" s="790">
        <v>16</v>
      </c>
      <c r="C96" s="778" t="s">
        <v>678</v>
      </c>
      <c r="D96" s="786"/>
      <c r="E96" s="791">
        <v>635</v>
      </c>
      <c r="F96" s="788" t="s">
        <v>665</v>
      </c>
      <c r="G96" s="797"/>
      <c r="H96" s="789"/>
      <c r="I96" s="784"/>
      <c r="M96" s="99"/>
      <c r="N96" s="99"/>
      <c r="O96" s="99"/>
      <c r="P96" s="99"/>
    </row>
    <row r="97" spans="1:16" s="476" customFormat="1" ht="15.75" customHeight="1" thickBot="1">
      <c r="A97" s="99"/>
      <c r="B97" s="792"/>
      <c r="C97" s="793" t="s">
        <v>679</v>
      </c>
      <c r="D97" s="794"/>
      <c r="E97" s="795" t="s">
        <v>662</v>
      </c>
      <c r="F97" s="795" t="s">
        <v>662</v>
      </c>
      <c r="G97" s="796">
        <f>SUM(G86:G96)</f>
        <v>0</v>
      </c>
      <c r="H97" s="789"/>
      <c r="I97" s="784"/>
      <c r="M97" s="99"/>
      <c r="N97" s="99"/>
      <c r="O97" s="99"/>
      <c r="P97" s="99"/>
    </row>
    <row r="98" spans="1:16" s="476" customFormat="1" ht="15.75" customHeight="1" thickTop="1" thickBot="1">
      <c r="A98" s="99"/>
      <c r="B98" s="792"/>
      <c r="C98" s="793" t="s">
        <v>680</v>
      </c>
      <c r="D98" s="794"/>
      <c r="E98" s="795" t="s">
        <v>662</v>
      </c>
      <c r="F98" s="795" t="s">
        <v>662</v>
      </c>
      <c r="G98" s="796">
        <f>+G79+G83+G97</f>
        <v>0</v>
      </c>
      <c r="H98" s="789"/>
      <c r="I98" s="784"/>
      <c r="M98" s="99"/>
      <c r="N98" s="99"/>
      <c r="O98" s="99"/>
      <c r="P98" s="99"/>
    </row>
    <row r="99" spans="1:16" s="476" customFormat="1" ht="15.75" customHeight="1" thickTop="1">
      <c r="A99" s="99"/>
      <c r="B99" s="790"/>
      <c r="C99" s="778"/>
      <c r="D99" s="786"/>
      <c r="E99" s="786"/>
      <c r="F99" s="783"/>
      <c r="G99" s="797"/>
      <c r="H99" s="789"/>
      <c r="I99" s="784"/>
      <c r="M99" s="99"/>
      <c r="N99" s="99"/>
      <c r="O99" s="99"/>
      <c r="P99" s="99"/>
    </row>
    <row r="100" spans="1:16" s="476" customFormat="1" ht="15.75" customHeight="1">
      <c r="A100" s="99"/>
      <c r="B100" s="798"/>
      <c r="C100" s="781" t="s">
        <v>681</v>
      </c>
      <c r="D100" s="782"/>
      <c r="E100" s="782"/>
      <c r="F100" s="782"/>
      <c r="G100" s="799"/>
      <c r="H100" s="789"/>
      <c r="I100" s="784"/>
      <c r="M100" s="99"/>
      <c r="N100" s="99"/>
      <c r="O100" s="99"/>
      <c r="P100" s="99"/>
    </row>
    <row r="101" spans="1:16" s="476" customFormat="1" ht="15.75" customHeight="1">
      <c r="A101" s="99"/>
      <c r="B101" s="785">
        <v>17</v>
      </c>
      <c r="C101" s="800" t="s">
        <v>682</v>
      </c>
      <c r="D101" s="801"/>
      <c r="E101" s="801">
        <v>637</v>
      </c>
      <c r="F101" s="802" t="s">
        <v>665</v>
      </c>
      <c r="G101" s="797">
        <f>-H56</f>
        <v>0</v>
      </c>
      <c r="H101" s="789"/>
      <c r="I101" s="784"/>
      <c r="M101" s="99"/>
      <c r="N101" s="99"/>
      <c r="O101" s="99"/>
      <c r="P101" s="99"/>
    </row>
    <row r="102" spans="1:16" s="476" customFormat="1" ht="15.75" customHeight="1">
      <c r="A102" s="99"/>
      <c r="B102" s="790">
        <v>18</v>
      </c>
      <c r="C102" s="800" t="s">
        <v>683</v>
      </c>
      <c r="D102" s="801"/>
      <c r="E102" s="801">
        <v>638</v>
      </c>
      <c r="F102" s="802" t="s">
        <v>657</v>
      </c>
      <c r="G102" s="797">
        <f>+I56</f>
        <v>0</v>
      </c>
      <c r="H102" s="789"/>
      <c r="I102" s="784"/>
      <c r="M102" s="99"/>
      <c r="N102" s="99"/>
      <c r="O102" s="99"/>
      <c r="P102" s="99"/>
    </row>
    <row r="103" spans="1:16" s="476" customFormat="1" ht="15.75" customHeight="1" thickBot="1">
      <c r="A103" s="99"/>
      <c r="B103" s="792"/>
      <c r="C103" s="793" t="s">
        <v>684</v>
      </c>
      <c r="D103" s="794"/>
      <c r="E103" s="795"/>
      <c r="F103" s="795"/>
      <c r="G103" s="796">
        <f>+G101+G102</f>
        <v>0</v>
      </c>
      <c r="H103" s="789"/>
      <c r="I103" s="784"/>
      <c r="M103" s="99"/>
      <c r="N103" s="99"/>
      <c r="O103" s="99"/>
      <c r="P103" s="99"/>
    </row>
    <row r="104" spans="1:16" s="476" customFormat="1" ht="15.75" customHeight="1" thickTop="1">
      <c r="A104" s="99"/>
      <c r="B104" s="790"/>
      <c r="C104" s="778"/>
      <c r="D104" s="786"/>
      <c r="E104" s="786"/>
      <c r="F104" s="783"/>
      <c r="G104" s="797"/>
      <c r="H104" s="789"/>
      <c r="I104" s="784"/>
      <c r="M104" s="99"/>
      <c r="N104" s="99"/>
      <c r="O104" s="99"/>
      <c r="P104" s="99"/>
    </row>
    <row r="105" spans="1:16" s="476" customFormat="1" ht="15.75" customHeight="1">
      <c r="A105" s="99"/>
      <c r="B105" s="798"/>
      <c r="C105" s="781" t="s">
        <v>681</v>
      </c>
      <c r="D105" s="782"/>
      <c r="E105" s="782"/>
      <c r="F105" s="782"/>
      <c r="G105" s="799"/>
      <c r="H105" s="789"/>
      <c r="I105" s="784"/>
      <c r="M105" s="99"/>
      <c r="N105" s="99"/>
      <c r="O105" s="99"/>
      <c r="P105" s="99"/>
    </row>
    <row r="106" spans="1:16" s="476" customFormat="1" ht="15.75" customHeight="1">
      <c r="A106" s="99"/>
      <c r="B106" s="803">
        <v>19</v>
      </c>
      <c r="C106" s="804" t="s">
        <v>685</v>
      </c>
      <c r="D106" s="805"/>
      <c r="E106" s="805"/>
      <c r="F106" s="806" t="s">
        <v>657</v>
      </c>
      <c r="G106" s="807">
        <f>+H57</f>
        <v>0</v>
      </c>
      <c r="H106" s="789"/>
      <c r="I106" s="784"/>
      <c r="M106" s="99"/>
      <c r="N106" s="99"/>
      <c r="O106" s="99"/>
      <c r="P106" s="99"/>
    </row>
    <row r="107" spans="1:16" s="476" customFormat="1" ht="15.75" customHeight="1">
      <c r="A107" s="99"/>
      <c r="B107" s="808">
        <v>20</v>
      </c>
      <c r="C107" s="778" t="s">
        <v>686</v>
      </c>
      <c r="D107" s="786"/>
      <c r="E107" s="783">
        <v>926</v>
      </c>
      <c r="F107" s="788" t="s">
        <v>657</v>
      </c>
      <c r="G107" s="797"/>
      <c r="H107" s="789"/>
      <c r="I107" s="784"/>
      <c r="M107" s="99"/>
      <c r="N107" s="99"/>
      <c r="O107" s="99"/>
      <c r="P107" s="99"/>
    </row>
    <row r="108" spans="1:16" s="476" customFormat="1" ht="15.75" customHeight="1">
      <c r="A108" s="99"/>
      <c r="B108" s="808">
        <v>21</v>
      </c>
      <c r="C108" s="778" t="s">
        <v>687</v>
      </c>
      <c r="D108" s="786"/>
      <c r="E108" s="786">
        <v>970</v>
      </c>
      <c r="F108" s="788" t="s">
        <v>665</v>
      </c>
      <c r="G108" s="797"/>
      <c r="H108" s="789"/>
      <c r="I108" s="784"/>
      <c r="M108" s="99"/>
      <c r="N108" s="99"/>
      <c r="O108" s="99"/>
      <c r="P108" s="99"/>
    </row>
    <row r="109" spans="1:16" s="476" customFormat="1" ht="15.75" customHeight="1">
      <c r="A109" s="99"/>
      <c r="B109" s="808">
        <v>22</v>
      </c>
      <c r="C109" s="778" t="s">
        <v>688</v>
      </c>
      <c r="D109" s="786"/>
      <c r="E109" s="786">
        <v>971</v>
      </c>
      <c r="F109" s="788" t="s">
        <v>657</v>
      </c>
      <c r="G109" s="797"/>
      <c r="H109" s="789"/>
      <c r="I109" s="784"/>
      <c r="M109" s="99"/>
      <c r="N109" s="99"/>
      <c r="O109" s="99"/>
      <c r="P109" s="99"/>
    </row>
    <row r="110" spans="1:16" s="476" customFormat="1" ht="15.75" customHeight="1">
      <c r="A110" s="99"/>
      <c r="B110" s="808">
        <v>23</v>
      </c>
      <c r="C110" s="778" t="s">
        <v>689</v>
      </c>
      <c r="D110" s="786"/>
      <c r="E110" s="786">
        <v>639</v>
      </c>
      <c r="F110" s="788" t="s">
        <v>665</v>
      </c>
      <c r="G110" s="797"/>
      <c r="H110" s="789"/>
      <c r="I110" s="784"/>
      <c r="M110" s="99"/>
      <c r="N110" s="99"/>
      <c r="O110" s="99"/>
      <c r="P110" s="99"/>
    </row>
    <row r="111" spans="1:16" s="476" customFormat="1" ht="15.75" customHeight="1" thickBot="1">
      <c r="A111" s="99"/>
      <c r="B111" s="792"/>
      <c r="C111" s="793" t="s">
        <v>690</v>
      </c>
      <c r="D111" s="794"/>
      <c r="E111" s="795"/>
      <c r="F111" s="795"/>
      <c r="G111" s="796">
        <f>SUM(G106:G110)</f>
        <v>0</v>
      </c>
      <c r="H111" s="789"/>
      <c r="I111" s="784"/>
      <c r="M111" s="99"/>
      <c r="N111" s="99"/>
      <c r="O111" s="99"/>
      <c r="P111" s="99"/>
    </row>
    <row r="112" spans="1:16" s="476" customFormat="1" ht="15.75" customHeight="1" thickTop="1">
      <c r="A112" s="99"/>
      <c r="B112" s="808"/>
      <c r="C112" s="778"/>
      <c r="D112" s="786"/>
      <c r="E112" s="786"/>
      <c r="F112" s="783"/>
      <c r="G112" s="797"/>
      <c r="H112" s="789"/>
      <c r="I112" s="784"/>
      <c r="M112" s="99"/>
      <c r="N112" s="99"/>
      <c r="O112" s="99"/>
      <c r="P112" s="99"/>
    </row>
    <row r="113" spans="1:16" s="476" customFormat="1" ht="15.75" customHeight="1">
      <c r="A113" s="99"/>
      <c r="B113" s="798"/>
      <c r="C113" s="781" t="s">
        <v>691</v>
      </c>
      <c r="D113" s="782"/>
      <c r="E113" s="782"/>
      <c r="F113" s="782"/>
      <c r="G113" s="799"/>
      <c r="H113" s="789"/>
      <c r="I113" s="784"/>
      <c r="M113" s="99"/>
      <c r="N113" s="99"/>
      <c r="O113" s="99"/>
      <c r="P113" s="99"/>
    </row>
    <row r="114" spans="1:16" s="476" customFormat="1" ht="15.75" customHeight="1">
      <c r="A114" s="99"/>
      <c r="B114" s="808">
        <v>24</v>
      </c>
      <c r="C114" s="778" t="s">
        <v>692</v>
      </c>
      <c r="D114" s="786"/>
      <c r="E114" s="786">
        <v>927</v>
      </c>
      <c r="F114" s="788" t="s">
        <v>665</v>
      </c>
      <c r="G114" s="797"/>
      <c r="H114" s="789"/>
      <c r="I114" s="784"/>
      <c r="M114" s="99"/>
      <c r="N114" s="99"/>
      <c r="O114" s="99"/>
      <c r="P114" s="99"/>
    </row>
    <row r="115" spans="1:16" s="476" customFormat="1" ht="15.75" customHeight="1">
      <c r="A115" s="99"/>
      <c r="B115" s="808">
        <v>25</v>
      </c>
      <c r="C115" s="778" t="s">
        <v>693</v>
      </c>
      <c r="D115" s="786"/>
      <c r="E115" s="783">
        <v>1000</v>
      </c>
      <c r="F115" s="788" t="s">
        <v>665</v>
      </c>
      <c r="G115" s="797"/>
      <c r="H115" s="789"/>
      <c r="I115" s="784"/>
      <c r="M115" s="99"/>
      <c r="N115" s="99"/>
      <c r="O115" s="99"/>
      <c r="P115" s="99"/>
    </row>
    <row r="116" spans="1:16" s="476" customFormat="1" ht="15.75" customHeight="1">
      <c r="A116" s="99"/>
      <c r="B116" s="808">
        <v>26</v>
      </c>
      <c r="C116" s="778" t="s">
        <v>694</v>
      </c>
      <c r="D116" s="786"/>
      <c r="E116" s="786">
        <v>827</v>
      </c>
      <c r="F116" s="788" t="s">
        <v>665</v>
      </c>
      <c r="G116" s="797"/>
      <c r="H116" s="789"/>
      <c r="I116" s="784"/>
      <c r="M116" s="99"/>
      <c r="N116" s="99"/>
      <c r="O116" s="99"/>
      <c r="P116" s="99"/>
    </row>
    <row r="117" spans="1:16" s="476" customFormat="1" ht="15.75" customHeight="1">
      <c r="A117" s="99"/>
      <c r="B117" s="808">
        <v>27</v>
      </c>
      <c r="C117" s="778" t="s">
        <v>695</v>
      </c>
      <c r="D117" s="786"/>
      <c r="E117" s="786">
        <v>928</v>
      </c>
      <c r="F117" s="788" t="s">
        <v>665</v>
      </c>
      <c r="G117" s="797"/>
      <c r="H117" s="789"/>
      <c r="I117" s="784"/>
      <c r="M117" s="99"/>
      <c r="N117" s="99"/>
      <c r="O117" s="99"/>
      <c r="P117" s="99"/>
    </row>
    <row r="118" spans="1:16" s="476" customFormat="1" ht="15.75" customHeight="1">
      <c r="A118" s="99"/>
      <c r="B118" s="808">
        <v>28</v>
      </c>
      <c r="C118" s="778" t="s">
        <v>696</v>
      </c>
      <c r="D118" s="786"/>
      <c r="E118" s="786">
        <v>929</v>
      </c>
      <c r="F118" s="788" t="s">
        <v>665</v>
      </c>
      <c r="G118" s="797"/>
      <c r="H118" s="789"/>
      <c r="I118" s="784"/>
      <c r="M118" s="99"/>
      <c r="N118" s="99"/>
      <c r="O118" s="99"/>
      <c r="P118" s="99"/>
    </row>
    <row r="119" spans="1:16" s="476" customFormat="1" ht="15.75" customHeight="1">
      <c r="A119" s="99"/>
      <c r="B119" s="808">
        <v>29</v>
      </c>
      <c r="C119" s="778" t="s">
        <v>697</v>
      </c>
      <c r="D119" s="786"/>
      <c r="E119" s="786">
        <v>807</v>
      </c>
      <c r="F119" s="788" t="s">
        <v>665</v>
      </c>
      <c r="G119" s="797"/>
      <c r="H119" s="789"/>
      <c r="I119" s="784"/>
      <c r="M119" s="99"/>
      <c r="N119" s="99"/>
      <c r="O119" s="99"/>
      <c r="P119" s="99"/>
    </row>
    <row r="120" spans="1:16" s="476" customFormat="1" ht="15.75" customHeight="1">
      <c r="A120" s="99"/>
      <c r="B120" s="808">
        <v>30</v>
      </c>
      <c r="C120" s="778" t="s">
        <v>698</v>
      </c>
      <c r="D120" s="786"/>
      <c r="E120" s="783">
        <v>641</v>
      </c>
      <c r="F120" s="788" t="s">
        <v>665</v>
      </c>
      <c r="G120" s="797"/>
      <c r="H120" s="789"/>
      <c r="I120" s="784"/>
      <c r="M120" s="99"/>
      <c r="N120" s="99"/>
      <c r="O120" s="99"/>
      <c r="P120" s="99"/>
    </row>
    <row r="121" spans="1:16" s="476" customFormat="1" ht="15.75" customHeight="1">
      <c r="A121" s="99"/>
      <c r="B121" s="808">
        <v>31</v>
      </c>
      <c r="C121" s="778" t="s">
        <v>699</v>
      </c>
      <c r="D121" s="786"/>
      <c r="E121" s="786">
        <v>642</v>
      </c>
      <c r="F121" s="788" t="s">
        <v>665</v>
      </c>
      <c r="G121" s="797"/>
      <c r="H121" s="789"/>
      <c r="I121" s="784"/>
      <c r="M121" s="99"/>
      <c r="N121" s="99"/>
      <c r="O121" s="99"/>
      <c r="P121" s="99"/>
    </row>
    <row r="122" spans="1:16" s="476" customFormat="1" ht="15.75" customHeight="1">
      <c r="A122" s="99"/>
      <c r="B122" s="808">
        <v>32</v>
      </c>
      <c r="C122" s="778" t="s">
        <v>700</v>
      </c>
      <c r="D122" s="786"/>
      <c r="E122" s="786">
        <v>973</v>
      </c>
      <c r="F122" s="788" t="s">
        <v>665</v>
      </c>
      <c r="G122" s="797"/>
      <c r="H122" s="789"/>
      <c r="I122" s="784"/>
      <c r="M122" s="99"/>
      <c r="N122" s="99"/>
      <c r="O122" s="99"/>
      <c r="P122" s="99"/>
    </row>
    <row r="123" spans="1:16" s="476" customFormat="1" ht="15.75" customHeight="1">
      <c r="A123" s="99"/>
      <c r="B123" s="808">
        <v>34</v>
      </c>
      <c r="C123" s="778" t="s">
        <v>701</v>
      </c>
      <c r="D123" s="786"/>
      <c r="E123" s="786">
        <v>640</v>
      </c>
      <c r="F123" s="788" t="s">
        <v>665</v>
      </c>
      <c r="G123" s="797"/>
      <c r="H123" s="789"/>
      <c r="I123" s="784"/>
      <c r="M123" s="99"/>
      <c r="N123" s="99"/>
      <c r="O123" s="99"/>
      <c r="P123" s="99"/>
    </row>
    <row r="124" spans="1:16" s="476" customFormat="1" ht="15.75" customHeight="1">
      <c r="A124" s="99"/>
      <c r="B124" s="808">
        <v>34</v>
      </c>
      <c r="C124" s="778" t="s">
        <v>702</v>
      </c>
      <c r="D124" s="786"/>
      <c r="E124" s="786">
        <v>634</v>
      </c>
      <c r="F124" s="788" t="s">
        <v>665</v>
      </c>
      <c r="G124" s="797"/>
      <c r="H124" s="789"/>
      <c r="I124" s="784"/>
      <c r="M124" s="99"/>
      <c r="N124" s="99"/>
      <c r="O124" s="99"/>
      <c r="P124" s="99"/>
    </row>
    <row r="125" spans="1:16" s="476" customFormat="1" ht="15.75" customHeight="1" thickBot="1">
      <c r="A125" s="99"/>
      <c r="B125" s="792"/>
      <c r="C125" s="793" t="s">
        <v>690</v>
      </c>
      <c r="D125" s="794"/>
      <c r="E125" s="795">
        <v>643</v>
      </c>
      <c r="F125" s="795"/>
      <c r="G125" s="796">
        <f>SUM(G114:G124)</f>
        <v>0</v>
      </c>
      <c r="H125" s="789"/>
      <c r="I125" s="784"/>
      <c r="M125" s="99"/>
      <c r="N125" s="99"/>
      <c r="O125" s="99"/>
      <c r="P125" s="99"/>
    </row>
    <row r="126" spans="1:16" s="476" customFormat="1" ht="15.75" customHeight="1" thickTop="1">
      <c r="A126" s="99"/>
      <c r="B126" s="808"/>
      <c r="C126" s="778"/>
      <c r="D126" s="786"/>
      <c r="E126" s="786"/>
      <c r="F126" s="783"/>
      <c r="G126" s="797"/>
      <c r="H126" s="789"/>
      <c r="I126" s="784"/>
      <c r="M126" s="99"/>
      <c r="N126" s="99"/>
      <c r="O126" s="99"/>
      <c r="P126" s="99"/>
    </row>
    <row r="127" spans="1:16" s="476" customFormat="1" ht="15.75" customHeight="1" thickBot="1">
      <c r="A127" s="99"/>
      <c r="B127" s="792"/>
      <c r="C127" s="793" t="s">
        <v>680</v>
      </c>
      <c r="D127" s="794"/>
      <c r="E127" s="795" t="s">
        <v>662</v>
      </c>
      <c r="F127" s="795" t="s">
        <v>662</v>
      </c>
      <c r="G127" s="796">
        <f>+G98+G103+G111+G125</f>
        <v>0</v>
      </c>
      <c r="H127" s="789">
        <f>+G44</f>
        <v>0</v>
      </c>
      <c r="I127" s="784">
        <f>+H127-G127</f>
        <v>0</v>
      </c>
      <c r="M127" s="99"/>
      <c r="N127" s="99"/>
      <c r="O127" s="99"/>
      <c r="P127" s="99"/>
    </row>
    <row r="128" spans="1:16" s="476" customFormat="1" ht="15.75" customHeight="1" thickTop="1">
      <c r="A128" s="99"/>
      <c r="B128" s="808"/>
      <c r="C128" s="778"/>
      <c r="D128" s="786"/>
      <c r="E128" s="786"/>
      <c r="F128" s="783"/>
      <c r="G128" s="797"/>
      <c r="H128" s="789"/>
      <c r="I128" s="784"/>
      <c r="M128" s="99"/>
      <c r="N128" s="99"/>
      <c r="O128" s="99"/>
      <c r="P128" s="99"/>
    </row>
    <row r="129" spans="1:16" s="476" customFormat="1" ht="15.75" customHeight="1">
      <c r="A129" s="99"/>
      <c r="B129" s="809"/>
      <c r="C129" s="810"/>
      <c r="D129" s="811"/>
      <c r="E129" s="811"/>
      <c r="F129" s="812"/>
      <c r="G129" s="813"/>
      <c r="H129" s="813"/>
      <c r="I129" s="814"/>
      <c r="M129" s="99"/>
      <c r="N129" s="99"/>
      <c r="O129" s="99"/>
      <c r="P129" s="99"/>
    </row>
    <row r="155" spans="1:3" ht="15.75" customHeight="1">
      <c r="A155" s="99" t="s">
        <v>111</v>
      </c>
      <c r="B155" s="99">
        <v>1199231588</v>
      </c>
      <c r="C155" s="99">
        <v>1519951732</v>
      </c>
    </row>
    <row r="156" spans="1:3" ht="15.75" customHeight="1">
      <c r="A156" s="99" t="s">
        <v>196</v>
      </c>
      <c r="B156" s="99">
        <v>1210221540</v>
      </c>
      <c r="C156" s="99">
        <v>584567899</v>
      </c>
    </row>
    <row r="157" spans="1:3" ht="15.75" customHeight="1">
      <c r="A157" s="99" t="s">
        <v>160</v>
      </c>
      <c r="B157" s="99">
        <v>251071768</v>
      </c>
      <c r="C157" s="99">
        <v>257310286</v>
      </c>
    </row>
    <row r="158" spans="1:3" ht="15.75" customHeight="1">
      <c r="A158" s="99" t="s">
        <v>142</v>
      </c>
      <c r="B158" s="99">
        <v>12249613</v>
      </c>
      <c r="C158" s="99">
        <v>2542340</v>
      </c>
    </row>
    <row r="159" spans="1:3" ht="15.75" customHeight="1">
      <c r="A159" s="99" t="s">
        <v>221</v>
      </c>
      <c r="B159" s="99">
        <v>6657464</v>
      </c>
      <c r="C159" s="99">
        <v>6657464</v>
      </c>
    </row>
    <row r="160" spans="1:3" ht="15.75" customHeight="1">
      <c r="A160" s="99" t="s">
        <v>197</v>
      </c>
      <c r="B160" s="99">
        <v>0</v>
      </c>
      <c r="C160" s="99">
        <v>0</v>
      </c>
    </row>
    <row r="161" spans="1:3" ht="15.75" customHeight="1">
      <c r="A161" s="99" t="s">
        <v>234</v>
      </c>
      <c r="B161" s="99">
        <v>3789600</v>
      </c>
      <c r="C161" s="99">
        <v>0</v>
      </c>
    </row>
    <row r="162" spans="1:3" ht="15.75" customHeight="1">
      <c r="A162" s="99" t="s">
        <v>198</v>
      </c>
      <c r="B162" s="99">
        <v>0</v>
      </c>
      <c r="C162" s="99">
        <v>0</v>
      </c>
    </row>
    <row r="163" spans="1:3" ht="15.75" customHeight="1">
      <c r="A163" s="99" t="s">
        <v>199</v>
      </c>
      <c r="B163" s="99">
        <v>241876346</v>
      </c>
      <c r="C163" s="99">
        <v>0</v>
      </c>
    </row>
    <row r="164" spans="1:3" ht="15.75" customHeight="1">
      <c r="A164" s="99" t="s">
        <v>226</v>
      </c>
      <c r="B164" s="99">
        <v>80375935</v>
      </c>
      <c r="C164" s="99">
        <v>0</v>
      </c>
    </row>
    <row r="165" spans="1:3" ht="15.75" customHeight="1">
      <c r="A165" s="99" t="s">
        <v>161</v>
      </c>
      <c r="B165" s="99">
        <v>0</v>
      </c>
      <c r="C165" s="99">
        <v>0</v>
      </c>
    </row>
    <row r="166" spans="1:3" ht="15.75" customHeight="1">
      <c r="A166" s="99" t="s">
        <v>253</v>
      </c>
      <c r="B166" s="99">
        <v>49133855</v>
      </c>
      <c r="C166" s="99">
        <v>814083</v>
      </c>
    </row>
    <row r="167" spans="1:3" ht="15.75" customHeight="1">
      <c r="A167" s="99" t="s">
        <v>255</v>
      </c>
      <c r="B167" s="99">
        <v>35697471</v>
      </c>
      <c r="C167" s="99">
        <v>0</v>
      </c>
    </row>
    <row r="168" spans="1:3" ht="15.75" customHeight="1">
      <c r="A168" s="99" t="s">
        <v>198</v>
      </c>
      <c r="B168" s="99">
        <v>0</v>
      </c>
      <c r="C168" s="99">
        <v>0</v>
      </c>
    </row>
    <row r="169" spans="1:3" ht="15.75" customHeight="1">
      <c r="A169" s="99" t="s">
        <v>225</v>
      </c>
      <c r="B169" s="99">
        <v>0</v>
      </c>
      <c r="C169" s="99">
        <v>0</v>
      </c>
    </row>
    <row r="170" spans="1:3" ht="15.75" customHeight="1">
      <c r="A170" s="99">
        <v>0</v>
      </c>
      <c r="B170" s="99">
        <v>0</v>
      </c>
      <c r="C170" s="99">
        <v>0</v>
      </c>
    </row>
    <row r="171" spans="1:3" ht="15.75" customHeight="1">
      <c r="A171" s="99">
        <v>0</v>
      </c>
      <c r="B171" s="99">
        <v>0</v>
      </c>
      <c r="C171" s="99">
        <v>0</v>
      </c>
    </row>
    <row r="172" spans="1:3" ht="15.75" customHeight="1">
      <c r="A172" s="99" t="s">
        <v>201</v>
      </c>
      <c r="B172" s="99">
        <v>0</v>
      </c>
      <c r="C172" s="99">
        <v>0</v>
      </c>
    </row>
    <row r="173" spans="1:3" ht="15.75" customHeight="1">
      <c r="A173" s="99" t="s">
        <v>164</v>
      </c>
      <c r="B173" s="99">
        <v>1306278</v>
      </c>
      <c r="C173" s="99">
        <v>1376582</v>
      </c>
    </row>
    <row r="174" spans="1:3" ht="15.75" customHeight="1">
      <c r="A174" s="99" t="s">
        <v>200</v>
      </c>
      <c r="B174" s="99">
        <v>0</v>
      </c>
      <c r="C174" s="99">
        <v>0</v>
      </c>
    </row>
    <row r="175" spans="1:3" ht="15.75" customHeight="1">
      <c r="A175" s="99" t="s">
        <v>145</v>
      </c>
      <c r="B175" s="99">
        <v>255937</v>
      </c>
      <c r="C175" s="99">
        <v>255937</v>
      </c>
    </row>
    <row r="176" spans="1:3" ht="15.75" customHeight="1">
      <c r="A176" s="99" t="s">
        <v>222</v>
      </c>
      <c r="B176" s="99">
        <v>0</v>
      </c>
      <c r="C176" s="99">
        <v>3890567</v>
      </c>
    </row>
    <row r="177" spans="1:3" ht="15.75" customHeight="1">
      <c r="A177" s="99" t="s">
        <v>230</v>
      </c>
      <c r="B177" s="99">
        <v>814083</v>
      </c>
      <c r="C177" s="99">
        <v>32246919</v>
      </c>
    </row>
    <row r="178" spans="1:3" ht="15.75" customHeight="1">
      <c r="A178" s="99" t="s">
        <v>254</v>
      </c>
      <c r="B178" s="99">
        <v>27079344</v>
      </c>
      <c r="C178" s="99">
        <v>121857048</v>
      </c>
    </row>
    <row r="179" spans="1:3" ht="15.75" customHeight="1">
      <c r="A179" s="99" t="s">
        <v>256</v>
      </c>
      <c r="B179" s="99">
        <v>2279389</v>
      </c>
      <c r="C179" s="99">
        <v>41029256</v>
      </c>
    </row>
    <row r="180" spans="1:3" ht="15.75" customHeight="1">
      <c r="A180" s="99" t="s">
        <v>257</v>
      </c>
      <c r="B180" s="99">
        <v>6250270</v>
      </c>
      <c r="C180" s="99">
        <v>75000505</v>
      </c>
    </row>
    <row r="181" spans="1:3" ht="15.75" customHeight="1">
      <c r="A181" s="99" t="s">
        <v>246</v>
      </c>
      <c r="B181" s="99">
        <v>551001</v>
      </c>
      <c r="C181" s="99">
        <v>606389</v>
      </c>
    </row>
    <row r="182" spans="1:3" ht="15.75" customHeight="1">
      <c r="A182" s="99" t="s">
        <v>159</v>
      </c>
      <c r="B182" s="99">
        <v>0</v>
      </c>
      <c r="C182" s="99">
        <v>0</v>
      </c>
    </row>
    <row r="183" spans="1:3" ht="15.75" customHeight="1">
      <c r="A183" s="99" t="s">
        <v>223</v>
      </c>
      <c r="B183" s="99">
        <v>0</v>
      </c>
      <c r="C183" s="99">
        <v>2785708</v>
      </c>
    </row>
    <row r="184" spans="1:3" ht="15.75" customHeight="1">
      <c r="A184" s="99" t="s">
        <v>227</v>
      </c>
      <c r="B184" s="99">
        <v>0</v>
      </c>
      <c r="C184" s="99">
        <v>9374788</v>
      </c>
    </row>
    <row r="185" spans="1:3" ht="15.75" customHeight="1">
      <c r="A185" s="99" t="s">
        <v>251</v>
      </c>
      <c r="B185" s="99">
        <v>0</v>
      </c>
      <c r="C185" s="99">
        <v>6317820</v>
      </c>
    </row>
    <row r="186" spans="1:3" ht="15.75" customHeight="1">
      <c r="A186" s="99" t="s">
        <v>252</v>
      </c>
      <c r="B186" s="99">
        <v>0</v>
      </c>
      <c r="C186" s="99">
        <v>88007868</v>
      </c>
    </row>
    <row r="187" spans="1:3" ht="15.75" customHeight="1">
      <c r="A187" s="99" t="s">
        <v>53</v>
      </c>
      <c r="B187" s="99">
        <v>0</v>
      </c>
      <c r="C187" s="99">
        <v>20000000</v>
      </c>
    </row>
    <row r="188" spans="1:3" ht="15.75" customHeight="1">
      <c r="A188" s="99" t="s">
        <v>143</v>
      </c>
      <c r="B188" s="99">
        <v>0</v>
      </c>
      <c r="C188" s="99">
        <v>500000</v>
      </c>
    </row>
    <row r="189" spans="1:3" ht="15.75" customHeight="1">
      <c r="A189" s="99" t="s">
        <v>66</v>
      </c>
      <c r="B189" s="99">
        <v>0</v>
      </c>
      <c r="C189" s="99">
        <v>0</v>
      </c>
    </row>
    <row r="190" spans="1:3" ht="15.75" customHeight="1">
      <c r="A190" s="99" t="s">
        <v>194</v>
      </c>
      <c r="B190" s="99">
        <v>10000000</v>
      </c>
      <c r="C190" s="99">
        <v>62003027</v>
      </c>
    </row>
    <row r="191" spans="1:3" ht="15.75" customHeight="1">
      <c r="A191" s="99" t="s">
        <v>180</v>
      </c>
      <c r="B191" s="99">
        <v>0</v>
      </c>
      <c r="C191" s="99">
        <v>1354264665</v>
      </c>
    </row>
    <row r="192" spans="1:3" ht="15.75" customHeight="1">
      <c r="A192" s="99" t="s">
        <v>182</v>
      </c>
      <c r="B192" s="99">
        <v>0</v>
      </c>
      <c r="C192" s="99">
        <v>0</v>
      </c>
    </row>
    <row r="193" spans="1:3" ht="15.75" customHeight="1">
      <c r="A193" s="99" t="s">
        <v>181</v>
      </c>
      <c r="B193" s="99">
        <v>0</v>
      </c>
      <c r="C193" s="99">
        <v>0</v>
      </c>
    </row>
    <row r="194" spans="1:3" ht="15.75" customHeight="1">
      <c r="A194" s="99" t="s">
        <v>183</v>
      </c>
      <c r="B194" s="99">
        <v>0</v>
      </c>
      <c r="C194" s="99">
        <v>0</v>
      </c>
    </row>
    <row r="195" spans="1:3" ht="15.75" customHeight="1">
      <c r="A195" s="99" t="s">
        <v>177</v>
      </c>
      <c r="B195" s="99">
        <v>606389</v>
      </c>
      <c r="C195" s="99">
        <v>0</v>
      </c>
    </row>
    <row r="196" spans="1:3" ht="15.75" customHeight="1">
      <c r="A196" s="99" t="s">
        <v>229</v>
      </c>
      <c r="B196" s="99">
        <v>0</v>
      </c>
    </row>
    <row r="197" spans="1:3" ht="15.75" customHeight="1">
      <c r="A197" s="99" t="s">
        <v>178</v>
      </c>
      <c r="B197" s="99">
        <v>684941638</v>
      </c>
    </row>
    <row r="198" spans="1:3" ht="15.75" customHeight="1">
      <c r="A198" s="99">
        <v>0</v>
      </c>
      <c r="B198" s="99">
        <v>0</v>
      </c>
      <c r="C198" s="99">
        <v>0</v>
      </c>
    </row>
    <row r="199" spans="1:3" ht="15.75" customHeight="1">
      <c r="A199" s="99" t="s">
        <v>232</v>
      </c>
      <c r="B199" s="99">
        <v>0</v>
      </c>
      <c r="C199" s="99">
        <v>0</v>
      </c>
    </row>
    <row r="200" spans="1:3" ht="15.75" customHeight="1">
      <c r="A200" s="99" t="s">
        <v>233</v>
      </c>
      <c r="B200" s="99">
        <v>0</v>
      </c>
      <c r="C200" s="99">
        <v>0</v>
      </c>
    </row>
    <row r="201" spans="1:3" ht="15.75" customHeight="1">
      <c r="A201" s="99">
        <v>0</v>
      </c>
      <c r="B201" s="99">
        <v>0</v>
      </c>
      <c r="C201" s="99">
        <v>0</v>
      </c>
    </row>
    <row r="202" spans="1:3" ht="15.75" customHeight="1">
      <c r="A202" s="99">
        <v>0</v>
      </c>
      <c r="B202" s="99">
        <v>0</v>
      </c>
      <c r="C202" s="99">
        <v>0</v>
      </c>
    </row>
    <row r="203" spans="1:3" ht="15.75" customHeight="1">
      <c r="A203" s="99">
        <v>0</v>
      </c>
      <c r="B203" s="99">
        <v>0</v>
      </c>
      <c r="C203" s="99">
        <v>0</v>
      </c>
    </row>
    <row r="204" spans="1:3" ht="15.75" customHeight="1">
      <c r="A204" s="99">
        <v>0</v>
      </c>
      <c r="B204" s="99">
        <v>0</v>
      </c>
      <c r="C204" s="99">
        <v>0</v>
      </c>
    </row>
    <row r="205" spans="1:3" ht="15.75" customHeight="1">
      <c r="A205" s="99">
        <v>0</v>
      </c>
      <c r="B205" s="99">
        <v>0</v>
      </c>
      <c r="C205" s="99">
        <v>0</v>
      </c>
    </row>
    <row r="206" spans="1:3" ht="15.75" customHeight="1">
      <c r="A206" s="99">
        <v>0</v>
      </c>
      <c r="B206" s="99">
        <v>0</v>
      </c>
      <c r="C206" s="99">
        <v>0</v>
      </c>
    </row>
    <row r="207" spans="1:3" ht="15.75" customHeight="1">
      <c r="A207" s="99">
        <v>0</v>
      </c>
      <c r="B207" s="99">
        <v>0</v>
      </c>
      <c r="C207" s="99">
        <v>0</v>
      </c>
    </row>
    <row r="208" spans="1:3" ht="15.75" customHeight="1">
      <c r="A208" s="99" t="s">
        <v>3</v>
      </c>
      <c r="B208" s="99">
        <v>1038228070</v>
      </c>
      <c r="C208" s="99">
        <v>684941638</v>
      </c>
    </row>
    <row r="209" spans="1:3" ht="15.75" customHeight="1">
      <c r="A209" s="99">
        <v>0</v>
      </c>
      <c r="B209" s="99">
        <v>0</v>
      </c>
      <c r="C209" s="99">
        <v>0</v>
      </c>
    </row>
    <row r="210" spans="1:3" ht="15.75" customHeight="1">
      <c r="A210" s="99">
        <v>0</v>
      </c>
      <c r="B210" s="99">
        <v>0</v>
      </c>
      <c r="C210" s="99">
        <v>0</v>
      </c>
    </row>
    <row r="211" spans="1:3" ht="15.75" customHeight="1">
      <c r="A211" s="99" t="s">
        <v>224</v>
      </c>
      <c r="B211" s="99">
        <v>13765820</v>
      </c>
      <c r="C211" s="99">
        <v>0</v>
      </c>
    </row>
    <row r="212" spans="1:3" ht="15.75" customHeight="1">
      <c r="A212" s="99" t="s">
        <v>144</v>
      </c>
      <c r="B212" s="99">
        <v>0</v>
      </c>
      <c r="C212" s="99">
        <v>0</v>
      </c>
    </row>
    <row r="213" spans="1:3" ht="15.75" customHeight="1">
      <c r="A213" s="99" t="s">
        <v>2</v>
      </c>
      <c r="B213" s="99">
        <v>48994</v>
      </c>
      <c r="C213" s="99">
        <v>129871</v>
      </c>
    </row>
    <row r="214" spans="1:3" ht="15.75" customHeight="1">
      <c r="A214" s="99" t="s">
        <v>146</v>
      </c>
      <c r="B214" s="99">
        <v>0</v>
      </c>
      <c r="C214" s="99">
        <v>0</v>
      </c>
    </row>
    <row r="216" spans="1:3" ht="15.75" customHeight="1">
      <c r="A216" s="99" t="s">
        <v>24</v>
      </c>
      <c r="B216" s="99">
        <v>4876432393</v>
      </c>
      <c r="C216" s="99">
        <v>4876432392</v>
      </c>
    </row>
    <row r="217" spans="1:3" ht="15.75" customHeight="1">
      <c r="A217" s="99" t="s">
        <v>25</v>
      </c>
      <c r="B217" s="99">
        <v>0</v>
      </c>
      <c r="C217" s="99">
        <v>0</v>
      </c>
    </row>
    <row r="218" spans="1:3" ht="15.75" customHeight="1">
      <c r="A218" s="99" t="s">
        <v>26</v>
      </c>
      <c r="B218" s="99">
        <v>4876432393</v>
      </c>
      <c r="C218" s="99">
        <v>4876432392</v>
      </c>
    </row>
  </sheetData>
  <printOptions horizontalCentered="1"/>
  <pageMargins left="0.78740157480314965" right="0.46" top="0.17" bottom="0.22" header="0.17" footer="0.17"/>
  <pageSetup scale="67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Q546"/>
  <sheetViews>
    <sheetView showGridLines="0" topLeftCell="A2" zoomScale="80" zoomScaleNormal="80" workbookViewId="0">
      <pane xSplit="5" ySplit="7" topLeftCell="F189" activePane="bottomRight" state="frozen"/>
      <selection activeCell="A2" sqref="A2"/>
      <selection pane="topRight" activeCell="F2" sqref="F2"/>
      <selection pane="bottomLeft" activeCell="A9" sqref="A9"/>
      <selection pane="bottomRight" activeCell="E28" sqref="E28"/>
    </sheetView>
  </sheetViews>
  <sheetFormatPr baseColWidth="10" defaultColWidth="11.42578125" defaultRowHeight="12.75"/>
  <cols>
    <col min="1" max="1" width="2" customWidth="1"/>
    <col min="2" max="2" width="15" customWidth="1"/>
    <col min="3" max="3" width="9.7109375" style="90" hidden="1" customWidth="1"/>
    <col min="4" max="4" width="44.42578125" bestFit="1" customWidth="1"/>
    <col min="5" max="5" width="15.140625" customWidth="1"/>
    <col min="6" max="6" width="15.5703125" customWidth="1"/>
    <col min="7" max="7" width="15.28515625" customWidth="1"/>
    <col min="8" max="8" width="14.140625" customWidth="1"/>
    <col min="9" max="9" width="14.7109375" customWidth="1"/>
    <col min="10" max="12" width="11.7109375" customWidth="1"/>
    <col min="13" max="13" width="11.42578125" bestFit="1" customWidth="1"/>
    <col min="14" max="14" width="12.7109375" customWidth="1"/>
    <col min="15" max="17" width="11" customWidth="1"/>
    <col min="18" max="18" width="13" customWidth="1"/>
    <col min="19" max="19" width="13.85546875" customWidth="1"/>
    <col min="20" max="20" width="12.7109375" customWidth="1"/>
    <col min="21" max="21" width="12.85546875" customWidth="1"/>
    <col min="22" max="22" width="11.7109375" customWidth="1"/>
    <col min="23" max="23" width="11.5703125" customWidth="1"/>
    <col min="24" max="24" width="12.5703125" customWidth="1"/>
    <col min="25" max="26" width="11.5703125" customWidth="1"/>
    <col min="27" max="27" width="13.140625" bestFit="1" customWidth="1"/>
    <col min="28" max="28" width="12.42578125" customWidth="1"/>
    <col min="29" max="29" width="12.28515625" customWidth="1"/>
    <col min="30" max="30" width="11.42578125" customWidth="1"/>
    <col min="31" max="31" width="13.5703125" customWidth="1"/>
    <col min="32" max="32" width="12.140625" customWidth="1"/>
    <col min="33" max="35" width="12.7109375" customWidth="1"/>
    <col min="36" max="36" width="14.5703125" customWidth="1"/>
    <col min="37" max="37" width="13.28515625" customWidth="1"/>
    <col min="38" max="38" width="12.42578125" customWidth="1"/>
    <col min="39" max="39" width="11.5703125" customWidth="1"/>
    <col min="40" max="40" width="12.42578125" customWidth="1"/>
    <col min="41" max="41" width="15.42578125" customWidth="1"/>
    <col min="42" max="43" width="13.28515625" customWidth="1"/>
    <col min="44" max="44" width="8" customWidth="1"/>
    <col min="45" max="45" width="6.5703125" customWidth="1"/>
    <col min="46" max="46" width="4" customWidth="1"/>
    <col min="47" max="48" width="11.5703125" customWidth="1"/>
    <col min="49" max="49" width="10.5703125" customWidth="1"/>
    <col min="51" max="52" width="11.7109375" customWidth="1"/>
    <col min="53" max="53" width="13.28515625" customWidth="1"/>
    <col min="54" max="54" width="12.140625" customWidth="1"/>
    <col min="55" max="55" width="9.7109375" customWidth="1"/>
    <col min="56" max="56" width="12.42578125" customWidth="1"/>
    <col min="57" max="57" width="12.5703125" customWidth="1"/>
    <col min="58" max="58" width="12.42578125" customWidth="1"/>
    <col min="59" max="59" width="12.7109375" customWidth="1"/>
    <col min="60" max="60" width="11.7109375" customWidth="1"/>
    <col min="61" max="62" width="10.7109375" customWidth="1"/>
    <col min="63" max="63" width="12.85546875" bestFit="1" customWidth="1"/>
    <col min="64" max="64" width="14.42578125" customWidth="1"/>
    <col min="65" max="65" width="12.28515625" customWidth="1"/>
    <col min="66" max="66" width="11.42578125" bestFit="1" customWidth="1"/>
    <col min="67" max="68" width="13" customWidth="1"/>
    <col min="69" max="69" width="11.7109375" customWidth="1"/>
    <col min="70" max="74" width="12.7109375" customWidth="1"/>
    <col min="75" max="75" width="11.7109375" customWidth="1"/>
    <col min="76" max="79" width="11.5703125" customWidth="1"/>
    <col min="80" max="80" width="13.7109375" customWidth="1"/>
    <col min="81" max="81" width="8.7109375" customWidth="1"/>
    <col min="82" max="82" width="13.5703125" customWidth="1"/>
    <col min="83" max="84" width="10.85546875" customWidth="1"/>
    <col min="85" max="86" width="12.42578125" customWidth="1"/>
    <col min="87" max="87" width="11.85546875" customWidth="1"/>
    <col min="88" max="88" width="13.7109375" customWidth="1"/>
    <col min="89" max="89" width="4.140625" customWidth="1"/>
    <col min="90" max="91" width="14" customWidth="1"/>
    <col min="92" max="95" width="15.7109375" customWidth="1"/>
    <col min="96" max="97" width="12.85546875" hidden="1" customWidth="1"/>
    <col min="98" max="98" width="2.7109375" hidden="1" customWidth="1"/>
    <col min="99" max="99" width="6.5703125" hidden="1" customWidth="1"/>
    <col min="100" max="100" width="4.42578125" customWidth="1"/>
    <col min="101" max="101" width="12" customWidth="1"/>
    <col min="102" max="102" width="10.5703125" customWidth="1"/>
    <col min="103" max="104" width="11.5703125" customWidth="1"/>
    <col min="105" max="106" width="12.42578125" customWidth="1"/>
    <col min="107" max="108" width="10.85546875" customWidth="1"/>
    <col min="109" max="109" width="5.85546875" hidden="1" customWidth="1"/>
    <col min="110" max="110" width="6.5703125" hidden="1" customWidth="1"/>
    <col min="111" max="111" width="5.85546875" hidden="1" customWidth="1"/>
    <col min="112" max="112" width="6.5703125" hidden="1" customWidth="1"/>
    <col min="113" max="113" width="5.85546875" hidden="1" customWidth="1"/>
    <col min="114" max="114" width="6.5703125" hidden="1" customWidth="1"/>
    <col min="115" max="115" width="5.85546875" hidden="1" customWidth="1"/>
    <col min="116" max="116" width="6.5703125" hidden="1" customWidth="1"/>
    <col min="117" max="117" width="5.85546875" hidden="1" customWidth="1"/>
    <col min="118" max="118" width="6.5703125" hidden="1" customWidth="1"/>
    <col min="119" max="119" width="5.85546875" hidden="1" customWidth="1"/>
    <col min="120" max="120" width="6.5703125" hidden="1" customWidth="1"/>
    <col min="121" max="121" width="5.85546875" hidden="1" customWidth="1"/>
    <col min="122" max="122" width="3.42578125" hidden="1" customWidth="1"/>
    <col min="123" max="123" width="13" customWidth="1"/>
    <col min="124" max="124" width="10.42578125" customWidth="1"/>
    <col min="125" max="125" width="12.28515625" customWidth="1"/>
    <col min="126" max="126" width="10.42578125" customWidth="1"/>
    <col min="127" max="127" width="12.42578125" customWidth="1"/>
    <col min="128" max="130" width="10.42578125" customWidth="1"/>
    <col min="131" max="131" width="15.28515625" customWidth="1"/>
    <col min="132" max="132" width="10.42578125" customWidth="1"/>
    <col min="133" max="133" width="13.140625" customWidth="1"/>
    <col min="134" max="134" width="11.7109375" customWidth="1"/>
    <col min="135" max="135" width="10.7109375" customWidth="1"/>
    <col min="136" max="136" width="6.5703125" customWidth="1"/>
    <col min="137" max="137" width="14.42578125" customWidth="1"/>
    <col min="138" max="138" width="12.85546875" customWidth="1"/>
    <col min="139" max="139" width="11.85546875" customWidth="1"/>
    <col min="140" max="140" width="12.42578125" customWidth="1"/>
    <col min="141" max="141" width="11.140625" customWidth="1"/>
    <col min="142" max="142" width="10.7109375" bestFit="1" customWidth="1"/>
    <col min="143" max="143" width="5.140625" customWidth="1"/>
    <col min="144" max="145" width="14.28515625" customWidth="1"/>
    <col min="146" max="146" width="13.5703125" customWidth="1"/>
  </cols>
  <sheetData>
    <row r="1" spans="1:146">
      <c r="B1" s="11" t="str">
        <f>+DATOS!B1</f>
        <v>SOCIEDAD COMERCIAL SOLMET SpA</v>
      </c>
      <c r="C1" s="89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BC1" s="3"/>
      <c r="BD1" s="3"/>
      <c r="BW1" s="3"/>
      <c r="BX1" s="3"/>
      <c r="BY1" s="3"/>
      <c r="BZ1" s="3"/>
      <c r="CA1" s="3"/>
      <c r="CB1" s="3"/>
      <c r="CG1" s="3"/>
      <c r="CH1" s="3"/>
      <c r="CI1" s="3"/>
      <c r="CJ1" s="3"/>
      <c r="CK1" s="3"/>
      <c r="CL1" s="3"/>
      <c r="CM1" s="3"/>
    </row>
    <row r="2" spans="1:146" ht="10.5" customHeight="1">
      <c r="B2" s="11" t="str">
        <f>+DATOS!B2</f>
        <v>BOMBEROS SALAS #1445 OFC 601B</v>
      </c>
      <c r="BM2" s="248" t="s">
        <v>706</v>
      </c>
      <c r="CE2">
        <f>+CE4-CE3</f>
        <v>6307</v>
      </c>
    </row>
    <row r="3" spans="1:146" ht="12" customHeight="1">
      <c r="B3" s="11" t="str">
        <f>+DATOS!B3</f>
        <v>RUT: 76.541.377-K</v>
      </c>
      <c r="O3">
        <v>1105422</v>
      </c>
      <c r="U3" s="1447" t="s">
        <v>704</v>
      </c>
      <c r="V3" s="1448"/>
      <c r="BM3" s="248" t="s">
        <v>707</v>
      </c>
      <c r="CE3">
        <v>1105422</v>
      </c>
    </row>
    <row r="4" spans="1:146" ht="19.5" customHeight="1">
      <c r="B4" s="11">
        <f>+DATOS!B4</f>
        <v>0</v>
      </c>
      <c r="F4" s="44"/>
      <c r="K4" s="188"/>
      <c r="N4" s="10"/>
      <c r="O4" s="28">
        <f>+N8-O8</f>
        <v>0</v>
      </c>
      <c r="P4" s="28"/>
      <c r="Q4" s="28"/>
      <c r="R4" s="193"/>
      <c r="T4" s="10"/>
      <c r="BM4" s="248" t="s">
        <v>708</v>
      </c>
      <c r="CE4">
        <v>1111729</v>
      </c>
    </row>
    <row r="5" spans="1:146">
      <c r="B5" s="438"/>
    </row>
    <row r="6" spans="1:146" s="24" customFormat="1" ht="38.25" customHeight="1">
      <c r="B6" s="1466" t="s">
        <v>65</v>
      </c>
      <c r="C6" s="1468" t="s">
        <v>102</v>
      </c>
      <c r="D6" s="1466" t="s">
        <v>202</v>
      </c>
      <c r="E6" s="1466" t="s">
        <v>103</v>
      </c>
      <c r="F6" s="1453" t="s">
        <v>111</v>
      </c>
      <c r="G6" s="1454"/>
      <c r="H6" s="1453" t="s">
        <v>196</v>
      </c>
      <c r="I6" s="1459"/>
      <c r="J6" s="1469" t="s">
        <v>264</v>
      </c>
      <c r="K6" s="1470"/>
      <c r="L6" s="1453" t="s">
        <v>142</v>
      </c>
      <c r="M6" s="1454"/>
      <c r="N6" s="1453" t="s">
        <v>469</v>
      </c>
      <c r="O6" s="1454"/>
      <c r="P6" s="1453" t="s">
        <v>906</v>
      </c>
      <c r="Q6" s="1454"/>
      <c r="R6" s="1453" t="s">
        <v>726</v>
      </c>
      <c r="S6" s="1454"/>
      <c r="T6" s="1447" t="s">
        <v>704</v>
      </c>
      <c r="U6" s="1448"/>
      <c r="V6" s="1453" t="s">
        <v>641</v>
      </c>
      <c r="W6" s="1454"/>
      <c r="X6" s="1453" t="s">
        <v>704</v>
      </c>
      <c r="Y6" s="1454"/>
      <c r="Z6" s="1464" t="s">
        <v>161</v>
      </c>
      <c r="AA6" s="1465"/>
      <c r="AB6" s="1453" t="s">
        <v>474</v>
      </c>
      <c r="AC6" s="1454"/>
      <c r="AD6" s="1453" t="s">
        <v>470</v>
      </c>
      <c r="AE6" s="1454"/>
      <c r="AF6" s="1453" t="s">
        <v>475</v>
      </c>
      <c r="AG6" s="1454"/>
      <c r="AH6" s="1453" t="s">
        <v>476</v>
      </c>
      <c r="AI6" s="1454"/>
      <c r="AJ6" s="1453" t="s">
        <v>255</v>
      </c>
      <c r="AK6" s="1454"/>
      <c r="AL6" s="1453" t="s">
        <v>1098</v>
      </c>
      <c r="AM6" s="1454"/>
      <c r="AN6" s="1453" t="s">
        <v>1021</v>
      </c>
      <c r="AO6" s="1454"/>
      <c r="AP6" s="1455" t="s">
        <v>1015</v>
      </c>
      <c r="AQ6" s="1456"/>
      <c r="AR6" s="1453" t="s">
        <v>447</v>
      </c>
      <c r="AS6" s="1454"/>
      <c r="AT6" s="12"/>
      <c r="AU6" s="1447" t="s">
        <v>569</v>
      </c>
      <c r="AV6" s="1448"/>
      <c r="AW6" s="1453" t="s">
        <v>164</v>
      </c>
      <c r="AX6" s="1459"/>
      <c r="AY6" s="1447" t="s">
        <v>145</v>
      </c>
      <c r="AZ6" s="1448"/>
      <c r="BA6" s="1460" t="s">
        <v>637</v>
      </c>
      <c r="BB6" s="1461"/>
      <c r="BC6" s="1447" t="s">
        <v>566</v>
      </c>
      <c r="BD6" s="1448"/>
      <c r="BE6" s="1447" t="s">
        <v>468</v>
      </c>
      <c r="BF6" s="1448"/>
      <c r="BG6" s="1447" t="s">
        <v>472</v>
      </c>
      <c r="BH6" s="1448"/>
      <c r="BI6" s="1455" t="s">
        <v>1024</v>
      </c>
      <c r="BJ6" s="1456"/>
      <c r="BK6" s="1460" t="s">
        <v>970</v>
      </c>
      <c r="BL6" s="1461"/>
      <c r="BM6" s="1447" t="s">
        <v>901</v>
      </c>
      <c r="BN6" s="1448"/>
      <c r="BO6" s="1447" t="s">
        <v>159</v>
      </c>
      <c r="BP6" s="1448"/>
      <c r="BQ6" s="1447" t="s">
        <v>1022</v>
      </c>
      <c r="BR6" s="1448"/>
      <c r="BS6" s="1447" t="s">
        <v>471</v>
      </c>
      <c r="BT6" s="1448"/>
      <c r="BU6" s="1462" t="s">
        <v>922</v>
      </c>
      <c r="BV6" s="1463"/>
      <c r="BW6" s="1447" t="s">
        <v>492</v>
      </c>
      <c r="BX6" s="1448"/>
      <c r="BY6" s="1447" t="s">
        <v>987</v>
      </c>
      <c r="BZ6" s="1448"/>
      <c r="CA6" s="1455" t="s">
        <v>473</v>
      </c>
      <c r="CB6" s="1456"/>
      <c r="CC6" s="1447" t="s">
        <v>53</v>
      </c>
      <c r="CD6" s="1448"/>
      <c r="CE6" s="1447" t="s">
        <v>143</v>
      </c>
      <c r="CF6" s="1448"/>
      <c r="CG6" s="1447" t="s">
        <v>66</v>
      </c>
      <c r="CH6" s="1448"/>
      <c r="CI6" s="1447" t="s">
        <v>194</v>
      </c>
      <c r="CJ6" s="1448"/>
      <c r="CK6" s="12"/>
      <c r="CL6" s="1451" t="s">
        <v>453</v>
      </c>
      <c r="CM6" s="1452"/>
      <c r="CN6" s="1451" t="s">
        <v>703</v>
      </c>
      <c r="CO6" s="1452"/>
      <c r="CP6" s="1451" t="s">
        <v>902</v>
      </c>
      <c r="CQ6" s="1452"/>
      <c r="CR6" s="1451" t="s">
        <v>494</v>
      </c>
      <c r="CS6" s="1452"/>
      <c r="CT6" s="1451"/>
      <c r="CU6" s="1452"/>
      <c r="CV6" s="12"/>
      <c r="CW6" s="1457" t="s">
        <v>450</v>
      </c>
      <c r="CX6" s="1458"/>
      <c r="CY6" s="1457" t="s">
        <v>969</v>
      </c>
      <c r="CZ6" s="1458"/>
      <c r="DA6" s="1457" t="s">
        <v>458</v>
      </c>
      <c r="DB6" s="1458"/>
      <c r="DC6" s="1457" t="s">
        <v>709</v>
      </c>
      <c r="DD6" s="1458"/>
      <c r="DE6" s="1457"/>
      <c r="DF6" s="1454"/>
      <c r="DG6" s="1457"/>
      <c r="DH6" s="1458"/>
      <c r="DI6" s="1457"/>
      <c r="DJ6" s="1458"/>
      <c r="DK6" s="1457"/>
      <c r="DL6" s="1458"/>
      <c r="DM6" s="1457"/>
      <c r="DN6" s="1458"/>
      <c r="DO6" s="1457"/>
      <c r="DP6" s="1458"/>
      <c r="DQ6" s="1457"/>
      <c r="DR6" s="1458"/>
      <c r="DS6" s="1457" t="s">
        <v>262</v>
      </c>
      <c r="DT6" s="1458"/>
      <c r="DU6" s="1447" t="s">
        <v>177</v>
      </c>
      <c r="DV6" s="1448"/>
      <c r="DW6" s="1457" t="s">
        <v>428</v>
      </c>
      <c r="DX6" s="1458"/>
      <c r="DY6" s="1447" t="s">
        <v>443</v>
      </c>
      <c r="DZ6" s="1448"/>
      <c r="EA6" s="1447" t="s">
        <v>261</v>
      </c>
      <c r="EB6" s="1448"/>
      <c r="EC6" s="1447" t="s">
        <v>178</v>
      </c>
      <c r="ED6" s="1448"/>
      <c r="EE6" s="1457" t="s">
        <v>146</v>
      </c>
      <c r="EF6" s="1458"/>
      <c r="EG6" s="1457" t="s">
        <v>3</v>
      </c>
      <c r="EH6" s="1458"/>
      <c r="EI6" s="1457" t="s">
        <v>144</v>
      </c>
      <c r="EJ6" s="1458"/>
      <c r="EK6" s="1457" t="s">
        <v>2</v>
      </c>
      <c r="EL6" s="1458"/>
    </row>
    <row r="7" spans="1:146" s="24" customFormat="1" ht="11.25">
      <c r="A7" s="45"/>
      <c r="B7" s="1467"/>
      <c r="C7" s="1467"/>
      <c r="D7" s="1467"/>
      <c r="E7" s="1467"/>
      <c r="F7" s="13" t="s">
        <v>4</v>
      </c>
      <c r="G7" s="14" t="s">
        <v>5</v>
      </c>
      <c r="H7" s="14" t="s">
        <v>4</v>
      </c>
      <c r="I7" s="14" t="s">
        <v>5</v>
      </c>
      <c r="J7" s="14" t="s">
        <v>4</v>
      </c>
      <c r="K7" s="14" t="s">
        <v>5</v>
      </c>
      <c r="L7" s="14" t="s">
        <v>4</v>
      </c>
      <c r="M7" s="14" t="s">
        <v>5</v>
      </c>
      <c r="N7" s="14" t="s">
        <v>4</v>
      </c>
      <c r="O7" s="14" t="s">
        <v>5</v>
      </c>
      <c r="P7" s="14" t="s">
        <v>4</v>
      </c>
      <c r="Q7" s="14" t="s">
        <v>5</v>
      </c>
      <c r="R7" s="15" t="s">
        <v>4</v>
      </c>
      <c r="S7" s="14" t="s">
        <v>5</v>
      </c>
      <c r="T7" s="15" t="s">
        <v>4</v>
      </c>
      <c r="U7" s="15" t="s">
        <v>5</v>
      </c>
      <c r="V7" s="15" t="s">
        <v>4</v>
      </c>
      <c r="W7" s="15" t="s">
        <v>5</v>
      </c>
      <c r="X7" s="15" t="s">
        <v>4</v>
      </c>
      <c r="Y7" s="14" t="s">
        <v>5</v>
      </c>
      <c r="Z7" s="15" t="s">
        <v>4</v>
      </c>
      <c r="AA7" s="14" t="s">
        <v>5</v>
      </c>
      <c r="AB7" s="15" t="s">
        <v>4</v>
      </c>
      <c r="AC7" s="16" t="s">
        <v>5</v>
      </c>
      <c r="AD7" s="15" t="s">
        <v>4</v>
      </c>
      <c r="AE7" s="16" t="s">
        <v>5</v>
      </c>
      <c r="AF7" s="15" t="s">
        <v>4</v>
      </c>
      <c r="AG7" s="16" t="s">
        <v>5</v>
      </c>
      <c r="AH7" s="15" t="s">
        <v>4</v>
      </c>
      <c r="AI7" s="16" t="s">
        <v>5</v>
      </c>
      <c r="AJ7" s="15" t="s">
        <v>4</v>
      </c>
      <c r="AK7" s="16" t="s">
        <v>5</v>
      </c>
      <c r="AL7" s="15" t="s">
        <v>4</v>
      </c>
      <c r="AM7" s="16" t="s">
        <v>5</v>
      </c>
      <c r="AN7" s="15" t="s">
        <v>4</v>
      </c>
      <c r="AO7" s="14" t="s">
        <v>5</v>
      </c>
      <c r="AP7" s="15" t="s">
        <v>4</v>
      </c>
      <c r="AQ7" s="15" t="s">
        <v>5</v>
      </c>
      <c r="AR7" s="15" t="s">
        <v>4</v>
      </c>
      <c r="AS7" s="15" t="s">
        <v>5</v>
      </c>
      <c r="AT7" s="12"/>
      <c r="AU7" s="17" t="s">
        <v>4</v>
      </c>
      <c r="AV7" s="17" t="s">
        <v>5</v>
      </c>
      <c r="AW7" s="17" t="s">
        <v>4</v>
      </c>
      <c r="AX7" s="17" t="s">
        <v>5</v>
      </c>
      <c r="AY7" s="17" t="s">
        <v>4</v>
      </c>
      <c r="AZ7" s="18" t="s">
        <v>5</v>
      </c>
      <c r="BA7" s="17" t="s">
        <v>4</v>
      </c>
      <c r="BB7" s="18" t="s">
        <v>5</v>
      </c>
      <c r="BC7" s="17" t="s">
        <v>4</v>
      </c>
      <c r="BD7" s="17" t="s">
        <v>5</v>
      </c>
      <c r="BE7" s="17" t="s">
        <v>4</v>
      </c>
      <c r="BF7" s="17" t="s">
        <v>5</v>
      </c>
      <c r="BG7" s="17" t="s">
        <v>4</v>
      </c>
      <c r="BH7" s="17" t="s">
        <v>5</v>
      </c>
      <c r="BI7" s="17" t="s">
        <v>4</v>
      </c>
      <c r="BJ7" s="17" t="s">
        <v>5</v>
      </c>
      <c r="BK7" s="17" t="s">
        <v>4</v>
      </c>
      <c r="BL7" s="17" t="s">
        <v>5</v>
      </c>
      <c r="BM7" s="17" t="s">
        <v>4</v>
      </c>
      <c r="BN7" s="17" t="s">
        <v>5</v>
      </c>
      <c r="BO7" s="17" t="s">
        <v>4</v>
      </c>
      <c r="BP7" s="18" t="s">
        <v>5</v>
      </c>
      <c r="BQ7" s="17" t="s">
        <v>4</v>
      </c>
      <c r="BR7" s="18" t="s">
        <v>5</v>
      </c>
      <c r="BS7" s="17" t="s">
        <v>4</v>
      </c>
      <c r="BT7" s="18" t="s">
        <v>5</v>
      </c>
      <c r="BU7" s="17" t="s">
        <v>4</v>
      </c>
      <c r="BV7" s="18" t="s">
        <v>5</v>
      </c>
      <c r="BW7" s="17" t="s">
        <v>4</v>
      </c>
      <c r="BX7" s="18" t="s">
        <v>5</v>
      </c>
      <c r="BY7" s="17" t="s">
        <v>4</v>
      </c>
      <c r="BZ7" s="18" t="s">
        <v>5</v>
      </c>
      <c r="CA7" s="17" t="s">
        <v>4</v>
      </c>
      <c r="CB7" s="18" t="s">
        <v>5</v>
      </c>
      <c r="CC7" s="17" t="s">
        <v>4</v>
      </c>
      <c r="CD7" s="18" t="s">
        <v>5</v>
      </c>
      <c r="CE7" s="17" t="s">
        <v>4</v>
      </c>
      <c r="CF7" s="17" t="s">
        <v>5</v>
      </c>
      <c r="CG7" s="17" t="s">
        <v>4</v>
      </c>
      <c r="CH7" s="17" t="s">
        <v>5</v>
      </c>
      <c r="CI7" s="17" t="s">
        <v>4</v>
      </c>
      <c r="CJ7" s="17" t="s">
        <v>5</v>
      </c>
      <c r="CK7" s="19"/>
      <c r="CL7" s="36" t="s">
        <v>4</v>
      </c>
      <c r="CM7" s="36" t="s">
        <v>5</v>
      </c>
      <c r="CN7" s="36" t="s">
        <v>4</v>
      </c>
      <c r="CO7" s="37" t="s">
        <v>5</v>
      </c>
      <c r="CP7" s="36" t="s">
        <v>4</v>
      </c>
      <c r="CQ7" s="36" t="s">
        <v>5</v>
      </c>
      <c r="CR7" s="36" t="s">
        <v>4</v>
      </c>
      <c r="CS7" s="37" t="s">
        <v>5</v>
      </c>
      <c r="CT7" s="36" t="s">
        <v>4</v>
      </c>
      <c r="CU7" s="38" t="s">
        <v>5</v>
      </c>
      <c r="CV7" s="19"/>
      <c r="CW7" s="20" t="s">
        <v>4</v>
      </c>
      <c r="CX7" s="22" t="s">
        <v>5</v>
      </c>
      <c r="CY7" s="20" t="s">
        <v>4</v>
      </c>
      <c r="CZ7" s="22" t="s">
        <v>5</v>
      </c>
      <c r="DA7" s="20" t="s">
        <v>4</v>
      </c>
      <c r="DB7" s="21" t="s">
        <v>5</v>
      </c>
      <c r="DC7" s="20" t="s">
        <v>4</v>
      </c>
      <c r="DD7" s="21" t="s">
        <v>5</v>
      </c>
      <c r="DE7" s="20" t="s">
        <v>4</v>
      </c>
      <c r="DF7" s="23" t="s">
        <v>5</v>
      </c>
      <c r="DG7" s="20" t="s">
        <v>4</v>
      </c>
      <c r="DH7" s="23" t="s">
        <v>5</v>
      </c>
      <c r="DI7" s="20" t="s">
        <v>4</v>
      </c>
      <c r="DJ7" s="23" t="s">
        <v>5</v>
      </c>
      <c r="DK7" s="20" t="s">
        <v>4</v>
      </c>
      <c r="DL7" s="23" t="s">
        <v>5</v>
      </c>
      <c r="DM7" s="20" t="s">
        <v>4</v>
      </c>
      <c r="DN7" s="23" t="s">
        <v>5</v>
      </c>
      <c r="DO7" s="20" t="s">
        <v>4</v>
      </c>
      <c r="DP7" s="20" t="s">
        <v>5</v>
      </c>
      <c r="DQ7" s="20" t="s">
        <v>4</v>
      </c>
      <c r="DR7" s="20" t="s">
        <v>5</v>
      </c>
      <c r="DS7" s="20" t="s">
        <v>4</v>
      </c>
      <c r="DT7" s="192" t="s">
        <v>5</v>
      </c>
      <c r="DU7" s="20" t="s">
        <v>4</v>
      </c>
      <c r="DV7" s="192" t="s">
        <v>5</v>
      </c>
      <c r="DW7" s="192"/>
      <c r="DX7" s="192"/>
      <c r="DY7" s="20" t="s">
        <v>4</v>
      </c>
      <c r="DZ7" s="192" t="s">
        <v>5</v>
      </c>
      <c r="EA7" s="20" t="s">
        <v>4</v>
      </c>
      <c r="EB7" s="192" t="s">
        <v>5</v>
      </c>
      <c r="EC7" s="20" t="s">
        <v>4</v>
      </c>
      <c r="ED7" s="192" t="s">
        <v>5</v>
      </c>
      <c r="EE7" s="20" t="s">
        <v>4</v>
      </c>
      <c r="EF7" s="20" t="s">
        <v>5</v>
      </c>
      <c r="EG7" s="20" t="s">
        <v>4</v>
      </c>
      <c r="EH7" s="20" t="s">
        <v>5</v>
      </c>
      <c r="EI7" s="20" t="s">
        <v>4</v>
      </c>
      <c r="EJ7" s="20" t="s">
        <v>5</v>
      </c>
      <c r="EK7" s="20" t="s">
        <v>4</v>
      </c>
      <c r="EL7" s="20" t="s">
        <v>5</v>
      </c>
      <c r="EN7" s="832"/>
      <c r="EO7" s="832"/>
    </row>
    <row r="8" spans="1:146">
      <c r="B8" s="9">
        <v>44197</v>
      </c>
      <c r="C8" s="91"/>
      <c r="D8" s="500" t="s">
        <v>6</v>
      </c>
      <c r="E8" s="501">
        <f>+F8+J8+L8+N8+T8+V8+X8+Z8+AB8+AD8+AF8+AL8+AN8+AP8+AU8+AW8+AY8+BC8+BE8+BG8+BM8+BO8+BQ8+BW8+CC8+CE8+CG8+CL8+CN8+CP8+CR8+CT8+CW8+CY8+DA8+DC8+DE8+DG8+DI8+DK8+DM8+DO8+DQ8+DS8+EE8+EG8+EI8+EK8+R8+H8+CI8+BA8+AR8</f>
        <v>0</v>
      </c>
      <c r="F8" s="829">
        <v>0</v>
      </c>
      <c r="G8" s="829"/>
      <c r="H8" s="829"/>
      <c r="I8" s="829"/>
      <c r="J8" s="829">
        <v>0</v>
      </c>
      <c r="K8" s="829"/>
      <c r="L8" s="829">
        <v>0</v>
      </c>
      <c r="M8" s="829"/>
      <c r="N8" s="830">
        <v>0</v>
      </c>
      <c r="O8" s="830">
        <v>0</v>
      </c>
      <c r="P8" s="830"/>
      <c r="Q8" s="830"/>
      <c r="R8" s="830">
        <v>0</v>
      </c>
      <c r="S8" s="829"/>
      <c r="T8" s="830"/>
      <c r="U8" s="830"/>
      <c r="V8" s="830"/>
      <c r="W8" s="830"/>
      <c r="X8" s="829"/>
      <c r="Y8" s="829"/>
      <c r="Z8" s="829">
        <v>0</v>
      </c>
      <c r="AA8" s="829"/>
      <c r="AB8" s="829"/>
      <c r="AC8" s="830"/>
      <c r="AD8" s="830"/>
      <c r="AE8" s="830"/>
      <c r="AF8" s="830"/>
      <c r="AG8" s="830"/>
      <c r="AH8" s="830"/>
      <c r="AI8" s="830"/>
      <c r="AJ8" s="830"/>
      <c r="AK8" s="830"/>
      <c r="AL8" s="830">
        <v>0</v>
      </c>
      <c r="AM8" s="830"/>
      <c r="AN8" s="830">
        <v>0</v>
      </c>
      <c r="AO8" s="829"/>
      <c r="AP8" s="830">
        <v>0</v>
      </c>
      <c r="AQ8" s="830"/>
      <c r="AR8" s="830"/>
      <c r="AS8" s="830"/>
      <c r="AT8" s="831"/>
      <c r="AU8" s="830"/>
      <c r="AV8" s="830">
        <v>0</v>
      </c>
      <c r="AW8" s="830"/>
      <c r="AX8" s="830">
        <v>0</v>
      </c>
      <c r="AY8" s="830"/>
      <c r="AZ8" s="829">
        <v>0</v>
      </c>
      <c r="BA8" s="830"/>
      <c r="BB8" s="830"/>
      <c r="BC8" s="830"/>
      <c r="BD8" s="830"/>
      <c r="BE8" s="830"/>
      <c r="BF8" s="830">
        <v>0</v>
      </c>
      <c r="BG8" s="830"/>
      <c r="BH8" s="830"/>
      <c r="BI8" s="830"/>
      <c r="BJ8" s="830"/>
      <c r="BK8" s="830"/>
      <c r="BL8" s="830">
        <v>0</v>
      </c>
      <c r="BM8" s="830"/>
      <c r="BN8" s="830"/>
      <c r="BO8" s="830"/>
      <c r="BP8" s="830">
        <v>0</v>
      </c>
      <c r="BQ8" s="830"/>
      <c r="BR8" s="1373">
        <v>0</v>
      </c>
      <c r="BS8" s="830"/>
      <c r="BT8" s="830"/>
      <c r="BU8" s="830"/>
      <c r="BV8" s="830"/>
      <c r="BW8" s="830"/>
      <c r="BX8" s="830"/>
      <c r="BY8" s="830"/>
      <c r="BZ8" s="830">
        <v>0</v>
      </c>
      <c r="CA8" s="829"/>
      <c r="CB8" s="830"/>
      <c r="CC8" s="830"/>
      <c r="CD8" s="829">
        <v>0</v>
      </c>
      <c r="CE8" s="830"/>
      <c r="CF8" s="829">
        <v>0</v>
      </c>
      <c r="CG8" s="830"/>
      <c r="CH8" s="830">
        <v>0</v>
      </c>
      <c r="CI8" s="830">
        <v>0</v>
      </c>
      <c r="CJ8" s="830">
        <v>0</v>
      </c>
      <c r="CK8" s="831"/>
      <c r="CL8" s="830"/>
      <c r="CM8" s="830"/>
      <c r="CN8" s="830"/>
      <c r="CO8" s="829"/>
      <c r="CP8" s="830"/>
      <c r="CQ8" s="830"/>
      <c r="CR8" s="830"/>
      <c r="CS8" s="829"/>
      <c r="CT8" s="830"/>
      <c r="CU8" s="830"/>
      <c r="CV8" s="831"/>
      <c r="CW8" s="830"/>
      <c r="CX8" s="830"/>
      <c r="CY8" s="830"/>
      <c r="CZ8" s="830"/>
      <c r="DA8" s="830"/>
      <c r="DB8" s="829"/>
      <c r="DC8" s="829"/>
      <c r="DD8" s="829"/>
      <c r="DE8" s="829"/>
      <c r="DF8" s="829"/>
      <c r="DG8" s="829"/>
      <c r="DH8" s="829"/>
      <c r="DI8" s="829"/>
      <c r="DJ8" s="829"/>
      <c r="DK8" s="829"/>
      <c r="DL8" s="829"/>
      <c r="DM8" s="829"/>
      <c r="DN8" s="829"/>
      <c r="DO8" s="830"/>
      <c r="DP8" s="830"/>
      <c r="DQ8" s="830"/>
      <c r="DR8" s="830"/>
      <c r="DS8" s="830"/>
      <c r="DT8" s="830"/>
      <c r="DU8" s="830"/>
      <c r="DV8" s="830"/>
      <c r="DW8" s="830"/>
      <c r="DX8" s="830"/>
      <c r="DY8" s="830"/>
      <c r="DZ8" s="830"/>
      <c r="EA8" s="830"/>
      <c r="EB8" s="830"/>
      <c r="EC8" s="830"/>
      <c r="ED8" s="830"/>
      <c r="EE8" s="830"/>
      <c r="EF8" s="830"/>
      <c r="EG8" s="830"/>
      <c r="EH8" s="830"/>
      <c r="EI8" s="830"/>
      <c r="EJ8" s="830"/>
      <c r="EK8" s="830"/>
      <c r="EL8" s="830"/>
      <c r="EM8" s="831"/>
      <c r="EN8" s="831">
        <f>+F8+J8+L8+N8+R8+T8+V8+X8+Z8+AL8+AN8+CG8+AF8+P8+AP8+CI8</f>
        <v>0</v>
      </c>
      <c r="EO8" s="831">
        <f>+G8+K8+M8+O8+U8+W8+Y8+AC8+AE8+AG8+AM8+AO8+AQ8+AV8+AX8+AZ8+BD8+BF8+BH8+BN8+BP8+BR8+BT8+BV8+BX8+BZ8+CB8+CD8+CF8+CH8+CM8+CO8+CQ8+CS8+CU8+CX8+CZ8+DB8+DD8+DF8+DH8+DJ8+DL8+DN8+DP8+DR8+DT8+EF8+EH8+EJ8+EL8+I8+S8+BB8+AS8+CJ8+BL8</f>
        <v>0</v>
      </c>
      <c r="EP8" s="1">
        <f t="shared" ref="EP8:EP16" si="0">+EN8-EO8</f>
        <v>0</v>
      </c>
    </row>
    <row r="9" spans="1:146">
      <c r="B9" s="9">
        <f t="shared" ref="B9:B14" si="1">+B8</f>
        <v>44197</v>
      </c>
      <c r="C9" s="137"/>
      <c r="D9" s="314" t="s">
        <v>320</v>
      </c>
      <c r="E9" s="25">
        <f t="shared" ref="E9:E14" si="2">+F9+J9+L9+N9+T9+V9+X9+AB9+AD9+AF9+AL9+AN9+AP9+AU9+AW9+AY9+BC9+BE9+BG9+BM9+BO9+BQ9+BW9+CC9+CE9+CG9+CL9+CN9+CP9+CR9+CT9+CW9+CY9+DA9+DC9+DE9+DG9+DI9+DK9+DM9+DO9+DQ9+DS9+EE9+EG9+EI9+EK9+R9+H9+CI9+BA9+AR9</f>
        <v>0</v>
      </c>
      <c r="F9" s="26"/>
      <c r="G9" s="27">
        <f>+AU9</f>
        <v>0</v>
      </c>
      <c r="H9" s="27"/>
      <c r="I9" s="27"/>
      <c r="J9" s="27"/>
      <c r="K9" s="27"/>
      <c r="L9" s="27"/>
      <c r="M9" s="27"/>
      <c r="N9" s="25"/>
      <c r="O9" s="27"/>
      <c r="P9" s="27"/>
      <c r="Q9" s="27"/>
      <c r="R9" s="25"/>
      <c r="S9" s="27"/>
      <c r="T9" s="25"/>
      <c r="U9" s="25"/>
      <c r="V9" s="25"/>
      <c r="W9" s="25"/>
      <c r="X9" s="27"/>
      <c r="Y9" s="27"/>
      <c r="Z9" s="27"/>
      <c r="AA9" s="27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7"/>
      <c r="AP9" s="25"/>
      <c r="AQ9" s="25"/>
      <c r="AR9" s="25"/>
      <c r="AS9" s="25"/>
      <c r="AT9" s="28"/>
      <c r="AU9" s="25">
        <f>+AV8</f>
        <v>0</v>
      </c>
      <c r="AV9" s="25"/>
      <c r="AW9" s="25"/>
      <c r="AX9" s="25"/>
      <c r="AY9" s="25"/>
      <c r="AZ9" s="27"/>
      <c r="BA9" s="25"/>
      <c r="BB9" s="25"/>
      <c r="BC9" s="25"/>
      <c r="BD9" s="27"/>
      <c r="BE9" s="25"/>
      <c r="BF9" s="27"/>
      <c r="BG9" s="25"/>
      <c r="BH9" s="27"/>
      <c r="BI9" s="27"/>
      <c r="BJ9" s="27"/>
      <c r="BK9" s="27"/>
      <c r="BL9" s="27"/>
      <c r="BM9" s="25"/>
      <c r="BN9" s="27"/>
      <c r="BO9" s="25"/>
      <c r="BP9" s="27"/>
      <c r="BQ9" s="27"/>
      <c r="BR9" s="27"/>
      <c r="BS9" s="25"/>
      <c r="BT9" s="27"/>
      <c r="BU9" s="25"/>
      <c r="BV9" s="27"/>
      <c r="BW9" s="25"/>
      <c r="BX9" s="27"/>
      <c r="BY9" s="27"/>
      <c r="BZ9" s="27"/>
      <c r="CA9" s="27"/>
      <c r="CB9" s="27"/>
      <c r="CC9" s="25"/>
      <c r="CD9" s="27"/>
      <c r="CE9" s="25"/>
      <c r="CF9" s="25"/>
      <c r="CG9" s="25"/>
      <c r="CH9" s="25"/>
      <c r="CI9" s="25"/>
      <c r="CJ9" s="25"/>
      <c r="CK9" s="28"/>
      <c r="CL9" s="25"/>
      <c r="CM9" s="25"/>
      <c r="CN9" s="25"/>
      <c r="CO9" s="27"/>
      <c r="CP9" s="25"/>
      <c r="CQ9" s="25"/>
      <c r="CR9" s="25"/>
      <c r="CS9" s="27"/>
      <c r="CT9" s="25"/>
      <c r="CU9" s="25"/>
      <c r="CV9" s="28"/>
      <c r="CW9" s="25"/>
      <c r="CX9" s="25"/>
      <c r="CY9" s="25"/>
      <c r="CZ9" s="25"/>
      <c r="DA9" s="25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8"/>
      <c r="EN9" s="28">
        <f>+F9+J9+L9+N9+T9+V9+X9+AB9+AD9+AF9+AL9+AN9+AP9+AU9+AW9+AY9+BC9+BE9+BG9+BM9+BO9+BQ9+BW9+CC9+CE9+CG9+CL9+CN9+CP9+CR9+CT9+CW9+CY9+DA9+DC9+DE9+DG9+DI9+DK9+DM9+DO9+DQ9+DS9+EE9+EG9+EI9+EK9+H9+R9+AR9+BA9+CI9</f>
        <v>0</v>
      </c>
      <c r="EO9" s="28">
        <f>+G9+K9+M9+O9+U9+W9+Y9+AC9+AE9+AG9+AM9+AO9+AQ9+AV9+AX9+AZ9+BD9+BF9+BH9+BN9+BP9+BR9+BX9+CD9+CF9+CH9+CM9+CO9+CQ9+CS9+CU9+CX9+CZ9+DB9+DD9+DF9+DH9+DJ9+DL9+DN9+DP9+DR9+DT9+EF9+EH9+EJ9+EL9+I9+S9+BB9+AS9+CJ9</f>
        <v>0</v>
      </c>
      <c r="EP9" s="28">
        <f t="shared" si="0"/>
        <v>0</v>
      </c>
    </row>
    <row r="10" spans="1:146">
      <c r="B10" s="9">
        <f t="shared" si="1"/>
        <v>44197</v>
      </c>
      <c r="C10" s="137"/>
      <c r="D10" s="216" t="s">
        <v>113</v>
      </c>
      <c r="E10" s="478">
        <f t="shared" si="2"/>
        <v>0</v>
      </c>
      <c r="F10" s="26"/>
      <c r="G10" s="435">
        <f>+AW10+AY10+BE10+BA10+J10+BG10</f>
        <v>0</v>
      </c>
      <c r="H10" s="27"/>
      <c r="I10" s="27"/>
      <c r="J10" s="435">
        <f>+K8</f>
        <v>0</v>
      </c>
      <c r="K10" s="27"/>
      <c r="L10" s="27"/>
      <c r="M10" s="27"/>
      <c r="N10" s="25"/>
      <c r="O10" s="27"/>
      <c r="P10" s="27"/>
      <c r="Q10" s="27"/>
      <c r="R10" s="25"/>
      <c r="S10" s="27"/>
      <c r="T10" s="25"/>
      <c r="U10" s="25"/>
      <c r="V10" s="25"/>
      <c r="W10" s="25"/>
      <c r="X10" s="27"/>
      <c r="Y10" s="27"/>
      <c r="Z10" s="27"/>
      <c r="AA10" s="27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7"/>
      <c r="AP10" s="25"/>
      <c r="AQ10" s="25"/>
      <c r="AR10" s="25"/>
      <c r="AS10" s="25"/>
      <c r="AT10" s="28"/>
      <c r="AU10" s="25"/>
      <c r="AV10" s="25"/>
      <c r="AW10" s="433">
        <f>+AX8</f>
        <v>0</v>
      </c>
      <c r="AX10" s="25"/>
      <c r="AY10" s="426">
        <f>+AZ8</f>
        <v>0</v>
      </c>
      <c r="AZ10" s="27"/>
      <c r="BA10" s="426"/>
      <c r="BB10" s="25"/>
      <c r="BC10" s="25"/>
      <c r="BD10" s="27"/>
      <c r="BE10" s="25"/>
      <c r="BF10" s="27"/>
      <c r="BG10" s="25">
        <f>+BH8*0</f>
        <v>0</v>
      </c>
      <c r="BH10" s="27"/>
      <c r="BI10" s="27"/>
      <c r="BJ10" s="27"/>
      <c r="BK10" s="27"/>
      <c r="BL10" s="27"/>
      <c r="BM10" s="25"/>
      <c r="BN10" s="27"/>
      <c r="BO10" s="25"/>
      <c r="BP10" s="27"/>
      <c r="BQ10" s="27"/>
      <c r="BR10" s="27"/>
      <c r="BS10" s="25"/>
      <c r="BT10" s="27"/>
      <c r="BU10" s="25"/>
      <c r="BV10" s="27"/>
      <c r="BW10" s="25"/>
      <c r="BX10" s="27"/>
      <c r="BY10" s="27"/>
      <c r="BZ10" s="27"/>
      <c r="CA10" s="27"/>
      <c r="CB10" s="27"/>
      <c r="CC10" s="25"/>
      <c r="CD10" s="27"/>
      <c r="CE10" s="27"/>
      <c r="CF10" s="25"/>
      <c r="CG10" s="25"/>
      <c r="CH10" s="25"/>
      <c r="CI10" s="25"/>
      <c r="CJ10" s="25"/>
      <c r="CK10" s="28"/>
      <c r="CL10" s="25"/>
      <c r="CM10" s="25"/>
      <c r="CN10" s="25"/>
      <c r="CO10" s="27"/>
      <c r="CP10" s="25"/>
      <c r="CQ10" s="25"/>
      <c r="CR10" s="25"/>
      <c r="CS10" s="27"/>
      <c r="CT10" s="25"/>
      <c r="CU10" s="25"/>
      <c r="CV10" s="28"/>
      <c r="CW10" s="25"/>
      <c r="CX10" s="25"/>
      <c r="CY10" s="25"/>
      <c r="CZ10" s="25"/>
      <c r="DA10" s="25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8"/>
      <c r="EN10" s="28">
        <f>+F10+J10+L10+N10+T10+V10+X10+AB10+AD10+AF10+AL10+AN10+AP10+AU10+AW10+AY10+BC10+BE10+BG10+BM10+BO10+BQ10+BU10+BW10+BY10+CC10+CE10+CG10+CL10+CN10+CP10+CR10+CT10+CW10+CY10+DA10+DC10+DE10+DG10+DI10+DK10+DM10+DO10+DQ10+DS10+EE10+EG10+EI10+EK10+H10+R10+AR10+BA10+CI10</f>
        <v>0</v>
      </c>
      <c r="EO10" s="28">
        <f>+G10+K10+M10+O10+U10+W10+Y10+AC10+AE10+AG10+AM10+AO10+AQ10+AV10+AX10+AZ10+BD10+BF10+BH10+BN10+BP10+BR10+BV10+BX10+BZ10+CD10+CF10+CH10+CM10+CO10+CQ10+CS10+CU10+CX10+CZ10+DB10+DD10+DF10+DH10+DJ10+DL10+DN10+DP10+DR10+DT10+EF10+EH10+EJ10+EL10+I10+S10+AS10+BB10+CJ10</f>
        <v>0</v>
      </c>
      <c r="EP10" s="28">
        <f t="shared" si="0"/>
        <v>0</v>
      </c>
    </row>
    <row r="11" spans="1:146">
      <c r="B11" s="9">
        <f t="shared" si="1"/>
        <v>44197</v>
      </c>
      <c r="C11" s="137"/>
      <c r="D11" s="210" t="s">
        <v>114</v>
      </c>
      <c r="E11" s="478">
        <f t="shared" si="2"/>
        <v>0</v>
      </c>
      <c r="F11" s="26"/>
      <c r="G11" s="219">
        <f>+J11+EG11+DY11+X11+CW11</f>
        <v>0</v>
      </c>
      <c r="H11" s="27"/>
      <c r="I11" s="27"/>
      <c r="J11" s="219">
        <f>+DATOS!E36</f>
        <v>0</v>
      </c>
      <c r="K11" s="27"/>
      <c r="L11" s="27"/>
      <c r="M11" s="27"/>
      <c r="N11" s="25"/>
      <c r="O11" s="27"/>
      <c r="P11" s="27"/>
      <c r="Q11" s="27"/>
      <c r="R11" s="25"/>
      <c r="S11" s="27"/>
      <c r="T11" s="25"/>
      <c r="U11" s="25"/>
      <c r="V11" s="25"/>
      <c r="W11" s="25"/>
      <c r="X11" s="219"/>
      <c r="Y11" s="27"/>
      <c r="Z11" s="27"/>
      <c r="AA11" s="27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7"/>
      <c r="AP11" s="25"/>
      <c r="AQ11" s="25"/>
      <c r="AR11" s="25"/>
      <c r="AS11" s="25"/>
      <c r="AT11" s="28"/>
      <c r="AU11" s="25"/>
      <c r="AV11" s="25"/>
      <c r="AW11" s="25"/>
      <c r="AX11" s="25"/>
      <c r="AY11" s="25"/>
      <c r="AZ11" s="27"/>
      <c r="BA11" s="25"/>
      <c r="BB11" s="25"/>
      <c r="BC11" s="25"/>
      <c r="BD11" s="27"/>
      <c r="BE11" s="25"/>
      <c r="BF11" s="27"/>
      <c r="BG11" s="25"/>
      <c r="BH11" s="27"/>
      <c r="BI11" s="27"/>
      <c r="BJ11" s="27"/>
      <c r="BK11" s="27"/>
      <c r="BL11" s="27"/>
      <c r="BM11" s="25"/>
      <c r="BN11" s="27"/>
      <c r="BO11" s="25"/>
      <c r="BP11" s="27"/>
      <c r="BQ11" s="27"/>
      <c r="BR11" s="27"/>
      <c r="BS11" s="25"/>
      <c r="BT11" s="27"/>
      <c r="BU11" s="25"/>
      <c r="BV11" s="27"/>
      <c r="BW11" s="25"/>
      <c r="BX11" s="27"/>
      <c r="BY11" s="27"/>
      <c r="BZ11" s="27"/>
      <c r="CA11" s="27"/>
      <c r="CB11" s="27"/>
      <c r="CC11" s="25"/>
      <c r="CD11" s="27"/>
      <c r="CE11" s="27"/>
      <c r="CF11" s="25"/>
      <c r="CG11" s="25"/>
      <c r="CH11" s="25"/>
      <c r="CI11" s="25"/>
      <c r="CJ11" s="25"/>
      <c r="CK11" s="28"/>
      <c r="CL11" s="25"/>
      <c r="CM11" s="25"/>
      <c r="CN11" s="25"/>
      <c r="CO11" s="27"/>
      <c r="CP11" s="25"/>
      <c r="CQ11" s="25"/>
      <c r="CR11" s="25"/>
      <c r="CS11" s="27"/>
      <c r="CT11" s="25"/>
      <c r="CU11" s="25"/>
      <c r="CV11" s="28"/>
      <c r="CW11" s="418">
        <f>+DATOS!F36</f>
        <v>0</v>
      </c>
      <c r="CX11" s="25"/>
      <c r="CY11" s="25"/>
      <c r="CZ11" s="25"/>
      <c r="DA11" s="25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20">
        <f>ROUND(+J11/0.19,0)-X11</f>
        <v>0</v>
      </c>
      <c r="EH11" s="25"/>
      <c r="EI11" s="25"/>
      <c r="EJ11" s="25"/>
      <c r="EK11" s="25"/>
      <c r="EL11" s="25"/>
      <c r="EM11" s="28"/>
      <c r="EN11" s="28">
        <f>+F11+J11+L11+N11+T11+V11+X11+AB11+AD11+AF11+AL11+AN11+AP11+AU11+AW11+AY11+BC11+BE11+BG11+BM11+BO11+BQ11+BU11+BW11+BY11+CC11+CE11+CG11+CL11+CN11+CP11+CR11+CT11+CW11+CY11+DA11+DC11+DE11+DG11+DI11+DK11+DM11+DO11+DQ11+DS11+EE11+EG11+EI11+EK11+H11+R11+AR11+BA11+CI11</f>
        <v>0</v>
      </c>
      <c r="EO11" s="28">
        <f>+G11+K11+M11+O11+U11+W11+Y11+AC11+AE11+AG11+AM11+AO11+AQ11+AV11+AX11+AZ11+BD11+BF11+BH11+BN11+BP11+BR11+BV11+BX11+BZ11+CD11+CF11+CH11+CM11+CO11+CQ11+CS11+CU11+CX11+CZ11+DB11+DD11+DF11+DH11+DJ11+DL11+DN11+DP11+DR11+DT11+EF11+EH11+EJ11+EL11+I11+S11+AS11+BB11+CJ11</f>
        <v>0</v>
      </c>
      <c r="EP11" s="28">
        <f t="shared" si="0"/>
        <v>0</v>
      </c>
    </row>
    <row r="12" spans="1:146">
      <c r="B12" s="9">
        <f t="shared" si="1"/>
        <v>44197</v>
      </c>
      <c r="C12" s="137"/>
      <c r="D12" s="211" t="s">
        <v>115</v>
      </c>
      <c r="E12" s="478">
        <f t="shared" si="2"/>
        <v>0</v>
      </c>
      <c r="F12" s="26">
        <f>(+K12+CM12)+CO12</f>
        <v>0</v>
      </c>
      <c r="G12" s="27"/>
      <c r="H12" s="27"/>
      <c r="I12" s="27"/>
      <c r="J12" s="27"/>
      <c r="K12" s="221">
        <f>+DATOS!E15</f>
        <v>0</v>
      </c>
      <c r="L12" s="27"/>
      <c r="M12" s="27"/>
      <c r="N12" s="25"/>
      <c r="O12" s="27"/>
      <c r="P12" s="27"/>
      <c r="Q12" s="27"/>
      <c r="R12" s="25"/>
      <c r="S12" s="27"/>
      <c r="T12" s="25"/>
      <c r="U12" s="25"/>
      <c r="V12" s="25"/>
      <c r="W12" s="25"/>
      <c r="X12" s="27"/>
      <c r="Y12" s="27"/>
      <c r="Z12" s="27"/>
      <c r="AA12" s="27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7"/>
      <c r="AP12" s="25"/>
      <c r="AQ12" s="25"/>
      <c r="AR12" s="25"/>
      <c r="AS12" s="25"/>
      <c r="AT12" s="28"/>
      <c r="AU12" s="25"/>
      <c r="AV12" s="25"/>
      <c r="AW12" s="25"/>
      <c r="AX12" s="25"/>
      <c r="AY12" s="25"/>
      <c r="AZ12" s="27"/>
      <c r="BA12" s="25"/>
      <c r="BB12" s="25"/>
      <c r="BC12" s="25"/>
      <c r="BD12" s="27"/>
      <c r="BE12" s="25"/>
      <c r="BF12" s="27"/>
      <c r="BG12" s="25"/>
      <c r="BH12" s="27"/>
      <c r="BI12" s="27"/>
      <c r="BJ12" s="27"/>
      <c r="BK12" s="27"/>
      <c r="BL12" s="27"/>
      <c r="BM12" s="25"/>
      <c r="BN12" s="27"/>
      <c r="BO12" s="25"/>
      <c r="BP12" s="27"/>
      <c r="BQ12" s="27"/>
      <c r="BR12" s="27"/>
      <c r="BS12" s="25"/>
      <c r="BT12" s="27"/>
      <c r="BU12" s="25"/>
      <c r="BV12" s="27"/>
      <c r="BW12" s="25"/>
      <c r="BX12" s="27"/>
      <c r="BY12" s="27"/>
      <c r="BZ12" s="27"/>
      <c r="CA12" s="27"/>
      <c r="CB12" s="27"/>
      <c r="CC12" s="25"/>
      <c r="CD12" s="27"/>
      <c r="CE12" s="27"/>
      <c r="CF12" s="25"/>
      <c r="CG12" s="25"/>
      <c r="CH12" s="25"/>
      <c r="CI12" s="25"/>
      <c r="CJ12" s="25"/>
      <c r="CK12" s="28"/>
      <c r="CL12" s="25"/>
      <c r="CM12" s="320">
        <f>ROUND(+K12/0.19,0)</f>
        <v>0</v>
      </c>
      <c r="CN12" s="25"/>
      <c r="CO12" s="221">
        <f>+DATOS!D15</f>
        <v>0</v>
      </c>
      <c r="CP12" s="25"/>
      <c r="CQ12" s="25"/>
      <c r="CR12" s="25"/>
      <c r="CS12" s="27"/>
      <c r="CT12" s="25"/>
      <c r="CU12" s="25"/>
      <c r="CV12" s="28"/>
      <c r="CW12" s="25"/>
      <c r="CX12" s="25"/>
      <c r="CY12" s="25"/>
      <c r="CZ12" s="25"/>
      <c r="DA12" s="25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8"/>
      <c r="EN12" s="28">
        <f t="shared" ref="EN12:EN83" si="3">+F12+J12+L12+N12+T12+V12+X12+AB12+AD12+AF12+AL12+AN12+AP12+AU12+AW12+AY12+BC12+BE12+BG12+BM12+BO12+BQ12+BU12+BW12+BY12+CC12+CE12+CG12+CL12+CN12+CP12+CR12+CT12+CW12+CY12+DA12+DC12+DE12+DG12+DI12+DK12+DM12+DO12+DQ12+DS12+EE12+EG12+EI12+EK12+H12+R12+AR12+BA12+CI12</f>
        <v>0</v>
      </c>
      <c r="EO12" s="28">
        <f t="shared" ref="EO12:EO83" si="4">+G12+K12+M12+O12+U12+W12+Y12+AC12+AE12+AG12+AM12+AO12+AQ12+AV12+AX12+AZ12+BD12+BF12+BH12+BN12+BP12+BR12+BV12+BX12+BZ12+CD12+CF12+CH12+CM12+CO12+CQ12+CS12+CU12+CX12+CZ12+DB12+DD12+DF12+DH12+DJ12+DL12+DN12+DP12+DR12+DT12+EF12+EH12+EJ12+EL12+I12+S12+AS12+BB12+CJ12</f>
        <v>0</v>
      </c>
      <c r="EP12" s="28">
        <f t="shared" si="0"/>
        <v>0</v>
      </c>
    </row>
    <row r="13" spans="1:146">
      <c r="B13" s="9">
        <f t="shared" si="1"/>
        <v>44197</v>
      </c>
      <c r="C13" s="137"/>
      <c r="D13" s="434" t="s">
        <v>986</v>
      </c>
      <c r="E13" s="25">
        <f>+F13+J13+L13+N13+T13+V13+X13+AB13+AD13+AF13+AL13+AN13+AP13+AU13+AW13+AY13+BC13+BE13+BG13+BM13+BO13+BQ13+BW13+CC13+CE13+CG13+CL13+CN13+CP13+CR13+CT13+CW13+CY13+DA13+DC13+DE13+DG13+DI13+DK13+DM13+DO13+DQ13+DS13+EE13+EG13+EI13+EK13+R13+H13+CI13+BA13+AR13+DU13</f>
        <v>0</v>
      </c>
      <c r="F13" s="26"/>
      <c r="G13" s="286">
        <f>+DU13</f>
        <v>0</v>
      </c>
      <c r="H13" s="27"/>
      <c r="I13" s="27"/>
      <c r="J13" s="27"/>
      <c r="K13" s="27"/>
      <c r="L13" s="27"/>
      <c r="M13" s="27"/>
      <c r="N13" s="25"/>
      <c r="O13" s="27"/>
      <c r="P13" s="27"/>
      <c r="Q13" s="27"/>
      <c r="R13" s="25"/>
      <c r="S13" s="27"/>
      <c r="T13" s="25"/>
      <c r="U13" s="25"/>
      <c r="V13" s="25"/>
      <c r="W13" s="25"/>
      <c r="X13" s="27"/>
      <c r="Y13" s="27"/>
      <c r="Z13" s="27"/>
      <c r="AA13" s="27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7"/>
      <c r="AP13" s="25"/>
      <c r="AQ13" s="25"/>
      <c r="AR13" s="25"/>
      <c r="AS13" s="25"/>
      <c r="AT13" s="28"/>
      <c r="AU13" s="25"/>
      <c r="AV13" s="25"/>
      <c r="AW13" s="25"/>
      <c r="AX13" s="25"/>
      <c r="AY13" s="25"/>
      <c r="AZ13" s="27"/>
      <c r="BA13" s="25"/>
      <c r="BB13" s="25"/>
      <c r="BC13" s="25"/>
      <c r="BD13" s="27"/>
      <c r="BE13" s="25"/>
      <c r="BF13" s="27"/>
      <c r="BG13" s="25"/>
      <c r="BH13" s="27"/>
      <c r="BI13" s="27"/>
      <c r="BJ13" s="27"/>
      <c r="BK13" s="27"/>
      <c r="BL13" s="27"/>
      <c r="BM13" s="25"/>
      <c r="BN13" s="27"/>
      <c r="BO13" s="25"/>
      <c r="BP13" s="27"/>
      <c r="BQ13" s="27"/>
      <c r="BR13" s="27"/>
      <c r="BS13" s="25"/>
      <c r="BT13" s="27"/>
      <c r="BU13" s="25"/>
      <c r="BV13" s="27"/>
      <c r="BW13" s="25"/>
      <c r="BX13" s="27"/>
      <c r="BY13" s="27"/>
      <c r="BZ13" s="27"/>
      <c r="CA13" s="27"/>
      <c r="CB13" s="27"/>
      <c r="CC13" s="25"/>
      <c r="CD13" s="27"/>
      <c r="CE13" s="27"/>
      <c r="CF13" s="25"/>
      <c r="CG13" s="25"/>
      <c r="CH13" s="25"/>
      <c r="CI13" s="25"/>
      <c r="CJ13" s="25"/>
      <c r="CK13" s="28"/>
      <c r="CL13" s="25"/>
      <c r="CM13" s="25"/>
      <c r="CN13" s="25"/>
      <c r="CO13" s="27"/>
      <c r="CP13" s="25"/>
      <c r="CQ13" s="25"/>
      <c r="CR13" s="25"/>
      <c r="CS13" s="27"/>
      <c r="CT13" s="25"/>
      <c r="CU13" s="25"/>
      <c r="CV13" s="28"/>
      <c r="CW13" s="25"/>
      <c r="CX13" s="25"/>
      <c r="CY13" s="25"/>
      <c r="CZ13" s="25"/>
      <c r="DA13" s="25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5"/>
      <c r="DP13" s="25"/>
      <c r="DQ13" s="25"/>
      <c r="DR13" s="25"/>
      <c r="DS13" s="25"/>
      <c r="DT13" s="25"/>
      <c r="DU13" s="21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>
        <f>+K13</f>
        <v>0</v>
      </c>
      <c r="EL13" s="25">
        <f>+J13</f>
        <v>0</v>
      </c>
      <c r="EM13" s="28"/>
      <c r="EN13" s="28">
        <f t="shared" si="3"/>
        <v>0</v>
      </c>
      <c r="EO13" s="28">
        <f t="shared" si="4"/>
        <v>0</v>
      </c>
      <c r="EP13" s="28">
        <f t="shared" si="0"/>
        <v>0</v>
      </c>
    </row>
    <row r="14" spans="1:146">
      <c r="B14" s="9">
        <f t="shared" si="1"/>
        <v>44197</v>
      </c>
      <c r="C14" s="137"/>
      <c r="D14" s="492" t="s">
        <v>459</v>
      </c>
      <c r="E14" s="25">
        <f t="shared" si="2"/>
        <v>0</v>
      </c>
      <c r="F14" s="26"/>
      <c r="G14" s="27">
        <f>+DS14-AX14</f>
        <v>0</v>
      </c>
      <c r="H14" s="27"/>
      <c r="I14" s="27"/>
      <c r="J14" s="27"/>
      <c r="K14" s="27"/>
      <c r="L14" s="27"/>
      <c r="M14" s="27"/>
      <c r="N14" s="25"/>
      <c r="O14" s="27"/>
      <c r="P14" s="27"/>
      <c r="Q14" s="27"/>
      <c r="R14" s="25"/>
      <c r="S14" s="27"/>
      <c r="T14" s="25"/>
      <c r="U14" s="25"/>
      <c r="V14" s="25"/>
      <c r="W14" s="25"/>
      <c r="X14" s="27"/>
      <c r="Y14" s="27"/>
      <c r="Z14" s="27"/>
      <c r="AA14" s="27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7"/>
      <c r="AP14" s="25"/>
      <c r="AQ14" s="25"/>
      <c r="AR14" s="25"/>
      <c r="AS14" s="25"/>
      <c r="AT14" s="28"/>
      <c r="AU14" s="25"/>
      <c r="AV14" s="25"/>
      <c r="AW14" s="25"/>
      <c r="AX14" s="217">
        <f>+DATOS!G15</f>
        <v>0</v>
      </c>
      <c r="AY14" s="25"/>
      <c r="AZ14" s="27"/>
      <c r="BA14" s="25"/>
      <c r="BB14" s="25"/>
      <c r="BC14" s="25"/>
      <c r="BD14" s="27"/>
      <c r="BE14" s="25"/>
      <c r="BF14" s="27"/>
      <c r="BG14" s="25"/>
      <c r="BH14" s="27"/>
      <c r="BI14" s="27"/>
      <c r="BJ14" s="27"/>
      <c r="BK14" s="27"/>
      <c r="BL14" s="27"/>
      <c r="BM14" s="25"/>
      <c r="BN14" s="27"/>
      <c r="BO14" s="25"/>
      <c r="BP14" s="27"/>
      <c r="BQ14" s="27"/>
      <c r="BR14" s="27"/>
      <c r="BS14" s="25"/>
      <c r="BT14" s="27"/>
      <c r="BU14" s="25"/>
      <c r="BV14" s="27"/>
      <c r="BW14" s="25"/>
      <c r="BX14" s="27"/>
      <c r="BY14" s="27"/>
      <c r="BZ14" s="27"/>
      <c r="CA14" s="27"/>
      <c r="CB14" s="27"/>
      <c r="CC14" s="25"/>
      <c r="CD14" s="27"/>
      <c r="CE14" s="27"/>
      <c r="CF14" s="25"/>
      <c r="CG14" s="25"/>
      <c r="CH14" s="25"/>
      <c r="CI14" s="25"/>
      <c r="CJ14" s="25"/>
      <c r="CK14" s="28"/>
      <c r="CL14" s="25"/>
      <c r="CM14" s="25"/>
      <c r="CN14" s="25"/>
      <c r="CO14" s="27"/>
      <c r="CP14" s="25"/>
      <c r="CQ14" s="25"/>
      <c r="CR14" s="25"/>
      <c r="CS14" s="27"/>
      <c r="CT14" s="25"/>
      <c r="CU14" s="25"/>
      <c r="CV14" s="28"/>
      <c r="CW14" s="25"/>
      <c r="CX14" s="25"/>
      <c r="CY14" s="25"/>
      <c r="CZ14" s="25"/>
      <c r="DA14" s="25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5"/>
      <c r="DP14" s="25"/>
      <c r="DQ14" s="25"/>
      <c r="DR14" s="25"/>
      <c r="DS14" s="218">
        <f>ROUND(+AX14/0.13,0)</f>
        <v>0</v>
      </c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8"/>
      <c r="EN14" s="28">
        <f t="shared" si="3"/>
        <v>0</v>
      </c>
      <c r="EO14" s="28">
        <f t="shared" si="4"/>
        <v>0</v>
      </c>
      <c r="EP14" s="28">
        <f t="shared" si="0"/>
        <v>0</v>
      </c>
    </row>
    <row r="15" spans="1:146">
      <c r="B15" s="9">
        <f>+B14</f>
        <v>44197</v>
      </c>
      <c r="C15" s="137"/>
      <c r="D15" s="314"/>
      <c r="E15" s="25">
        <f>+F15+J15+L15+N15+T15+V15+X15+AB15+AD15+AF15+AL15+AN15+AP15+AU15+AW15+AY15+BC15+BE15+BG15+BM15+BO15+BQ15+BW15+CC15+CE15+CG15+CL15+CN15+CP15+CR15+CT15+CW15+CY15+DA15+DC15+DE15+DG15+DI15+DK15+DM15+DO15+DQ15+DS15+EE15+EG15+EI15+EK15+R15+H15+CI15+BA15+AR15</f>
        <v>0</v>
      </c>
      <c r="F15" s="26"/>
      <c r="G15" s="27">
        <f>+CW15+CY15+DA15+DC15+DE15+DG15+DI15+DK15+DM15</f>
        <v>0</v>
      </c>
      <c r="H15" s="27"/>
      <c r="I15" s="27"/>
      <c r="J15" s="27"/>
      <c r="K15" s="27"/>
      <c r="L15" s="27"/>
      <c r="M15" s="27"/>
      <c r="N15" s="25"/>
      <c r="O15" s="27"/>
      <c r="P15" s="27"/>
      <c r="Q15" s="27"/>
      <c r="R15" s="25"/>
      <c r="S15" s="27"/>
      <c r="T15" s="25"/>
      <c r="U15" s="25"/>
      <c r="V15" s="25"/>
      <c r="W15" s="25"/>
      <c r="X15" s="27"/>
      <c r="Y15" s="27"/>
      <c r="Z15" s="27"/>
      <c r="AA15" s="27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7"/>
      <c r="AP15" s="25"/>
      <c r="AQ15" s="25"/>
      <c r="AR15" s="25"/>
      <c r="AS15" s="25"/>
      <c r="AT15" s="28"/>
      <c r="AU15" s="25"/>
      <c r="AV15" s="25"/>
      <c r="AW15" s="25"/>
      <c r="AX15" s="25"/>
      <c r="AY15" s="25"/>
      <c r="AZ15" s="27"/>
      <c r="BA15" s="25"/>
      <c r="BB15" s="25"/>
      <c r="BC15" s="25"/>
      <c r="BD15" s="27"/>
      <c r="BE15" s="25"/>
      <c r="BF15" s="27"/>
      <c r="BG15" s="25"/>
      <c r="BH15" s="27"/>
      <c r="BI15" s="27"/>
      <c r="BJ15" s="27"/>
      <c r="BK15" s="27"/>
      <c r="BL15" s="27"/>
      <c r="BM15" s="25"/>
      <c r="BN15" s="27"/>
      <c r="BO15" s="25"/>
      <c r="BP15" s="27"/>
      <c r="BQ15" s="27"/>
      <c r="BR15" s="27"/>
      <c r="BS15" s="25"/>
      <c r="BT15" s="27"/>
      <c r="BU15" s="25"/>
      <c r="BV15" s="27"/>
      <c r="BW15" s="25"/>
      <c r="BX15" s="27"/>
      <c r="BY15" s="27"/>
      <c r="BZ15" s="27"/>
      <c r="CA15" s="27"/>
      <c r="CB15" s="27"/>
      <c r="CC15" s="25"/>
      <c r="CD15" s="27"/>
      <c r="CE15" s="27"/>
      <c r="CF15" s="25"/>
      <c r="CG15" s="25"/>
      <c r="CH15" s="25"/>
      <c r="CI15" s="25"/>
      <c r="CJ15" s="25"/>
      <c r="CK15" s="28"/>
      <c r="CL15" s="25"/>
      <c r="CM15" s="25"/>
      <c r="CN15" s="25"/>
      <c r="CO15" s="27"/>
      <c r="CP15" s="25"/>
      <c r="CQ15" s="25"/>
      <c r="CR15" s="25"/>
      <c r="CS15" s="27"/>
      <c r="CT15" s="25"/>
      <c r="CU15" s="25"/>
      <c r="CV15" s="28"/>
      <c r="CW15" s="25"/>
      <c r="CX15" s="25"/>
      <c r="CY15" s="25"/>
      <c r="CZ15" s="25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8"/>
      <c r="EN15" s="28">
        <f t="shared" si="3"/>
        <v>0</v>
      </c>
      <c r="EO15" s="28">
        <f t="shared" si="4"/>
        <v>0</v>
      </c>
      <c r="EP15" s="28">
        <f t="shared" si="0"/>
        <v>0</v>
      </c>
    </row>
    <row r="16" spans="1:146">
      <c r="B16" s="9">
        <f t="shared" ref="B16:B22" si="5">+B15</f>
        <v>44197</v>
      </c>
      <c r="C16" s="137"/>
      <c r="D16" s="213" t="s">
        <v>195</v>
      </c>
      <c r="E16" s="478">
        <f>+F16+J16+L16+N16+T16+V16+X16+AB16+AD16+AF16+AL16+AN16+AP16+AU16+AW16+AY16+BC16+BE16+BG16+BM16+BO16+BQ16+BW16+CC16+CE16+CG16+CL16+CN16+CP16+CR16+CT16+CW16+CY16+DA16+DC16+DE16+DG16+DI16+DK16+DM16+DO16+DQ16+DS16+EE16+EG16+EI16+EK16+R16+H16+CI16+BA16+AR16+DU16</f>
        <v>0</v>
      </c>
      <c r="F16" s="26"/>
      <c r="G16" s="286">
        <f>+DU16-BB16-AV16-AQ16+DY16-BV16</f>
        <v>0</v>
      </c>
      <c r="H16" s="27"/>
      <c r="I16" s="27"/>
      <c r="J16" s="27"/>
      <c r="K16" s="27"/>
      <c r="L16" s="27"/>
      <c r="M16" s="27"/>
      <c r="N16" s="25"/>
      <c r="O16" s="27"/>
      <c r="P16" s="27"/>
      <c r="Q16" s="27"/>
      <c r="R16" s="25"/>
      <c r="S16" s="27"/>
      <c r="T16" s="25"/>
      <c r="U16" s="25"/>
      <c r="V16" s="25">
        <v>0</v>
      </c>
      <c r="W16" s="25"/>
      <c r="X16" s="27"/>
      <c r="Y16" s="27"/>
      <c r="Z16" s="27"/>
      <c r="AA16" s="27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7"/>
      <c r="AP16" s="213"/>
      <c r="AQ16" s="215">
        <f>+DATOS!K36</f>
        <v>0</v>
      </c>
      <c r="AR16" s="25"/>
      <c r="AS16" s="25"/>
      <c r="AT16" s="28"/>
      <c r="AU16" s="25"/>
      <c r="AV16" s="215">
        <f>+DATOS!J36+DATOS!M36</f>
        <v>0</v>
      </c>
      <c r="AW16" s="25"/>
      <c r="AX16" s="25"/>
      <c r="AY16" s="25"/>
      <c r="AZ16" s="27"/>
      <c r="BA16" s="25"/>
      <c r="BB16" s="494">
        <f>+DATOS!I36</f>
        <v>0</v>
      </c>
      <c r="BC16" s="25"/>
      <c r="BD16" s="27"/>
      <c r="BE16" s="25"/>
      <c r="BF16" s="27"/>
      <c r="BG16" s="25"/>
      <c r="BH16" s="27"/>
      <c r="BI16" s="27"/>
      <c r="BJ16" s="27"/>
      <c r="BK16" s="27"/>
      <c r="BL16" s="27"/>
      <c r="BM16" s="25"/>
      <c r="BN16" s="27"/>
      <c r="BO16" s="25"/>
      <c r="BP16" s="27"/>
      <c r="BQ16" s="27"/>
      <c r="BR16" s="27"/>
      <c r="BS16" s="25"/>
      <c r="BT16" s="27"/>
      <c r="BU16" s="25"/>
      <c r="BV16" s="27">
        <v>0</v>
      </c>
      <c r="BW16" s="25"/>
      <c r="BX16" s="27"/>
      <c r="BY16" s="27"/>
      <c r="BZ16" s="27"/>
      <c r="CA16" s="27"/>
      <c r="CB16" s="27"/>
      <c r="CC16" s="25"/>
      <c r="CD16" s="27"/>
      <c r="CE16" s="27"/>
      <c r="CF16" s="25"/>
      <c r="CG16" s="25"/>
      <c r="CH16" s="25"/>
      <c r="CI16" s="25"/>
      <c r="CJ16" s="25"/>
      <c r="CK16" s="28"/>
      <c r="CL16" s="25"/>
      <c r="CM16" s="25"/>
      <c r="CN16" s="25"/>
      <c r="CO16" s="27"/>
      <c r="CP16" s="25"/>
      <c r="CQ16" s="25"/>
      <c r="CR16" s="25"/>
      <c r="CS16" s="27"/>
      <c r="CT16" s="25"/>
      <c r="CU16" s="25"/>
      <c r="CV16" s="28"/>
      <c r="CW16" s="25"/>
      <c r="CX16" s="25"/>
      <c r="CY16" s="25"/>
      <c r="CZ16" s="25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5"/>
      <c r="DP16" s="25"/>
      <c r="DQ16" s="25"/>
      <c r="DR16" s="25"/>
      <c r="DS16" s="25"/>
      <c r="DT16" s="25"/>
      <c r="DU16" s="215">
        <f>+DATOS!G36</f>
        <v>0</v>
      </c>
      <c r="DV16" s="25"/>
      <c r="DW16" s="25"/>
      <c r="DX16" s="25"/>
      <c r="DY16" s="215">
        <f>+DATOS!M36</f>
        <v>0</v>
      </c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8"/>
      <c r="EN16" s="28">
        <f>+F16+J16+L16+N16+T16+V16+X16+AB16+AD16+AF16+AL16+AN16+AP16+AU16+AW16+AY16+BC16+BE16+BG16+BM16+BO16+BQ16+BU16+BW16+BY16+CC16+CE16+CG16+CL16+CN16+CP16+CR16+CT16+CW16+CY16+DA16+DC16+DE16+DG16+DI16+DK16+DM16+DO16+DQ16+DS16+EE16+EG16+EI16+EK16+H16+R16+AR16+BA16+CI16+DY16+DU16</f>
        <v>0</v>
      </c>
      <c r="EO16" s="28">
        <f t="shared" si="4"/>
        <v>0</v>
      </c>
      <c r="EP16" s="28">
        <f t="shared" si="0"/>
        <v>0</v>
      </c>
    </row>
    <row r="17" spans="1:146">
      <c r="B17" s="9">
        <f t="shared" si="5"/>
        <v>44197</v>
      </c>
      <c r="C17" s="137"/>
      <c r="D17" s="485" t="s">
        <v>488</v>
      </c>
      <c r="E17" s="25"/>
      <c r="F17" s="26"/>
      <c r="G17" s="278">
        <f>+BY17</f>
        <v>0</v>
      </c>
      <c r="H17" s="27"/>
      <c r="I17" s="27"/>
      <c r="J17" s="27"/>
      <c r="K17" s="27"/>
      <c r="L17" s="27"/>
      <c r="M17" s="27"/>
      <c r="N17" s="25"/>
      <c r="O17" s="27"/>
      <c r="P17" s="27"/>
      <c r="Q17" s="27"/>
      <c r="R17" s="25"/>
      <c r="S17" s="27"/>
      <c r="T17" s="25"/>
      <c r="U17" s="25"/>
      <c r="V17" s="25"/>
      <c r="W17" s="25"/>
      <c r="X17" s="27"/>
      <c r="Y17" s="27"/>
      <c r="Z17" s="27"/>
      <c r="AA17" s="27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7"/>
      <c r="AP17" s="25"/>
      <c r="AQ17" s="25"/>
      <c r="AR17" s="25"/>
      <c r="AS17" s="25"/>
      <c r="AT17" s="28"/>
      <c r="AU17" s="25"/>
      <c r="AV17" s="25"/>
      <c r="AW17" s="25"/>
      <c r="AX17" s="25"/>
      <c r="AY17" s="25"/>
      <c r="AZ17" s="27"/>
      <c r="BA17" s="25"/>
      <c r="BB17" s="25"/>
      <c r="BC17" s="25"/>
      <c r="BD17" s="27"/>
      <c r="BE17" s="245"/>
      <c r="BF17" s="27"/>
      <c r="BG17" s="25"/>
      <c r="BH17" s="27"/>
      <c r="BI17" s="27"/>
      <c r="BJ17" s="27"/>
      <c r="BK17" s="27"/>
      <c r="BL17" s="27"/>
      <c r="BM17" s="25"/>
      <c r="BN17" s="27"/>
      <c r="BO17" s="25"/>
      <c r="BP17" s="27"/>
      <c r="BQ17" s="515">
        <f>+DATOS!C63</f>
        <v>0</v>
      </c>
      <c r="BR17" s="27"/>
      <c r="BS17" s="515">
        <f>+DATOS!F63</f>
        <v>0</v>
      </c>
      <c r="BT17" s="27"/>
      <c r="BU17" s="516">
        <f>+DATOS!I63</f>
        <v>0</v>
      </c>
      <c r="BV17" s="27"/>
      <c r="BW17" s="516">
        <f>+DATOS!L63</f>
        <v>0</v>
      </c>
      <c r="BX17" s="27"/>
      <c r="BY17" s="515">
        <f>+DATOS!O63</f>
        <v>0</v>
      </c>
      <c r="BZ17" s="27"/>
      <c r="CA17" s="27"/>
      <c r="CB17" s="27"/>
      <c r="CC17" s="25"/>
      <c r="CD17" s="27"/>
      <c r="CE17" s="27"/>
      <c r="CF17" s="25"/>
      <c r="CG17" s="25"/>
      <c r="CH17" s="25"/>
      <c r="CI17" s="25"/>
      <c r="CJ17" s="25"/>
      <c r="CK17" s="28"/>
      <c r="CL17" s="25"/>
      <c r="CM17" s="25"/>
      <c r="CN17" s="25"/>
      <c r="CO17" s="27"/>
      <c r="CP17" s="25"/>
      <c r="CQ17" s="25"/>
      <c r="CR17" s="25"/>
      <c r="CS17" s="27"/>
      <c r="CT17" s="25"/>
      <c r="CU17" s="25"/>
      <c r="CV17" s="28"/>
      <c r="CW17" s="25"/>
      <c r="CX17" s="25"/>
      <c r="CY17" s="25"/>
      <c r="CZ17" s="25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8"/>
      <c r="EN17" s="28">
        <f t="shared" si="3"/>
        <v>0</v>
      </c>
      <c r="EO17" s="28">
        <f t="shared" si="4"/>
        <v>0</v>
      </c>
      <c r="EP17" s="28">
        <f t="shared" ref="EP17:EP22" si="6">+EN17-EO17</f>
        <v>0</v>
      </c>
    </row>
    <row r="18" spans="1:146">
      <c r="B18" s="9">
        <f t="shared" si="5"/>
        <v>44197</v>
      </c>
      <c r="C18" s="137"/>
      <c r="D18" s="302" t="s">
        <v>489</v>
      </c>
      <c r="E18" s="25">
        <f>+F18+J18+L18+N18+T18+V18+X18+AB18+AD18+AF18+AL18+AN18+AP18+AU18+AW18+AY18+BC18+BE18+BG18+BM18+BO18+BQ18+BW18+CC18+CE18+CG18+CL18+CN18+CP18+CR18+CT18+CW18+CY18+DA18+DC18+DE18+DG18+DI18+DK18+DM18+DO18+DQ18+DS18+EE18+EG18+EI18+EK18+R18+H18+CI18+BA18+AR18+DU18</f>
        <v>0</v>
      </c>
      <c r="F18" s="26"/>
      <c r="G18" s="278"/>
      <c r="H18" s="27"/>
      <c r="I18" s="27"/>
      <c r="J18" s="27"/>
      <c r="K18" s="27"/>
      <c r="L18" s="27"/>
      <c r="M18" s="27"/>
      <c r="N18" s="25"/>
      <c r="O18" s="27"/>
      <c r="P18" s="27"/>
      <c r="Q18" s="27"/>
      <c r="R18" s="25"/>
      <c r="S18" s="27"/>
      <c r="T18" s="25"/>
      <c r="U18" s="25"/>
      <c r="V18" s="25"/>
      <c r="W18" s="25"/>
      <c r="X18" s="27"/>
      <c r="Y18" s="27"/>
      <c r="Z18" s="27"/>
      <c r="AA18" s="27"/>
      <c r="AB18" s="25"/>
      <c r="AC18" s="242"/>
      <c r="AD18" s="25"/>
      <c r="AE18" s="25"/>
      <c r="AF18" s="25"/>
      <c r="AG18" s="527">
        <f>+DATOS!G63</f>
        <v>0</v>
      </c>
      <c r="AH18" s="25"/>
      <c r="AI18" s="527">
        <f>+DATOS!D63</f>
        <v>0</v>
      </c>
      <c r="AJ18" s="25"/>
      <c r="AK18" s="531">
        <f>+DATOS!J63+DATOS!M63+DATOS!P63</f>
        <v>0</v>
      </c>
      <c r="AL18" s="25"/>
      <c r="AM18" s="25"/>
      <c r="AN18" s="25"/>
      <c r="AO18" s="27"/>
      <c r="AP18" s="25"/>
      <c r="AQ18" s="25"/>
      <c r="AR18" s="25"/>
      <c r="AS18" s="25"/>
      <c r="AT18" s="28"/>
      <c r="AU18" s="25"/>
      <c r="AV18" s="25"/>
      <c r="AW18" s="25"/>
      <c r="AX18" s="25"/>
      <c r="AY18" s="25"/>
      <c r="AZ18" s="27"/>
      <c r="BA18" s="25"/>
      <c r="BB18" s="25"/>
      <c r="BC18" s="25"/>
      <c r="BD18" s="27"/>
      <c r="BE18" s="25"/>
      <c r="BF18" s="27"/>
      <c r="BG18" s="25"/>
      <c r="BH18" s="27"/>
      <c r="BI18" s="27"/>
      <c r="BJ18" s="27"/>
      <c r="BK18" s="27"/>
      <c r="BL18" s="27"/>
      <c r="BM18" s="25"/>
      <c r="BN18" s="27"/>
      <c r="BO18" s="25"/>
      <c r="BP18" s="27"/>
      <c r="BQ18" s="27"/>
      <c r="BR18" s="27"/>
      <c r="BS18" s="25"/>
      <c r="BT18" s="27"/>
      <c r="BU18" s="25"/>
      <c r="BV18" s="27"/>
      <c r="BW18" s="242"/>
      <c r="BX18" s="27"/>
      <c r="BY18" s="27"/>
      <c r="BZ18" s="27"/>
      <c r="CA18" s="27"/>
      <c r="CB18" s="27"/>
      <c r="CC18" s="25"/>
      <c r="CD18" s="27"/>
      <c r="CE18" s="27"/>
      <c r="CF18" s="25"/>
      <c r="CG18" s="25"/>
      <c r="CH18" s="25"/>
      <c r="CI18" s="25"/>
      <c r="CJ18" s="25"/>
      <c r="CK18" s="28"/>
      <c r="CL18" s="25"/>
      <c r="CM18" s="25"/>
      <c r="CN18" s="25"/>
      <c r="CO18" s="27"/>
      <c r="CP18" s="25"/>
      <c r="CQ18" s="25"/>
      <c r="CR18" s="25"/>
      <c r="CS18" s="27"/>
      <c r="CT18" s="25"/>
      <c r="CU18" s="25"/>
      <c r="CV18" s="28"/>
      <c r="CW18" s="25">
        <f>+G18</f>
        <v>0</v>
      </c>
      <c r="CX18" s="25"/>
      <c r="CY18" s="25"/>
      <c r="CZ18" s="25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527">
        <f>+AG18+AI18+AK18</f>
        <v>0</v>
      </c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8"/>
      <c r="EN18" s="28">
        <f t="shared" si="3"/>
        <v>0</v>
      </c>
      <c r="EO18" s="28">
        <f t="shared" si="4"/>
        <v>0</v>
      </c>
      <c r="EP18" s="28">
        <f t="shared" si="6"/>
        <v>0</v>
      </c>
    </row>
    <row r="19" spans="1:146">
      <c r="B19" s="9">
        <f t="shared" si="5"/>
        <v>44197</v>
      </c>
      <c r="C19" s="137"/>
      <c r="D19" s="480" t="s">
        <v>449</v>
      </c>
      <c r="E19" s="478">
        <f>+F19+J19+L19+N19+T19+V19+X19+AB19+AD19+AF19+AL19+AN19+AP19+AU19+AW19+AY19+BC19+BE19+BG19+BM19+BO19+BQ19+BW19+CC19+CE19+CG19+CL19+CN19+CP19+CR19+CT19+CW19+CY19+DA19+DC19+DE19+DG19+DI19+DK19+DM19+DO19+DQ19+DS19+EE19+EG19+EI19+EK19+R19+H19+CI19+BA19+AR19</f>
        <v>0</v>
      </c>
      <c r="F19" s="26"/>
      <c r="G19" s="283">
        <f>+DW19</f>
        <v>0</v>
      </c>
      <c r="H19" s="27"/>
      <c r="I19" s="27"/>
      <c r="J19" s="27"/>
      <c r="K19" s="27"/>
      <c r="L19" s="27"/>
      <c r="M19" s="27"/>
      <c r="N19" s="25"/>
      <c r="O19" s="27"/>
      <c r="P19" s="27"/>
      <c r="Q19" s="27"/>
      <c r="R19" s="25"/>
      <c r="S19" s="27"/>
      <c r="T19" s="25"/>
      <c r="U19" s="25"/>
      <c r="V19" s="25"/>
      <c r="W19" s="25"/>
      <c r="X19" s="27"/>
      <c r="Y19" s="27"/>
      <c r="Z19" s="27"/>
      <c r="AA19" s="27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7"/>
      <c r="AP19" s="25"/>
      <c r="AQ19" s="25"/>
      <c r="AR19" s="25"/>
      <c r="AS19" s="25"/>
      <c r="AT19" s="28"/>
      <c r="AU19" s="25"/>
      <c r="AV19" s="25"/>
      <c r="AW19" s="25"/>
      <c r="AX19" s="25"/>
      <c r="AY19" s="25"/>
      <c r="AZ19" s="27"/>
      <c r="BA19" s="25"/>
      <c r="BB19" s="25"/>
      <c r="BC19" s="25"/>
      <c r="BD19" s="27"/>
      <c r="BE19" s="25"/>
      <c r="BF19" s="27"/>
      <c r="BG19" s="25"/>
      <c r="BH19" s="27"/>
      <c r="BI19" s="27"/>
      <c r="BJ19" s="27"/>
      <c r="BK19" s="27"/>
      <c r="BL19" s="27"/>
      <c r="BM19" s="25"/>
      <c r="BN19" s="27"/>
      <c r="BO19" s="25"/>
      <c r="BP19" s="27"/>
      <c r="BQ19" s="27"/>
      <c r="BR19" s="27"/>
      <c r="BS19" s="25"/>
      <c r="BT19" s="27"/>
      <c r="BU19" s="25"/>
      <c r="BV19" s="27"/>
      <c r="BW19" s="25"/>
      <c r="BX19" s="27"/>
      <c r="BY19" s="27"/>
      <c r="BZ19" s="27"/>
      <c r="CA19" s="27"/>
      <c r="CB19" s="27"/>
      <c r="CC19" s="25"/>
      <c r="CD19" s="27"/>
      <c r="CE19" s="27"/>
      <c r="CF19" s="25"/>
      <c r="CG19" s="25"/>
      <c r="CH19" s="25"/>
      <c r="CI19" s="25"/>
      <c r="CJ19" s="25"/>
      <c r="CK19" s="28"/>
      <c r="CL19" s="25"/>
      <c r="CM19" s="25"/>
      <c r="CN19" s="25"/>
      <c r="CO19" s="27"/>
      <c r="CP19" s="25"/>
      <c r="CQ19" s="25"/>
      <c r="CR19" s="25"/>
      <c r="CS19" s="27"/>
      <c r="CT19" s="25"/>
      <c r="CU19" s="25"/>
      <c r="CV19" s="28"/>
      <c r="CW19" s="25"/>
      <c r="CX19" s="25"/>
      <c r="CY19" s="25"/>
      <c r="CZ19" s="25"/>
      <c r="DA19" s="25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5"/>
      <c r="DP19" s="25"/>
      <c r="DQ19" s="25"/>
      <c r="DR19" s="25"/>
      <c r="DS19" s="25"/>
      <c r="DT19" s="25"/>
      <c r="DU19" s="25"/>
      <c r="DV19" s="25"/>
      <c r="DW19" s="285">
        <f>+DATOS!N36</f>
        <v>0</v>
      </c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8"/>
      <c r="EN19" s="28">
        <f t="shared" si="3"/>
        <v>0</v>
      </c>
      <c r="EO19" s="28">
        <f t="shared" si="4"/>
        <v>0</v>
      </c>
      <c r="EP19" s="28">
        <f t="shared" si="6"/>
        <v>0</v>
      </c>
    </row>
    <row r="20" spans="1:146">
      <c r="A20" t="str">
        <f>+MAYOR!J6</f>
        <v>IVA POR PAGAR</v>
      </c>
      <c r="B20" s="9">
        <f t="shared" si="5"/>
        <v>44197</v>
      </c>
      <c r="C20" s="9">
        <f>+MAYOR!K228</f>
        <v>0</v>
      </c>
      <c r="D20" s="436" t="s">
        <v>435</v>
      </c>
      <c r="E20" s="25"/>
      <c r="F20" s="26"/>
      <c r="G20" s="27"/>
      <c r="H20" s="27"/>
      <c r="I20" s="27"/>
      <c r="J20" s="27"/>
      <c r="K20" s="27"/>
      <c r="L20" s="27"/>
      <c r="M20" s="27"/>
      <c r="N20" s="25"/>
      <c r="O20" s="27"/>
      <c r="P20" s="27"/>
      <c r="Q20" s="27"/>
      <c r="R20" s="25"/>
      <c r="S20" s="27"/>
      <c r="T20" s="25"/>
      <c r="U20" s="25"/>
      <c r="V20" s="25"/>
      <c r="W20" s="25"/>
      <c r="X20" s="27"/>
      <c r="Y20" s="27"/>
      <c r="Z20" s="27"/>
      <c r="AA20" s="27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7"/>
      <c r="AP20" s="25"/>
      <c r="AQ20" s="25"/>
      <c r="AR20" s="25"/>
      <c r="AS20" s="25"/>
      <c r="AT20" s="28"/>
      <c r="AU20" s="25"/>
      <c r="AV20" s="25"/>
      <c r="AW20" s="25"/>
      <c r="AX20" s="25"/>
      <c r="AY20" s="25"/>
      <c r="AZ20" s="27"/>
      <c r="BA20" s="25"/>
      <c r="BB20" s="25"/>
      <c r="BC20" s="25"/>
      <c r="BD20" s="27"/>
      <c r="BE20" s="25"/>
      <c r="BF20" s="27"/>
      <c r="BG20" s="25"/>
      <c r="BH20" s="27"/>
      <c r="BI20" s="27"/>
      <c r="BJ20" s="27"/>
      <c r="BK20" s="27"/>
      <c r="BL20" s="27"/>
      <c r="BM20" s="25"/>
      <c r="BN20" s="27"/>
      <c r="BO20" s="25"/>
      <c r="BP20" s="27"/>
      <c r="BQ20" s="27"/>
      <c r="BR20" s="27"/>
      <c r="BS20" s="25"/>
      <c r="BT20" s="27"/>
      <c r="BU20" s="25"/>
      <c r="BV20" s="27"/>
      <c r="BW20" s="25"/>
      <c r="BX20" s="27"/>
      <c r="BY20" s="27"/>
      <c r="BZ20" s="27"/>
      <c r="CA20" s="27"/>
      <c r="CB20" s="27"/>
      <c r="CC20" s="25"/>
      <c r="CD20" s="27"/>
      <c r="CE20" s="27"/>
      <c r="CF20" s="25"/>
      <c r="CG20" s="25"/>
      <c r="CH20" s="25"/>
      <c r="CI20" s="25"/>
      <c r="CJ20" s="25"/>
      <c r="CK20" s="28"/>
      <c r="CL20" s="25"/>
      <c r="CM20" s="25"/>
      <c r="CN20" s="25"/>
      <c r="CO20" s="27"/>
      <c r="CP20" s="25"/>
      <c r="CQ20" s="25"/>
      <c r="CR20" s="25"/>
      <c r="CS20" s="27"/>
      <c r="CT20" s="25"/>
      <c r="CU20" s="25"/>
      <c r="CV20" s="28"/>
      <c r="CW20" s="25"/>
      <c r="CX20" s="25"/>
      <c r="CY20" s="25"/>
      <c r="CZ20" s="25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8"/>
      <c r="EN20" s="28">
        <f t="shared" si="3"/>
        <v>0</v>
      </c>
      <c r="EO20" s="28">
        <f t="shared" si="4"/>
        <v>0</v>
      </c>
      <c r="EP20" s="28">
        <f t="shared" si="6"/>
        <v>0</v>
      </c>
    </row>
    <row r="21" spans="1:146">
      <c r="B21" s="9">
        <f t="shared" si="5"/>
        <v>44197</v>
      </c>
      <c r="C21" s="137"/>
      <c r="D21" s="479" t="s">
        <v>448</v>
      </c>
      <c r="E21" s="478">
        <f>+F21+J21+L21+N21+T21+V21+X21+Z21+AB21+AD21+AF21+AL21+AN21+AP21+AU21+AW21+AY21+BC21+BE21+BG21+BM21+BO21+BQ21+BW21+CC21+CE21+CG21+CL21+CN21+CP21+CR21+CT21+CW21+CY21+DA21+DC21+DE21+DG21+DI21+DK21+DM21+DO21+DQ21+DS21+EE21+EG21+EI21+EK21+R21+H21+CI21+BA21+AR21</f>
        <v>0</v>
      </c>
      <c r="F21" s="26"/>
      <c r="G21" s="27"/>
      <c r="H21" s="27"/>
      <c r="I21" s="27"/>
      <c r="J21" s="477"/>
      <c r="K21" s="27"/>
      <c r="L21" s="27"/>
      <c r="M21" s="27"/>
      <c r="N21" s="25"/>
      <c r="O21" s="27"/>
      <c r="P21" s="27"/>
      <c r="Q21" s="27"/>
      <c r="R21" s="25"/>
      <c r="S21" s="27"/>
      <c r="T21" s="25"/>
      <c r="U21" s="25"/>
      <c r="V21" s="25"/>
      <c r="W21" s="25"/>
      <c r="X21" s="477">
        <v>0</v>
      </c>
      <c r="Y21" s="477">
        <v>0</v>
      </c>
      <c r="Z21" s="27"/>
      <c r="AA21" s="27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7"/>
      <c r="AP21" s="25"/>
      <c r="AQ21" s="25"/>
      <c r="AR21" s="25"/>
      <c r="AS21" s="25"/>
      <c r="AT21" s="28"/>
      <c r="AU21" s="25"/>
      <c r="AV21" s="25"/>
      <c r="AW21" s="25"/>
      <c r="AX21" s="478">
        <v>0</v>
      </c>
      <c r="AY21" s="25"/>
      <c r="AZ21" s="27"/>
      <c r="BA21" s="25"/>
      <c r="BB21" s="25"/>
      <c r="BC21" s="25"/>
      <c r="BD21" s="27"/>
      <c r="BE21" s="25"/>
      <c r="BF21" s="27"/>
      <c r="BG21" s="25"/>
      <c r="BH21" s="27"/>
      <c r="BI21" s="27"/>
      <c r="BJ21" s="27"/>
      <c r="BK21" s="27"/>
      <c r="BL21" s="27"/>
      <c r="BM21" s="25"/>
      <c r="BN21" s="27"/>
      <c r="BO21" s="25"/>
      <c r="BP21" s="27"/>
      <c r="BQ21" s="27"/>
      <c r="BR21" s="27"/>
      <c r="BS21" s="25"/>
      <c r="BT21" s="27"/>
      <c r="BU21" s="25"/>
      <c r="BV21" s="27"/>
      <c r="BW21" s="25"/>
      <c r="BX21" s="27"/>
      <c r="BY21" s="27"/>
      <c r="BZ21" s="27"/>
      <c r="CA21" s="27"/>
      <c r="CB21" s="27"/>
      <c r="CC21" s="25"/>
      <c r="CD21" s="27"/>
      <c r="CE21" s="27"/>
      <c r="CF21" s="25"/>
      <c r="CG21" s="25"/>
      <c r="CH21" s="25"/>
      <c r="CI21" s="25"/>
      <c r="CJ21" s="25"/>
      <c r="CK21" s="28"/>
      <c r="CL21" s="25"/>
      <c r="CM21" s="25"/>
      <c r="CN21" s="25"/>
      <c r="CO21" s="27"/>
      <c r="CP21" s="25"/>
      <c r="CQ21" s="25"/>
      <c r="CR21" s="25"/>
      <c r="CS21" s="27"/>
      <c r="CT21" s="25"/>
      <c r="CU21" s="25"/>
      <c r="CV21" s="28"/>
      <c r="CW21" s="25"/>
      <c r="CX21" s="25"/>
      <c r="CY21" s="25"/>
      <c r="CZ21" s="25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>
        <f>+J21</f>
        <v>0</v>
      </c>
      <c r="EM21" s="28"/>
      <c r="EN21" s="28">
        <f t="shared" si="3"/>
        <v>0</v>
      </c>
      <c r="EO21" s="28">
        <f t="shared" si="4"/>
        <v>0</v>
      </c>
      <c r="EP21" s="28">
        <f t="shared" si="6"/>
        <v>0</v>
      </c>
    </row>
    <row r="22" spans="1:146">
      <c r="B22" s="9">
        <f t="shared" si="5"/>
        <v>44197</v>
      </c>
      <c r="C22" s="137"/>
      <c r="D22" s="436" t="s">
        <v>503</v>
      </c>
      <c r="E22" s="25">
        <f>+F22+J22+L22+N22+T22+V22+X22+AB22+AD22+AF22+AL22+AN22+AP22+AU22+AW22+AY22+BC22+BE22+BG22+BM22+BO22+BQ22+BW22+CC22+CE22+CG22+CL22+CN22+CP22+CR22+CT22+CW22+CY22+DA22+DC22+DE22+DG22+DI22+DK22+DM22+DO22+DQ22+DS22+EE22+EG22+EI22+EK22+R22+H22+CI22+BA22+AR22</f>
        <v>0</v>
      </c>
      <c r="F22" s="26"/>
      <c r="G22" s="27">
        <f>+DC22</f>
        <v>0</v>
      </c>
      <c r="H22" s="27"/>
      <c r="I22" s="27"/>
      <c r="J22" s="27"/>
      <c r="K22" s="27"/>
      <c r="L22" s="27"/>
      <c r="M22" s="27"/>
      <c r="N22" s="25"/>
      <c r="O22" s="27"/>
      <c r="P22" s="27"/>
      <c r="Q22" s="27"/>
      <c r="R22" s="25"/>
      <c r="S22" s="27"/>
      <c r="T22" s="25"/>
      <c r="U22" s="25"/>
      <c r="V22" s="25"/>
      <c r="W22" s="25"/>
      <c r="X22" s="27"/>
      <c r="Y22" s="27"/>
      <c r="Z22" s="27"/>
      <c r="AA22" s="27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7"/>
      <c r="AP22" s="25"/>
      <c r="AQ22" s="25"/>
      <c r="AR22" s="25"/>
      <c r="AS22" s="25"/>
      <c r="AT22" s="28"/>
      <c r="AU22" s="25"/>
      <c r="AV22" s="25"/>
      <c r="AW22" s="25"/>
      <c r="AX22" s="25"/>
      <c r="AY22" s="25"/>
      <c r="AZ22" s="27"/>
      <c r="BA22" s="25"/>
      <c r="BB22" s="25"/>
      <c r="BC22" s="25"/>
      <c r="BD22" s="27"/>
      <c r="BE22" s="25"/>
      <c r="BF22" s="27"/>
      <c r="BG22" s="25"/>
      <c r="BH22" s="27"/>
      <c r="BI22" s="27"/>
      <c r="BJ22" s="27"/>
      <c r="BK22" s="27"/>
      <c r="BL22" s="27"/>
      <c r="BM22" s="25"/>
      <c r="BN22" s="27"/>
      <c r="BO22" s="25"/>
      <c r="BP22" s="27"/>
      <c r="BQ22" s="27"/>
      <c r="BR22" s="27"/>
      <c r="BS22" s="25"/>
      <c r="BT22" s="27"/>
      <c r="BU22" s="25"/>
      <c r="BV22" s="27"/>
      <c r="BW22" s="25"/>
      <c r="BX22" s="27"/>
      <c r="BY22" s="27"/>
      <c r="BZ22" s="27"/>
      <c r="CA22" s="27"/>
      <c r="CB22" s="27"/>
      <c r="CC22" s="25"/>
      <c r="CD22" s="27"/>
      <c r="CE22" s="27"/>
      <c r="CF22" s="25"/>
      <c r="CG22" s="25"/>
      <c r="CH22" s="25"/>
      <c r="CI22" s="25"/>
      <c r="CJ22" s="25"/>
      <c r="CK22" s="28"/>
      <c r="CL22" s="25"/>
      <c r="CM22" s="25"/>
      <c r="CN22" s="25"/>
      <c r="CO22" s="27"/>
      <c r="CP22" s="25"/>
      <c r="CQ22" s="25"/>
      <c r="CR22" s="25"/>
      <c r="CS22" s="27"/>
      <c r="CT22" s="25"/>
      <c r="CU22" s="25"/>
      <c r="CV22" s="28"/>
      <c r="CW22" s="25"/>
      <c r="CX22" s="25"/>
      <c r="CY22" s="25"/>
      <c r="CZ22" s="25"/>
      <c r="DA22" s="25"/>
      <c r="DB22" s="27"/>
      <c r="DC22" s="27">
        <f>+DATOS!O36</f>
        <v>0</v>
      </c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8"/>
      <c r="EN22" s="28">
        <f t="shared" si="3"/>
        <v>0</v>
      </c>
      <c r="EO22" s="28">
        <f t="shared" si="4"/>
        <v>0</v>
      </c>
      <c r="EP22" s="28">
        <f t="shared" si="6"/>
        <v>0</v>
      </c>
    </row>
    <row r="23" spans="1:146">
      <c r="B23" s="39"/>
      <c r="C23" s="94"/>
      <c r="D23" s="40"/>
      <c r="E23" s="41"/>
      <c r="F23" s="42"/>
      <c r="G23" s="43"/>
      <c r="H23" s="43"/>
      <c r="I23" s="43"/>
      <c r="J23" s="43"/>
      <c r="K23" s="43"/>
      <c r="L23" s="43"/>
      <c r="M23" s="43"/>
      <c r="N23" s="41"/>
      <c r="O23" s="43"/>
      <c r="P23" s="43"/>
      <c r="Q23" s="43"/>
      <c r="R23" s="41"/>
      <c r="S23" s="43"/>
      <c r="T23" s="41"/>
      <c r="U23" s="41"/>
      <c r="V23" s="41"/>
      <c r="W23" s="41"/>
      <c r="X23" s="43"/>
      <c r="Y23" s="43"/>
      <c r="Z23" s="43"/>
      <c r="AA23" s="43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3"/>
      <c r="AP23" s="41"/>
      <c r="AQ23" s="41"/>
      <c r="AR23" s="41"/>
      <c r="AS23" s="41"/>
      <c r="AT23" s="28"/>
      <c r="AU23" s="41"/>
      <c r="AV23" s="41"/>
      <c r="AW23" s="41"/>
      <c r="AX23" s="41"/>
      <c r="AY23" s="41"/>
      <c r="AZ23" s="43"/>
      <c r="BA23" s="41"/>
      <c r="BB23" s="41"/>
      <c r="BC23" s="41"/>
      <c r="BD23" s="43"/>
      <c r="BE23" s="41"/>
      <c r="BF23" s="43"/>
      <c r="BG23" s="41"/>
      <c r="BH23" s="43"/>
      <c r="BI23" s="43"/>
      <c r="BJ23" s="43"/>
      <c r="BK23" s="43"/>
      <c r="BL23" s="43"/>
      <c r="BM23" s="41"/>
      <c r="BN23" s="43"/>
      <c r="BO23" s="41"/>
      <c r="BP23" s="43"/>
      <c r="BQ23" s="43"/>
      <c r="BR23" s="43"/>
      <c r="BS23" s="41"/>
      <c r="BT23" s="43"/>
      <c r="BU23" s="41"/>
      <c r="BV23" s="43"/>
      <c r="BW23" s="41"/>
      <c r="BX23" s="43"/>
      <c r="BY23" s="43"/>
      <c r="BZ23" s="43"/>
      <c r="CA23" s="43"/>
      <c r="CB23" s="43"/>
      <c r="CC23" s="41"/>
      <c r="CD23" s="43"/>
      <c r="CE23" s="43"/>
      <c r="CF23" s="41"/>
      <c r="CG23" s="41"/>
      <c r="CH23" s="41"/>
      <c r="CI23" s="41"/>
      <c r="CJ23" s="41"/>
      <c r="CK23" s="28"/>
      <c r="CL23" s="41"/>
      <c r="CM23" s="41"/>
      <c r="CN23" s="41"/>
      <c r="CO23" s="43"/>
      <c r="CP23" s="41"/>
      <c r="CQ23" s="41"/>
      <c r="CR23" s="41"/>
      <c r="CS23" s="43"/>
      <c r="CT23" s="41"/>
      <c r="CU23" s="41"/>
      <c r="CV23" s="28"/>
      <c r="CW23" s="41"/>
      <c r="CX23" s="41"/>
      <c r="CY23" s="41"/>
      <c r="CZ23" s="41"/>
      <c r="DA23" s="41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28"/>
      <c r="EN23" s="28">
        <f t="shared" si="3"/>
        <v>0</v>
      </c>
      <c r="EO23" s="28">
        <f t="shared" si="4"/>
        <v>0</v>
      </c>
      <c r="EP23" s="28">
        <f t="shared" ref="EP23:EP32" si="7">+EN23-EO23</f>
        <v>0</v>
      </c>
    </row>
    <row r="24" spans="1:146">
      <c r="B24" s="35">
        <f>+B22+30+28</f>
        <v>44255</v>
      </c>
      <c r="C24" s="91"/>
      <c r="D24" s="138" t="s">
        <v>112</v>
      </c>
      <c r="E24" s="25">
        <f t="shared" ref="E24:E30" si="8">+F24+J24+L24+N24+T24+V24+X24+AB24+AD24+AF24+AL24+AN24+AP24+AU24+AW24+AY24+BC24+BE24+BG24+BM24+BO24+BQ24+BW24+CC24+CE24+CG24+CL24+CN24+CP24+CR24+CT24+CW24+CY24+DA24+DC24+DE24+DG24+DI24+DK24+DM24+DO24+DQ24+DS24+EE24+EG24+EI24+EK24+R24+H24+CI24+BA24+AR24</f>
        <v>0</v>
      </c>
      <c r="F24" s="26"/>
      <c r="G24" s="27"/>
      <c r="H24" s="27"/>
      <c r="I24" s="27"/>
      <c r="J24" s="27"/>
      <c r="K24" s="27"/>
      <c r="L24" s="27"/>
      <c r="M24" s="27"/>
      <c r="N24" s="25"/>
      <c r="O24" s="27"/>
      <c r="P24" s="27"/>
      <c r="Q24" s="27"/>
      <c r="R24" s="25"/>
      <c r="S24" s="27"/>
      <c r="T24" s="25"/>
      <c r="U24" s="25"/>
      <c r="V24" s="25"/>
      <c r="W24" s="25"/>
      <c r="X24" s="27"/>
      <c r="Y24" s="27"/>
      <c r="Z24" s="27"/>
      <c r="AA24" s="27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7"/>
      <c r="AP24" s="25"/>
      <c r="AQ24" s="25"/>
      <c r="AR24" s="25"/>
      <c r="AS24" s="25"/>
      <c r="AT24" s="28"/>
      <c r="AU24" s="25"/>
      <c r="AV24" s="25"/>
      <c r="AW24" s="25"/>
      <c r="AX24" s="25"/>
      <c r="AY24" s="25"/>
      <c r="AZ24" s="27"/>
      <c r="BA24" s="25"/>
      <c r="BB24" s="25"/>
      <c r="BC24" s="25"/>
      <c r="BD24" s="27"/>
      <c r="BE24" s="25"/>
      <c r="BF24" s="27"/>
      <c r="BG24" s="25"/>
      <c r="BH24" s="27"/>
      <c r="BI24" s="27"/>
      <c r="BJ24" s="27"/>
      <c r="BK24" s="27"/>
      <c r="BL24" s="27"/>
      <c r="BM24" s="25"/>
      <c r="BN24" s="27"/>
      <c r="BO24" s="25"/>
      <c r="BP24" s="27"/>
      <c r="BQ24" s="27"/>
      <c r="BR24" s="27"/>
      <c r="BS24" s="25"/>
      <c r="BT24" s="27"/>
      <c r="BU24" s="25"/>
      <c r="BV24" s="27"/>
      <c r="BW24" s="25"/>
      <c r="BX24" s="27"/>
      <c r="BY24" s="27"/>
      <c r="BZ24" s="27"/>
      <c r="CA24" s="27"/>
      <c r="CB24" s="27"/>
      <c r="CC24" s="25"/>
      <c r="CD24" s="27"/>
      <c r="CE24" s="25"/>
      <c r="CF24" s="25"/>
      <c r="CG24" s="25"/>
      <c r="CH24" s="25"/>
      <c r="CI24" s="25"/>
      <c r="CJ24" s="25"/>
      <c r="CK24" s="28"/>
      <c r="CL24" s="25"/>
      <c r="CM24" s="25"/>
      <c r="CN24" s="25"/>
      <c r="CO24" s="27"/>
      <c r="CP24" s="25"/>
      <c r="CQ24" s="25"/>
      <c r="CR24" s="25"/>
      <c r="CS24" s="27"/>
      <c r="CT24" s="25"/>
      <c r="CU24" s="25"/>
      <c r="CV24" s="28"/>
      <c r="CW24" s="25"/>
      <c r="CX24" s="25"/>
      <c r="CY24" s="25"/>
      <c r="CZ24" s="25"/>
      <c r="DA24" s="25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8"/>
      <c r="EN24" s="28">
        <f t="shared" si="3"/>
        <v>0</v>
      </c>
      <c r="EO24" s="28">
        <f t="shared" si="4"/>
        <v>0</v>
      </c>
      <c r="EP24" s="28">
        <f t="shared" si="7"/>
        <v>0</v>
      </c>
    </row>
    <row r="25" spans="1:146">
      <c r="B25" s="35">
        <f>+B22+30+28</f>
        <v>44255</v>
      </c>
      <c r="C25" s="91"/>
      <c r="D25" s="314" t="s">
        <v>320</v>
      </c>
      <c r="E25" s="478">
        <f>+F25+J25+L25+N25+T25+V25+X25+AB25+AD25+AF25+AL25+AN25+AP25+AU25+AW25+AY25+BC25+BE25+BG25+BM25+BO25+BQ25+BW25+CC25+CE25+CG25+CL25+CN25+CP25+CR25+CT25+CW25+CY25+DA25+DC25+DE25+DG25+DI25+DK25+DM25+DO25+DQ25+DS25+EE25+EG25+EI25+EK25+R25+H25+CI25+BA25+AR25</f>
        <v>0</v>
      </c>
      <c r="F25" s="26"/>
      <c r="G25" s="316">
        <f>+AU25</f>
        <v>0</v>
      </c>
      <c r="H25" s="27"/>
      <c r="I25" s="27"/>
      <c r="J25" s="27"/>
      <c r="K25" s="27"/>
      <c r="L25" s="27"/>
      <c r="M25" s="27"/>
      <c r="N25" s="25"/>
      <c r="O25" s="27"/>
      <c r="P25" s="27"/>
      <c r="Q25" s="27"/>
      <c r="R25" s="25"/>
      <c r="S25" s="27"/>
      <c r="T25" s="25"/>
      <c r="U25" s="25"/>
      <c r="V25" s="25"/>
      <c r="W25" s="25"/>
      <c r="X25" s="27"/>
      <c r="Y25" s="27"/>
      <c r="Z25" s="27"/>
      <c r="AA25" s="27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7"/>
      <c r="AP25" s="25"/>
      <c r="AQ25" s="25"/>
      <c r="AR25" s="25"/>
      <c r="AS25" s="25"/>
      <c r="AT25" s="28"/>
      <c r="AU25" s="315">
        <f>+AV16</f>
        <v>0</v>
      </c>
      <c r="AV25" s="25"/>
      <c r="AW25" s="25"/>
      <c r="AX25" s="25"/>
      <c r="AY25" s="25"/>
      <c r="AZ25" s="27"/>
      <c r="BA25" s="25"/>
      <c r="BB25" s="25"/>
      <c r="BC25" s="25"/>
      <c r="BD25" s="27"/>
      <c r="BE25" s="25"/>
      <c r="BF25" s="27"/>
      <c r="BG25" s="25"/>
      <c r="BH25" s="27"/>
      <c r="BI25" s="27"/>
      <c r="BJ25" s="27"/>
      <c r="BK25" s="27"/>
      <c r="BL25" s="27"/>
      <c r="BM25" s="25"/>
      <c r="BN25" s="27"/>
      <c r="BO25" s="25"/>
      <c r="BP25" s="27"/>
      <c r="BQ25" s="27"/>
      <c r="BR25" s="27"/>
      <c r="BS25" s="25"/>
      <c r="BT25" s="27"/>
      <c r="BU25" s="25"/>
      <c r="BV25" s="27"/>
      <c r="BW25" s="25"/>
      <c r="BX25" s="27"/>
      <c r="BY25" s="27"/>
      <c r="BZ25" s="27"/>
      <c r="CA25" s="27"/>
      <c r="CB25" s="27"/>
      <c r="CC25" s="25"/>
      <c r="CD25" s="27"/>
      <c r="CE25" s="27"/>
      <c r="CF25" s="25"/>
      <c r="CG25" s="25"/>
      <c r="CH25" s="25"/>
      <c r="CI25" s="25"/>
      <c r="CJ25" s="25"/>
      <c r="CK25" s="28"/>
      <c r="CL25" s="25"/>
      <c r="CM25" s="25"/>
      <c r="CN25" s="25"/>
      <c r="CO25" s="27"/>
      <c r="CP25" s="25"/>
      <c r="CQ25" s="25"/>
      <c r="CR25" s="25"/>
      <c r="CS25" s="27"/>
      <c r="CT25" s="25"/>
      <c r="CU25" s="25"/>
      <c r="CV25" s="28"/>
      <c r="CW25" s="25"/>
      <c r="CX25" s="25"/>
      <c r="CY25" s="25"/>
      <c r="CZ25" s="25"/>
      <c r="DA25" s="25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8"/>
      <c r="EN25" s="28">
        <f t="shared" si="3"/>
        <v>0</v>
      </c>
      <c r="EO25" s="28">
        <f t="shared" si="4"/>
        <v>0</v>
      </c>
      <c r="EP25" s="28">
        <f>+EN25-EO25</f>
        <v>0</v>
      </c>
    </row>
    <row r="26" spans="1:146">
      <c r="B26" s="35">
        <f>+B24</f>
        <v>44255</v>
      </c>
      <c r="C26" s="91"/>
      <c r="D26" s="216" t="s">
        <v>113</v>
      </c>
      <c r="E26" s="478">
        <f t="shared" si="8"/>
        <v>0</v>
      </c>
      <c r="F26" s="26"/>
      <c r="G26" s="427">
        <f>+L26+AW26+BE26+J26+BA26+BU26</f>
        <v>0</v>
      </c>
      <c r="H26" s="27"/>
      <c r="I26" s="27"/>
      <c r="J26" s="321"/>
      <c r="K26" s="27"/>
      <c r="L26" s="321">
        <f>+DATOS!F16</f>
        <v>0</v>
      </c>
      <c r="M26" s="27"/>
      <c r="N26" s="25"/>
      <c r="O26" s="27"/>
      <c r="P26" s="27"/>
      <c r="Q26" s="27"/>
      <c r="R26" s="25"/>
      <c r="S26" s="27"/>
      <c r="T26" s="25"/>
      <c r="U26" s="25"/>
      <c r="V26" s="25"/>
      <c r="W26" s="25"/>
      <c r="X26" s="27"/>
      <c r="Y26" s="27"/>
      <c r="Z26" s="27"/>
      <c r="AA26" s="27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7"/>
      <c r="AP26" s="25"/>
      <c r="AQ26" s="25"/>
      <c r="AR26" s="25"/>
      <c r="AS26" s="25"/>
      <c r="AT26" s="28"/>
      <c r="AU26" s="25"/>
      <c r="AV26" s="25"/>
      <c r="AW26" s="498">
        <f>+AX14</f>
        <v>0</v>
      </c>
      <c r="AX26" s="25"/>
      <c r="AY26" s="25"/>
      <c r="AZ26" s="27"/>
      <c r="BA26" s="216">
        <f>+BB16</f>
        <v>0</v>
      </c>
      <c r="BB26" s="25">
        <v>0</v>
      </c>
      <c r="BC26" s="25"/>
      <c r="BD26" s="27"/>
      <c r="BE26" s="25">
        <f>+BF16</f>
        <v>0</v>
      </c>
      <c r="BF26" s="27"/>
      <c r="BG26" s="25"/>
      <c r="BH26" s="27"/>
      <c r="BI26" s="27"/>
      <c r="BJ26" s="27"/>
      <c r="BK26" s="27"/>
      <c r="BL26" s="27"/>
      <c r="BM26" s="25"/>
      <c r="BN26" s="27"/>
      <c r="BO26" s="25"/>
      <c r="BP26" s="27"/>
      <c r="BQ26" s="27"/>
      <c r="BR26" s="27"/>
      <c r="BS26" s="25"/>
      <c r="BT26" s="27"/>
      <c r="BU26" s="25">
        <f>+BV16</f>
        <v>0</v>
      </c>
      <c r="BV26" s="27"/>
      <c r="BW26" s="25"/>
      <c r="BX26" s="27"/>
      <c r="BY26" s="27"/>
      <c r="BZ26" s="27"/>
      <c r="CA26" s="27"/>
      <c r="CB26" s="27"/>
      <c r="CC26" s="25"/>
      <c r="CD26" s="27"/>
      <c r="CE26" s="27"/>
      <c r="CF26" s="25"/>
      <c r="CG26" s="25"/>
      <c r="CH26" s="25"/>
      <c r="CI26" s="25"/>
      <c r="CJ26" s="25"/>
      <c r="CK26" s="28"/>
      <c r="CL26" s="25"/>
      <c r="CM26" s="25"/>
      <c r="CN26" s="25"/>
      <c r="CO26" s="27"/>
      <c r="CP26" s="25"/>
      <c r="CQ26" s="25"/>
      <c r="CR26" s="25"/>
      <c r="CS26" s="27"/>
      <c r="CT26" s="25"/>
      <c r="CU26" s="25"/>
      <c r="CV26" s="28"/>
      <c r="CW26" s="25"/>
      <c r="CX26" s="25"/>
      <c r="CY26" s="25"/>
      <c r="CZ26" s="25"/>
      <c r="DA26" s="25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8"/>
      <c r="EN26" s="28">
        <f t="shared" si="3"/>
        <v>0</v>
      </c>
      <c r="EO26" s="28">
        <f t="shared" si="4"/>
        <v>0</v>
      </c>
      <c r="EP26" s="28">
        <f t="shared" si="7"/>
        <v>0</v>
      </c>
    </row>
    <row r="27" spans="1:146">
      <c r="B27" s="35">
        <f>+B26</f>
        <v>44255</v>
      </c>
      <c r="C27" s="92"/>
      <c r="D27" s="210" t="s">
        <v>114</v>
      </c>
      <c r="E27" s="478">
        <f t="shared" si="8"/>
        <v>0</v>
      </c>
      <c r="F27" s="26"/>
      <c r="G27" s="219">
        <f>+J27+EG27+DY27+X27+CW27</f>
        <v>0</v>
      </c>
      <c r="H27" s="27"/>
      <c r="I27" s="27"/>
      <c r="J27" s="219">
        <f>+DATOS!E37</f>
        <v>0</v>
      </c>
      <c r="K27" s="27"/>
      <c r="L27" s="27"/>
      <c r="M27" s="27"/>
      <c r="N27" s="25"/>
      <c r="O27" s="27"/>
      <c r="P27" s="27"/>
      <c r="Q27" s="27"/>
      <c r="R27" s="25"/>
      <c r="S27" s="27"/>
      <c r="T27" s="25"/>
      <c r="U27" s="25"/>
      <c r="V27" s="25"/>
      <c r="W27" s="25"/>
      <c r="X27" s="219"/>
      <c r="Y27" s="27"/>
      <c r="Z27" s="27"/>
      <c r="AA27" s="27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7"/>
      <c r="AP27" s="25"/>
      <c r="AQ27" s="25"/>
      <c r="AR27" s="25"/>
      <c r="AS27" s="25"/>
      <c r="AT27" s="28"/>
      <c r="AU27" s="25"/>
      <c r="AV27" s="25"/>
      <c r="AW27" s="25"/>
      <c r="AX27" s="25"/>
      <c r="AY27" s="25"/>
      <c r="AZ27" s="27"/>
      <c r="BA27" s="25"/>
      <c r="BB27" s="25"/>
      <c r="BC27" s="25"/>
      <c r="BD27" s="27"/>
      <c r="BE27" s="25"/>
      <c r="BF27" s="27"/>
      <c r="BG27" s="25"/>
      <c r="BH27" s="27"/>
      <c r="BI27" s="27"/>
      <c r="BJ27" s="27"/>
      <c r="BK27" s="27"/>
      <c r="BL27" s="27"/>
      <c r="BM27" s="25"/>
      <c r="BN27" s="27"/>
      <c r="BO27" s="25"/>
      <c r="BP27" s="27"/>
      <c r="BQ27" s="27"/>
      <c r="BR27" s="27"/>
      <c r="BS27" s="25"/>
      <c r="BT27" s="27"/>
      <c r="BU27" s="25"/>
      <c r="BV27" s="27"/>
      <c r="BW27" s="25"/>
      <c r="BX27" s="27"/>
      <c r="BY27" s="27"/>
      <c r="BZ27" s="27"/>
      <c r="CA27" s="27"/>
      <c r="CB27" s="27"/>
      <c r="CC27" s="25"/>
      <c r="CD27" s="27"/>
      <c r="CE27" s="27"/>
      <c r="CF27" s="25"/>
      <c r="CG27" s="25"/>
      <c r="CH27" s="25"/>
      <c r="CI27" s="25"/>
      <c r="CJ27" s="25"/>
      <c r="CK27" s="28"/>
      <c r="CL27" s="25"/>
      <c r="CM27" s="25"/>
      <c r="CN27" s="25"/>
      <c r="CO27" s="27"/>
      <c r="CP27" s="25"/>
      <c r="CQ27" s="25"/>
      <c r="CR27" s="25"/>
      <c r="CS27" s="27"/>
      <c r="CT27" s="25"/>
      <c r="CU27" s="25"/>
      <c r="CV27" s="28"/>
      <c r="CW27" s="418">
        <f>+DATOS!F37</f>
        <v>0</v>
      </c>
      <c r="CX27" s="25"/>
      <c r="CY27" s="25"/>
      <c r="CZ27" s="25"/>
      <c r="DA27" s="25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20">
        <f>ROUND(+J27/0.19,0)-X27</f>
        <v>0</v>
      </c>
      <c r="EH27" s="25"/>
      <c r="EI27" s="25"/>
      <c r="EJ27" s="25"/>
      <c r="EK27" s="25"/>
      <c r="EL27" s="25"/>
      <c r="EM27" s="28"/>
      <c r="EN27" s="28">
        <f t="shared" si="3"/>
        <v>0</v>
      </c>
      <c r="EO27" s="28">
        <f t="shared" si="4"/>
        <v>0</v>
      </c>
      <c r="EP27" s="28">
        <f t="shared" si="7"/>
        <v>0</v>
      </c>
    </row>
    <row r="28" spans="1:146">
      <c r="B28" s="35">
        <f>+B27</f>
        <v>44255</v>
      </c>
      <c r="C28" s="91"/>
      <c r="D28" s="211" t="s">
        <v>115</v>
      </c>
      <c r="E28" s="478">
        <f t="shared" si="8"/>
        <v>0</v>
      </c>
      <c r="F28" s="320">
        <f>(+K28+CM28)+CO28</f>
        <v>0</v>
      </c>
      <c r="G28" s="27"/>
      <c r="H28" s="27"/>
      <c r="I28" s="27"/>
      <c r="J28" s="27"/>
      <c r="K28" s="221">
        <f>+DATOS!E16</f>
        <v>0</v>
      </c>
      <c r="L28" s="27"/>
      <c r="M28" s="27"/>
      <c r="N28" s="25"/>
      <c r="O28" s="27"/>
      <c r="P28" s="27"/>
      <c r="Q28" s="27"/>
      <c r="R28" s="25"/>
      <c r="S28" s="27"/>
      <c r="T28" s="25"/>
      <c r="U28" s="25"/>
      <c r="V28" s="25"/>
      <c r="W28" s="25"/>
      <c r="X28" s="27"/>
      <c r="Y28" s="27"/>
      <c r="Z28" s="27"/>
      <c r="AA28" s="27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7"/>
      <c r="AP28" s="25"/>
      <c r="AQ28" s="25"/>
      <c r="AR28" s="25"/>
      <c r="AS28" s="25"/>
      <c r="AT28" s="28"/>
      <c r="AU28" s="25"/>
      <c r="AV28" s="25"/>
      <c r="AW28" s="25"/>
      <c r="AX28" s="25"/>
      <c r="AY28" s="25"/>
      <c r="AZ28" s="27"/>
      <c r="BA28" s="25"/>
      <c r="BB28" s="25"/>
      <c r="BC28" s="25"/>
      <c r="BD28" s="27"/>
      <c r="BE28" s="25"/>
      <c r="BF28" s="27"/>
      <c r="BG28" s="25"/>
      <c r="BH28" s="27"/>
      <c r="BI28" s="27"/>
      <c r="BJ28" s="27"/>
      <c r="BK28" s="27"/>
      <c r="BL28" s="27"/>
      <c r="BM28" s="25"/>
      <c r="BN28" s="27"/>
      <c r="BO28" s="25"/>
      <c r="BP28" s="27"/>
      <c r="BQ28" s="27"/>
      <c r="BR28" s="27"/>
      <c r="BS28" s="25"/>
      <c r="BT28" s="27"/>
      <c r="BU28" s="25"/>
      <c r="BV28" s="27"/>
      <c r="BW28" s="25"/>
      <c r="BX28" s="27"/>
      <c r="BY28" s="27"/>
      <c r="BZ28" s="27"/>
      <c r="CA28" s="27"/>
      <c r="CB28" s="27"/>
      <c r="CC28" s="25"/>
      <c r="CD28" s="27"/>
      <c r="CE28" s="27"/>
      <c r="CF28" s="25"/>
      <c r="CG28" s="25"/>
      <c r="CH28" s="25"/>
      <c r="CI28" s="25"/>
      <c r="CJ28" s="25"/>
      <c r="CK28" s="28"/>
      <c r="CL28" s="25"/>
      <c r="CM28" s="320">
        <f>ROUND(+K28/0.19,0)</f>
        <v>0</v>
      </c>
      <c r="CN28" s="25"/>
      <c r="CO28" s="221">
        <f>+DATOS!D16</f>
        <v>0</v>
      </c>
      <c r="CP28" s="25"/>
      <c r="CQ28" s="25"/>
      <c r="CR28" s="25"/>
      <c r="CS28" s="27"/>
      <c r="CT28" s="25"/>
      <c r="CU28" s="25"/>
      <c r="CV28" s="28"/>
      <c r="CW28" s="25"/>
      <c r="CX28" s="25"/>
      <c r="CY28" s="25"/>
      <c r="CZ28" s="25"/>
      <c r="DA28" s="25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8"/>
      <c r="EN28" s="28">
        <f t="shared" si="3"/>
        <v>0</v>
      </c>
      <c r="EO28" s="28">
        <f t="shared" si="4"/>
        <v>0</v>
      </c>
      <c r="EP28" s="28">
        <f t="shared" si="7"/>
        <v>0</v>
      </c>
    </row>
    <row r="29" spans="1:146">
      <c r="B29" s="35">
        <f>+B28</f>
        <v>44255</v>
      </c>
      <c r="C29" s="91"/>
      <c r="D29" s="434"/>
      <c r="E29" s="25">
        <f>+F29+J29+L29+N29+T29+V29+X29+AB29+AD29+AF29+AL29+AN29+AP29+AU29+AW29+AY29+BC29+BE29+BG29+BM29+BO29+BQ29+BW29+CC29+CE29+CG29+CL29+CN29+CP29+CR29+CT29+CW29+CY29+DA29+DC29+DE29+DG29+DI29+DK29+DM29+DO29+DQ29+DS29+EE29+EG29+EI29+EK29+R29+H29+CI29+BA29+AR29+DU29</f>
        <v>0</v>
      </c>
      <c r="F29" s="26"/>
      <c r="G29" s="286">
        <f>+DU29</f>
        <v>0</v>
      </c>
      <c r="H29" s="27"/>
      <c r="I29" s="27"/>
      <c r="J29" s="27"/>
      <c r="K29" s="27"/>
      <c r="L29" s="27"/>
      <c r="M29" s="27"/>
      <c r="N29" s="25"/>
      <c r="O29" s="27"/>
      <c r="P29" s="27"/>
      <c r="Q29" s="27"/>
      <c r="R29" s="25"/>
      <c r="S29" s="27"/>
      <c r="T29" s="25"/>
      <c r="U29" s="25"/>
      <c r="V29" s="25"/>
      <c r="W29" s="25"/>
      <c r="X29" s="27"/>
      <c r="Y29" s="27"/>
      <c r="Z29" s="27"/>
      <c r="AA29" s="27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7"/>
      <c r="AP29" s="25"/>
      <c r="AQ29" s="25"/>
      <c r="AR29" s="25"/>
      <c r="AS29" s="25"/>
      <c r="AT29" s="28"/>
      <c r="AU29" s="25"/>
      <c r="AV29" s="25"/>
      <c r="AW29" s="25"/>
      <c r="AX29" s="25"/>
      <c r="AY29" s="25"/>
      <c r="AZ29" s="27"/>
      <c r="BA29" s="25"/>
      <c r="BB29" s="25"/>
      <c r="BC29" s="25"/>
      <c r="BD29" s="27"/>
      <c r="BE29" s="25"/>
      <c r="BF29" s="27"/>
      <c r="BG29" s="25"/>
      <c r="BH29" s="27"/>
      <c r="BI29" s="27"/>
      <c r="BJ29" s="27"/>
      <c r="BK29" s="27"/>
      <c r="BL29" s="27"/>
      <c r="BM29" s="25"/>
      <c r="BN29" s="27"/>
      <c r="BO29" s="25"/>
      <c r="BP29" s="27"/>
      <c r="BQ29" s="27"/>
      <c r="BR29" s="27"/>
      <c r="BS29" s="25"/>
      <c r="BT29" s="27"/>
      <c r="BU29" s="25"/>
      <c r="BV29" s="27"/>
      <c r="BW29" s="25"/>
      <c r="BX29" s="27"/>
      <c r="BY29" s="27"/>
      <c r="BZ29" s="27"/>
      <c r="CA29" s="27"/>
      <c r="CB29" s="27"/>
      <c r="CC29" s="25"/>
      <c r="CD29" s="27"/>
      <c r="CE29" s="27"/>
      <c r="CF29" s="25"/>
      <c r="CG29" s="25"/>
      <c r="CH29" s="25"/>
      <c r="CI29" s="25"/>
      <c r="CJ29" s="25"/>
      <c r="CK29" s="28"/>
      <c r="CL29" s="25"/>
      <c r="CM29" s="25"/>
      <c r="CN29" s="25"/>
      <c r="CO29" s="27"/>
      <c r="CP29" s="25"/>
      <c r="CQ29" s="25"/>
      <c r="CR29" s="25"/>
      <c r="CS29" s="27"/>
      <c r="CT29" s="25"/>
      <c r="CU29" s="25"/>
      <c r="CV29" s="28"/>
      <c r="CW29" s="25"/>
      <c r="CX29" s="25"/>
      <c r="CY29" s="25"/>
      <c r="CZ29" s="25"/>
      <c r="DA29" s="25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5"/>
      <c r="DP29" s="25"/>
      <c r="DQ29" s="25"/>
      <c r="DR29" s="25"/>
      <c r="DS29" s="25"/>
      <c r="DT29" s="25"/>
      <c r="DU29" s="215"/>
      <c r="DV29" s="25"/>
      <c r="DW29" s="25"/>
      <c r="DX29" s="25"/>
      <c r="DY29" s="21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>
        <f>+J29</f>
        <v>0</v>
      </c>
      <c r="EM29" s="28"/>
      <c r="EN29" s="28">
        <f t="shared" si="3"/>
        <v>0</v>
      </c>
      <c r="EO29" s="28">
        <f t="shared" si="4"/>
        <v>0</v>
      </c>
      <c r="EP29" s="28">
        <f t="shared" si="7"/>
        <v>0</v>
      </c>
    </row>
    <row r="30" spans="1:146">
      <c r="B30" s="35">
        <f>+B29</f>
        <v>44255</v>
      </c>
      <c r="C30" s="91"/>
      <c r="D30" s="492" t="s">
        <v>459</v>
      </c>
      <c r="E30" s="25">
        <f t="shared" si="8"/>
        <v>0</v>
      </c>
      <c r="F30" s="26"/>
      <c r="G30" s="27">
        <f>+DS30-AX30</f>
        <v>0</v>
      </c>
      <c r="H30" s="27"/>
      <c r="I30" s="27"/>
      <c r="J30" s="27"/>
      <c r="K30" s="27"/>
      <c r="L30" s="27"/>
      <c r="M30" s="27"/>
      <c r="N30" s="25"/>
      <c r="O30" s="27"/>
      <c r="P30" s="27"/>
      <c r="Q30" s="27"/>
      <c r="R30" s="25"/>
      <c r="S30" s="27"/>
      <c r="T30" s="25"/>
      <c r="U30" s="25"/>
      <c r="V30" s="25"/>
      <c r="W30" s="25"/>
      <c r="X30" s="27"/>
      <c r="Y30" s="27"/>
      <c r="Z30" s="27"/>
      <c r="AA30" s="27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7"/>
      <c r="AP30" s="25"/>
      <c r="AQ30" s="25"/>
      <c r="AR30" s="25"/>
      <c r="AS30" s="25"/>
      <c r="AT30" s="28"/>
      <c r="AU30" s="25"/>
      <c r="AV30" s="25"/>
      <c r="AW30" s="25"/>
      <c r="AX30" s="217">
        <f>+DATOS!G16</f>
        <v>0</v>
      </c>
      <c r="AY30" s="25"/>
      <c r="AZ30" s="27"/>
      <c r="BA30" s="25"/>
      <c r="BB30" s="25"/>
      <c r="BC30" s="25"/>
      <c r="BD30" s="27"/>
      <c r="BE30" s="25"/>
      <c r="BF30" s="27"/>
      <c r="BG30" s="25"/>
      <c r="BH30" s="27"/>
      <c r="BI30" s="27"/>
      <c r="BJ30" s="27"/>
      <c r="BK30" s="27"/>
      <c r="BL30" s="27"/>
      <c r="BM30" s="25"/>
      <c r="BN30" s="27">
        <v>0</v>
      </c>
      <c r="BO30" s="25"/>
      <c r="BP30" s="27"/>
      <c r="BQ30" s="27"/>
      <c r="BR30" s="27"/>
      <c r="BS30" s="25"/>
      <c r="BT30" s="27"/>
      <c r="BU30" s="25"/>
      <c r="BV30" s="27"/>
      <c r="BW30" s="25"/>
      <c r="BX30" s="27"/>
      <c r="BY30" s="27"/>
      <c r="BZ30" s="27"/>
      <c r="CA30" s="27"/>
      <c r="CB30" s="27"/>
      <c r="CC30" s="25"/>
      <c r="CD30" s="27"/>
      <c r="CE30" s="27"/>
      <c r="CF30" s="25"/>
      <c r="CG30" s="25"/>
      <c r="CH30" s="25"/>
      <c r="CI30" s="25"/>
      <c r="CJ30" s="25"/>
      <c r="CK30" s="28"/>
      <c r="CL30" s="25"/>
      <c r="CM30" s="25"/>
      <c r="CN30" s="25"/>
      <c r="CO30" s="27"/>
      <c r="CP30" s="25"/>
      <c r="CQ30" s="25"/>
      <c r="CR30" s="25"/>
      <c r="CS30" s="27"/>
      <c r="CT30" s="25"/>
      <c r="CU30" s="25"/>
      <c r="CV30" s="28"/>
      <c r="CW30" s="25"/>
      <c r="CX30" s="25"/>
      <c r="CY30" s="25"/>
      <c r="CZ30" s="25"/>
      <c r="DA30" s="25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5"/>
      <c r="DP30" s="25"/>
      <c r="DQ30" s="25"/>
      <c r="DR30" s="25"/>
      <c r="DS30" s="218">
        <f>ROUND(+AX30/0.13,0)</f>
        <v>0</v>
      </c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8"/>
      <c r="EN30" s="28">
        <f t="shared" si="3"/>
        <v>0</v>
      </c>
      <c r="EO30" s="28">
        <f t="shared" si="4"/>
        <v>0</v>
      </c>
      <c r="EP30" s="28">
        <f t="shared" si="7"/>
        <v>0</v>
      </c>
    </row>
    <row r="31" spans="1:146">
      <c r="B31" s="35">
        <f>+B29</f>
        <v>44255</v>
      </c>
      <c r="C31" s="91"/>
      <c r="D31" s="138" t="s">
        <v>149</v>
      </c>
      <c r="E31" s="25">
        <f>+F31+J31+L31+N31+T31+V31+X31+AB31+AD31+AF31+AL31+AN31+AP31+AU31+AW31+AY31+BC31+BE31+BG31+BM31+BO31+BQ31+BW31+CC31+CE31+CG31+CL31+CN31+CP31+CR31+CT31+CW31+CY31+DA31+DC31+DE31+DG31+DI31+DK31+DM31+DO31+DQ31+DS31+EE31+EG31+EI31+EK31+R31+H31+CI31+BA31+AR31</f>
        <v>0</v>
      </c>
      <c r="F31" s="26"/>
      <c r="G31" s="283"/>
      <c r="H31" s="27"/>
      <c r="I31" s="27"/>
      <c r="J31" s="27"/>
      <c r="K31" s="27"/>
      <c r="L31" s="27"/>
      <c r="M31" s="27"/>
      <c r="N31" s="25"/>
      <c r="O31" s="27"/>
      <c r="P31" s="27"/>
      <c r="Q31" s="27"/>
      <c r="R31" s="25"/>
      <c r="S31" s="27"/>
      <c r="T31" s="25"/>
      <c r="U31" s="25"/>
      <c r="V31" s="25"/>
      <c r="W31" s="25"/>
      <c r="X31" s="27"/>
      <c r="Y31" s="27"/>
      <c r="Z31" s="27"/>
      <c r="AA31" s="27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7"/>
      <c r="AP31" s="25"/>
      <c r="AQ31" s="25"/>
      <c r="AR31" s="25"/>
      <c r="AS31" s="25"/>
      <c r="AT31" s="28"/>
      <c r="AU31" s="25"/>
      <c r="AV31" s="25"/>
      <c r="AW31" s="25"/>
      <c r="AX31" s="25"/>
      <c r="AY31" s="25"/>
      <c r="AZ31" s="27"/>
      <c r="BA31" s="25"/>
      <c r="BB31" s="25"/>
      <c r="BC31" s="25"/>
      <c r="BD31" s="27"/>
      <c r="BE31" s="25"/>
      <c r="BF31" s="27"/>
      <c r="BG31" s="25"/>
      <c r="BH31" s="27"/>
      <c r="BI31" s="27"/>
      <c r="BJ31" s="27"/>
      <c r="BK31" s="27"/>
      <c r="BL31" s="27"/>
      <c r="BM31" s="25"/>
      <c r="BN31" s="27"/>
      <c r="BO31" s="25"/>
      <c r="BP31" s="27"/>
      <c r="BQ31" s="27"/>
      <c r="BR31" s="27"/>
      <c r="BS31" s="25"/>
      <c r="BT31" s="27"/>
      <c r="BU31" s="25"/>
      <c r="BV31" s="27"/>
      <c r="BW31" s="25"/>
      <c r="BX31" s="27"/>
      <c r="BY31" s="27"/>
      <c r="BZ31" s="27"/>
      <c r="CA31" s="27"/>
      <c r="CB31" s="27"/>
      <c r="CC31" s="25"/>
      <c r="CD31" s="27"/>
      <c r="CE31" s="27"/>
      <c r="CF31" s="25"/>
      <c r="CG31" s="25"/>
      <c r="CH31" s="25"/>
      <c r="CI31" s="25"/>
      <c r="CJ31" s="25"/>
      <c r="CK31" s="28"/>
      <c r="CL31" s="25"/>
      <c r="CM31" s="25"/>
      <c r="CN31" s="25"/>
      <c r="CO31" s="27"/>
      <c r="CP31" s="25"/>
      <c r="CQ31" s="25"/>
      <c r="CR31" s="25"/>
      <c r="CS31" s="27"/>
      <c r="CT31" s="25"/>
      <c r="CU31" s="25"/>
      <c r="CV31" s="28"/>
      <c r="CW31" s="25"/>
      <c r="CX31" s="25"/>
      <c r="CY31" s="25"/>
      <c r="CZ31" s="25"/>
      <c r="DA31" s="25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8"/>
      <c r="EN31" s="28">
        <f t="shared" si="3"/>
        <v>0</v>
      </c>
      <c r="EO31" s="28">
        <f t="shared" si="4"/>
        <v>0</v>
      </c>
      <c r="EP31" s="28">
        <f t="shared" si="7"/>
        <v>0</v>
      </c>
    </row>
    <row r="32" spans="1:146">
      <c r="B32" s="35">
        <f>+B28</f>
        <v>44255</v>
      </c>
      <c r="C32" s="91"/>
      <c r="D32" s="213" t="s">
        <v>195</v>
      </c>
      <c r="E32" s="478">
        <f>+F32+J32+L32+N32+T32+V32+X32+AB32+AD32+AF32+AL32+AN32+AP32+AU32+AW32+AY32+BC32+BE32+BG32+BM32+BO32+BQ32+BW32+CC32+CE32+CG32+CL32+CN32+CP32+CR32+CT32+CW32+CY32+DA32+DC32+DE32+DG32+DI32+DK32+DM32+DO32+DQ32+DS32+EE32+EG32+EI32+EK32+R32+H32+CI32+BA32+AR32+DU32</f>
        <v>0</v>
      </c>
      <c r="F32" s="26">
        <f>+BV32</f>
        <v>0</v>
      </c>
      <c r="G32" s="286">
        <f>+DU32-BB32-AV32-AQ32+DY32+BR32</f>
        <v>0</v>
      </c>
      <c r="H32" s="27"/>
      <c r="I32" s="27"/>
      <c r="J32" s="27"/>
      <c r="K32" s="27"/>
      <c r="L32" s="27"/>
      <c r="M32" s="27"/>
      <c r="N32" s="25"/>
      <c r="O32" s="27"/>
      <c r="P32" s="27"/>
      <c r="Q32" s="27"/>
      <c r="R32" s="25"/>
      <c r="S32" s="27"/>
      <c r="T32" s="25"/>
      <c r="U32" s="25"/>
      <c r="V32" s="25"/>
      <c r="W32" s="25"/>
      <c r="X32" s="27"/>
      <c r="Y32" s="27"/>
      <c r="Z32" s="27"/>
      <c r="AA32" s="27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7"/>
      <c r="AP32" s="213"/>
      <c r="AQ32" s="215">
        <f>+DATOS!K37</f>
        <v>0</v>
      </c>
      <c r="AR32" s="25"/>
      <c r="AS32" s="25"/>
      <c r="AT32" s="28"/>
      <c r="AU32" s="25"/>
      <c r="AV32" s="215">
        <f>+DATOS!J37+DATOS!M37</f>
        <v>0</v>
      </c>
      <c r="AW32" s="25"/>
      <c r="AX32" s="25"/>
      <c r="AY32" s="25"/>
      <c r="AZ32" s="27"/>
      <c r="BA32" s="25"/>
      <c r="BB32" s="214">
        <f>+DATOS!I37</f>
        <v>0</v>
      </c>
      <c r="BC32" s="25"/>
      <c r="BD32" s="27"/>
      <c r="BE32" s="25"/>
      <c r="BF32" s="27"/>
      <c r="BG32" s="25"/>
      <c r="BH32" s="27"/>
      <c r="BI32" s="27"/>
      <c r="BJ32" s="27"/>
      <c r="BK32" s="27"/>
      <c r="BL32" s="27"/>
      <c r="BM32" s="25"/>
      <c r="BN32" s="27"/>
      <c r="BO32" s="25"/>
      <c r="BP32" s="27"/>
      <c r="BQ32" s="27"/>
      <c r="BR32" s="27"/>
      <c r="BS32" s="27"/>
      <c r="BT32" s="27"/>
      <c r="BU32" s="27"/>
      <c r="BV32" s="27"/>
      <c r="BW32" s="25"/>
      <c r="BX32" s="27"/>
      <c r="BY32" s="27"/>
      <c r="BZ32" s="27"/>
      <c r="CA32" s="27"/>
      <c r="CB32" s="27"/>
      <c r="CC32" s="25"/>
      <c r="CD32" s="27"/>
      <c r="CE32" s="27"/>
      <c r="CF32" s="25"/>
      <c r="CG32" s="25"/>
      <c r="CH32" s="25"/>
      <c r="CI32" s="25"/>
      <c r="CJ32" s="25"/>
      <c r="CK32" s="28"/>
      <c r="CL32" s="25"/>
      <c r="CM32" s="25"/>
      <c r="CN32" s="25"/>
      <c r="CO32" s="27"/>
      <c r="CP32" s="25"/>
      <c r="CQ32" s="25"/>
      <c r="CR32" s="25"/>
      <c r="CS32" s="27"/>
      <c r="CT32" s="25"/>
      <c r="CU32" s="25"/>
      <c r="CV32" s="28"/>
      <c r="CW32" s="25"/>
      <c r="CX32" s="25"/>
      <c r="CY32" s="25"/>
      <c r="CZ32" s="25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5"/>
      <c r="DP32" s="25"/>
      <c r="DQ32" s="25"/>
      <c r="DR32" s="25"/>
      <c r="DS32" s="25"/>
      <c r="DT32" s="25"/>
      <c r="DU32" s="215">
        <f>+DATOS!G37</f>
        <v>0</v>
      </c>
      <c r="DV32" s="25"/>
      <c r="DW32" s="25"/>
      <c r="DX32" s="25"/>
      <c r="DY32" s="215">
        <f>+DATOS!M37</f>
        <v>0</v>
      </c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8"/>
      <c r="EN32" s="28">
        <f>+F32+J32+L32+N32+T32+V32+X32+AB32+AD32+AF32+AL32+AN32+AP32+AU32+AW32+AY32+BC32+BE32+BG32+BM32+BO32+BQ32+BU32+BW32+BY32+CC32+CE32+CG32+CL32+CN32+CP32+CR32+CT32+CW32+CY32+DA32+DC32+DE32+DG32+DI32+DK32+DM32+DO32+DQ32+DS32+EE32+EG32+EI32+EK32+H32+R32+AR32+BA32+CI32+DY32+DU32</f>
        <v>0</v>
      </c>
      <c r="EO32" s="28">
        <f t="shared" si="4"/>
        <v>0</v>
      </c>
      <c r="EP32" s="28">
        <f t="shared" si="7"/>
        <v>0</v>
      </c>
    </row>
    <row r="33" spans="2:146">
      <c r="B33" s="35">
        <f t="shared" ref="B33:B39" si="9">+B29</f>
        <v>44255</v>
      </c>
      <c r="C33" s="91"/>
      <c r="D33" s="485" t="s">
        <v>488</v>
      </c>
      <c r="E33" s="478"/>
      <c r="F33" s="26"/>
      <c r="G33" s="278">
        <f>+BY33</f>
        <v>0</v>
      </c>
      <c r="H33" s="27"/>
      <c r="I33" s="27"/>
      <c r="J33" s="27"/>
      <c r="K33" s="27"/>
      <c r="L33" s="27"/>
      <c r="M33" s="27"/>
      <c r="N33" s="25"/>
      <c r="O33" s="27"/>
      <c r="P33" s="27"/>
      <c r="Q33" s="27"/>
      <c r="R33" s="25"/>
      <c r="S33" s="27"/>
      <c r="T33" s="25"/>
      <c r="U33" s="25"/>
      <c r="V33" s="25"/>
      <c r="W33" s="25"/>
      <c r="X33" s="27"/>
      <c r="Y33" s="27"/>
      <c r="Z33" s="27"/>
      <c r="AA33" s="27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7"/>
      <c r="AP33" s="517"/>
      <c r="AQ33" s="215"/>
      <c r="AR33" s="25"/>
      <c r="AS33" s="25"/>
      <c r="AT33" s="28"/>
      <c r="AU33" s="25"/>
      <c r="AV33" s="215"/>
      <c r="AW33" s="25"/>
      <c r="AX33" s="25"/>
      <c r="AY33" s="25"/>
      <c r="AZ33" s="27"/>
      <c r="BA33" s="25"/>
      <c r="BB33" s="214"/>
      <c r="BC33" s="25"/>
      <c r="BD33" s="27"/>
      <c r="BE33" s="25"/>
      <c r="BF33" s="27"/>
      <c r="BG33" s="25"/>
      <c r="BH33" s="27"/>
      <c r="BI33" s="27"/>
      <c r="BJ33" s="27"/>
      <c r="BK33" s="27"/>
      <c r="BL33" s="27"/>
      <c r="BM33" s="25"/>
      <c r="BN33" s="27"/>
      <c r="BO33" s="25"/>
      <c r="BP33" s="27"/>
      <c r="BQ33" s="515">
        <f>+DATOS!C64</f>
        <v>0</v>
      </c>
      <c r="BR33" s="27"/>
      <c r="BS33" s="515">
        <f>+DATOS!F64</f>
        <v>0</v>
      </c>
      <c r="BT33" s="27"/>
      <c r="BU33" s="516">
        <f>+DATOS!I64</f>
        <v>0</v>
      </c>
      <c r="BV33" s="27"/>
      <c r="BW33" s="516">
        <f>+DATOS!L64</f>
        <v>0</v>
      </c>
      <c r="BX33" s="27"/>
      <c r="BY33" s="515">
        <f>+DATOS!O64</f>
        <v>0</v>
      </c>
      <c r="BZ33" s="27"/>
      <c r="CA33" s="27"/>
      <c r="CB33" s="27"/>
      <c r="CC33" s="25"/>
      <c r="CD33" s="27"/>
      <c r="CE33" s="27"/>
      <c r="CF33" s="25"/>
      <c r="CG33" s="25"/>
      <c r="CH33" s="25"/>
      <c r="CI33" s="25"/>
      <c r="CJ33" s="25"/>
      <c r="CK33" s="28"/>
      <c r="CL33" s="25"/>
      <c r="CM33" s="25"/>
      <c r="CN33" s="25"/>
      <c r="CO33" s="27"/>
      <c r="CP33" s="25"/>
      <c r="CQ33" s="25"/>
      <c r="CR33" s="25"/>
      <c r="CS33" s="27"/>
      <c r="CT33" s="25"/>
      <c r="CU33" s="25"/>
      <c r="CV33" s="28"/>
      <c r="CW33" s="25"/>
      <c r="CX33" s="25"/>
      <c r="CY33" s="25"/>
      <c r="CZ33" s="25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5"/>
      <c r="DP33" s="25"/>
      <c r="DQ33" s="25"/>
      <c r="DR33" s="25"/>
      <c r="DS33" s="25"/>
      <c r="DT33" s="25"/>
      <c r="DU33" s="215"/>
      <c r="DV33" s="25"/>
      <c r="DW33" s="25"/>
      <c r="DX33" s="25"/>
      <c r="DY33" s="21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8"/>
      <c r="EN33" s="28"/>
      <c r="EO33" s="28"/>
      <c r="EP33" s="28"/>
    </row>
    <row r="34" spans="2:146">
      <c r="B34" s="35">
        <f t="shared" si="9"/>
        <v>44255</v>
      </c>
      <c r="C34" s="91"/>
      <c r="D34" s="302" t="s">
        <v>489</v>
      </c>
      <c r="E34" s="478"/>
      <c r="F34" s="26"/>
      <c r="G34" s="286"/>
      <c r="H34" s="27"/>
      <c r="I34" s="27"/>
      <c r="J34" s="27"/>
      <c r="K34" s="27"/>
      <c r="L34" s="27"/>
      <c r="M34" s="27"/>
      <c r="N34" s="25"/>
      <c r="O34" s="27"/>
      <c r="P34" s="27"/>
      <c r="Q34" s="27"/>
      <c r="R34" s="25"/>
      <c r="S34" s="27"/>
      <c r="T34" s="25"/>
      <c r="U34" s="25"/>
      <c r="V34" s="25"/>
      <c r="W34" s="25"/>
      <c r="X34" s="27"/>
      <c r="Y34" s="27"/>
      <c r="Z34" s="27"/>
      <c r="AA34" s="27"/>
      <c r="AB34" s="25"/>
      <c r="AC34" s="25"/>
      <c r="AD34" s="25"/>
      <c r="AE34" s="25"/>
      <c r="AF34" s="25"/>
      <c r="AG34" s="527">
        <f>+DATOS!G64</f>
        <v>0</v>
      </c>
      <c r="AH34" s="25"/>
      <c r="AI34" s="527">
        <f>+DATOS!D64</f>
        <v>0</v>
      </c>
      <c r="AJ34" s="25"/>
      <c r="AK34" s="531">
        <f>+DATOS!J64+DATOS!M64+DATOS!P64</f>
        <v>0</v>
      </c>
      <c r="AL34" s="25"/>
      <c r="AM34" s="25"/>
      <c r="AN34" s="25"/>
      <c r="AO34" s="27"/>
      <c r="AP34" s="517"/>
      <c r="AQ34" s="215"/>
      <c r="AR34" s="25"/>
      <c r="AS34" s="25"/>
      <c r="AT34" s="28"/>
      <c r="AU34" s="25"/>
      <c r="AV34" s="215"/>
      <c r="AW34" s="25"/>
      <c r="AX34" s="25"/>
      <c r="AY34" s="25"/>
      <c r="AZ34" s="27"/>
      <c r="BA34" s="25"/>
      <c r="BB34" s="214"/>
      <c r="BC34" s="25"/>
      <c r="BD34" s="27"/>
      <c r="BE34" s="25"/>
      <c r="BF34" s="27"/>
      <c r="BG34" s="25"/>
      <c r="BH34" s="27"/>
      <c r="BI34" s="27"/>
      <c r="BJ34" s="27"/>
      <c r="BK34" s="27"/>
      <c r="BL34" s="27"/>
      <c r="BM34" s="25"/>
      <c r="BN34" s="27"/>
      <c r="BO34" s="25"/>
      <c r="BP34" s="27"/>
      <c r="BQ34" s="27"/>
      <c r="BR34" s="27"/>
      <c r="BS34" s="25"/>
      <c r="BT34" s="25"/>
      <c r="BU34" s="25"/>
      <c r="BV34" s="25"/>
      <c r="BW34" s="25"/>
      <c r="BX34" s="27"/>
      <c r="BY34" s="27"/>
      <c r="BZ34" s="27"/>
      <c r="CA34" s="27"/>
      <c r="CB34" s="27"/>
      <c r="CC34" s="25"/>
      <c r="CD34" s="27"/>
      <c r="CE34" s="27"/>
      <c r="CF34" s="25"/>
      <c r="CG34" s="25"/>
      <c r="CH34" s="25"/>
      <c r="CI34" s="25"/>
      <c r="CJ34" s="25"/>
      <c r="CK34" s="28"/>
      <c r="CL34" s="25"/>
      <c r="CM34" s="25"/>
      <c r="CN34" s="25"/>
      <c r="CO34" s="27"/>
      <c r="CP34" s="25"/>
      <c r="CQ34" s="25"/>
      <c r="CR34" s="25"/>
      <c r="CS34" s="27"/>
      <c r="CT34" s="25"/>
      <c r="CU34" s="25"/>
      <c r="CV34" s="28"/>
      <c r="CW34" s="25"/>
      <c r="CX34" s="25"/>
      <c r="CY34" s="25"/>
      <c r="CZ34" s="25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5"/>
      <c r="DP34" s="25"/>
      <c r="DQ34" s="25"/>
      <c r="DR34" s="25"/>
      <c r="DS34" s="25"/>
      <c r="DT34" s="25"/>
      <c r="DU34" s="215"/>
      <c r="DV34" s="25"/>
      <c r="DW34" s="25"/>
      <c r="DX34" s="25"/>
      <c r="DY34" s="215"/>
      <c r="DZ34" s="25"/>
      <c r="EA34" s="527">
        <f>+AG34+AI34+AK34</f>
        <v>0</v>
      </c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8"/>
      <c r="EN34" s="28"/>
      <c r="EO34" s="28"/>
      <c r="EP34" s="28"/>
    </row>
    <row r="35" spans="2:146">
      <c r="B35" s="35">
        <f t="shared" si="9"/>
        <v>44255</v>
      </c>
      <c r="C35" s="91"/>
      <c r="D35" s="284" t="s">
        <v>263</v>
      </c>
      <c r="E35" s="478">
        <f>+F35+J35+L35+N35+T35+V35+X35+AB35+AD35+AF35+AL35+AN35+AP35+AU35+AW35+AY35+BC35+BE35+BG35+BM35+BO35+BQ35+BW35+CC35+CE35+CG35+CL35+CN35+CP35+CR35+CT35+CW35+CY35+DA35+DC35+DE35+DG35+DI35+DK35+DM35+DO35+DQ35+DS35+EE35+EG35+EI35+EK35+R35+H35+CI35+BA35+AR35</f>
        <v>0</v>
      </c>
      <c r="F35" s="26"/>
      <c r="G35" s="283">
        <f>+DW35</f>
        <v>0</v>
      </c>
      <c r="H35" s="27"/>
      <c r="I35" s="27"/>
      <c r="J35" s="27"/>
      <c r="K35" s="27"/>
      <c r="L35" s="27"/>
      <c r="M35" s="27"/>
      <c r="N35" s="25"/>
      <c r="O35" s="27"/>
      <c r="P35" s="27"/>
      <c r="Q35" s="27"/>
      <c r="R35" s="25"/>
      <c r="S35" s="27"/>
      <c r="T35" s="25"/>
      <c r="U35" s="25"/>
      <c r="V35" s="25"/>
      <c r="W35" s="25"/>
      <c r="X35" s="27"/>
      <c r="Y35" s="27"/>
      <c r="Z35" s="27"/>
      <c r="AA35" s="27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7"/>
      <c r="AP35" s="25"/>
      <c r="AQ35" s="25"/>
      <c r="AR35" s="25"/>
      <c r="AS35" s="25"/>
      <c r="AT35" s="28"/>
      <c r="AU35" s="25"/>
      <c r="AV35" s="25"/>
      <c r="AW35" s="25"/>
      <c r="AX35" s="25"/>
      <c r="AY35" s="25"/>
      <c r="AZ35" s="27"/>
      <c r="BA35" s="25"/>
      <c r="BB35" s="25"/>
      <c r="BC35" s="25"/>
      <c r="BD35" s="27"/>
      <c r="BE35" s="25"/>
      <c r="BF35" s="27"/>
      <c r="BG35" s="25"/>
      <c r="BH35" s="27"/>
      <c r="BI35" s="27"/>
      <c r="BJ35" s="27"/>
      <c r="BK35" s="27"/>
      <c r="BL35" s="27"/>
      <c r="BM35" s="25"/>
      <c r="BN35" s="27"/>
      <c r="BO35" s="25"/>
      <c r="BP35" s="27"/>
      <c r="BQ35" s="27"/>
      <c r="BR35" s="27"/>
      <c r="BS35" s="25"/>
      <c r="BT35" s="27"/>
      <c r="BU35" s="25"/>
      <c r="BV35" s="27"/>
      <c r="BW35" s="25"/>
      <c r="BX35" s="27"/>
      <c r="BY35" s="27"/>
      <c r="BZ35" s="27"/>
      <c r="CA35" s="27"/>
      <c r="CB35" s="27"/>
      <c r="CC35" s="25"/>
      <c r="CD35" s="27"/>
      <c r="CE35" s="27"/>
      <c r="CF35" s="25"/>
      <c r="CG35" s="25"/>
      <c r="CH35" s="25"/>
      <c r="CI35" s="25"/>
      <c r="CJ35" s="25"/>
      <c r="CK35" s="28"/>
      <c r="CL35" s="25"/>
      <c r="CM35" s="25"/>
      <c r="CN35" s="25"/>
      <c r="CO35" s="27"/>
      <c r="CP35" s="25"/>
      <c r="CQ35" s="25"/>
      <c r="CR35" s="25"/>
      <c r="CS35" s="27"/>
      <c r="CT35" s="25"/>
      <c r="CU35" s="25"/>
      <c r="CV35" s="28"/>
      <c r="CW35" s="25"/>
      <c r="CX35" s="25"/>
      <c r="CY35" s="25"/>
      <c r="CZ35" s="25"/>
      <c r="DA35" s="25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5"/>
      <c r="DP35" s="25"/>
      <c r="DQ35" s="25"/>
      <c r="DR35" s="25"/>
      <c r="DS35" s="25"/>
      <c r="DT35" s="25"/>
      <c r="DU35" s="25"/>
      <c r="DV35" s="25"/>
      <c r="DW35" s="285">
        <f>+DATOS!N37</f>
        <v>0</v>
      </c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8"/>
      <c r="EN35" s="28">
        <f t="shared" si="3"/>
        <v>0</v>
      </c>
      <c r="EO35" s="28">
        <f t="shared" si="4"/>
        <v>0</v>
      </c>
      <c r="EP35" s="28"/>
    </row>
    <row r="36" spans="2:146">
      <c r="B36" s="35">
        <f t="shared" si="9"/>
        <v>44255</v>
      </c>
      <c r="C36" s="91"/>
      <c r="D36" s="485" t="s">
        <v>452</v>
      </c>
      <c r="E36" s="478">
        <f>+F36+J36+L36+N36+T36+V36+X36+AB36+AD36+AF36+AL36+AN36+AP36+AU36+AW36+AY36+BC36+BE36+BG36+BM36+BO36+BQ36+BW36+CC36+CE36+CG36+CL36+CN36+CP36+CR36+CT36+CW36+CY36+DA36+DC36+DE36+DG36+DI36+DK36+DM36+DO36+DQ36+DS36+EE36+EG36+EI36+EK36+R36+H36+CI36+BA36+AR36+DU36</f>
        <v>0</v>
      </c>
      <c r="F36" s="26"/>
      <c r="G36" s="278"/>
      <c r="H36" s="27"/>
      <c r="I36" s="27"/>
      <c r="J36" s="27"/>
      <c r="K36" s="27"/>
      <c r="L36" s="27"/>
      <c r="M36" s="27"/>
      <c r="N36" s="25"/>
      <c r="O36" s="27"/>
      <c r="P36" s="27"/>
      <c r="Q36" s="27"/>
      <c r="R36" s="25"/>
      <c r="S36" s="27"/>
      <c r="T36" s="25"/>
      <c r="U36" s="25"/>
      <c r="V36" s="25"/>
      <c r="W36" s="25"/>
      <c r="X36" s="27"/>
      <c r="Y36" s="27"/>
      <c r="Z36" s="27"/>
      <c r="AA36" s="27"/>
      <c r="AB36" s="25"/>
      <c r="AC36" s="25"/>
      <c r="AD36" s="25"/>
      <c r="AE36" s="25"/>
      <c r="AF36" s="25"/>
      <c r="AG36" s="245"/>
      <c r="AH36" s="25"/>
      <c r="AI36" s="25"/>
      <c r="AJ36" s="25"/>
      <c r="AK36" s="25"/>
      <c r="AL36" s="25"/>
      <c r="AM36" s="25"/>
      <c r="AN36" s="25"/>
      <c r="AO36" s="477">
        <v>0</v>
      </c>
      <c r="AP36" s="25"/>
      <c r="AQ36" s="25"/>
      <c r="AR36" s="25"/>
      <c r="AS36" s="25"/>
      <c r="AT36" s="28"/>
      <c r="AU36" s="25"/>
      <c r="AV36" s="25"/>
      <c r="AW36" s="25"/>
      <c r="AX36" s="25"/>
      <c r="AY36" s="25"/>
      <c r="AZ36" s="27"/>
      <c r="BA36" s="25"/>
      <c r="BB36" s="25"/>
      <c r="BC36" s="25"/>
      <c r="BD36" s="27"/>
      <c r="BE36" s="478">
        <f>+AO36</f>
        <v>0</v>
      </c>
      <c r="BF36" s="27"/>
      <c r="BG36" s="25"/>
      <c r="BH36" s="27"/>
      <c r="BI36" s="27"/>
      <c r="BJ36" s="27"/>
      <c r="BK36" s="27"/>
      <c r="BL36" s="27"/>
      <c r="BM36" s="25"/>
      <c r="BN36" s="27"/>
      <c r="BO36" s="25"/>
      <c r="BP36" s="27"/>
      <c r="BQ36" s="27"/>
      <c r="BR36" s="27"/>
      <c r="BS36" s="25"/>
      <c r="BT36" s="27"/>
      <c r="BU36" s="25"/>
      <c r="BV36" s="27"/>
      <c r="BW36" s="25"/>
      <c r="BX36" s="27"/>
      <c r="BY36" s="27"/>
      <c r="BZ36" s="27"/>
      <c r="CA36" s="27"/>
      <c r="CB36" s="27"/>
      <c r="CC36" s="25"/>
      <c r="CD36" s="27"/>
      <c r="CE36" s="27"/>
      <c r="CF36" s="25"/>
      <c r="CG36" s="25"/>
      <c r="CH36" s="25"/>
      <c r="CI36" s="25"/>
      <c r="CJ36" s="25"/>
      <c r="CK36" s="28"/>
      <c r="CL36" s="25"/>
      <c r="CM36" s="25"/>
      <c r="CN36" s="25"/>
      <c r="CO36" s="27"/>
      <c r="CP36" s="25"/>
      <c r="CQ36" s="25"/>
      <c r="CR36" s="25"/>
      <c r="CS36" s="27"/>
      <c r="CT36" s="25"/>
      <c r="CU36" s="25"/>
      <c r="CV36" s="28"/>
      <c r="CW36" s="25"/>
      <c r="CX36" s="25"/>
      <c r="CY36" s="25"/>
      <c r="CZ36" s="25"/>
      <c r="DA36" s="25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45"/>
      <c r="EB36" s="24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8"/>
      <c r="EN36" s="28">
        <f t="shared" si="3"/>
        <v>0</v>
      </c>
      <c r="EO36" s="28">
        <f t="shared" si="4"/>
        <v>0</v>
      </c>
      <c r="EP36" s="28"/>
    </row>
    <row r="37" spans="2:146">
      <c r="B37" s="35">
        <f t="shared" si="9"/>
        <v>44255</v>
      </c>
      <c r="C37" s="91"/>
      <c r="D37" s="302"/>
      <c r="E37" s="25">
        <f>+F37+J37+L37+N37+T37+V37+X37+AB37+AD37+AF37+AL37+AN37+AP37+AU37+AW37+AY37+BC37+BE37+BG37+BM37+BO37+BQ37+BW37+CC37+CE37+CG37+CL37+CN37+CP37+CR37+CT37+CW37+CY37+DA37+DC37+DE37+DG37+DI37+DK37+DM37+DO37+DQ37+DS37+EE37+EG37+EI37+EK37+R37+H37+CI37+BA37+AR37+DU37</f>
        <v>0</v>
      </c>
      <c r="F37" s="26"/>
      <c r="G37" s="27">
        <f>+AC37</f>
        <v>0</v>
      </c>
      <c r="H37" s="27"/>
      <c r="I37" s="27"/>
      <c r="J37" s="27"/>
      <c r="K37" s="27"/>
      <c r="L37" s="27"/>
      <c r="M37" s="27"/>
      <c r="N37" s="25"/>
      <c r="O37" s="27"/>
      <c r="P37" s="27"/>
      <c r="Q37" s="27"/>
      <c r="R37" s="25"/>
      <c r="S37" s="27"/>
      <c r="T37" s="25"/>
      <c r="U37" s="25"/>
      <c r="V37" s="25"/>
      <c r="W37" s="25"/>
      <c r="X37" s="27"/>
      <c r="Y37" s="27"/>
      <c r="Z37" s="27"/>
      <c r="AA37" s="27"/>
      <c r="AB37" s="25"/>
      <c r="AC37" s="242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7"/>
      <c r="AP37" s="25"/>
      <c r="AQ37" s="25"/>
      <c r="AR37" s="25"/>
      <c r="AS37" s="25"/>
      <c r="AT37" s="28"/>
      <c r="AU37" s="25"/>
      <c r="AV37" s="25"/>
      <c r="AW37" s="25"/>
      <c r="AX37" s="25"/>
      <c r="AY37" s="25"/>
      <c r="AZ37" s="27"/>
      <c r="BA37" s="25"/>
      <c r="BB37" s="25"/>
      <c r="BC37" s="25"/>
      <c r="BD37" s="27"/>
      <c r="BE37" s="25"/>
      <c r="BF37" s="27"/>
      <c r="BG37" s="25"/>
      <c r="BH37" s="27"/>
      <c r="BI37" s="27"/>
      <c r="BJ37" s="27"/>
      <c r="BK37" s="27"/>
      <c r="BL37" s="27"/>
      <c r="BM37" s="25"/>
      <c r="BN37" s="27"/>
      <c r="BO37" s="25"/>
      <c r="BP37" s="27"/>
      <c r="BQ37" s="27"/>
      <c r="BR37" s="27"/>
      <c r="BS37" s="25"/>
      <c r="BT37" s="27"/>
      <c r="BU37" s="25"/>
      <c r="BV37" s="27"/>
      <c r="BW37" s="242"/>
      <c r="BX37" s="27"/>
      <c r="BY37" s="27"/>
      <c r="BZ37" s="27"/>
      <c r="CA37" s="27"/>
      <c r="CB37" s="27"/>
      <c r="CC37" s="25"/>
      <c r="CD37" s="27"/>
      <c r="CE37" s="27"/>
      <c r="CF37" s="25"/>
      <c r="CG37" s="25"/>
      <c r="CH37" s="25"/>
      <c r="CI37" s="25"/>
      <c r="CJ37" s="25"/>
      <c r="CK37" s="28"/>
      <c r="CL37" s="25"/>
      <c r="CM37" s="25"/>
      <c r="CN37" s="25"/>
      <c r="CO37" s="27"/>
      <c r="CP37" s="25"/>
      <c r="CQ37" s="25"/>
      <c r="CR37" s="25"/>
      <c r="CS37" s="27"/>
      <c r="CT37" s="25"/>
      <c r="CU37" s="25"/>
      <c r="CV37" s="28"/>
      <c r="CW37" s="25">
        <f>+G37</f>
        <v>0</v>
      </c>
      <c r="CX37" s="25"/>
      <c r="CY37" s="25"/>
      <c r="CZ37" s="25"/>
      <c r="DA37" s="25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8"/>
      <c r="EN37" s="28">
        <f t="shared" si="3"/>
        <v>0</v>
      </c>
      <c r="EO37" s="28">
        <f t="shared" si="4"/>
        <v>0</v>
      </c>
      <c r="EP37" s="28">
        <f>+EN37-EO37</f>
        <v>0</v>
      </c>
    </row>
    <row r="38" spans="2:146">
      <c r="B38" s="35">
        <f t="shared" si="9"/>
        <v>44255</v>
      </c>
      <c r="C38" s="91"/>
      <c r="D38" s="284"/>
      <c r="E38" s="25">
        <f>+F38+J38+L38+N38+T38+V38+X38+AB38+AD38+AF38+AL38+AN38+AP38+AU38+AW38+AY38+BC38+BE38+BG38+BM38+BO38+BQ38+BW38+CC38+CE38+CG38+CL38+CN38+CP38+CR38+CT38+CW38+CY38+DA38+DC38+DE38+DG38+DI38+DK38+DM38+DO38+DQ38+DS38+EE38+EG38+EI38+EK38+R38+H38+CI38+BA38+AR38</f>
        <v>0</v>
      </c>
      <c r="F38" s="26"/>
      <c r="G38" s="27"/>
      <c r="H38" s="27"/>
      <c r="I38" s="27"/>
      <c r="J38" s="27"/>
      <c r="K38" s="27"/>
      <c r="L38" s="27"/>
      <c r="M38" s="27"/>
      <c r="N38" s="25"/>
      <c r="O38" s="27"/>
      <c r="P38" s="27"/>
      <c r="Q38" s="27"/>
      <c r="R38" s="25"/>
      <c r="S38" s="27"/>
      <c r="T38" s="25"/>
      <c r="U38" s="25"/>
      <c r="V38" s="25"/>
      <c r="W38" s="25"/>
      <c r="X38" s="27"/>
      <c r="Y38" s="27"/>
      <c r="Z38" s="27"/>
      <c r="AA38" s="27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5"/>
      <c r="AQ38" s="25"/>
      <c r="AR38" s="25"/>
      <c r="AS38" s="25"/>
      <c r="AT38" s="28"/>
      <c r="AU38" s="25"/>
      <c r="AV38" s="25"/>
      <c r="AW38" s="25"/>
      <c r="AX38" s="25"/>
      <c r="AY38" s="25"/>
      <c r="AZ38" s="27"/>
      <c r="BA38" s="25"/>
      <c r="BB38" s="25"/>
      <c r="BC38" s="25"/>
      <c r="BD38" s="27"/>
      <c r="BE38" s="25"/>
      <c r="BF38" s="27"/>
      <c r="BG38" s="25"/>
      <c r="BH38" s="27"/>
      <c r="BI38" s="27"/>
      <c r="BJ38" s="27"/>
      <c r="BK38" s="27"/>
      <c r="BL38" s="27"/>
      <c r="BM38" s="25"/>
      <c r="BN38" s="27"/>
      <c r="BO38" s="25"/>
      <c r="BP38" s="27"/>
      <c r="BQ38" s="27"/>
      <c r="BR38" s="27"/>
      <c r="BS38" s="25"/>
      <c r="BT38" s="27"/>
      <c r="BU38" s="25"/>
      <c r="BV38" s="27"/>
      <c r="BW38" s="25"/>
      <c r="BX38" s="27"/>
      <c r="BY38" s="27"/>
      <c r="BZ38" s="27"/>
      <c r="CA38" s="27"/>
      <c r="CB38" s="27"/>
      <c r="CC38" s="25"/>
      <c r="CD38" s="27"/>
      <c r="CE38" s="27"/>
      <c r="CF38" s="25"/>
      <c r="CG38" s="25"/>
      <c r="CH38" s="25"/>
      <c r="CI38" s="25"/>
      <c r="CJ38" s="25"/>
      <c r="CK38" s="28"/>
      <c r="CL38" s="25"/>
      <c r="CM38" s="25"/>
      <c r="CN38" s="25"/>
      <c r="CO38" s="27"/>
      <c r="CP38" s="25"/>
      <c r="CQ38" s="25"/>
      <c r="CR38" s="25"/>
      <c r="CS38" s="27"/>
      <c r="CT38" s="25"/>
      <c r="CU38" s="25"/>
      <c r="CV38" s="28"/>
      <c r="CW38" s="25"/>
      <c r="CX38" s="25"/>
      <c r="CY38" s="25"/>
      <c r="CZ38" s="25"/>
      <c r="DA38" s="25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8"/>
      <c r="EN38" s="28">
        <f t="shared" si="3"/>
        <v>0</v>
      </c>
      <c r="EO38" s="28">
        <f t="shared" si="4"/>
        <v>0</v>
      </c>
      <c r="EP38" s="28"/>
    </row>
    <row r="39" spans="2:146">
      <c r="B39" s="35">
        <f t="shared" si="9"/>
        <v>44255</v>
      </c>
      <c r="C39" s="91"/>
      <c r="D39" s="436" t="s">
        <v>445</v>
      </c>
      <c r="E39" s="478">
        <f>+F39+J39+L39+N39+T39+V39+X39+AB39+AD39+AF39+AL39+AN39+AP39+AU39+AW39+AY39+BC39+BE39+BG39+BM39+BO39+BQ39+BW39+CC39+CE39+CG39+CL39+CN39+CP39+CR39+CT39+CW39+CY39+DA39+DC39+DE39+DG39+DI39+DK39+DM39+DO39+DQ39+DS39+EE39+EG39+EI39+EK39+R39+H39+CI39+BA39+AR39</f>
        <v>0</v>
      </c>
      <c r="F39" s="26"/>
      <c r="G39" s="27"/>
      <c r="H39" s="27"/>
      <c r="I39" s="27"/>
      <c r="J39" s="477"/>
      <c r="K39" s="27"/>
      <c r="L39" s="27"/>
      <c r="M39" s="27"/>
      <c r="N39" s="25"/>
      <c r="O39" s="27"/>
      <c r="P39" s="27"/>
      <c r="Q39" s="27"/>
      <c r="R39" s="25"/>
      <c r="S39" s="27"/>
      <c r="T39" s="25"/>
      <c r="U39" s="25"/>
      <c r="V39" s="25"/>
      <c r="W39" s="25"/>
      <c r="X39" s="27"/>
      <c r="Y39" s="27"/>
      <c r="Z39" s="27"/>
      <c r="AA39" s="27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7"/>
      <c r="AP39" s="25"/>
      <c r="AQ39" s="25"/>
      <c r="AR39" s="25"/>
      <c r="AS39" s="25"/>
      <c r="AT39" s="28"/>
      <c r="AU39" s="25"/>
      <c r="AV39" s="25"/>
      <c r="AW39" s="25"/>
      <c r="AX39" s="25"/>
      <c r="AY39" s="25"/>
      <c r="AZ39" s="27"/>
      <c r="BA39" s="25"/>
      <c r="BB39" s="25"/>
      <c r="BC39" s="25"/>
      <c r="BD39" s="27"/>
      <c r="BE39" s="25"/>
      <c r="BF39" s="27"/>
      <c r="BG39" s="25"/>
      <c r="BH39" s="27"/>
      <c r="BI39" s="27"/>
      <c r="BJ39" s="27"/>
      <c r="BK39" s="27"/>
      <c r="BL39" s="27"/>
      <c r="BM39" s="25"/>
      <c r="BN39" s="27"/>
      <c r="BO39" s="25"/>
      <c r="BP39" s="27"/>
      <c r="BQ39" s="27"/>
      <c r="BR39" s="27"/>
      <c r="BS39" s="25"/>
      <c r="BT39" s="27"/>
      <c r="BU39" s="25"/>
      <c r="BV39" s="27"/>
      <c r="BW39" s="25"/>
      <c r="BX39" s="27"/>
      <c r="BY39" s="27"/>
      <c r="BZ39" s="27"/>
      <c r="CA39" s="27"/>
      <c r="CB39" s="27"/>
      <c r="CC39" s="25"/>
      <c r="CD39" s="27"/>
      <c r="CE39" s="27"/>
      <c r="CF39" s="25"/>
      <c r="CG39" s="25"/>
      <c r="CH39" s="25"/>
      <c r="CI39" s="25"/>
      <c r="CJ39" s="25"/>
      <c r="CK39" s="28"/>
      <c r="CL39" s="25"/>
      <c r="CM39" s="25"/>
      <c r="CN39" s="25"/>
      <c r="CO39" s="27"/>
      <c r="CP39" s="25"/>
      <c r="CQ39" s="25"/>
      <c r="CR39" s="25"/>
      <c r="CS39" s="27"/>
      <c r="CT39" s="25"/>
      <c r="CU39" s="25"/>
      <c r="CV39" s="28"/>
      <c r="CW39" s="25"/>
      <c r="CX39" s="25"/>
      <c r="CY39" s="25"/>
      <c r="CZ39" s="25"/>
      <c r="DA39" s="25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478">
        <f>+J39</f>
        <v>0</v>
      </c>
      <c r="EM39" s="28"/>
      <c r="EN39" s="28">
        <f t="shared" si="3"/>
        <v>0</v>
      </c>
      <c r="EO39" s="28">
        <f t="shared" si="4"/>
        <v>0</v>
      </c>
      <c r="EP39" s="28"/>
    </row>
    <row r="40" spans="2:146">
      <c r="B40" s="35"/>
      <c r="C40" s="91"/>
      <c r="D40" s="138"/>
      <c r="E40" s="25"/>
      <c r="F40" s="26"/>
      <c r="G40" s="27"/>
      <c r="H40" s="27"/>
      <c r="I40" s="27"/>
      <c r="J40" s="27"/>
      <c r="K40" s="27"/>
      <c r="L40" s="27"/>
      <c r="M40" s="27"/>
      <c r="N40" s="25"/>
      <c r="O40" s="27"/>
      <c r="P40" s="27"/>
      <c r="Q40" s="27"/>
      <c r="R40" s="25"/>
      <c r="S40" s="27"/>
      <c r="T40" s="25"/>
      <c r="U40" s="25"/>
      <c r="V40" s="25"/>
      <c r="W40" s="25"/>
      <c r="X40" s="27"/>
      <c r="Y40" s="27"/>
      <c r="Z40" s="27"/>
      <c r="AA40" s="27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7"/>
      <c r="AP40" s="25"/>
      <c r="AQ40" s="25"/>
      <c r="AR40" s="25"/>
      <c r="AS40" s="25"/>
      <c r="AT40" s="28"/>
      <c r="AU40" s="25"/>
      <c r="AV40" s="25"/>
      <c r="AW40" s="25"/>
      <c r="AX40" s="25"/>
      <c r="AY40" s="25"/>
      <c r="AZ40" s="27"/>
      <c r="BA40" s="25"/>
      <c r="BB40" s="25"/>
      <c r="BC40" s="25"/>
      <c r="BD40" s="27"/>
      <c r="BE40" s="25"/>
      <c r="BF40" s="27"/>
      <c r="BG40" s="25"/>
      <c r="BH40" s="27"/>
      <c r="BI40" s="27"/>
      <c r="BJ40" s="27"/>
      <c r="BK40" s="27"/>
      <c r="BL40" s="27"/>
      <c r="BM40" s="25"/>
      <c r="BN40" s="27"/>
      <c r="BO40" s="25"/>
      <c r="BP40" s="27"/>
      <c r="BQ40" s="27"/>
      <c r="BR40" s="27"/>
      <c r="BS40" s="25"/>
      <c r="BT40" s="27"/>
      <c r="BU40" s="25"/>
      <c r="BV40" s="27"/>
      <c r="BW40" s="25"/>
      <c r="BX40" s="27"/>
      <c r="BY40" s="27"/>
      <c r="BZ40" s="27"/>
      <c r="CA40" s="27"/>
      <c r="CB40" s="27"/>
      <c r="CC40" s="25"/>
      <c r="CD40" s="27"/>
      <c r="CE40" s="27"/>
      <c r="CF40" s="25"/>
      <c r="CG40" s="25"/>
      <c r="CH40" s="25"/>
      <c r="CI40" s="25"/>
      <c r="CJ40" s="25"/>
      <c r="CK40" s="28"/>
      <c r="CL40" s="25"/>
      <c r="CM40" s="25"/>
      <c r="CN40" s="25"/>
      <c r="CO40" s="27"/>
      <c r="CP40" s="25"/>
      <c r="CQ40" s="25"/>
      <c r="CR40" s="25"/>
      <c r="CS40" s="27"/>
      <c r="CT40" s="25"/>
      <c r="CU40" s="25"/>
      <c r="CV40" s="28"/>
      <c r="CW40" s="25"/>
      <c r="CX40" s="25"/>
      <c r="CY40" s="25"/>
      <c r="CZ40" s="25"/>
      <c r="DA40" s="25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8"/>
      <c r="EN40" s="28">
        <f t="shared" si="3"/>
        <v>0</v>
      </c>
      <c r="EO40" s="28">
        <f t="shared" si="4"/>
        <v>0</v>
      </c>
      <c r="EP40" s="28"/>
    </row>
    <row r="41" spans="2:146">
      <c r="B41" s="39"/>
      <c r="C41" s="94"/>
      <c r="D41" s="40"/>
      <c r="E41" s="41"/>
      <c r="F41" s="42"/>
      <c r="G41" s="43"/>
      <c r="H41" s="43"/>
      <c r="I41" s="43"/>
      <c r="J41" s="43"/>
      <c r="K41" s="43"/>
      <c r="L41" s="43"/>
      <c r="M41" s="43"/>
      <c r="N41" s="41"/>
      <c r="O41" s="43"/>
      <c r="P41" s="43"/>
      <c r="Q41" s="43"/>
      <c r="R41" s="41"/>
      <c r="S41" s="43"/>
      <c r="T41" s="41"/>
      <c r="U41" s="41"/>
      <c r="V41" s="41"/>
      <c r="W41" s="41"/>
      <c r="X41" s="43"/>
      <c r="Y41" s="43"/>
      <c r="Z41" s="43"/>
      <c r="AA41" s="43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3"/>
      <c r="AP41" s="41"/>
      <c r="AQ41" s="41"/>
      <c r="AR41" s="41"/>
      <c r="AS41" s="41"/>
      <c r="AT41" s="28"/>
      <c r="AU41" s="41"/>
      <c r="AV41" s="41"/>
      <c r="AW41" s="41"/>
      <c r="AX41" s="41"/>
      <c r="AY41" s="41"/>
      <c r="AZ41" s="43"/>
      <c r="BA41" s="41"/>
      <c r="BB41" s="41"/>
      <c r="BC41" s="41"/>
      <c r="BD41" s="43"/>
      <c r="BE41" s="41"/>
      <c r="BF41" s="43"/>
      <c r="BG41" s="41"/>
      <c r="BH41" s="43"/>
      <c r="BI41" s="43"/>
      <c r="BJ41" s="43"/>
      <c r="BK41" s="43"/>
      <c r="BL41" s="43"/>
      <c r="BM41" s="41"/>
      <c r="BN41" s="43"/>
      <c r="BO41" s="41"/>
      <c r="BP41" s="43"/>
      <c r="BQ41" s="43"/>
      <c r="BR41" s="43"/>
      <c r="BS41" s="41"/>
      <c r="BT41" s="43"/>
      <c r="BU41" s="41"/>
      <c r="BV41" s="43"/>
      <c r="BW41" s="41"/>
      <c r="BX41" s="43"/>
      <c r="BY41" s="43"/>
      <c r="BZ41" s="43"/>
      <c r="CA41" s="43"/>
      <c r="CB41" s="43"/>
      <c r="CC41" s="41"/>
      <c r="CD41" s="43"/>
      <c r="CE41" s="43"/>
      <c r="CF41" s="41"/>
      <c r="CG41" s="41"/>
      <c r="CH41" s="41"/>
      <c r="CI41" s="41"/>
      <c r="CJ41" s="41"/>
      <c r="CK41" s="28"/>
      <c r="CL41" s="41"/>
      <c r="CM41" s="41"/>
      <c r="CN41" s="41"/>
      <c r="CO41" s="43"/>
      <c r="CP41" s="41"/>
      <c r="CQ41" s="41"/>
      <c r="CR41" s="41"/>
      <c r="CS41" s="43"/>
      <c r="CT41" s="41"/>
      <c r="CU41" s="41"/>
      <c r="CV41" s="28"/>
      <c r="CW41" s="41"/>
      <c r="CX41" s="41"/>
      <c r="CY41" s="41"/>
      <c r="CZ41" s="41"/>
      <c r="DA41" s="41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28"/>
      <c r="EN41" s="28">
        <f t="shared" si="3"/>
        <v>0</v>
      </c>
      <c r="EO41" s="28">
        <f t="shared" si="4"/>
        <v>0</v>
      </c>
      <c r="EP41" s="28">
        <f t="shared" ref="EP41:EP50" si="10">+EN41-EO41</f>
        <v>0</v>
      </c>
    </row>
    <row r="42" spans="2:146">
      <c r="B42" s="9">
        <f>+B37+30</f>
        <v>44285</v>
      </c>
      <c r="C42" s="91"/>
      <c r="D42" s="138" t="s">
        <v>112</v>
      </c>
      <c r="E42" s="25">
        <f>+F42+J42+L42+N42+T42+V42+X42+AB42+AD42+AF42+AL42+AN42+AP42+AU42+AW42+AY42+BC42+BE42+BG42+BM42+BO42+BQ42+BW42+CC42+CE42+CG42+CL42+CN42+CP42+CR42+CT42+CW42+CY42+DA42+DC42+DE42+DG42+DI42+DK42+DM42+DO42+DQ42+DS42+EE42+EG42+EI42+EK42+R42+H42+CI42+BA42+AR42</f>
        <v>0</v>
      </c>
      <c r="F42" s="26"/>
      <c r="G42" s="27"/>
      <c r="H42" s="27"/>
      <c r="I42" s="27"/>
      <c r="J42" s="27"/>
      <c r="K42" s="27"/>
      <c r="L42" s="27"/>
      <c r="M42" s="27"/>
      <c r="N42" s="25"/>
      <c r="O42" s="27"/>
      <c r="P42" s="27"/>
      <c r="Q42" s="27"/>
      <c r="R42" s="25"/>
      <c r="S42" s="27"/>
      <c r="T42" s="25"/>
      <c r="U42" s="25"/>
      <c r="V42" s="25"/>
      <c r="W42" s="25"/>
      <c r="X42" s="27"/>
      <c r="Y42" s="27"/>
      <c r="Z42" s="27"/>
      <c r="AA42" s="27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7"/>
      <c r="AP42" s="25"/>
      <c r="AQ42" s="25"/>
      <c r="AR42" s="25"/>
      <c r="AS42" s="25"/>
      <c r="AT42" s="28"/>
      <c r="AU42" s="25"/>
      <c r="AV42" s="25"/>
      <c r="AW42" s="25"/>
      <c r="AX42" s="25"/>
      <c r="AY42" s="25"/>
      <c r="AZ42" s="27"/>
      <c r="BA42" s="25"/>
      <c r="BB42" s="25"/>
      <c r="BC42" s="25"/>
      <c r="BD42" s="27"/>
      <c r="BE42" s="25"/>
      <c r="BF42" s="27"/>
      <c r="BG42" s="25"/>
      <c r="BH42" s="27"/>
      <c r="BI42" s="27"/>
      <c r="BJ42" s="27"/>
      <c r="BK42" s="27"/>
      <c r="BL42" s="27"/>
      <c r="BM42" s="25"/>
      <c r="BN42" s="27"/>
      <c r="BO42" s="25"/>
      <c r="BP42" s="27"/>
      <c r="BQ42" s="27"/>
      <c r="BR42" s="27"/>
      <c r="BS42" s="25"/>
      <c r="BT42" s="27"/>
      <c r="BU42" s="25"/>
      <c r="BV42" s="27"/>
      <c r="BW42" s="25"/>
      <c r="BX42" s="27"/>
      <c r="BY42" s="27"/>
      <c r="BZ42" s="27"/>
      <c r="CA42" s="27"/>
      <c r="CB42" s="27"/>
      <c r="CC42" s="25"/>
      <c r="CD42" s="27"/>
      <c r="CE42" s="25"/>
      <c r="CF42" s="25"/>
      <c r="CG42" s="25"/>
      <c r="CH42" s="25"/>
      <c r="CI42" s="25"/>
      <c r="CJ42" s="25"/>
      <c r="CK42" s="28"/>
      <c r="CL42" s="25"/>
      <c r="CM42" s="25"/>
      <c r="CN42" s="25"/>
      <c r="CO42" s="27"/>
      <c r="CP42" s="25"/>
      <c r="CQ42" s="25"/>
      <c r="CR42" s="25"/>
      <c r="CS42" s="27"/>
      <c r="CT42" s="25"/>
      <c r="CU42" s="25"/>
      <c r="CV42" s="28"/>
      <c r="CW42" s="25"/>
      <c r="CX42" s="25"/>
      <c r="CY42" s="25"/>
      <c r="CZ42" s="25"/>
      <c r="DA42" s="25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8"/>
      <c r="EN42" s="28">
        <f t="shared" si="3"/>
        <v>0</v>
      </c>
      <c r="EO42" s="28">
        <f t="shared" si="4"/>
        <v>0</v>
      </c>
      <c r="EP42" s="28">
        <f t="shared" si="10"/>
        <v>0</v>
      </c>
    </row>
    <row r="43" spans="2:146">
      <c r="B43" s="9">
        <f>+B42</f>
        <v>44285</v>
      </c>
      <c r="C43" s="91"/>
      <c r="D43" s="314" t="s">
        <v>320</v>
      </c>
      <c r="E43" s="478">
        <f>+F43+J43+L43+N43+T43+V43+X43+AB43+AD43+AF43+AL43+AN43+AP43+AU43+AW43+AY43+BC43+BE43+BG43+BM43+BO43+BQ43+BW43+CC43+CE43+CG43+CL43+CN43+CP43+CR43+CT43+CW43+CY43+DA43+DC43+DE43+DG43+DI43+DK43+DM43+DO43+DQ43+DS43+EE43+EG43+EI43+EK43+R43+H43+CI43+BA43+AR43</f>
        <v>0</v>
      </c>
      <c r="F43" s="26"/>
      <c r="G43" s="316">
        <f>+AU43</f>
        <v>0</v>
      </c>
      <c r="H43" s="27"/>
      <c r="I43" s="27"/>
      <c r="J43" s="27"/>
      <c r="K43" s="27"/>
      <c r="L43" s="27"/>
      <c r="M43" s="27"/>
      <c r="N43" s="25"/>
      <c r="O43" s="27"/>
      <c r="P43" s="27"/>
      <c r="Q43" s="27"/>
      <c r="R43" s="25"/>
      <c r="S43" s="27"/>
      <c r="T43" s="25"/>
      <c r="U43" s="25"/>
      <c r="V43" s="25"/>
      <c r="W43" s="25"/>
      <c r="X43" s="27"/>
      <c r="Y43" s="27"/>
      <c r="Z43" s="27"/>
      <c r="AA43" s="27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7"/>
      <c r="AP43" s="25"/>
      <c r="AQ43" s="25"/>
      <c r="AR43" s="25"/>
      <c r="AS43" s="25"/>
      <c r="AT43" s="28"/>
      <c r="AU43" s="315">
        <f>+AV32</f>
        <v>0</v>
      </c>
      <c r="AV43" s="25"/>
      <c r="AW43" s="25"/>
      <c r="AX43" s="25"/>
      <c r="AY43" s="25"/>
      <c r="AZ43" s="27"/>
      <c r="BA43" s="25"/>
      <c r="BB43" s="25"/>
      <c r="BC43" s="25"/>
      <c r="BD43" s="27"/>
      <c r="BE43" s="25"/>
      <c r="BF43" s="27"/>
      <c r="BG43" s="25"/>
      <c r="BH43" s="27"/>
      <c r="BI43" s="27"/>
      <c r="BJ43" s="27"/>
      <c r="BK43" s="27"/>
      <c r="BL43" s="27"/>
      <c r="BM43" s="25"/>
      <c r="BN43" s="27"/>
      <c r="BO43" s="25"/>
      <c r="BP43" s="27"/>
      <c r="BQ43" s="27"/>
      <c r="BR43" s="27"/>
      <c r="BS43" s="25"/>
      <c r="BT43" s="27"/>
      <c r="BU43" s="25"/>
      <c r="BV43" s="27"/>
      <c r="BW43" s="25"/>
      <c r="BX43" s="27"/>
      <c r="BY43" s="27"/>
      <c r="BZ43" s="27"/>
      <c r="CA43" s="27"/>
      <c r="CB43" s="27"/>
      <c r="CC43" s="25"/>
      <c r="CD43" s="27"/>
      <c r="CE43" s="27"/>
      <c r="CF43" s="25"/>
      <c r="CG43" s="25"/>
      <c r="CH43" s="25"/>
      <c r="CI43" s="25"/>
      <c r="CJ43" s="25"/>
      <c r="CK43" s="28"/>
      <c r="CL43" s="25"/>
      <c r="CM43" s="25"/>
      <c r="CN43" s="25"/>
      <c r="CO43" s="27"/>
      <c r="CP43" s="25"/>
      <c r="CQ43" s="25"/>
      <c r="CR43" s="25"/>
      <c r="CS43" s="27"/>
      <c r="CT43" s="25"/>
      <c r="CU43" s="25"/>
      <c r="CV43" s="28"/>
      <c r="CW43" s="25"/>
      <c r="CX43" s="25"/>
      <c r="CY43" s="25"/>
      <c r="CZ43" s="25"/>
      <c r="DA43" s="25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8"/>
      <c r="EN43" s="28">
        <f t="shared" si="3"/>
        <v>0</v>
      </c>
      <c r="EO43" s="28">
        <f t="shared" si="4"/>
        <v>0</v>
      </c>
      <c r="EP43" s="28">
        <f>+EN43-EO43</f>
        <v>0</v>
      </c>
    </row>
    <row r="44" spans="2:146">
      <c r="B44" s="9">
        <f>+B42</f>
        <v>44285</v>
      </c>
      <c r="C44" s="91"/>
      <c r="D44" s="216" t="s">
        <v>113</v>
      </c>
      <c r="E44" s="478">
        <f>+F44+J44+L44+N44+T44+V44+X44+AB44+AD44+AF44+AL44+AN44+AP44+AU44+AW44+AY44+BC44+BE44+BG44+BM44+BO44+BQ44+BW44+CC44+CE44+CG44+CL44+CN44+CP44+CR44+CT44+CW44+CY44+DA44+DC44+DE44+DG44+DI44+DK44+DM44+DO44+DQ44+DS44+EE44+EG44+EI44+EK44+R44+H44+CI44+BA44+AR44</f>
        <v>0</v>
      </c>
      <c r="F44" s="26"/>
      <c r="G44" s="427">
        <f>+L44+AW44+BE44+J44+BA44+BU44</f>
        <v>0</v>
      </c>
      <c r="H44" s="27"/>
      <c r="I44" s="27"/>
      <c r="J44" s="321">
        <v>0</v>
      </c>
      <c r="K44" s="27"/>
      <c r="L44" s="321">
        <f>+DATOS!F17</f>
        <v>0</v>
      </c>
      <c r="M44" s="27"/>
      <c r="N44" s="25"/>
      <c r="O44" s="27"/>
      <c r="P44" s="27"/>
      <c r="Q44" s="27"/>
      <c r="R44" s="25"/>
      <c r="S44" s="27"/>
      <c r="T44" s="25"/>
      <c r="U44" s="25"/>
      <c r="V44" s="25"/>
      <c r="W44" s="25"/>
      <c r="X44" s="27"/>
      <c r="Y44" s="27"/>
      <c r="Z44" s="27"/>
      <c r="AA44" s="27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7"/>
      <c r="AP44" s="25"/>
      <c r="AQ44" s="25"/>
      <c r="AR44" s="25"/>
      <c r="AS44" s="25"/>
      <c r="AT44" s="28"/>
      <c r="AU44" s="25"/>
      <c r="AV44" s="25"/>
      <c r="AW44" s="498">
        <f>+AX30</f>
        <v>0</v>
      </c>
      <c r="AX44" s="25"/>
      <c r="AY44" s="25"/>
      <c r="AZ44" s="27"/>
      <c r="BA44" s="216">
        <f>+BB32</f>
        <v>0</v>
      </c>
      <c r="BB44" s="25"/>
      <c r="BC44" s="25"/>
      <c r="BD44" s="27"/>
      <c r="BE44" s="25">
        <f>+BF32</f>
        <v>0</v>
      </c>
      <c r="BF44" s="27"/>
      <c r="BG44" s="25"/>
      <c r="BH44" s="27"/>
      <c r="BI44" s="27"/>
      <c r="BJ44" s="27"/>
      <c r="BK44" s="27"/>
      <c r="BL44" s="27"/>
      <c r="BM44" s="25"/>
      <c r="BN44" s="27"/>
      <c r="BO44" s="25"/>
      <c r="BP44" s="27"/>
      <c r="BQ44" s="27"/>
      <c r="BR44" s="27"/>
      <c r="BS44" s="25"/>
      <c r="BT44" s="27"/>
      <c r="BU44" s="25">
        <f>+BV32</f>
        <v>0</v>
      </c>
      <c r="BV44" s="27"/>
      <c r="BW44" s="25"/>
      <c r="BX44" s="27"/>
      <c r="BY44" s="27"/>
      <c r="BZ44" s="27"/>
      <c r="CA44" s="27"/>
      <c r="CB44" s="27"/>
      <c r="CC44" s="25"/>
      <c r="CD44" s="27"/>
      <c r="CE44" s="27"/>
      <c r="CF44" s="25"/>
      <c r="CG44" s="25"/>
      <c r="CH44" s="25"/>
      <c r="CI44" s="25"/>
      <c r="CJ44" s="25"/>
      <c r="CK44" s="28"/>
      <c r="CL44" s="25"/>
      <c r="CM44" s="25"/>
      <c r="CN44" s="25"/>
      <c r="CO44" s="27"/>
      <c r="CP44" s="25"/>
      <c r="CQ44" s="25"/>
      <c r="CR44" s="25"/>
      <c r="CS44" s="27"/>
      <c r="CT44" s="25"/>
      <c r="CU44" s="25"/>
      <c r="CV44" s="28"/>
      <c r="CW44" s="25"/>
      <c r="CX44" s="25"/>
      <c r="CY44" s="25"/>
      <c r="CZ44" s="25"/>
      <c r="DA44" s="25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8"/>
      <c r="EN44" s="28">
        <f t="shared" si="3"/>
        <v>0</v>
      </c>
      <c r="EO44" s="28">
        <f t="shared" si="4"/>
        <v>0</v>
      </c>
      <c r="EP44" s="28">
        <f t="shared" si="10"/>
        <v>0</v>
      </c>
    </row>
    <row r="45" spans="2:146">
      <c r="B45" s="9">
        <f>+B44</f>
        <v>44285</v>
      </c>
      <c r="C45" s="91"/>
      <c r="D45" s="210" t="s">
        <v>114</v>
      </c>
      <c r="E45" s="478">
        <f>+F45+J45+L45+N45+T45+V45+X45+AB45+AD45+AF45+AL45+AN45+AP45+AU45+AW45+AY45+BC45+BE45+BG45+BM45+BO45+BQ45+BW45+CC45+CE45+CG45+CL45+CN45+CP45+CR45+CT45+CW45+CY45+DA45+DC45+DE45+DG45+DI45+DK45+DM45+DO45+DQ45+DS45+EE45+EG45+EI45+EK45+R45+H45+CI45+BA45+AR45+DY45</f>
        <v>0</v>
      </c>
      <c r="F45" s="26"/>
      <c r="G45" s="499">
        <f>+J45+EG45+DY45+X45+CW45</f>
        <v>0</v>
      </c>
      <c r="H45" s="27"/>
      <c r="I45" s="27"/>
      <c r="J45" s="219">
        <f>+DATOS!E38</f>
        <v>0</v>
      </c>
      <c r="K45" s="27"/>
      <c r="L45" s="27"/>
      <c r="M45" s="27"/>
      <c r="N45" s="25"/>
      <c r="O45" s="27"/>
      <c r="P45" s="27"/>
      <c r="Q45" s="27"/>
      <c r="R45" s="25"/>
      <c r="S45" s="27"/>
      <c r="T45" s="25"/>
      <c r="U45" s="25"/>
      <c r="V45" s="25"/>
      <c r="W45" s="25"/>
      <c r="X45" s="219"/>
      <c r="Y45" s="27"/>
      <c r="Z45" s="27"/>
      <c r="AA45" s="27"/>
      <c r="AB45" s="25"/>
      <c r="AC45" s="25"/>
      <c r="AD45" s="25"/>
      <c r="AE45" s="25"/>
      <c r="AF45" s="25"/>
      <c r="AG45" s="25">
        <v>0</v>
      </c>
      <c r="AH45" s="25"/>
      <c r="AI45" s="25"/>
      <c r="AJ45" s="25"/>
      <c r="AK45" s="25"/>
      <c r="AL45" s="25"/>
      <c r="AM45" s="25"/>
      <c r="AN45" s="25"/>
      <c r="AO45" s="27"/>
      <c r="AP45" s="25"/>
      <c r="AQ45" s="25"/>
      <c r="AR45" s="25"/>
      <c r="AS45" s="25"/>
      <c r="AT45" s="28"/>
      <c r="AU45" s="25"/>
      <c r="AV45" s="25"/>
      <c r="AW45" s="25"/>
      <c r="AX45" s="25"/>
      <c r="AY45" s="25"/>
      <c r="AZ45" s="27"/>
      <c r="BA45" s="25"/>
      <c r="BB45" s="25"/>
      <c r="BC45" s="25"/>
      <c r="BD45" s="27"/>
      <c r="BE45" s="25"/>
      <c r="BF45" s="27"/>
      <c r="BG45" s="25"/>
      <c r="BH45" s="27"/>
      <c r="BI45" s="27"/>
      <c r="BJ45" s="27"/>
      <c r="BK45" s="27"/>
      <c r="BL45" s="27"/>
      <c r="BM45" s="25"/>
      <c r="BN45" s="27"/>
      <c r="BO45" s="25"/>
      <c r="BP45" s="27"/>
      <c r="BQ45" s="27"/>
      <c r="BR45" s="27"/>
      <c r="BS45" s="25"/>
      <c r="BT45" s="27"/>
      <c r="BU45" s="25"/>
      <c r="BV45" s="27"/>
      <c r="BW45" s="25"/>
      <c r="BX45" s="27"/>
      <c r="BY45" s="27"/>
      <c r="BZ45" s="27"/>
      <c r="CA45" s="27"/>
      <c r="CB45" s="27"/>
      <c r="CC45" s="25"/>
      <c r="CD45" s="27"/>
      <c r="CE45" s="27"/>
      <c r="CF45" s="25"/>
      <c r="CG45" s="25"/>
      <c r="CH45" s="25"/>
      <c r="CI45" s="25"/>
      <c r="CJ45" s="25"/>
      <c r="CK45" s="28"/>
      <c r="CL45" s="25"/>
      <c r="CM45" s="25"/>
      <c r="CN45" s="25"/>
      <c r="CO45" s="27"/>
      <c r="CP45" s="25"/>
      <c r="CQ45" s="25"/>
      <c r="CR45" s="25"/>
      <c r="CS45" s="27"/>
      <c r="CT45" s="25"/>
      <c r="CU45" s="25"/>
      <c r="CV45" s="28"/>
      <c r="CW45" s="418">
        <f>+DATOS!F38</f>
        <v>0</v>
      </c>
      <c r="CX45" s="25"/>
      <c r="CY45" s="25"/>
      <c r="CZ45" s="25"/>
      <c r="DA45" s="25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>
        <v>0</v>
      </c>
      <c r="EB45" s="25"/>
      <c r="EC45" s="25"/>
      <c r="ED45" s="25"/>
      <c r="EE45" s="25"/>
      <c r="EF45" s="25"/>
      <c r="EG45" s="220">
        <f>ROUND(+J45/0.19,0)-X45</f>
        <v>0</v>
      </c>
      <c r="EH45" s="25"/>
      <c r="EI45" s="25"/>
      <c r="EJ45" s="25"/>
      <c r="EK45" s="25"/>
      <c r="EL45" s="25"/>
      <c r="EM45" s="28"/>
      <c r="EN45" s="28">
        <f t="shared" si="3"/>
        <v>0</v>
      </c>
      <c r="EO45" s="28">
        <f t="shared" si="4"/>
        <v>0</v>
      </c>
      <c r="EP45" s="28">
        <f t="shared" si="10"/>
        <v>0</v>
      </c>
    </row>
    <row r="46" spans="2:146">
      <c r="B46" s="9">
        <f>+B45</f>
        <v>44285</v>
      </c>
      <c r="C46" s="91"/>
      <c r="D46" s="211" t="s">
        <v>115</v>
      </c>
      <c r="E46" s="478">
        <f>+F46+J46+L46+N46+T46+V46+X46+AB46+AD46+AF46+AL46+AN46+AP46+AU46+AW46+AY46+BC46+BE46+BG46+BM46+BO46+BQ46+BW46+CC46+CE46+CG46+CL46+CN46+CP46+CR46+CT46+CW46+CY46+DA46+DC46+DE46+DG46+DI46+DK46+DM46+DO46+DQ46+DS46+EE46+EG46+EI46+EK46+R46+H46+CI46+BA46+AR46</f>
        <v>0</v>
      </c>
      <c r="F46" s="320">
        <f>(+K46+CM46)+CO46</f>
        <v>0</v>
      </c>
      <c r="G46" s="27"/>
      <c r="H46" s="27"/>
      <c r="I46" s="27"/>
      <c r="J46" s="27"/>
      <c r="K46" s="221">
        <f>+DATOS!E17</f>
        <v>0</v>
      </c>
      <c r="L46" s="27"/>
      <c r="M46" s="27"/>
      <c r="N46" s="25"/>
      <c r="O46" s="27"/>
      <c r="P46" s="27"/>
      <c r="Q46" s="27"/>
      <c r="R46" s="25"/>
      <c r="S46" s="27"/>
      <c r="T46" s="25"/>
      <c r="U46" s="25"/>
      <c r="V46" s="25"/>
      <c r="W46" s="25"/>
      <c r="X46" s="27"/>
      <c r="Y46" s="27"/>
      <c r="Z46" s="27"/>
      <c r="AA46" s="27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7"/>
      <c r="AP46" s="25"/>
      <c r="AQ46" s="25"/>
      <c r="AR46" s="25"/>
      <c r="AS46" s="25"/>
      <c r="AT46" s="28"/>
      <c r="AU46" s="25"/>
      <c r="AV46" s="25"/>
      <c r="AW46" s="25"/>
      <c r="AX46" s="25"/>
      <c r="AY46" s="25"/>
      <c r="AZ46" s="27"/>
      <c r="BA46" s="25"/>
      <c r="BB46" s="25"/>
      <c r="BC46" s="25"/>
      <c r="BD46" s="27"/>
      <c r="BE46" s="25"/>
      <c r="BF46" s="27"/>
      <c r="BG46" s="25"/>
      <c r="BH46" s="27"/>
      <c r="BI46" s="27"/>
      <c r="BJ46" s="27"/>
      <c r="BK46" s="27"/>
      <c r="BL46" s="27"/>
      <c r="BM46" s="25"/>
      <c r="BN46" s="27"/>
      <c r="BO46" s="25"/>
      <c r="BP46" s="27"/>
      <c r="BQ46" s="27"/>
      <c r="BR46" s="27"/>
      <c r="BS46" s="25"/>
      <c r="BT46" s="27"/>
      <c r="BU46" s="25"/>
      <c r="BV46" s="27"/>
      <c r="BW46" s="25"/>
      <c r="BX46" s="27"/>
      <c r="BY46" s="27"/>
      <c r="BZ46" s="27"/>
      <c r="CA46" s="27"/>
      <c r="CB46" s="27"/>
      <c r="CC46" s="25"/>
      <c r="CD46" s="27"/>
      <c r="CE46" s="27"/>
      <c r="CF46" s="25"/>
      <c r="CG46" s="25"/>
      <c r="CH46" s="25"/>
      <c r="CI46" s="25"/>
      <c r="CJ46" s="25"/>
      <c r="CK46" s="28"/>
      <c r="CL46" s="25"/>
      <c r="CM46" s="320">
        <f>ROUND(+K46/0.19,0)</f>
        <v>0</v>
      </c>
      <c r="CN46" s="25"/>
      <c r="CO46" s="221">
        <f>+DATOS!D17</f>
        <v>0</v>
      </c>
      <c r="CP46" s="25"/>
      <c r="CQ46" s="25"/>
      <c r="CR46" s="25"/>
      <c r="CS46" s="27"/>
      <c r="CT46" s="25"/>
      <c r="CU46" s="25"/>
      <c r="CV46" s="28"/>
      <c r="CW46" s="25"/>
      <c r="CX46" s="25"/>
      <c r="CY46" s="25"/>
      <c r="CZ46" s="25"/>
      <c r="DA46" s="25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8"/>
      <c r="EN46" s="28">
        <f t="shared" si="3"/>
        <v>0</v>
      </c>
      <c r="EO46" s="28">
        <f t="shared" si="4"/>
        <v>0</v>
      </c>
      <c r="EP46" s="28">
        <f t="shared" si="10"/>
        <v>0</v>
      </c>
    </row>
    <row r="47" spans="2:146">
      <c r="B47" s="9">
        <f>+B46</f>
        <v>44285</v>
      </c>
      <c r="C47" s="91"/>
      <c r="D47" s="434"/>
      <c r="E47" s="25">
        <f>+F47+J47+L47+N47+T47+V47+X47+AB47+AD47+AF47+AL47+AN47+AP47+AU47+AW47+AY47+BC47+BE47+BG47+BM47+BO47+BQ47+BW47+CC47+CE47+CG47+CL47+CN47+CP47+CR47+CT47+CW47+CY47+DA47+DC47+DE47+DG47+DI47+DK47+DM47+DO47+DQ47+DS47+EE47+EG47+EI47+EK47+R47+H47+CI47+BA47+AR47+DU47</f>
        <v>0</v>
      </c>
      <c r="F47" s="26"/>
      <c r="G47" s="286">
        <f>+DU47</f>
        <v>0</v>
      </c>
      <c r="H47" s="27"/>
      <c r="I47" s="27"/>
      <c r="J47" s="27"/>
      <c r="K47" s="27"/>
      <c r="L47" s="27"/>
      <c r="M47" s="27"/>
      <c r="N47" s="25"/>
      <c r="O47" s="27"/>
      <c r="P47" s="27"/>
      <c r="Q47" s="27"/>
      <c r="R47" s="25"/>
      <c r="S47" s="27"/>
      <c r="T47" s="25"/>
      <c r="U47" s="25"/>
      <c r="V47" s="25"/>
      <c r="W47" s="25"/>
      <c r="X47" s="27"/>
      <c r="Y47" s="27"/>
      <c r="Z47" s="27"/>
      <c r="AA47" s="27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7"/>
      <c r="AP47" s="25"/>
      <c r="AQ47" s="25"/>
      <c r="AR47" s="25"/>
      <c r="AS47" s="25"/>
      <c r="AT47" s="28"/>
      <c r="AU47" s="25"/>
      <c r="AV47" s="25"/>
      <c r="AW47" s="25"/>
      <c r="AX47" s="25"/>
      <c r="AY47" s="25"/>
      <c r="AZ47" s="27"/>
      <c r="BA47" s="25"/>
      <c r="BB47" s="25"/>
      <c r="BC47" s="25"/>
      <c r="BD47" s="27"/>
      <c r="BE47" s="25"/>
      <c r="BF47" s="27"/>
      <c r="BG47" s="25"/>
      <c r="BH47" s="27"/>
      <c r="BI47" s="27"/>
      <c r="BJ47" s="27"/>
      <c r="BK47" s="27"/>
      <c r="BL47" s="27"/>
      <c r="BM47" s="25"/>
      <c r="BN47" s="27"/>
      <c r="BO47" s="25"/>
      <c r="BP47" s="27"/>
      <c r="BQ47" s="27"/>
      <c r="BR47" s="27"/>
      <c r="BS47" s="25"/>
      <c r="BT47" s="27"/>
      <c r="BU47" s="25"/>
      <c r="BV47" s="27"/>
      <c r="BW47" s="25"/>
      <c r="BX47" s="27"/>
      <c r="BY47" s="27"/>
      <c r="BZ47" s="27"/>
      <c r="CA47" s="27"/>
      <c r="CB47" s="27"/>
      <c r="CC47" s="25"/>
      <c r="CD47" s="27"/>
      <c r="CE47" s="27"/>
      <c r="CF47" s="25"/>
      <c r="CG47" s="25"/>
      <c r="CH47" s="25"/>
      <c r="CI47" s="25"/>
      <c r="CJ47" s="25"/>
      <c r="CK47" s="28"/>
      <c r="CL47" s="25"/>
      <c r="CM47" s="25"/>
      <c r="CN47" s="25"/>
      <c r="CO47" s="27"/>
      <c r="CP47" s="25"/>
      <c r="CQ47" s="25"/>
      <c r="CR47" s="25"/>
      <c r="CS47" s="27"/>
      <c r="CT47" s="25"/>
      <c r="CU47" s="25"/>
      <c r="CV47" s="28"/>
      <c r="CW47" s="25"/>
      <c r="CX47" s="25"/>
      <c r="CY47" s="25"/>
      <c r="CZ47" s="25"/>
      <c r="DA47" s="25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5"/>
      <c r="DP47" s="25"/>
      <c r="DQ47" s="25"/>
      <c r="DR47" s="25"/>
      <c r="DS47" s="25"/>
      <c r="DT47" s="25"/>
      <c r="DU47" s="215"/>
      <c r="DV47" s="25"/>
      <c r="DW47" s="25"/>
      <c r="DX47" s="25"/>
      <c r="DY47" s="21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>
        <f>+J47</f>
        <v>0</v>
      </c>
      <c r="EM47" s="28"/>
      <c r="EN47" s="28">
        <f t="shared" si="3"/>
        <v>0</v>
      </c>
      <c r="EO47" s="28">
        <f t="shared" si="4"/>
        <v>0</v>
      </c>
      <c r="EP47" s="28">
        <f t="shared" si="10"/>
        <v>0</v>
      </c>
    </row>
    <row r="48" spans="2:146">
      <c r="B48" s="9">
        <f>+B46</f>
        <v>44285</v>
      </c>
      <c r="C48" s="92"/>
      <c r="D48" s="492" t="s">
        <v>459</v>
      </c>
      <c r="E48" s="25">
        <f>+F48+J48+L48+N48+T48+V48+X48+AB48+AD48+AF48+AL48+AN48+AP48+AU48+AW48+AY48+BC48+BE48+BG48+BM48+BO48+BQ48+BW48+CC48+CE48+CG48+CL48+CN48+CP48+CR48+CT48+CW48+CY48+DA48+DC48+DE48+DG48+DI48+DK48+DM48+DO48+DQ48+DS48+EE48+EG48+EI48+EK48+R48+H48+CI48+BA48+AR48</f>
        <v>0</v>
      </c>
      <c r="F48" s="26"/>
      <c r="G48" s="27">
        <f>+DS48-AX48</f>
        <v>0</v>
      </c>
      <c r="H48" s="27"/>
      <c r="I48" s="27"/>
      <c r="J48" s="27"/>
      <c r="K48" s="27"/>
      <c r="L48" s="27"/>
      <c r="M48" s="27"/>
      <c r="N48" s="25"/>
      <c r="O48" s="27"/>
      <c r="P48" s="27"/>
      <c r="Q48" s="27"/>
      <c r="R48" s="25"/>
      <c r="S48" s="27"/>
      <c r="T48" s="25"/>
      <c r="U48" s="25"/>
      <c r="V48" s="25"/>
      <c r="W48" s="25"/>
      <c r="X48" s="27"/>
      <c r="Y48" s="27"/>
      <c r="Z48" s="27"/>
      <c r="AA48" s="27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7"/>
      <c r="AP48" s="25"/>
      <c r="AQ48" s="25"/>
      <c r="AR48" s="25"/>
      <c r="AS48" s="25"/>
      <c r="AT48" s="28"/>
      <c r="AU48" s="25"/>
      <c r="AV48" s="25"/>
      <c r="AW48" s="25"/>
      <c r="AX48" s="217">
        <f>+DATOS!G17</f>
        <v>0</v>
      </c>
      <c r="AY48" s="25"/>
      <c r="AZ48" s="27"/>
      <c r="BA48" s="25"/>
      <c r="BB48" s="25"/>
      <c r="BC48" s="25"/>
      <c r="BD48" s="27"/>
      <c r="BE48" s="25"/>
      <c r="BF48" s="27"/>
      <c r="BG48" s="25"/>
      <c r="BH48" s="27"/>
      <c r="BI48" s="27"/>
      <c r="BJ48" s="27"/>
      <c r="BK48" s="27"/>
      <c r="BL48" s="27"/>
      <c r="BM48" s="25"/>
      <c r="BN48" s="27"/>
      <c r="BO48" s="25"/>
      <c r="BP48" s="27"/>
      <c r="BQ48" s="27"/>
      <c r="BR48" s="27"/>
      <c r="BS48" s="25"/>
      <c r="BT48" s="27"/>
      <c r="BU48" s="25"/>
      <c r="BV48" s="27"/>
      <c r="BW48" s="25"/>
      <c r="BX48" s="27"/>
      <c r="BY48" s="27"/>
      <c r="BZ48" s="27"/>
      <c r="CA48" s="27"/>
      <c r="CB48" s="27"/>
      <c r="CC48" s="25"/>
      <c r="CD48" s="27"/>
      <c r="CE48" s="27"/>
      <c r="CF48" s="25"/>
      <c r="CG48" s="25"/>
      <c r="CH48" s="25"/>
      <c r="CI48" s="25"/>
      <c r="CJ48" s="25"/>
      <c r="CK48" s="28"/>
      <c r="CL48" s="25"/>
      <c r="CM48" s="25"/>
      <c r="CN48" s="25"/>
      <c r="CO48" s="27"/>
      <c r="CP48" s="25"/>
      <c r="CQ48" s="25"/>
      <c r="CR48" s="25"/>
      <c r="CS48" s="27"/>
      <c r="CT48" s="25"/>
      <c r="CU48" s="25"/>
      <c r="CV48" s="28"/>
      <c r="CW48" s="25"/>
      <c r="CX48" s="25"/>
      <c r="CY48" s="25"/>
      <c r="CZ48" s="25"/>
      <c r="DA48" s="25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5"/>
      <c r="DP48" s="25"/>
      <c r="DQ48" s="25"/>
      <c r="DR48" s="25"/>
      <c r="DS48" s="218">
        <f>ROUND(+AX48/0.13,0)</f>
        <v>0</v>
      </c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8"/>
      <c r="EN48" s="28">
        <f t="shared" si="3"/>
        <v>0</v>
      </c>
      <c r="EO48" s="28">
        <f t="shared" si="4"/>
        <v>0</v>
      </c>
      <c r="EP48" s="28">
        <f t="shared" si="10"/>
        <v>0</v>
      </c>
    </row>
    <row r="49" spans="2:146">
      <c r="B49" s="9">
        <f>+B46</f>
        <v>44285</v>
      </c>
      <c r="C49" s="92"/>
      <c r="D49" s="138" t="s">
        <v>150</v>
      </c>
      <c r="E49" s="25">
        <f>+F49+J49+L49+N49+T49+V49+X49+AB49+AD49+AF49+AL49+AN49+AP49+AU49+AW49+AY49+BC49+BE49+BG49+BM49+BO49+BQ49+BW49+CC49+CE49+CG49+CL49+CN49+CP49+CR49+CT49+CW49+CY49+DA49+DC49+DE49+DG49+DI49+DK49+DM49+DO49+DQ49+DS49+EE49+EG49+EI49+EK49+R49+H49+CI49+BA49+AR49</f>
        <v>0</v>
      </c>
      <c r="F49" s="26"/>
      <c r="G49" s="27">
        <f>+CW49+CY49+DA49+DC49+DE49+DG49+DI49+DK49+DM49</f>
        <v>0</v>
      </c>
      <c r="H49" s="27"/>
      <c r="I49" s="27"/>
      <c r="J49" s="27"/>
      <c r="K49" s="27"/>
      <c r="L49" s="27"/>
      <c r="M49" s="27"/>
      <c r="N49" s="25"/>
      <c r="O49" s="27"/>
      <c r="P49" s="27"/>
      <c r="Q49" s="27"/>
      <c r="R49" s="25"/>
      <c r="S49" s="27"/>
      <c r="T49" s="25"/>
      <c r="U49" s="25"/>
      <c r="V49" s="25"/>
      <c r="W49" s="25"/>
      <c r="X49" s="27"/>
      <c r="Y49" s="27"/>
      <c r="Z49" s="27"/>
      <c r="AA49" s="27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7"/>
      <c r="AP49" s="25"/>
      <c r="AQ49" s="25"/>
      <c r="AR49" s="25"/>
      <c r="AS49" s="25"/>
      <c r="AT49" s="28"/>
      <c r="AU49" s="25"/>
      <c r="AV49" s="25"/>
      <c r="AW49" s="25"/>
      <c r="AX49" s="25"/>
      <c r="AY49" s="25"/>
      <c r="AZ49" s="27"/>
      <c r="BA49" s="25"/>
      <c r="BB49" s="25"/>
      <c r="BC49" s="25"/>
      <c r="BD49" s="27"/>
      <c r="BE49" s="25"/>
      <c r="BF49" s="27"/>
      <c r="BG49" s="25"/>
      <c r="BH49" s="27"/>
      <c r="BI49" s="27"/>
      <c r="BJ49" s="27"/>
      <c r="BK49" s="27"/>
      <c r="BL49" s="27"/>
      <c r="BM49" s="25"/>
      <c r="BN49" s="27"/>
      <c r="BO49" s="25"/>
      <c r="BP49" s="27"/>
      <c r="BQ49" s="27"/>
      <c r="BR49" s="27"/>
      <c r="BS49" s="25"/>
      <c r="BT49" s="27"/>
      <c r="BU49" s="25"/>
      <c r="BV49" s="27"/>
      <c r="BW49" s="25"/>
      <c r="BX49" s="27"/>
      <c r="BY49" s="27"/>
      <c r="BZ49" s="27"/>
      <c r="CA49" s="27"/>
      <c r="CB49" s="27"/>
      <c r="CC49" s="25"/>
      <c r="CD49" s="27"/>
      <c r="CE49" s="27"/>
      <c r="CF49" s="25"/>
      <c r="CG49" s="25"/>
      <c r="CH49" s="25"/>
      <c r="CI49" s="25"/>
      <c r="CJ49" s="25"/>
      <c r="CK49" s="28"/>
      <c r="CL49" s="25"/>
      <c r="CM49" s="25"/>
      <c r="CN49" s="25"/>
      <c r="CO49" s="27"/>
      <c r="CP49" s="25"/>
      <c r="CQ49" s="25"/>
      <c r="CR49" s="25"/>
      <c r="CS49" s="27"/>
      <c r="CT49" s="25"/>
      <c r="CU49" s="25"/>
      <c r="CV49" s="28"/>
      <c r="CW49" s="25"/>
      <c r="CX49" s="25"/>
      <c r="CY49" s="25"/>
      <c r="CZ49" s="25"/>
      <c r="DA49" s="25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8"/>
      <c r="EN49" s="28">
        <f t="shared" si="3"/>
        <v>0</v>
      </c>
      <c r="EO49" s="28">
        <f t="shared" si="4"/>
        <v>0</v>
      </c>
      <c r="EP49" s="28">
        <f t="shared" si="10"/>
        <v>0</v>
      </c>
    </row>
    <row r="50" spans="2:146">
      <c r="B50" s="9">
        <f>+B48</f>
        <v>44285</v>
      </c>
      <c r="C50" s="92"/>
      <c r="D50" s="213" t="s">
        <v>195</v>
      </c>
      <c r="E50" s="478">
        <f>+F50+J50+L50+N50+T50+V50+X50+AB50+AD50+AF50+AL50+AN50+AP50+AU50+AW50+AY50+BC50+BE50+BG50+BM50+BO50+BQ50+BW50+CC50+CE50+CG50+CL50+CN50+CP50+CR50+CT50+CW50+CY50+DA50+DC50+DE50+DG50+DI50+DK50+DM50+DO50+DQ50+DS50+EE50+EG50+EI50+EK50+R50+H50+CI50+BA50+AR50+DU50</f>
        <v>0</v>
      </c>
      <c r="F50" s="26"/>
      <c r="G50" s="286">
        <f>+DU50-BB50-AV50-AQ50+DY50-BV50</f>
        <v>0</v>
      </c>
      <c r="H50" s="27"/>
      <c r="I50" s="27"/>
      <c r="J50" s="27"/>
      <c r="K50" s="27"/>
      <c r="L50" s="27"/>
      <c r="M50" s="27"/>
      <c r="N50" s="25"/>
      <c r="O50" s="27"/>
      <c r="P50" s="27"/>
      <c r="Q50" s="27"/>
      <c r="R50" s="25"/>
      <c r="S50" s="27"/>
      <c r="T50" s="25"/>
      <c r="U50" s="25"/>
      <c r="V50" s="25"/>
      <c r="W50" s="25"/>
      <c r="X50" s="27"/>
      <c r="Y50" s="27"/>
      <c r="Z50" s="27"/>
      <c r="AA50" s="27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7"/>
      <c r="AP50" s="213"/>
      <c r="AQ50" s="215">
        <f>+DATOS!K38</f>
        <v>0</v>
      </c>
      <c r="AR50" s="25"/>
      <c r="AS50" s="25"/>
      <c r="AT50" s="28"/>
      <c r="AU50" s="25"/>
      <c r="AV50" s="215">
        <f>+DATOS!J38+DATOS!M38</f>
        <v>0</v>
      </c>
      <c r="AW50" s="25"/>
      <c r="AX50" s="25"/>
      <c r="AY50" s="25"/>
      <c r="AZ50" s="27"/>
      <c r="BA50" s="25"/>
      <c r="BB50" s="214">
        <f>+DATOS!I38</f>
        <v>0</v>
      </c>
      <c r="BC50" s="25"/>
      <c r="BD50" s="27"/>
      <c r="BE50" s="25"/>
      <c r="BF50" s="27"/>
      <c r="BG50" s="25"/>
      <c r="BH50" s="27"/>
      <c r="BI50" s="27"/>
      <c r="BJ50" s="27"/>
      <c r="BK50" s="27"/>
      <c r="BL50" s="27"/>
      <c r="BM50" s="25"/>
      <c r="BN50" s="272"/>
      <c r="BO50" s="25"/>
      <c r="BP50" s="27"/>
      <c r="BQ50" s="27"/>
      <c r="BR50" s="27"/>
      <c r="BS50" s="25"/>
      <c r="BT50" s="27"/>
      <c r="BU50" s="25"/>
      <c r="BV50" s="27">
        <v>0</v>
      </c>
      <c r="BW50" s="25"/>
      <c r="BX50" s="27"/>
      <c r="BY50" s="27"/>
      <c r="BZ50" s="27"/>
      <c r="CA50" s="27"/>
      <c r="CB50" s="27"/>
      <c r="CC50" s="25"/>
      <c r="CD50" s="27"/>
      <c r="CE50" s="27"/>
      <c r="CF50" s="25"/>
      <c r="CG50" s="25"/>
      <c r="CH50" s="25"/>
      <c r="CI50" s="25"/>
      <c r="CJ50" s="25"/>
      <c r="CK50" s="28"/>
      <c r="CL50" s="25"/>
      <c r="CM50" s="25"/>
      <c r="CN50" s="25"/>
      <c r="CO50" s="27"/>
      <c r="CP50" s="25"/>
      <c r="CQ50" s="25"/>
      <c r="CR50" s="25"/>
      <c r="CS50" s="27"/>
      <c r="CT50" s="25"/>
      <c r="CU50" s="25"/>
      <c r="CV50" s="28"/>
      <c r="CW50" s="25"/>
      <c r="CX50" s="25"/>
      <c r="CY50" s="25"/>
      <c r="CZ50" s="25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5"/>
      <c r="DP50" s="25"/>
      <c r="DQ50" s="25"/>
      <c r="DR50" s="25"/>
      <c r="DS50" s="25"/>
      <c r="DT50" s="25"/>
      <c r="DU50" s="215">
        <f>+DATOS!G38</f>
        <v>0</v>
      </c>
      <c r="DV50" s="25"/>
      <c r="DW50" s="25"/>
      <c r="DX50" s="25"/>
      <c r="DY50" s="215">
        <f>+DATOS!M38</f>
        <v>0</v>
      </c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8"/>
      <c r="EN50" s="28">
        <f>+F50+J50+L50+N50+T50+V50+X50+AB50+AD50+AF50+AL50+AN50+AP50+AU50+AW50+AY50+BC50+BE50+BG50+BM50+BO50+BQ50+BU50+BW50+BY50+CC50+CE50+CG50+CL50+CN50+CP50+CR50+CT50+CW50+CY50+DA50+DC50+DE50+DG50+DI50+DK50+DM50+DO50+DQ50+DS50+EE50+EG50+EI50+EK50+H50+R50+AR50+BA50+CI50+DY50+DU50</f>
        <v>0</v>
      </c>
      <c r="EO50" s="28">
        <f t="shared" si="4"/>
        <v>0</v>
      </c>
      <c r="EP50" s="28">
        <f t="shared" si="10"/>
        <v>0</v>
      </c>
    </row>
    <row r="51" spans="2:146">
      <c r="B51" s="9">
        <f>+B49</f>
        <v>44285</v>
      </c>
      <c r="C51" s="92"/>
      <c r="D51" s="485" t="s">
        <v>488</v>
      </c>
      <c r="E51" s="478"/>
      <c r="F51" s="26"/>
      <c r="G51" s="278">
        <f>+BY51</f>
        <v>0</v>
      </c>
      <c r="H51" s="27"/>
      <c r="I51" s="27"/>
      <c r="J51" s="27"/>
      <c r="K51" s="27"/>
      <c r="L51" s="27"/>
      <c r="M51" s="27"/>
      <c r="N51" s="25"/>
      <c r="O51" s="27"/>
      <c r="P51" s="27"/>
      <c r="Q51" s="27"/>
      <c r="R51" s="25"/>
      <c r="S51" s="27"/>
      <c r="T51" s="25"/>
      <c r="U51" s="25"/>
      <c r="V51" s="25"/>
      <c r="W51" s="25"/>
      <c r="X51" s="27"/>
      <c r="Y51" s="27"/>
      <c r="Z51" s="27"/>
      <c r="AA51" s="27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7"/>
      <c r="AP51" s="517"/>
      <c r="AQ51" s="215"/>
      <c r="AR51" s="25"/>
      <c r="AS51" s="25"/>
      <c r="AT51" s="28"/>
      <c r="AU51" s="25"/>
      <c r="AV51" s="215"/>
      <c r="AW51" s="25"/>
      <c r="AX51" s="25"/>
      <c r="AY51" s="25"/>
      <c r="AZ51" s="27"/>
      <c r="BA51" s="25"/>
      <c r="BB51" s="214"/>
      <c r="BC51" s="25"/>
      <c r="BD51" s="27"/>
      <c r="BE51" s="25"/>
      <c r="BF51" s="27"/>
      <c r="BG51" s="25"/>
      <c r="BH51" s="27"/>
      <c r="BI51" s="27"/>
      <c r="BJ51" s="27"/>
      <c r="BK51" s="27"/>
      <c r="BL51" s="27"/>
      <c r="BM51" s="25"/>
      <c r="BN51" s="272"/>
      <c r="BO51" s="25"/>
      <c r="BP51" s="27"/>
      <c r="BQ51" s="515">
        <f>+DATOS!C65</f>
        <v>0</v>
      </c>
      <c r="BR51" s="27"/>
      <c r="BS51" s="515">
        <f>+DATOS!F65</f>
        <v>0</v>
      </c>
      <c r="BT51" s="27"/>
      <c r="BU51" s="516">
        <f>+DATOS!I65</f>
        <v>0</v>
      </c>
      <c r="BV51" s="27"/>
      <c r="BW51" s="516">
        <f>+DATOS!L65</f>
        <v>0</v>
      </c>
      <c r="BX51" s="27"/>
      <c r="BY51" s="515">
        <f>+DATOS!O65</f>
        <v>0</v>
      </c>
      <c r="BZ51" s="27"/>
      <c r="CA51" s="27"/>
      <c r="CB51" s="27"/>
      <c r="CC51" s="25"/>
      <c r="CD51" s="27"/>
      <c r="CE51" s="27"/>
      <c r="CF51" s="25"/>
      <c r="CG51" s="25"/>
      <c r="CH51" s="25"/>
      <c r="CI51" s="25"/>
      <c r="CJ51" s="25"/>
      <c r="CK51" s="28"/>
      <c r="CL51" s="25"/>
      <c r="CM51" s="25"/>
      <c r="CN51" s="25"/>
      <c r="CO51" s="27"/>
      <c r="CP51" s="25"/>
      <c r="CQ51" s="25"/>
      <c r="CR51" s="25"/>
      <c r="CS51" s="27"/>
      <c r="CT51" s="25"/>
      <c r="CU51" s="25"/>
      <c r="CV51" s="28"/>
      <c r="CW51" s="25"/>
      <c r="CX51" s="25"/>
      <c r="CY51" s="25"/>
      <c r="CZ51" s="25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5"/>
      <c r="DP51" s="25"/>
      <c r="DQ51" s="25"/>
      <c r="DR51" s="25"/>
      <c r="DS51" s="25"/>
      <c r="DT51" s="25"/>
      <c r="DU51" s="215"/>
      <c r="DV51" s="25"/>
      <c r="DW51" s="25"/>
      <c r="DX51" s="25"/>
      <c r="DY51" s="21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8"/>
      <c r="EN51" s="28"/>
      <c r="EO51" s="28"/>
      <c r="EP51" s="28"/>
    </row>
    <row r="52" spans="2:146">
      <c r="B52" s="9">
        <f>+B50</f>
        <v>44285</v>
      </c>
      <c r="C52" s="92"/>
      <c r="D52" s="302" t="s">
        <v>489</v>
      </c>
      <c r="E52" s="478"/>
      <c r="F52" s="26"/>
      <c r="G52" s="286"/>
      <c r="H52" s="27"/>
      <c r="I52" s="27"/>
      <c r="J52" s="27"/>
      <c r="K52" s="27"/>
      <c r="L52" s="27"/>
      <c r="M52" s="27"/>
      <c r="N52" s="25"/>
      <c r="O52" s="27"/>
      <c r="P52" s="27"/>
      <c r="Q52" s="27"/>
      <c r="R52" s="25"/>
      <c r="S52" s="27"/>
      <c r="T52" s="25"/>
      <c r="U52" s="25"/>
      <c r="V52" s="25"/>
      <c r="W52" s="25"/>
      <c r="X52" s="27"/>
      <c r="Y52" s="27"/>
      <c r="Z52" s="27"/>
      <c r="AA52" s="27"/>
      <c r="AB52" s="25"/>
      <c r="AC52" s="25"/>
      <c r="AD52" s="25"/>
      <c r="AE52" s="25"/>
      <c r="AF52" s="25"/>
      <c r="AG52" s="527">
        <f>+DATOS!G65</f>
        <v>0</v>
      </c>
      <c r="AH52" s="25"/>
      <c r="AI52" s="527">
        <f>+DATOS!D65</f>
        <v>0</v>
      </c>
      <c r="AJ52" s="25"/>
      <c r="AK52" s="531">
        <f>+DATOS!J65+DATOS!M65+DATOS!P65</f>
        <v>0</v>
      </c>
      <c r="AL52" s="25"/>
      <c r="AM52" s="25"/>
      <c r="AN52" s="25"/>
      <c r="AO52" s="27"/>
      <c r="AP52" s="517"/>
      <c r="AQ52" s="215"/>
      <c r="AR52" s="25"/>
      <c r="AS52" s="25"/>
      <c r="AT52" s="28"/>
      <c r="AU52" s="25"/>
      <c r="AV52" s="215"/>
      <c r="AW52" s="25"/>
      <c r="AX52" s="25"/>
      <c r="AY52" s="25"/>
      <c r="AZ52" s="27"/>
      <c r="BA52" s="25"/>
      <c r="BB52" s="214"/>
      <c r="BC52" s="25"/>
      <c r="BD52" s="27"/>
      <c r="BE52" s="25"/>
      <c r="BF52" s="27"/>
      <c r="BG52" s="25"/>
      <c r="BH52" s="27"/>
      <c r="BI52" s="27"/>
      <c r="BJ52" s="27"/>
      <c r="BK52" s="27"/>
      <c r="BL52" s="27"/>
      <c r="BM52" s="25"/>
      <c r="BN52" s="272"/>
      <c r="BO52" s="25"/>
      <c r="BP52" s="27"/>
      <c r="BQ52" s="27"/>
      <c r="BR52" s="27"/>
      <c r="BS52" s="25"/>
      <c r="BT52" s="27"/>
      <c r="BU52" s="25"/>
      <c r="BV52" s="27"/>
      <c r="BW52" s="25"/>
      <c r="BX52" s="27"/>
      <c r="BY52" s="27"/>
      <c r="BZ52" s="27"/>
      <c r="CA52" s="27"/>
      <c r="CB52" s="27"/>
      <c r="CC52" s="25"/>
      <c r="CD52" s="27"/>
      <c r="CE52" s="27"/>
      <c r="CF52" s="25"/>
      <c r="CG52" s="25"/>
      <c r="CH52" s="25"/>
      <c r="CI52" s="25"/>
      <c r="CJ52" s="25"/>
      <c r="CK52" s="28"/>
      <c r="CL52" s="25"/>
      <c r="CM52" s="25"/>
      <c r="CN52" s="25"/>
      <c r="CO52" s="27"/>
      <c r="CP52" s="25"/>
      <c r="CQ52" s="25"/>
      <c r="CR52" s="25"/>
      <c r="CS52" s="27"/>
      <c r="CT52" s="25"/>
      <c r="CU52" s="25"/>
      <c r="CV52" s="28"/>
      <c r="CW52" s="25"/>
      <c r="CX52" s="25"/>
      <c r="CY52" s="25"/>
      <c r="CZ52" s="25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5"/>
      <c r="DP52" s="25"/>
      <c r="DQ52" s="25"/>
      <c r="DR52" s="25"/>
      <c r="DS52" s="25"/>
      <c r="DT52" s="25"/>
      <c r="DU52" s="215"/>
      <c r="DV52" s="25"/>
      <c r="DW52" s="25"/>
      <c r="DX52" s="25"/>
      <c r="DY52" s="215"/>
      <c r="DZ52" s="25"/>
      <c r="EA52" s="527">
        <f>+AG52+AI52+AK52</f>
        <v>0</v>
      </c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8"/>
      <c r="EN52" s="28"/>
      <c r="EO52" s="28"/>
      <c r="EP52" s="28"/>
    </row>
    <row r="53" spans="2:146">
      <c r="B53" s="9">
        <f>+B51</f>
        <v>44285</v>
      </c>
      <c r="C53" s="92"/>
      <c r="D53" s="436" t="s">
        <v>445</v>
      </c>
      <c r="E53" s="478">
        <f>+F53+J53+L53+N53+T53+V53+X53+AB53+AD53+AF53+AL53+AN53+AP53+AU53+AW53+AY53+BC53+BE53+BG53+BM53+BO53+BQ53+BW53+CC53+CE53+CG53+CL53+CN53+CP53+CR53+CT53+CW53+CY53+DA53+DC53+DE53+DG53+DI53+DK53+DM53+DO53+DQ53+DS53+EE53+EG53+EI53+EK53+R53+H53+CI53+BA53+AR53</f>
        <v>0</v>
      </c>
      <c r="F53" s="26"/>
      <c r="G53" s="27"/>
      <c r="H53" s="27"/>
      <c r="I53" s="27"/>
      <c r="J53" s="477"/>
      <c r="K53" s="27"/>
      <c r="L53" s="27"/>
      <c r="M53" s="27"/>
      <c r="N53" s="25"/>
      <c r="O53" s="27"/>
      <c r="P53" s="27"/>
      <c r="Q53" s="27"/>
      <c r="R53" s="25"/>
      <c r="S53" s="27"/>
      <c r="T53" s="25"/>
      <c r="U53" s="25"/>
      <c r="V53" s="25"/>
      <c r="W53" s="25"/>
      <c r="X53" s="27"/>
      <c r="Y53" s="27"/>
      <c r="Z53" s="27"/>
      <c r="AA53" s="27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7"/>
      <c r="AP53" s="25"/>
      <c r="AQ53" s="25"/>
      <c r="AR53" s="25"/>
      <c r="AS53" s="25"/>
      <c r="AT53" s="28"/>
      <c r="AU53" s="25"/>
      <c r="AV53" s="25"/>
      <c r="AW53" s="25"/>
      <c r="AX53" s="25"/>
      <c r="AY53" s="25"/>
      <c r="AZ53" s="27"/>
      <c r="BA53" s="25"/>
      <c r="BB53" s="25"/>
      <c r="BC53" s="25"/>
      <c r="BD53" s="27"/>
      <c r="BE53" s="25"/>
      <c r="BF53" s="27"/>
      <c r="BG53" s="25"/>
      <c r="BH53" s="27"/>
      <c r="BI53" s="27"/>
      <c r="BJ53" s="27"/>
      <c r="BK53" s="27"/>
      <c r="BL53" s="27"/>
      <c r="BM53" s="25"/>
      <c r="BN53" s="27"/>
      <c r="BO53" s="25"/>
      <c r="BP53" s="27"/>
      <c r="BQ53" s="27"/>
      <c r="BR53" s="27"/>
      <c r="BS53" s="25"/>
      <c r="BT53" s="27"/>
      <c r="BU53" s="25"/>
      <c r="BV53" s="27"/>
      <c r="BW53" s="25"/>
      <c r="BX53" s="27"/>
      <c r="BY53" s="27"/>
      <c r="BZ53" s="27"/>
      <c r="CA53" s="27"/>
      <c r="CB53" s="27"/>
      <c r="CC53" s="25"/>
      <c r="CD53" s="27"/>
      <c r="CE53" s="27"/>
      <c r="CF53" s="25"/>
      <c r="CG53" s="25"/>
      <c r="CH53" s="25"/>
      <c r="CI53" s="25"/>
      <c r="CJ53" s="25"/>
      <c r="CK53" s="28"/>
      <c r="CL53" s="25"/>
      <c r="CM53" s="25"/>
      <c r="CN53" s="25"/>
      <c r="CO53" s="27"/>
      <c r="CP53" s="25"/>
      <c r="CQ53" s="25"/>
      <c r="CR53" s="25"/>
      <c r="CS53" s="27"/>
      <c r="CT53" s="25"/>
      <c r="CU53" s="25"/>
      <c r="CV53" s="28"/>
      <c r="CW53" s="25"/>
      <c r="CX53" s="25"/>
      <c r="CY53" s="25"/>
      <c r="CZ53" s="25"/>
      <c r="DA53" s="25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478">
        <f>+J53</f>
        <v>0</v>
      </c>
      <c r="EM53" s="28"/>
      <c r="EN53" s="28"/>
      <c r="EO53" s="28"/>
      <c r="EP53" s="28"/>
    </row>
    <row r="54" spans="2:146">
      <c r="B54" s="9">
        <f>+B52</f>
        <v>44285</v>
      </c>
      <c r="C54" s="92"/>
      <c r="D54" s="284" t="s">
        <v>263</v>
      </c>
      <c r="E54" s="25">
        <f>+F54+J54+L54+N54+T54+V54+X54+AB54+AD54+AF54+AL54+AN54+AP54+AU54+AW54+AY54+BC54+BE54+BG54+BM54+BO54+BQ54+BW54+CC54+CE54+CG54+CL54+CN54+CP54+CR54+CT54+CW54+CY54+DA54+DC54+DE54+DG54+DI54+DK54+DM54+DO54+DQ54+DS54+EE54+EG54+EI54+EK54+R54+H54+CI54+BA54+AR54</f>
        <v>0</v>
      </c>
      <c r="F54" s="26"/>
      <c r="G54" s="283">
        <f>+DW54</f>
        <v>0</v>
      </c>
      <c r="H54" s="27"/>
      <c r="I54" s="27"/>
      <c r="J54" s="27"/>
      <c r="K54" s="27"/>
      <c r="L54" s="27"/>
      <c r="M54" s="27"/>
      <c r="N54" s="25"/>
      <c r="O54" s="27"/>
      <c r="P54" s="27"/>
      <c r="Q54" s="27"/>
      <c r="R54" s="25"/>
      <c r="S54" s="27"/>
      <c r="T54" s="25"/>
      <c r="U54" s="25"/>
      <c r="V54" s="25"/>
      <c r="W54" s="25"/>
      <c r="X54" s="27"/>
      <c r="Y54" s="27"/>
      <c r="Z54" s="27"/>
      <c r="AA54" s="27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7"/>
      <c r="AP54" s="25"/>
      <c r="AQ54" s="25"/>
      <c r="AR54" s="25"/>
      <c r="AS54" s="25"/>
      <c r="AT54" s="28"/>
      <c r="AU54" s="25"/>
      <c r="AV54" s="25"/>
      <c r="AW54" s="25"/>
      <c r="AX54" s="25"/>
      <c r="AY54" s="25"/>
      <c r="AZ54" s="27"/>
      <c r="BA54" s="25"/>
      <c r="BB54" s="25"/>
      <c r="BC54" s="25"/>
      <c r="BD54" s="27"/>
      <c r="BE54" s="25"/>
      <c r="BF54" s="27"/>
      <c r="BG54" s="25"/>
      <c r="BH54" s="27"/>
      <c r="BI54" s="27"/>
      <c r="BJ54" s="27"/>
      <c r="BK54" s="27"/>
      <c r="BL54" s="27"/>
      <c r="BM54" s="25"/>
      <c r="BN54" s="27"/>
      <c r="BO54" s="25"/>
      <c r="BP54" s="27"/>
      <c r="BQ54" s="27"/>
      <c r="BR54" s="27"/>
      <c r="BS54" s="25"/>
      <c r="BT54" s="27"/>
      <c r="BU54" s="25"/>
      <c r="BV54" s="27"/>
      <c r="BW54" s="25"/>
      <c r="BX54" s="27"/>
      <c r="BY54" s="27"/>
      <c r="BZ54" s="27"/>
      <c r="CA54" s="27"/>
      <c r="CB54" s="27"/>
      <c r="CC54" s="25"/>
      <c r="CD54" s="27"/>
      <c r="CE54" s="27"/>
      <c r="CF54" s="25"/>
      <c r="CG54" s="25"/>
      <c r="CH54" s="25"/>
      <c r="CI54" s="25"/>
      <c r="CJ54" s="25"/>
      <c r="CK54" s="28"/>
      <c r="CL54" s="25"/>
      <c r="CM54" s="25"/>
      <c r="CN54" s="25"/>
      <c r="CO54" s="27"/>
      <c r="CP54" s="25"/>
      <c r="CQ54" s="25"/>
      <c r="CR54" s="25"/>
      <c r="CS54" s="27"/>
      <c r="CT54" s="25"/>
      <c r="CU54" s="25"/>
      <c r="CV54" s="28"/>
      <c r="CW54" s="25"/>
      <c r="CX54" s="25"/>
      <c r="CY54" s="25"/>
      <c r="CZ54" s="25"/>
      <c r="DA54" s="25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5"/>
      <c r="DP54" s="25"/>
      <c r="DQ54" s="25"/>
      <c r="DR54" s="25"/>
      <c r="DS54" s="25"/>
      <c r="DT54" s="25"/>
      <c r="DU54" s="25"/>
      <c r="DV54" s="25"/>
      <c r="DW54" s="285">
        <f>+DATOS!N38</f>
        <v>0</v>
      </c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8"/>
      <c r="EN54" s="28">
        <f t="shared" si="3"/>
        <v>0</v>
      </c>
      <c r="EO54" s="28">
        <f t="shared" si="4"/>
        <v>0</v>
      </c>
      <c r="EP54" s="28"/>
    </row>
    <row r="55" spans="2:146">
      <c r="B55" s="9"/>
      <c r="C55" s="92"/>
      <c r="D55" s="436" t="s">
        <v>499</v>
      </c>
      <c r="E55" s="25">
        <f>+BT55-AF55</f>
        <v>0</v>
      </c>
      <c r="F55" s="26">
        <f>+BT55-AF55</f>
        <v>0</v>
      </c>
      <c r="G55" s="27"/>
      <c r="H55" s="27"/>
      <c r="I55" s="27"/>
      <c r="J55" s="27"/>
      <c r="K55" s="27"/>
      <c r="L55" s="27"/>
      <c r="M55" s="27"/>
      <c r="N55" s="25"/>
      <c r="O55" s="27"/>
      <c r="P55" s="27"/>
      <c r="Q55" s="27"/>
      <c r="R55" s="25"/>
      <c r="S55" s="27"/>
      <c r="T55" s="25"/>
      <c r="U55" s="25"/>
      <c r="V55" s="25"/>
      <c r="W55" s="25"/>
      <c r="X55" s="27"/>
      <c r="Y55" s="27"/>
      <c r="Z55" s="27"/>
      <c r="AA55" s="27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7"/>
      <c r="AP55" s="25"/>
      <c r="AQ55" s="25"/>
      <c r="AR55" s="25"/>
      <c r="AS55" s="25"/>
      <c r="AT55" s="28"/>
      <c r="AU55" s="25"/>
      <c r="AV55" s="25"/>
      <c r="AW55" s="25"/>
      <c r="AX55" s="25"/>
      <c r="AY55" s="25"/>
      <c r="AZ55" s="27"/>
      <c r="BA55" s="25"/>
      <c r="BB55" s="25"/>
      <c r="BC55" s="25"/>
      <c r="BD55" s="27"/>
      <c r="BE55" s="25"/>
      <c r="BF55" s="27"/>
      <c r="BG55" s="25"/>
      <c r="BH55" s="27"/>
      <c r="BI55" s="27"/>
      <c r="BJ55" s="27"/>
      <c r="BK55" s="27"/>
      <c r="BL55" s="27"/>
      <c r="BM55" s="25"/>
      <c r="BN55" s="27"/>
      <c r="BO55" s="25"/>
      <c r="BP55" s="27"/>
      <c r="BQ55" s="27"/>
      <c r="BR55" s="27"/>
      <c r="BS55" s="25"/>
      <c r="BT55" s="27"/>
      <c r="BU55" s="25"/>
      <c r="BV55" s="27"/>
      <c r="BW55" s="27"/>
      <c r="BX55" s="27"/>
      <c r="BY55" s="27"/>
      <c r="BZ55" s="27"/>
      <c r="CA55" s="27"/>
      <c r="CB55" s="27"/>
      <c r="CC55" s="25"/>
      <c r="CD55" s="27"/>
      <c r="CE55" s="27"/>
      <c r="CF55" s="25"/>
      <c r="CG55" s="25"/>
      <c r="CH55" s="25"/>
      <c r="CI55" s="25"/>
      <c r="CJ55" s="25"/>
      <c r="CK55" s="28"/>
      <c r="CL55" s="25"/>
      <c r="CM55" s="25"/>
      <c r="CN55" s="25"/>
      <c r="CO55" s="27"/>
      <c r="CP55" s="25"/>
      <c r="CQ55" s="25"/>
      <c r="CR55" s="25"/>
      <c r="CS55" s="27"/>
      <c r="CT55" s="25"/>
      <c r="CU55" s="25"/>
      <c r="CV55" s="28"/>
      <c r="CW55" s="25"/>
      <c r="CX55" s="25"/>
      <c r="CY55" s="25"/>
      <c r="CZ55" s="25"/>
      <c r="DA55" s="25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8"/>
      <c r="EN55" s="28">
        <f t="shared" si="3"/>
        <v>0</v>
      </c>
      <c r="EO55" s="28">
        <f t="shared" si="4"/>
        <v>0</v>
      </c>
      <c r="EP55" s="28"/>
    </row>
    <row r="56" spans="2:146">
      <c r="B56" s="39"/>
      <c r="C56" s="94"/>
      <c r="D56" s="40"/>
      <c r="E56" s="41"/>
      <c r="F56" s="42"/>
      <c r="G56" s="43"/>
      <c r="H56" s="43"/>
      <c r="I56" s="43"/>
      <c r="J56" s="43"/>
      <c r="K56" s="43"/>
      <c r="L56" s="43"/>
      <c r="M56" s="43"/>
      <c r="N56" s="41"/>
      <c r="O56" s="43"/>
      <c r="P56" s="43"/>
      <c r="Q56" s="43"/>
      <c r="R56" s="41"/>
      <c r="S56" s="43"/>
      <c r="T56" s="41"/>
      <c r="U56" s="41"/>
      <c r="V56" s="41"/>
      <c r="W56" s="41"/>
      <c r="X56" s="43"/>
      <c r="Y56" s="43"/>
      <c r="Z56" s="43"/>
      <c r="AA56" s="43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3"/>
      <c r="AP56" s="41"/>
      <c r="AQ56" s="41"/>
      <c r="AR56" s="41"/>
      <c r="AS56" s="41"/>
      <c r="AT56" s="28"/>
      <c r="AU56" s="41"/>
      <c r="AV56" s="41"/>
      <c r="AW56" s="41"/>
      <c r="AX56" s="41"/>
      <c r="AY56" s="41"/>
      <c r="AZ56" s="43"/>
      <c r="BA56" s="41"/>
      <c r="BB56" s="41"/>
      <c r="BC56" s="41"/>
      <c r="BD56" s="43"/>
      <c r="BE56" s="41"/>
      <c r="BF56" s="43"/>
      <c r="BG56" s="41"/>
      <c r="BH56" s="43"/>
      <c r="BI56" s="43"/>
      <c r="BJ56" s="43"/>
      <c r="BK56" s="43"/>
      <c r="BL56" s="43"/>
      <c r="BM56" s="41"/>
      <c r="BN56" s="43"/>
      <c r="BO56" s="41"/>
      <c r="BP56" s="43"/>
      <c r="BQ56" s="43"/>
      <c r="BR56" s="43"/>
      <c r="BS56" s="41"/>
      <c r="BT56" s="43"/>
      <c r="BU56" s="41"/>
      <c r="BV56" s="43"/>
      <c r="BW56" s="41"/>
      <c r="BX56" s="43"/>
      <c r="BY56" s="43"/>
      <c r="BZ56" s="43"/>
      <c r="CA56" s="43"/>
      <c r="CB56" s="43"/>
      <c r="CC56" s="41"/>
      <c r="CD56" s="43"/>
      <c r="CE56" s="43"/>
      <c r="CF56" s="41"/>
      <c r="CG56" s="41"/>
      <c r="CH56" s="41"/>
      <c r="CI56" s="41"/>
      <c r="CJ56" s="41"/>
      <c r="CK56" s="28"/>
      <c r="CL56" s="41"/>
      <c r="CM56" s="41"/>
      <c r="CN56" s="41"/>
      <c r="CO56" s="43"/>
      <c r="CP56" s="41"/>
      <c r="CQ56" s="41"/>
      <c r="CR56" s="41"/>
      <c r="CS56" s="43"/>
      <c r="CT56" s="41"/>
      <c r="CU56" s="41"/>
      <c r="CV56" s="28"/>
      <c r="CW56" s="41"/>
      <c r="CX56" s="41"/>
      <c r="CY56" s="41"/>
      <c r="CZ56" s="41"/>
      <c r="DA56" s="41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28"/>
      <c r="EN56" s="28">
        <f t="shared" si="3"/>
        <v>0</v>
      </c>
      <c r="EO56" s="28">
        <f t="shared" si="4"/>
        <v>0</v>
      </c>
      <c r="EP56" s="28">
        <f t="shared" ref="EP56:EP65" si="11">+EN56-EO56</f>
        <v>0</v>
      </c>
    </row>
    <row r="57" spans="2:146">
      <c r="B57" s="9">
        <f>+B50+30</f>
        <v>44315</v>
      </c>
      <c r="C57" s="91"/>
      <c r="D57" s="138" t="s">
        <v>112</v>
      </c>
      <c r="E57" s="25">
        <f>+F57+J57+L57+N57+T57+V57+X57+AB57+AD57+AF57+AL57+AN57+AP57+AU57+AW57+AY57+BC57+BE57+BG57+BM57+BO57+BQ57+BW57+CC57+CE57+CG57+CL57+CN57+CP57+CR57+CT57+CW57+CY57+DA57+DC57+DE57+DG57+DI57+DK57+DM57+DO57+DQ57+DS57+EE57+EG57+EI57+EK57+R57+H57+CI57+BA57+AR57</f>
        <v>0</v>
      </c>
      <c r="F57" s="26"/>
      <c r="G57" s="27"/>
      <c r="H57" s="27"/>
      <c r="I57" s="27"/>
      <c r="J57" s="27"/>
      <c r="K57" s="27"/>
      <c r="L57" s="27"/>
      <c r="M57" s="27"/>
      <c r="N57" s="25"/>
      <c r="O57" s="27"/>
      <c r="P57" s="27"/>
      <c r="Q57" s="27"/>
      <c r="R57" s="25"/>
      <c r="S57" s="27"/>
      <c r="T57" s="25"/>
      <c r="U57" s="25"/>
      <c r="V57" s="25"/>
      <c r="W57" s="25"/>
      <c r="X57" s="27"/>
      <c r="Y57" s="27"/>
      <c r="Z57" s="27"/>
      <c r="AA57" s="27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7"/>
      <c r="AP57" s="25"/>
      <c r="AQ57" s="25"/>
      <c r="AR57" s="25"/>
      <c r="AS57" s="25"/>
      <c r="AT57" s="28"/>
      <c r="AU57" s="25"/>
      <c r="AV57" s="25"/>
      <c r="AW57" s="25"/>
      <c r="AX57" s="25"/>
      <c r="AY57" s="25"/>
      <c r="AZ57" s="27"/>
      <c r="BA57" s="25"/>
      <c r="BB57" s="25"/>
      <c r="BC57" s="25"/>
      <c r="BD57" s="27"/>
      <c r="BE57" s="25"/>
      <c r="BF57" s="27"/>
      <c r="BG57" s="25"/>
      <c r="BH57" s="27"/>
      <c r="BI57" s="27"/>
      <c r="BJ57" s="27"/>
      <c r="BK57" s="27"/>
      <c r="BL57" s="27"/>
      <c r="BM57" s="25"/>
      <c r="BN57" s="27"/>
      <c r="BO57" s="25"/>
      <c r="BP57" s="27"/>
      <c r="BQ57" s="27"/>
      <c r="BR57" s="27"/>
      <c r="BS57" s="25"/>
      <c r="BT57" s="27"/>
      <c r="BU57" s="25"/>
      <c r="BV57" s="27"/>
      <c r="BW57" s="25"/>
      <c r="BX57" s="27"/>
      <c r="BY57" s="27"/>
      <c r="BZ57" s="27"/>
      <c r="CA57" s="27"/>
      <c r="CB57" s="27"/>
      <c r="CC57" s="25"/>
      <c r="CD57" s="27"/>
      <c r="CE57" s="25"/>
      <c r="CF57" s="25"/>
      <c r="CG57" s="25"/>
      <c r="CH57" s="25"/>
      <c r="CI57" s="25"/>
      <c r="CJ57" s="25"/>
      <c r="CK57" s="28"/>
      <c r="CL57" s="25"/>
      <c r="CM57" s="25"/>
      <c r="CN57" s="25"/>
      <c r="CO57" s="27"/>
      <c r="CP57" s="25"/>
      <c r="CQ57" s="25"/>
      <c r="CR57" s="25"/>
      <c r="CS57" s="27"/>
      <c r="CT57" s="25"/>
      <c r="CU57" s="25"/>
      <c r="CV57" s="28"/>
      <c r="CW57" s="25"/>
      <c r="CX57" s="25"/>
      <c r="CY57" s="25"/>
      <c r="CZ57" s="25"/>
      <c r="DA57" s="25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8"/>
      <c r="EN57" s="28">
        <f t="shared" si="3"/>
        <v>0</v>
      </c>
      <c r="EO57" s="28">
        <f t="shared" si="4"/>
        <v>0</v>
      </c>
      <c r="EP57" s="28">
        <f t="shared" si="11"/>
        <v>0</v>
      </c>
    </row>
    <row r="58" spans="2:146">
      <c r="B58" s="9">
        <f>+B57</f>
        <v>44315</v>
      </c>
      <c r="C58" s="91"/>
      <c r="D58" s="314" t="s">
        <v>320</v>
      </c>
      <c r="E58" s="478">
        <f>+F58+J58+L58+N58+T58+V58+X58+AB58+AD58+AF58+AL58+AN58+AP58+AU58+AW58+AY58+BC58+BE58+BG58+BM58+BO58+BQ58+BW58+CC58+CE58+CG58+CL58+CN58+CP58+CR58+CT58+CW58+CY58+DA58+DC58+DE58+DG58+DI58+DK58+DM58+DO58+DQ58+DS58+EE58+EG58+EI58+EK58+R58+H58+CI58+BA58+AR58</f>
        <v>0</v>
      </c>
      <c r="F58" s="26"/>
      <c r="G58" s="316">
        <f>+AU58</f>
        <v>0</v>
      </c>
      <c r="H58" s="27"/>
      <c r="I58" s="27"/>
      <c r="J58" s="27"/>
      <c r="K58" s="27"/>
      <c r="L58" s="27"/>
      <c r="M58" s="27"/>
      <c r="N58" s="25"/>
      <c r="O58" s="27"/>
      <c r="P58" s="27"/>
      <c r="Q58" s="27"/>
      <c r="R58" s="25"/>
      <c r="S58" s="27"/>
      <c r="T58" s="25"/>
      <c r="U58" s="25"/>
      <c r="V58" s="25"/>
      <c r="W58" s="25"/>
      <c r="X58" s="27"/>
      <c r="Y58" s="27"/>
      <c r="Z58" s="27"/>
      <c r="AA58" s="27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7"/>
      <c r="AP58" s="25"/>
      <c r="AQ58" s="25"/>
      <c r="AR58" s="25"/>
      <c r="AS58" s="25"/>
      <c r="AT58" s="28"/>
      <c r="AU58" s="315">
        <f>+AV50</f>
        <v>0</v>
      </c>
      <c r="AV58" s="25"/>
      <c r="AW58" s="25"/>
      <c r="AX58" s="25"/>
      <c r="AY58" s="25"/>
      <c r="AZ58" s="27"/>
      <c r="BA58" s="25"/>
      <c r="BB58" s="25"/>
      <c r="BC58" s="25"/>
      <c r="BD58" s="27"/>
      <c r="BE58" s="25"/>
      <c r="BF58" s="27"/>
      <c r="BG58" s="25"/>
      <c r="BH58" s="27"/>
      <c r="BI58" s="27"/>
      <c r="BJ58" s="27"/>
      <c r="BK58" s="27"/>
      <c r="BL58" s="27"/>
      <c r="BM58" s="25"/>
      <c r="BN58" s="27"/>
      <c r="BO58" s="25"/>
      <c r="BP58" s="27"/>
      <c r="BQ58" s="27"/>
      <c r="BR58" s="27"/>
      <c r="BS58" s="25"/>
      <c r="BT58" s="27"/>
      <c r="BU58" s="25"/>
      <c r="BV58" s="27"/>
      <c r="BW58" s="25"/>
      <c r="BX58" s="27"/>
      <c r="BY58" s="27"/>
      <c r="BZ58" s="27"/>
      <c r="CA58" s="27"/>
      <c r="CB58" s="27"/>
      <c r="CC58" s="25"/>
      <c r="CD58" s="27"/>
      <c r="CE58" s="27"/>
      <c r="CF58" s="25"/>
      <c r="CG58" s="25"/>
      <c r="CH58" s="25"/>
      <c r="CI58" s="25"/>
      <c r="CJ58" s="25"/>
      <c r="CK58" s="28"/>
      <c r="CL58" s="25"/>
      <c r="CM58" s="25"/>
      <c r="CN58" s="25"/>
      <c r="CO58" s="27"/>
      <c r="CP58" s="25"/>
      <c r="CQ58" s="25"/>
      <c r="CR58" s="25"/>
      <c r="CS58" s="27"/>
      <c r="CT58" s="25"/>
      <c r="CU58" s="25"/>
      <c r="CV58" s="28"/>
      <c r="CW58" s="25"/>
      <c r="CX58" s="25"/>
      <c r="CY58" s="25"/>
      <c r="CZ58" s="25"/>
      <c r="DA58" s="25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8"/>
      <c r="EN58" s="28">
        <f t="shared" si="3"/>
        <v>0</v>
      </c>
      <c r="EO58" s="28">
        <f t="shared" si="4"/>
        <v>0</v>
      </c>
      <c r="EP58" s="28">
        <f>+EN58-EO58</f>
        <v>0</v>
      </c>
    </row>
    <row r="59" spans="2:146">
      <c r="B59" s="9">
        <f>+B57</f>
        <v>44315</v>
      </c>
      <c r="C59" s="91"/>
      <c r="D59" s="216" t="s">
        <v>113</v>
      </c>
      <c r="E59" s="478">
        <f>+F59+J59+L59+N59+T59+V59+X59+AB59+AD59+AF59+AL59+AN59+AP59+AU59+AW59+AY59+BC59+BE59+BG59+BM59+BO59+BQ59+BW59+CC59+CE59+CG59+CL59+CN59+CP59+CR59+CT59+CW59+CY59+DA59+DC59+DE59+DG59+DI59+DK59+DM59+DO59+DQ59+DS59+EE59+EG59+EI59+EK59+R59+H59+CI59+BA59+AR59</f>
        <v>0</v>
      </c>
      <c r="F59" s="26"/>
      <c r="G59" s="427">
        <f>+L59+AW59+BE59+J59+BA59+BU59</f>
        <v>0</v>
      </c>
      <c r="H59" s="27"/>
      <c r="I59" s="27"/>
      <c r="J59" s="321">
        <v>0</v>
      </c>
      <c r="K59" s="27"/>
      <c r="L59" s="321">
        <f>+DATOS!F18</f>
        <v>0</v>
      </c>
      <c r="M59" s="27"/>
      <c r="N59" s="25"/>
      <c r="O59" s="27"/>
      <c r="P59" s="27"/>
      <c r="Q59" s="27"/>
      <c r="R59" s="25"/>
      <c r="S59" s="27"/>
      <c r="T59" s="25"/>
      <c r="U59" s="25"/>
      <c r="V59" s="25"/>
      <c r="W59" s="25"/>
      <c r="X59" s="27"/>
      <c r="Y59" s="27"/>
      <c r="Z59" s="27"/>
      <c r="AA59" s="27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7"/>
      <c r="AP59" s="25"/>
      <c r="AQ59" s="25"/>
      <c r="AR59" s="25"/>
      <c r="AS59" s="25"/>
      <c r="AT59" s="28"/>
      <c r="AU59" s="25"/>
      <c r="AV59" s="25"/>
      <c r="AW59" s="498">
        <f>+AX48</f>
        <v>0</v>
      </c>
      <c r="AX59" s="25"/>
      <c r="AY59" s="25"/>
      <c r="AZ59" s="27"/>
      <c r="BA59" s="493">
        <f>+DATOS!I38</f>
        <v>0</v>
      </c>
      <c r="BB59" s="25"/>
      <c r="BC59" s="25"/>
      <c r="BD59" s="27"/>
      <c r="BE59" s="25">
        <f>+BF50</f>
        <v>0</v>
      </c>
      <c r="BF59" s="27"/>
      <c r="BG59" s="25"/>
      <c r="BH59" s="27"/>
      <c r="BI59" s="27"/>
      <c r="BJ59" s="27"/>
      <c r="BK59" s="27"/>
      <c r="BL59" s="27"/>
      <c r="BM59" s="25">
        <f>+BN50</f>
        <v>0</v>
      </c>
      <c r="BN59" s="27"/>
      <c r="BO59" s="25"/>
      <c r="BP59" s="27"/>
      <c r="BQ59" s="27"/>
      <c r="BR59" s="27"/>
      <c r="BS59" s="25"/>
      <c r="BT59" s="27"/>
      <c r="BU59" s="25">
        <f>+BV50</f>
        <v>0</v>
      </c>
      <c r="BV59" s="27"/>
      <c r="BW59" s="25"/>
      <c r="BX59" s="27"/>
      <c r="BY59" s="27"/>
      <c r="BZ59" s="27"/>
      <c r="CA59" s="27"/>
      <c r="CB59" s="27"/>
      <c r="CC59" s="25"/>
      <c r="CD59" s="27"/>
      <c r="CE59" s="27"/>
      <c r="CF59" s="25"/>
      <c r="CG59" s="25"/>
      <c r="CH59" s="25"/>
      <c r="CI59" s="25"/>
      <c r="CJ59" s="25"/>
      <c r="CK59" s="28"/>
      <c r="CL59" s="25"/>
      <c r="CM59" s="25"/>
      <c r="CN59" s="25"/>
      <c r="CO59" s="27"/>
      <c r="CP59" s="25"/>
      <c r="CQ59" s="25"/>
      <c r="CR59" s="25"/>
      <c r="CS59" s="27"/>
      <c r="CT59" s="25"/>
      <c r="CU59" s="25"/>
      <c r="CV59" s="28"/>
      <c r="CW59" s="25"/>
      <c r="CX59" s="25"/>
      <c r="CY59" s="25"/>
      <c r="CZ59" s="25"/>
      <c r="DA59" s="25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8"/>
      <c r="EN59" s="28">
        <f t="shared" si="3"/>
        <v>0</v>
      </c>
      <c r="EO59" s="28">
        <f t="shared" si="4"/>
        <v>0</v>
      </c>
      <c r="EP59" s="28">
        <f t="shared" si="11"/>
        <v>0</v>
      </c>
    </row>
    <row r="60" spans="2:146">
      <c r="B60" s="9">
        <f t="shared" ref="B60:B70" si="12">+B59</f>
        <v>44315</v>
      </c>
      <c r="C60" s="91"/>
      <c r="D60" s="210" t="s">
        <v>114</v>
      </c>
      <c r="E60" s="478">
        <f>+F60+J60+L60+N60+T60+V60+X60+AB60+AD60+AF60+AL60+AN60+AP60+AU60+AW60+AY60+BC60+BE60+BG60+BM60+BO60+BQ60+BW60+CC60+CE60+CG60+CL60+CN60+CP60+CR60+CT60+CW60+CY60+DA60+DC60+DE60+DG60+DI60+DK60+DM60+DO60+DQ60+DS60+EE60+EG60+EI60+EK60+R60+H60+CI60+BA60+AR60+DY60</f>
        <v>0</v>
      </c>
      <c r="F60" s="26"/>
      <c r="G60" s="219">
        <f>+J60+EG60+DY60+X60+CW60</f>
        <v>0</v>
      </c>
      <c r="H60" s="30"/>
      <c r="I60" s="26"/>
      <c r="J60" s="219">
        <f>+DATOS!E39</f>
        <v>0</v>
      </c>
      <c r="K60" s="27"/>
      <c r="L60" s="27"/>
      <c r="M60" s="27"/>
      <c r="N60" s="25"/>
      <c r="O60" s="27"/>
      <c r="P60" s="27"/>
      <c r="Q60" s="27"/>
      <c r="R60" s="25">
        <v>0</v>
      </c>
      <c r="S60" s="27"/>
      <c r="T60" s="25"/>
      <c r="U60" s="25"/>
      <c r="V60" s="25"/>
      <c r="W60" s="25"/>
      <c r="X60" s="219"/>
      <c r="Y60" s="27"/>
      <c r="Z60" s="27"/>
      <c r="AA60" s="27"/>
      <c r="AB60" s="25"/>
      <c r="AC60" s="25"/>
      <c r="AD60" s="25"/>
      <c r="AE60" s="25"/>
      <c r="AF60" s="25"/>
      <c r="AG60" s="25">
        <v>0</v>
      </c>
      <c r="AH60" s="25"/>
      <c r="AI60" s="25"/>
      <c r="AJ60" s="25"/>
      <c r="AK60" s="25"/>
      <c r="AL60" s="25"/>
      <c r="AM60" s="25"/>
      <c r="AN60" s="25"/>
      <c r="AO60" s="27"/>
      <c r="AP60" s="25"/>
      <c r="AQ60" s="25"/>
      <c r="AR60" s="25"/>
      <c r="AS60" s="25"/>
      <c r="AT60" s="28"/>
      <c r="AU60" s="25"/>
      <c r="AV60" s="25"/>
      <c r="AW60" s="25"/>
      <c r="AX60" s="25"/>
      <c r="AY60" s="25"/>
      <c r="AZ60" s="27"/>
      <c r="BA60" s="25"/>
      <c r="BB60" s="25"/>
      <c r="BC60" s="25"/>
      <c r="BD60" s="27"/>
      <c r="BE60" s="25"/>
      <c r="BF60" s="27"/>
      <c r="BG60" s="25"/>
      <c r="BH60" s="27"/>
      <c r="BI60" s="27"/>
      <c r="BJ60" s="27"/>
      <c r="BK60" s="27"/>
      <c r="BL60" s="27"/>
      <c r="BM60" s="25"/>
      <c r="BN60" s="27"/>
      <c r="BO60" s="25"/>
      <c r="BP60" s="27"/>
      <c r="BQ60" s="27"/>
      <c r="BR60" s="27"/>
      <c r="BS60" s="25"/>
      <c r="BT60" s="27"/>
      <c r="BU60" s="25"/>
      <c r="BV60" s="27"/>
      <c r="BW60" s="25"/>
      <c r="BX60" s="27"/>
      <c r="BY60" s="27"/>
      <c r="BZ60" s="27"/>
      <c r="CA60" s="27"/>
      <c r="CB60" s="27"/>
      <c r="CC60" s="25"/>
      <c r="CD60" s="27"/>
      <c r="CE60" s="27"/>
      <c r="CF60" s="25"/>
      <c r="CG60" s="25"/>
      <c r="CH60" s="25"/>
      <c r="CI60" s="25"/>
      <c r="CJ60" s="25"/>
      <c r="CK60" s="28"/>
      <c r="CL60" s="25"/>
      <c r="CM60" s="25"/>
      <c r="CN60" s="25"/>
      <c r="CO60" s="27"/>
      <c r="CP60" s="25"/>
      <c r="CQ60" s="25"/>
      <c r="CR60" s="25"/>
      <c r="CS60" s="27"/>
      <c r="CT60" s="25"/>
      <c r="CU60" s="25"/>
      <c r="CV60" s="28"/>
      <c r="CW60" s="418">
        <f>+DATOS!F39</f>
        <v>0</v>
      </c>
      <c r="CX60" s="25"/>
      <c r="CY60" s="25"/>
      <c r="CZ60" s="25"/>
      <c r="DA60" s="25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>
        <v>0</v>
      </c>
      <c r="EB60" s="25"/>
      <c r="EC60" s="25"/>
      <c r="ED60" s="25"/>
      <c r="EE60" s="25"/>
      <c r="EF60" s="25"/>
      <c r="EG60" s="220">
        <f>ROUND(+J60/0.19,0)-X60</f>
        <v>0</v>
      </c>
      <c r="EH60" s="25"/>
      <c r="EI60" s="25"/>
      <c r="EJ60" s="25"/>
      <c r="EK60" s="25"/>
      <c r="EL60" s="25"/>
      <c r="EM60" s="28"/>
      <c r="EN60" s="28">
        <f t="shared" si="3"/>
        <v>0</v>
      </c>
      <c r="EO60" s="28">
        <f t="shared" si="4"/>
        <v>0</v>
      </c>
      <c r="EP60" s="28">
        <f t="shared" si="11"/>
        <v>0</v>
      </c>
    </row>
    <row r="61" spans="2:146">
      <c r="B61" s="9">
        <f t="shared" si="12"/>
        <v>44315</v>
      </c>
      <c r="C61" s="92"/>
      <c r="D61" s="211" t="s">
        <v>115</v>
      </c>
      <c r="E61" s="478">
        <f>+F61+J61+L61+N61+T61+V61+X61+AB61+AD61+AF61+AL61+AN61+AP61+AU61+AW61+AY61+BC61+BE61+BG61+BM61+BO61+BQ61+BW61+CC61+CE61+CG61+CL61+CN61+CP61+CR61+CT61+CW61+CY61+DA61+DC61+DE61+DG61+DI61+DK61+DM61+DO61+DQ61+DS61+EE61+EG61+EI61+EK61+R61+H61+CI61+BA61+AR61</f>
        <v>0</v>
      </c>
      <c r="F61" s="320">
        <f>(+K61+CM61)+CO61</f>
        <v>0</v>
      </c>
      <c r="G61" s="27"/>
      <c r="H61" s="27"/>
      <c r="I61" s="27"/>
      <c r="J61" s="27"/>
      <c r="K61" s="221">
        <f>+DATOS!E18</f>
        <v>0</v>
      </c>
      <c r="L61" s="27"/>
      <c r="M61" s="27"/>
      <c r="N61" s="25"/>
      <c r="O61" s="27"/>
      <c r="P61" s="27"/>
      <c r="Q61" s="27"/>
      <c r="R61" s="25"/>
      <c r="S61" s="27"/>
      <c r="T61" s="25"/>
      <c r="U61" s="25"/>
      <c r="V61" s="25"/>
      <c r="W61" s="25"/>
      <c r="X61" s="27"/>
      <c r="Y61" s="27"/>
      <c r="Z61" s="27"/>
      <c r="AA61" s="27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7"/>
      <c r="AP61" s="25"/>
      <c r="AQ61" s="25"/>
      <c r="AR61" s="25"/>
      <c r="AS61" s="25"/>
      <c r="AT61" s="28"/>
      <c r="AU61" s="25"/>
      <c r="AV61" s="25"/>
      <c r="AW61" s="25"/>
      <c r="AX61" s="25"/>
      <c r="AY61" s="25"/>
      <c r="AZ61" s="27"/>
      <c r="BA61" s="25"/>
      <c r="BB61" s="25"/>
      <c r="BC61" s="25"/>
      <c r="BD61" s="27"/>
      <c r="BE61" s="25"/>
      <c r="BF61" s="27"/>
      <c r="BG61" s="25"/>
      <c r="BH61" s="27"/>
      <c r="BI61" s="27"/>
      <c r="BJ61" s="27"/>
      <c r="BK61" s="27"/>
      <c r="BL61" s="27"/>
      <c r="BM61" s="25"/>
      <c r="BN61" s="27"/>
      <c r="BO61" s="25"/>
      <c r="BP61" s="27"/>
      <c r="BQ61" s="27"/>
      <c r="BR61" s="27"/>
      <c r="BS61" s="25"/>
      <c r="BT61" s="27"/>
      <c r="BU61" s="25"/>
      <c r="BV61" s="27"/>
      <c r="BW61" s="25"/>
      <c r="BX61" s="27"/>
      <c r="BY61" s="27"/>
      <c r="BZ61" s="27"/>
      <c r="CA61" s="27"/>
      <c r="CB61" s="27"/>
      <c r="CC61" s="25"/>
      <c r="CD61" s="27"/>
      <c r="CE61" s="27"/>
      <c r="CF61" s="25"/>
      <c r="CG61" s="25"/>
      <c r="CH61" s="25"/>
      <c r="CI61" s="25"/>
      <c r="CJ61" s="25"/>
      <c r="CK61" s="28"/>
      <c r="CL61" s="25"/>
      <c r="CM61" s="320">
        <f>ROUND(+K61/0.19,0)</f>
        <v>0</v>
      </c>
      <c r="CN61" s="25"/>
      <c r="CO61" s="221">
        <f>+DATOS!D18</f>
        <v>0</v>
      </c>
      <c r="CP61" s="25"/>
      <c r="CQ61" s="25"/>
      <c r="CR61" s="25"/>
      <c r="CS61" s="27"/>
      <c r="CT61" s="25"/>
      <c r="CU61" s="25"/>
      <c r="CV61" s="28"/>
      <c r="CW61" s="25"/>
      <c r="CX61" s="25"/>
      <c r="CY61" s="25"/>
      <c r="CZ61" s="25"/>
      <c r="DA61" s="25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8"/>
      <c r="EN61" s="28">
        <f t="shared" si="3"/>
        <v>0</v>
      </c>
      <c r="EO61" s="28">
        <f t="shared" si="4"/>
        <v>0</v>
      </c>
      <c r="EP61" s="28">
        <f t="shared" si="11"/>
        <v>0</v>
      </c>
    </row>
    <row r="62" spans="2:146">
      <c r="B62" s="9">
        <f t="shared" si="12"/>
        <v>44315</v>
      </c>
      <c r="C62" s="92"/>
      <c r="D62" s="436" t="s">
        <v>445</v>
      </c>
      <c r="E62" s="478">
        <f>+F62+J62+L62+N62+T62+V62+X62+AB62+AD62+AF62+AL62+AN62+AP62+AU62+AW62+AY62+BC62+BE62+BG62+BM62+BO62+BQ62+BW62+CC62+CE62+CG62+CL62+CN62+CP62+CR62+CT62+CW62+CY62+DA62+DC62+DE62+DG62+DI62+DK62+DM62+DO62+DQ62+DS62+EE62+EG62+EI62+EK62+R62+H62+CI62+BA62+AR62</f>
        <v>0</v>
      </c>
      <c r="F62" s="26"/>
      <c r="G62" s="27"/>
      <c r="H62" s="27"/>
      <c r="I62" s="27"/>
      <c r="J62" s="477"/>
      <c r="K62" s="27"/>
      <c r="L62" s="27"/>
      <c r="M62" s="27"/>
      <c r="N62" s="25"/>
      <c r="O62" s="27"/>
      <c r="P62" s="27"/>
      <c r="Q62" s="27"/>
      <c r="R62" s="25"/>
      <c r="S62" s="27"/>
      <c r="T62" s="25"/>
      <c r="U62" s="25"/>
      <c r="V62" s="25"/>
      <c r="W62" s="25"/>
      <c r="X62" s="27"/>
      <c r="Y62" s="27"/>
      <c r="Z62" s="27"/>
      <c r="AA62" s="27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7"/>
      <c r="AP62" s="25"/>
      <c r="AQ62" s="25"/>
      <c r="AR62" s="25"/>
      <c r="AS62" s="25"/>
      <c r="AT62" s="28"/>
      <c r="AU62" s="25"/>
      <c r="AV62" s="25"/>
      <c r="AW62" s="25"/>
      <c r="AX62" s="25"/>
      <c r="AY62" s="25"/>
      <c r="AZ62" s="27"/>
      <c r="BA62" s="25"/>
      <c r="BB62" s="25"/>
      <c r="BC62" s="25"/>
      <c r="BD62" s="27"/>
      <c r="BE62" s="25"/>
      <c r="BF62" s="27"/>
      <c r="BG62" s="25"/>
      <c r="BH62" s="27"/>
      <c r="BI62" s="27"/>
      <c r="BJ62" s="27"/>
      <c r="BK62" s="27"/>
      <c r="BL62" s="27"/>
      <c r="BM62" s="25"/>
      <c r="BN62" s="27"/>
      <c r="BO62" s="25"/>
      <c r="BP62" s="27"/>
      <c r="BQ62" s="27"/>
      <c r="BR62" s="27"/>
      <c r="BS62" s="25"/>
      <c r="BT62" s="27"/>
      <c r="BU62" s="25"/>
      <c r="BV62" s="27"/>
      <c r="BW62" s="25"/>
      <c r="BX62" s="27"/>
      <c r="BY62" s="27"/>
      <c r="BZ62" s="27"/>
      <c r="CA62" s="27"/>
      <c r="CB62" s="27"/>
      <c r="CC62" s="25"/>
      <c r="CD62" s="27"/>
      <c r="CE62" s="27"/>
      <c r="CF62" s="25"/>
      <c r="CG62" s="25"/>
      <c r="CH62" s="25"/>
      <c r="CI62" s="25"/>
      <c r="CJ62" s="25"/>
      <c r="CK62" s="28"/>
      <c r="CL62" s="25"/>
      <c r="CM62" s="25"/>
      <c r="CN62" s="25"/>
      <c r="CO62" s="27"/>
      <c r="CP62" s="25"/>
      <c r="CQ62" s="25"/>
      <c r="CR62" s="25"/>
      <c r="CS62" s="27"/>
      <c r="CT62" s="25"/>
      <c r="CU62" s="25"/>
      <c r="CV62" s="28"/>
      <c r="CW62" s="25"/>
      <c r="CX62" s="25"/>
      <c r="CY62" s="25"/>
      <c r="CZ62" s="25"/>
      <c r="DA62" s="25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478">
        <f>+J62</f>
        <v>0</v>
      </c>
      <c r="EM62" s="28"/>
      <c r="EN62" s="28">
        <f>+F62+J62+L62+N62+T62+V62+X62+AB62+AD62+AF62+AL62+AN62+AP62+AU62+AW62+AY62+BC62+BE62+BG62+BM62+BO62+BQ62+BU62+BW62+BY62+CC62+CE62+CG62+CL62+CN62+CP62+CR62+CT62+CW62+CY62+DA62+DC62+DE62+DG62+DI62+DK62+DM62+DO62+DQ62+DS62+EE62+EG62+EI62+EK62+H62+R62+AR62+BA62+CI62</f>
        <v>0</v>
      </c>
      <c r="EO62" s="28">
        <f>+G62+K62+M62+O62+U62+W62+Y62+AC62+AE62+AG62+AM62+AO62+AQ62+AV62+AX62+AZ62+BD62+BF62+BH62+BN62+BP62+BR62+BV62+BX62+BZ62+CD62+CF62+CH62+CM62+CO62+CQ62+CS62+CU62+CX62+CZ62+DB62+DD62+DF62+DH62+DJ62+DL62+DN62+DP62+DR62+DT62+EF62+EH62+EJ62+EL62+I62+S62+AS62+BB62+CJ62</f>
        <v>0</v>
      </c>
      <c r="EP62" s="28"/>
    </row>
    <row r="63" spans="2:146">
      <c r="B63" s="9">
        <f t="shared" si="12"/>
        <v>44315</v>
      </c>
      <c r="C63" s="92"/>
      <c r="D63" s="434" t="s">
        <v>467</v>
      </c>
      <c r="E63" s="25">
        <f>+F63+J63+L63+N63+T63+V63+X63+AB63+AD63+AF63+AL63+AN63+AP63+AU63+AW63+AY63+BC63+BE63+BG63+BM63+BO63+BQ63+BW63+CC63+CE63+CG63+CL63+CN63+CP63+CR63+CT63+CW63+CY63+DA63+DC63+DE63+DG63+DI63+DK63+DM63+DO63+DQ63+DS63+EE63+EG63+EI63+EK63+R63+H63+CI63+BA63+AR63+DU63</f>
        <v>0</v>
      </c>
      <c r="F63" s="26"/>
      <c r="G63" s="286">
        <f>+DU63</f>
        <v>0</v>
      </c>
      <c r="H63" s="27"/>
      <c r="I63" s="27"/>
      <c r="J63" s="27"/>
      <c r="K63" s="27"/>
      <c r="L63" s="27"/>
      <c r="M63" s="27"/>
      <c r="N63" s="25"/>
      <c r="O63" s="27"/>
      <c r="P63" s="27"/>
      <c r="Q63" s="27"/>
      <c r="R63" s="25"/>
      <c r="S63" s="27"/>
      <c r="T63" s="25"/>
      <c r="U63" s="25"/>
      <c r="V63" s="25"/>
      <c r="W63" s="25"/>
      <c r="X63" s="27"/>
      <c r="Y63" s="27"/>
      <c r="Z63" s="27"/>
      <c r="AA63" s="27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7"/>
      <c r="AP63" s="25"/>
      <c r="AQ63" s="25"/>
      <c r="AR63" s="25"/>
      <c r="AS63" s="25"/>
      <c r="AT63" s="28"/>
      <c r="AU63" s="25"/>
      <c r="AV63" s="25"/>
      <c r="AW63" s="25"/>
      <c r="AX63" s="25"/>
      <c r="AY63" s="25"/>
      <c r="AZ63" s="27"/>
      <c r="BA63" s="25"/>
      <c r="BB63" s="25"/>
      <c r="BC63" s="25"/>
      <c r="BD63" s="27"/>
      <c r="BE63" s="25"/>
      <c r="BF63" s="27"/>
      <c r="BG63" s="25"/>
      <c r="BH63" s="27"/>
      <c r="BI63" s="27"/>
      <c r="BJ63" s="27"/>
      <c r="BK63" s="27"/>
      <c r="BL63" s="27"/>
      <c r="BM63" s="25"/>
      <c r="BN63" s="27"/>
      <c r="BO63" s="25"/>
      <c r="BP63" s="27"/>
      <c r="BQ63" s="27"/>
      <c r="BR63" s="27"/>
      <c r="BS63" s="25"/>
      <c r="BT63" s="27"/>
      <c r="BU63" s="25"/>
      <c r="BV63" s="27"/>
      <c r="BW63" s="25"/>
      <c r="BX63" s="27"/>
      <c r="BY63" s="27"/>
      <c r="BZ63" s="27"/>
      <c r="CA63" s="27"/>
      <c r="CB63" s="27"/>
      <c r="CC63" s="25"/>
      <c r="CD63" s="27"/>
      <c r="CE63" s="27"/>
      <c r="CF63" s="25"/>
      <c r="CG63" s="25"/>
      <c r="CH63" s="25"/>
      <c r="CI63" s="25"/>
      <c r="CJ63" s="25"/>
      <c r="CK63" s="28"/>
      <c r="CL63" s="25"/>
      <c r="CM63" s="25"/>
      <c r="CN63" s="25"/>
      <c r="CO63" s="27"/>
      <c r="CP63" s="25"/>
      <c r="CQ63" s="25"/>
      <c r="CR63" s="25"/>
      <c r="CS63" s="27"/>
      <c r="CT63" s="25"/>
      <c r="CU63" s="25"/>
      <c r="CV63" s="28"/>
      <c r="CW63" s="25"/>
      <c r="CX63" s="25"/>
      <c r="CY63" s="25"/>
      <c r="CZ63" s="25"/>
      <c r="DA63" s="25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5"/>
      <c r="DP63" s="25"/>
      <c r="DQ63" s="25"/>
      <c r="DR63" s="25"/>
      <c r="DS63" s="25"/>
      <c r="DT63" s="25"/>
      <c r="DU63" s="215"/>
      <c r="DV63" s="25"/>
      <c r="DW63" s="25"/>
      <c r="DX63" s="25"/>
      <c r="DY63" s="215"/>
      <c r="DZ63" s="25"/>
      <c r="EA63" s="25"/>
      <c r="EB63" s="25"/>
      <c r="EC63" s="25"/>
      <c r="ED63" s="25"/>
      <c r="EE63" s="25"/>
      <c r="EF63" s="25"/>
      <c r="EG63" s="25">
        <v>0</v>
      </c>
      <c r="EH63" s="25"/>
      <c r="EI63" s="25"/>
      <c r="EJ63" s="25"/>
      <c r="EK63" s="25">
        <f>+K63</f>
        <v>0</v>
      </c>
      <c r="EL63" s="25">
        <f>+J63</f>
        <v>0</v>
      </c>
      <c r="EM63" s="28"/>
      <c r="EN63" s="28">
        <f t="shared" si="3"/>
        <v>0</v>
      </c>
      <c r="EO63" s="28">
        <f t="shared" si="4"/>
        <v>0</v>
      </c>
      <c r="EP63" s="28">
        <f t="shared" si="11"/>
        <v>0</v>
      </c>
    </row>
    <row r="64" spans="2:146">
      <c r="B64" s="9">
        <f t="shared" si="12"/>
        <v>44315</v>
      </c>
      <c r="C64" s="92"/>
      <c r="D64" s="212" t="s">
        <v>147</v>
      </c>
      <c r="E64" s="478">
        <f>+F64+J64+L64+N64+T64+V64+X64+AB64+AD64+AF64+AL64+AN64+AP64+AU64+AW64+AY64+BC64+BE64+BG64+BM64+BO64+BQ64+BW64+CC64+CE64+CG64+CL64+CN64+CP64+CR64+CT64+CW64+CY64+DA64+DC64+DE64+DG64+DI64+DK64+DM64+DO64+DQ64+DS64+EE64+EG64+EI64+EK64+R64+H64+CI64+BA64+AR64</f>
        <v>0</v>
      </c>
      <c r="F64" s="26"/>
      <c r="G64" s="27">
        <f>+DS64-AX64</f>
        <v>0</v>
      </c>
      <c r="H64" s="27"/>
      <c r="I64" s="27"/>
      <c r="J64" s="27"/>
      <c r="K64" s="27"/>
      <c r="L64" s="27"/>
      <c r="M64" s="27"/>
      <c r="N64" s="25"/>
      <c r="O64" s="27"/>
      <c r="P64" s="27"/>
      <c r="Q64" s="27"/>
      <c r="R64" s="25"/>
      <c r="S64" s="27"/>
      <c r="T64" s="25"/>
      <c r="U64" s="25"/>
      <c r="V64" s="25"/>
      <c r="W64" s="25"/>
      <c r="X64" s="27"/>
      <c r="Y64" s="27"/>
      <c r="Z64" s="27"/>
      <c r="AA64" s="27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7"/>
      <c r="AP64" s="25"/>
      <c r="AQ64" s="25"/>
      <c r="AR64" s="25"/>
      <c r="AS64" s="25"/>
      <c r="AT64" s="28"/>
      <c r="AU64" s="25"/>
      <c r="AV64" s="25"/>
      <c r="AW64" s="25"/>
      <c r="AX64" s="217">
        <f>+DATOS!G18</f>
        <v>0</v>
      </c>
      <c r="AY64" s="25"/>
      <c r="AZ64" s="27"/>
      <c r="BA64" s="25"/>
      <c r="BB64" s="25"/>
      <c r="BC64" s="25"/>
      <c r="BD64" s="27"/>
      <c r="BE64" s="25"/>
      <c r="BF64" s="27"/>
      <c r="BG64" s="25"/>
      <c r="BH64" s="27"/>
      <c r="BI64" s="27"/>
      <c r="BJ64" s="27"/>
      <c r="BK64" s="27"/>
      <c r="BL64" s="27"/>
      <c r="BM64" s="25"/>
      <c r="BN64" s="27"/>
      <c r="BO64" s="25"/>
      <c r="BP64" s="27"/>
      <c r="BQ64" s="27"/>
      <c r="BR64" s="27"/>
      <c r="BS64" s="25"/>
      <c r="BT64" s="27"/>
      <c r="BU64" s="25"/>
      <c r="BV64" s="27"/>
      <c r="BW64" s="25"/>
      <c r="BX64" s="27"/>
      <c r="BY64" s="27"/>
      <c r="BZ64" s="27"/>
      <c r="CA64" s="27"/>
      <c r="CB64" s="27"/>
      <c r="CC64" s="25"/>
      <c r="CD64" s="27"/>
      <c r="CE64" s="27"/>
      <c r="CF64" s="25"/>
      <c r="CG64" s="25"/>
      <c r="CH64" s="25"/>
      <c r="CI64" s="25"/>
      <c r="CJ64" s="25"/>
      <c r="CK64" s="28"/>
      <c r="CL64" s="25"/>
      <c r="CM64" s="25"/>
      <c r="CN64" s="25"/>
      <c r="CO64" s="27"/>
      <c r="CP64" s="25"/>
      <c r="CQ64" s="25"/>
      <c r="CR64" s="25"/>
      <c r="CS64" s="27"/>
      <c r="CT64" s="25"/>
      <c r="CU64" s="25"/>
      <c r="CV64" s="28"/>
      <c r="CW64" s="25"/>
      <c r="CX64" s="25"/>
      <c r="CY64" s="25"/>
      <c r="CZ64" s="25"/>
      <c r="DA64" s="25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5"/>
      <c r="DP64" s="25"/>
      <c r="DQ64" s="25"/>
      <c r="DR64" s="25"/>
      <c r="DS64" s="218">
        <f>ROUND(+AX64/0.13,0)</f>
        <v>0</v>
      </c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8"/>
      <c r="EN64" s="28">
        <f t="shared" si="3"/>
        <v>0</v>
      </c>
      <c r="EO64" s="28">
        <f t="shared" si="4"/>
        <v>0</v>
      </c>
      <c r="EP64" s="28">
        <f t="shared" si="11"/>
        <v>0</v>
      </c>
    </row>
    <row r="65" spans="2:147">
      <c r="B65" s="9">
        <f t="shared" si="12"/>
        <v>44315</v>
      </c>
      <c r="C65" s="92"/>
      <c r="D65" s="213" t="s">
        <v>195</v>
      </c>
      <c r="E65" s="478">
        <f>+F65+J65+L65+N65+T65+V65+X65+AB65+AD65+AF65+AL65+AN65+AP65+AU65+AW65+AY65+BC65+BE65+BG65+BM65+BO65+BQ65+BW65+CC65+CE65+CG65+CL65+CN65+CP65+CR65+CT65+CW65+CY65+DA65+DC65+DE65+DG65+DI65+DK65+DM65+DO65+DQ65+DS65+EE65+EG65+EI65+EK65+R65+H65+CI65+BA65+AR65+DU65</f>
        <v>0</v>
      </c>
      <c r="F65" s="26"/>
      <c r="G65" s="286">
        <f>+DU65-BB65-AV65-AQ65+DY65-BV65</f>
        <v>0</v>
      </c>
      <c r="H65" s="27"/>
      <c r="I65" s="27"/>
      <c r="J65" s="27"/>
      <c r="K65" s="27"/>
      <c r="L65" s="27"/>
      <c r="M65" s="27"/>
      <c r="N65" s="25"/>
      <c r="O65" s="27"/>
      <c r="P65" s="27"/>
      <c r="Q65" s="27"/>
      <c r="R65" s="25"/>
      <c r="S65" s="27"/>
      <c r="T65" s="25"/>
      <c r="U65" s="25"/>
      <c r="V65" s="25"/>
      <c r="W65" s="25"/>
      <c r="X65" s="27"/>
      <c r="Y65" s="27"/>
      <c r="Z65" s="27"/>
      <c r="AA65" s="27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7"/>
      <c r="AP65" s="213"/>
      <c r="AQ65" s="215">
        <f>+DATOS!K39</f>
        <v>0</v>
      </c>
      <c r="AR65" s="25"/>
      <c r="AS65" s="25"/>
      <c r="AT65" s="28"/>
      <c r="AU65" s="25"/>
      <c r="AV65" s="215">
        <f>+DATOS!J39+DATOS!M39</f>
        <v>0</v>
      </c>
      <c r="AW65" s="25"/>
      <c r="AX65" s="25"/>
      <c r="AY65" s="25"/>
      <c r="AZ65" s="27"/>
      <c r="BA65" s="25"/>
      <c r="BB65" s="214">
        <f>+DATOS!I39</f>
        <v>0</v>
      </c>
      <c r="BC65" s="25"/>
      <c r="BD65" s="27"/>
      <c r="BE65" s="25"/>
      <c r="BF65" s="27"/>
      <c r="BG65" s="25"/>
      <c r="BH65" s="27"/>
      <c r="BI65" s="27"/>
      <c r="BJ65" s="27"/>
      <c r="BK65" s="27"/>
      <c r="BL65" s="27"/>
      <c r="BM65" s="25"/>
      <c r="BN65" s="27"/>
      <c r="BO65" s="25"/>
      <c r="BP65" s="27"/>
      <c r="BQ65" s="27"/>
      <c r="BR65" s="27"/>
      <c r="BS65" s="25"/>
      <c r="BT65" s="27"/>
      <c r="BU65" s="25"/>
      <c r="BV65" s="27">
        <v>0</v>
      </c>
      <c r="BW65" s="25"/>
      <c r="BX65" s="27"/>
      <c r="BY65" s="27"/>
      <c r="BZ65" s="27"/>
      <c r="CA65" s="27"/>
      <c r="CB65" s="27"/>
      <c r="CC65" s="25"/>
      <c r="CD65" s="27"/>
      <c r="CE65" s="27"/>
      <c r="CF65" s="25"/>
      <c r="CG65" s="25"/>
      <c r="CH65" s="25"/>
      <c r="CI65" s="25"/>
      <c r="CJ65" s="25"/>
      <c r="CK65" s="28"/>
      <c r="CL65" s="25"/>
      <c r="CM65" s="25"/>
      <c r="CN65" s="25"/>
      <c r="CO65" s="27"/>
      <c r="CP65" s="25"/>
      <c r="CQ65" s="25"/>
      <c r="CR65" s="25"/>
      <c r="CS65" s="27"/>
      <c r="CT65" s="25"/>
      <c r="CU65" s="25"/>
      <c r="CV65" s="28"/>
      <c r="CW65" s="25"/>
      <c r="CX65" s="25"/>
      <c r="CY65" s="25"/>
      <c r="CZ65" s="25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5"/>
      <c r="DP65" s="25"/>
      <c r="DQ65" s="25"/>
      <c r="DR65" s="25"/>
      <c r="DS65" s="25"/>
      <c r="DT65" s="25"/>
      <c r="DU65" s="215">
        <f>+DATOS!G39</f>
        <v>0</v>
      </c>
      <c r="DV65" s="25"/>
      <c r="DW65" s="25"/>
      <c r="DX65" s="25"/>
      <c r="DY65" s="215">
        <f>+DATOS!M39</f>
        <v>0</v>
      </c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8"/>
      <c r="EN65" s="28">
        <f>+F65+J65+L65+N65+T65+V65+X65+AB65+AD65+AF65+AL65+AN65+AP65+AU65+AW65+AY65+BC65+BE65+BG65+BM65+BO65+BQ65+BU65+BW65+BY65+CC65+CE65+CG65+CL65+CN65+CP65+CR65+CT65+CW65+CY65+DA65+DC65+DE65+DG65+DI65+DK65+DM65+DO65+DQ65+DS65+EE65+EG65+EI65+EK65+H65+R65+AR65+BA65+CI65+DY65+DU65</f>
        <v>0</v>
      </c>
      <c r="EO65" s="28">
        <f t="shared" si="4"/>
        <v>0</v>
      </c>
      <c r="EP65" s="28">
        <f t="shared" si="11"/>
        <v>0</v>
      </c>
    </row>
    <row r="66" spans="2:147">
      <c r="B66" s="9">
        <f t="shared" si="12"/>
        <v>44315</v>
      </c>
      <c r="C66" s="92"/>
      <c r="D66" s="485" t="s">
        <v>488</v>
      </c>
      <c r="E66" s="478"/>
      <c r="F66" s="26"/>
      <c r="G66" s="278">
        <f>+BY66</f>
        <v>0</v>
      </c>
      <c r="H66" s="27"/>
      <c r="I66" s="27"/>
      <c r="J66" s="27"/>
      <c r="K66" s="27"/>
      <c r="L66" s="27"/>
      <c r="M66" s="27"/>
      <c r="N66" s="25"/>
      <c r="O66" s="27"/>
      <c r="P66" s="27"/>
      <c r="Q66" s="27"/>
      <c r="R66" s="25"/>
      <c r="S66" s="27"/>
      <c r="T66" s="25"/>
      <c r="U66" s="25"/>
      <c r="V66" s="25"/>
      <c r="W66" s="25"/>
      <c r="X66" s="27"/>
      <c r="Y66" s="27"/>
      <c r="Z66" s="27"/>
      <c r="AA66" s="27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7"/>
      <c r="AP66" s="517"/>
      <c r="AQ66" s="215"/>
      <c r="AR66" s="25"/>
      <c r="AS66" s="25"/>
      <c r="AT66" s="28"/>
      <c r="AU66" s="25"/>
      <c r="AV66" s="215"/>
      <c r="AW66" s="25"/>
      <c r="AX66" s="25"/>
      <c r="AY66" s="25"/>
      <c r="AZ66" s="27"/>
      <c r="BA66" s="25"/>
      <c r="BB66" s="214"/>
      <c r="BC66" s="25"/>
      <c r="BD66" s="27"/>
      <c r="BE66" s="25"/>
      <c r="BF66" s="27"/>
      <c r="BG66" s="25"/>
      <c r="BH66" s="27"/>
      <c r="BI66" s="27"/>
      <c r="BJ66" s="27"/>
      <c r="BK66" s="27"/>
      <c r="BL66" s="27"/>
      <c r="BM66" s="25"/>
      <c r="BN66" s="27"/>
      <c r="BO66" s="25"/>
      <c r="BP66" s="27"/>
      <c r="BQ66" s="515">
        <f>+DATOS!C66</f>
        <v>0</v>
      </c>
      <c r="BR66" s="27"/>
      <c r="BS66" s="515">
        <f>+DATOS!F66</f>
        <v>0</v>
      </c>
      <c r="BT66" s="27"/>
      <c r="BU66" s="516">
        <f>+DATOS!I66</f>
        <v>0</v>
      </c>
      <c r="BV66" s="27"/>
      <c r="BW66" s="516">
        <f>+DATOS!L66</f>
        <v>0</v>
      </c>
      <c r="BX66" s="27"/>
      <c r="BY66" s="515">
        <f>+DATOS!O66</f>
        <v>0</v>
      </c>
      <c r="BZ66" s="27"/>
      <c r="CA66" s="27"/>
      <c r="CB66" s="27"/>
      <c r="CC66" s="25"/>
      <c r="CD66" s="27"/>
      <c r="CE66" s="27"/>
      <c r="CF66" s="25"/>
      <c r="CG66" s="25"/>
      <c r="CH66" s="25"/>
      <c r="CI66" s="25"/>
      <c r="CJ66" s="25"/>
      <c r="CK66" s="28"/>
      <c r="CL66" s="25"/>
      <c r="CM66" s="25"/>
      <c r="CN66" s="25"/>
      <c r="CO66" s="27"/>
      <c r="CP66" s="25"/>
      <c r="CQ66" s="25"/>
      <c r="CR66" s="25"/>
      <c r="CS66" s="27"/>
      <c r="CT66" s="25"/>
      <c r="CU66" s="25"/>
      <c r="CV66" s="28"/>
      <c r="CW66" s="25"/>
      <c r="CX66" s="25"/>
      <c r="CY66" s="25"/>
      <c r="CZ66" s="25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5"/>
      <c r="DP66" s="25"/>
      <c r="DQ66" s="25"/>
      <c r="DR66" s="25"/>
      <c r="DS66" s="25"/>
      <c r="DT66" s="25"/>
      <c r="DU66" s="215"/>
      <c r="DV66" s="25"/>
      <c r="DW66" s="25"/>
      <c r="DX66" s="25"/>
      <c r="DY66" s="21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8"/>
      <c r="EN66" s="28"/>
      <c r="EO66" s="28"/>
      <c r="EP66" s="28"/>
    </row>
    <row r="67" spans="2:147">
      <c r="B67" s="9">
        <f t="shared" si="12"/>
        <v>44315</v>
      </c>
      <c r="C67" s="92"/>
      <c r="D67" s="302" t="s">
        <v>489</v>
      </c>
      <c r="E67" s="478"/>
      <c r="F67" s="26"/>
      <c r="G67" s="286"/>
      <c r="H67" s="27"/>
      <c r="I67" s="27"/>
      <c r="J67" s="27"/>
      <c r="K67" s="27"/>
      <c r="L67" s="27"/>
      <c r="M67" s="27"/>
      <c r="N67" s="25"/>
      <c r="O67" s="27"/>
      <c r="P67" s="27"/>
      <c r="Q67" s="27"/>
      <c r="R67" s="25"/>
      <c r="S67" s="27"/>
      <c r="T67" s="25"/>
      <c r="U67" s="25"/>
      <c r="V67" s="25"/>
      <c r="W67" s="25"/>
      <c r="X67" s="27"/>
      <c r="Y67" s="27"/>
      <c r="Z67" s="27"/>
      <c r="AA67" s="27"/>
      <c r="AB67" s="25"/>
      <c r="AC67" s="25"/>
      <c r="AD67" s="25"/>
      <c r="AE67" s="25"/>
      <c r="AF67" s="25"/>
      <c r="AG67" s="527">
        <f>+DATOS!G66</f>
        <v>0</v>
      </c>
      <c r="AH67" s="25"/>
      <c r="AI67" s="527">
        <f>+DATOS!D66</f>
        <v>0</v>
      </c>
      <c r="AJ67" s="25"/>
      <c r="AK67" s="531">
        <f>+DATOS!J66+DATOS!M66+DATOS!P66</f>
        <v>0</v>
      </c>
      <c r="AL67" s="25"/>
      <c r="AM67" s="25"/>
      <c r="AN67" s="25"/>
      <c r="AO67" s="27"/>
      <c r="AP67" s="517"/>
      <c r="AQ67" s="215"/>
      <c r="AR67" s="25"/>
      <c r="AS67" s="25"/>
      <c r="AT67" s="28"/>
      <c r="AU67" s="25"/>
      <c r="AV67" s="215"/>
      <c r="AW67" s="25"/>
      <c r="AX67" s="25"/>
      <c r="AY67" s="25"/>
      <c r="AZ67" s="27"/>
      <c r="BA67" s="25"/>
      <c r="BB67" s="214"/>
      <c r="BC67" s="25"/>
      <c r="BD67" s="27"/>
      <c r="BE67" s="25"/>
      <c r="BF67" s="27"/>
      <c r="BG67" s="25"/>
      <c r="BH67" s="27"/>
      <c r="BI67" s="27"/>
      <c r="BJ67" s="27"/>
      <c r="BK67" s="27"/>
      <c r="BL67" s="27"/>
      <c r="BM67" s="25"/>
      <c r="BN67" s="27"/>
      <c r="BO67" s="25"/>
      <c r="BP67" s="27"/>
      <c r="BQ67" s="27"/>
      <c r="BR67" s="27"/>
      <c r="BS67" s="25"/>
      <c r="BT67" s="27"/>
      <c r="BU67" s="25"/>
      <c r="BV67" s="27"/>
      <c r="BW67" s="25"/>
      <c r="BX67" s="27"/>
      <c r="BY67" s="27"/>
      <c r="BZ67" s="27"/>
      <c r="CA67" s="27"/>
      <c r="CB67" s="27"/>
      <c r="CC67" s="25"/>
      <c r="CD67" s="27"/>
      <c r="CE67" s="27"/>
      <c r="CF67" s="25"/>
      <c r="CG67" s="25"/>
      <c r="CH67" s="25"/>
      <c r="CI67" s="25"/>
      <c r="CJ67" s="25"/>
      <c r="CK67" s="28"/>
      <c r="CL67" s="25"/>
      <c r="CM67" s="25"/>
      <c r="CN67" s="25"/>
      <c r="CO67" s="27"/>
      <c r="CP67" s="25"/>
      <c r="CQ67" s="25"/>
      <c r="CR67" s="25"/>
      <c r="CS67" s="27"/>
      <c r="CT67" s="25"/>
      <c r="CU67" s="25"/>
      <c r="CV67" s="28"/>
      <c r="CW67" s="25"/>
      <c r="CX67" s="25"/>
      <c r="CY67" s="25"/>
      <c r="CZ67" s="25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5"/>
      <c r="DP67" s="25"/>
      <c r="DQ67" s="25"/>
      <c r="DR67" s="25"/>
      <c r="DS67" s="25"/>
      <c r="DT67" s="25"/>
      <c r="DU67" s="215"/>
      <c r="DV67" s="25"/>
      <c r="DW67" s="25"/>
      <c r="DX67" s="25"/>
      <c r="DY67" s="215"/>
      <c r="DZ67" s="25"/>
      <c r="EA67" s="527">
        <f>+AG67+AI67+AK67</f>
        <v>0</v>
      </c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8"/>
      <c r="EN67" s="28"/>
      <c r="EO67" s="28"/>
      <c r="EP67" s="28"/>
    </row>
    <row r="68" spans="2:147">
      <c r="B68" s="9">
        <f t="shared" si="12"/>
        <v>44315</v>
      </c>
      <c r="C68" s="92"/>
      <c r="D68" s="284" t="s">
        <v>263</v>
      </c>
      <c r="E68" s="478">
        <f>+F68+J68+L68+N68+T68+V68+X68+AB68+AD68+AF68+AL68+AN68+AP68+AU68+AW68+AY68+BC68+BE68+BG68+BM68+BO68+BQ68+BW68+CC68+CE68+CG68+CL68+CN68+CP68+CR68+CT68+CW68+CY68+DA68+DC68+DE68+DG68+DI68+DK68+DM68+DO68+DQ68+DS68+EE68+EG68+EI68+EK68+R68+H68+CI68+BA68+AR68</f>
        <v>0</v>
      </c>
      <c r="F68" s="26"/>
      <c r="G68" s="283">
        <f>+DW68</f>
        <v>0</v>
      </c>
      <c r="H68" s="27"/>
      <c r="I68" s="27"/>
      <c r="J68" s="27"/>
      <c r="K68" s="27"/>
      <c r="L68" s="27"/>
      <c r="M68" s="27"/>
      <c r="N68" s="25"/>
      <c r="O68" s="27"/>
      <c r="P68" s="27"/>
      <c r="Q68" s="27"/>
      <c r="R68" s="25"/>
      <c r="S68" s="27"/>
      <c r="T68" s="25"/>
      <c r="U68" s="25"/>
      <c r="V68" s="25"/>
      <c r="W68" s="25"/>
      <c r="X68" s="27"/>
      <c r="Y68" s="27"/>
      <c r="Z68" s="27"/>
      <c r="AA68" s="27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7"/>
      <c r="AP68" s="25"/>
      <c r="AQ68" s="25"/>
      <c r="AR68" s="25"/>
      <c r="AS68" s="25"/>
      <c r="AT68" s="28"/>
      <c r="AU68" s="25"/>
      <c r="AV68" s="25"/>
      <c r="AW68" s="25"/>
      <c r="AX68" s="25"/>
      <c r="AY68" s="25"/>
      <c r="AZ68" s="27"/>
      <c r="BA68" s="25"/>
      <c r="BB68" s="25"/>
      <c r="BC68" s="25"/>
      <c r="BD68" s="27"/>
      <c r="BE68" s="25"/>
      <c r="BF68" s="27"/>
      <c r="BG68" s="25"/>
      <c r="BH68" s="27"/>
      <c r="BI68" s="27"/>
      <c r="BJ68" s="27"/>
      <c r="BK68" s="27"/>
      <c r="BL68" s="27"/>
      <c r="BM68" s="25"/>
      <c r="BN68" s="27"/>
      <c r="BO68" s="25"/>
      <c r="BP68" s="27"/>
      <c r="BQ68" s="27"/>
      <c r="BR68" s="27"/>
      <c r="BS68" s="25"/>
      <c r="BT68" s="27"/>
      <c r="BU68" s="25"/>
      <c r="BV68" s="27"/>
      <c r="BW68" s="25"/>
      <c r="BX68" s="27"/>
      <c r="BY68" s="27"/>
      <c r="BZ68" s="27"/>
      <c r="CA68" s="27"/>
      <c r="CB68" s="27"/>
      <c r="CC68" s="25"/>
      <c r="CD68" s="27"/>
      <c r="CE68" s="27"/>
      <c r="CF68" s="25"/>
      <c r="CG68" s="25"/>
      <c r="CH68" s="25"/>
      <c r="CI68" s="25"/>
      <c r="CJ68" s="25"/>
      <c r="CK68" s="28"/>
      <c r="CL68" s="25"/>
      <c r="CM68" s="25"/>
      <c r="CN68" s="25"/>
      <c r="CO68" s="27"/>
      <c r="CP68" s="25"/>
      <c r="CQ68" s="25"/>
      <c r="CR68" s="25"/>
      <c r="CS68" s="27"/>
      <c r="CT68" s="25"/>
      <c r="CU68" s="25"/>
      <c r="CV68" s="28"/>
      <c r="CW68" s="25"/>
      <c r="CX68" s="25"/>
      <c r="CY68" s="25"/>
      <c r="CZ68" s="25"/>
      <c r="DA68" s="25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5"/>
      <c r="DP68" s="25"/>
      <c r="DQ68" s="25"/>
      <c r="DR68" s="25"/>
      <c r="DS68" s="25"/>
      <c r="DT68" s="25"/>
      <c r="DU68" s="25"/>
      <c r="DV68" s="25"/>
      <c r="DW68" s="285">
        <f>+DATOS!N39</f>
        <v>0</v>
      </c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8"/>
      <c r="EN68" s="28">
        <f t="shared" si="3"/>
        <v>0</v>
      </c>
      <c r="EO68" s="28">
        <f t="shared" si="4"/>
        <v>0</v>
      </c>
      <c r="EP68" s="28"/>
    </row>
    <row r="69" spans="2:147">
      <c r="B69" s="9">
        <f t="shared" si="12"/>
        <v>44315</v>
      </c>
      <c r="C69" s="92"/>
      <c r="D69" s="276" t="s">
        <v>379</v>
      </c>
      <c r="E69" s="478">
        <f>+F69+J69+L69+N69+T69+V69+X69+AB69+AD69+AH69+AL69+AN69+AP69+AU69+AW69+AY69+BC69+BE69+BG69+BM69+BO69+BQ69+BW69+CC69+CE69+CG69+CL69+CN69+CP69+CR69+CT69+CW69+CY69+DA69+DC69+DE69+DG69+DI69+DK69+DM69+DO69+DQ69+DS69+EE69+EG69+EI69+EK69+R69+H69+CI69+BA69+AR69+DU69</f>
        <v>0</v>
      </c>
      <c r="F69" s="26"/>
      <c r="G69" s="27">
        <f>+BO69-M69</f>
        <v>0</v>
      </c>
      <c r="H69" s="27"/>
      <c r="I69" s="27"/>
      <c r="J69" s="27"/>
      <c r="K69" s="27"/>
      <c r="L69" s="27"/>
      <c r="M69" s="27">
        <f>+L8</f>
        <v>0</v>
      </c>
      <c r="N69" s="25"/>
      <c r="O69" s="25"/>
      <c r="P69" s="25"/>
      <c r="Q69" s="25"/>
      <c r="R69" s="25"/>
      <c r="S69" s="27"/>
      <c r="T69" s="25"/>
      <c r="U69" s="25"/>
      <c r="V69" s="25"/>
      <c r="W69" s="25"/>
      <c r="X69" s="27"/>
      <c r="Y69" s="27">
        <f>+X8</f>
        <v>0</v>
      </c>
      <c r="Z69" s="27"/>
      <c r="AA69" s="27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7"/>
      <c r="AP69" s="25"/>
      <c r="AQ69" s="25"/>
      <c r="AR69" s="25"/>
      <c r="AS69" s="25"/>
      <c r="AT69" s="28"/>
      <c r="AU69" s="25"/>
      <c r="AV69" s="25"/>
      <c r="AW69" s="25"/>
      <c r="AX69" s="25"/>
      <c r="AY69" s="25"/>
      <c r="AZ69" s="27"/>
      <c r="BA69" s="25"/>
      <c r="BB69" s="25"/>
      <c r="BC69" s="25"/>
      <c r="BD69" s="27"/>
      <c r="BE69" s="25"/>
      <c r="BF69" s="27"/>
      <c r="BG69" s="25"/>
      <c r="BH69" s="27"/>
      <c r="BI69" s="27"/>
      <c r="BJ69" s="27"/>
      <c r="BK69" s="27"/>
      <c r="BL69" s="27"/>
      <c r="BM69" s="25"/>
      <c r="BN69" s="27"/>
      <c r="BO69" s="441">
        <f>+BP8</f>
        <v>0</v>
      </c>
      <c r="BP69" s="27"/>
      <c r="BQ69" s="27"/>
      <c r="BR69" s="27"/>
      <c r="BS69" s="25"/>
      <c r="BT69" s="27"/>
      <c r="BU69" s="25"/>
      <c r="BV69" s="27"/>
      <c r="BW69" s="25"/>
      <c r="BX69" s="27"/>
      <c r="BY69" s="27"/>
      <c r="BZ69" s="27"/>
      <c r="CA69" s="27"/>
      <c r="CB69" s="27"/>
      <c r="CC69" s="25"/>
      <c r="CD69" s="27"/>
      <c r="CE69" s="27"/>
      <c r="CF69" s="25"/>
      <c r="CG69" s="25"/>
      <c r="CH69" s="25"/>
      <c r="CI69" s="25"/>
      <c r="CJ69" s="25"/>
      <c r="CK69" s="28"/>
      <c r="CL69" s="25"/>
      <c r="CM69" s="25"/>
      <c r="CN69" s="25"/>
      <c r="CO69" s="27"/>
      <c r="CP69" s="25"/>
      <c r="CQ69" s="25"/>
      <c r="CR69" s="25"/>
      <c r="CS69" s="27"/>
      <c r="CT69" s="25"/>
      <c r="CU69" s="25"/>
      <c r="CV69" s="28"/>
      <c r="CW69" s="25"/>
      <c r="CX69" s="25"/>
      <c r="CY69" s="25"/>
      <c r="CZ69" s="25"/>
      <c r="DA69" s="25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5"/>
      <c r="DP69" s="25"/>
      <c r="DQ69" s="25"/>
      <c r="DR69" s="25"/>
      <c r="DS69" s="242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>
        <v>0</v>
      </c>
      <c r="EL69" s="25"/>
      <c r="EM69" s="28"/>
      <c r="EN69" s="28">
        <f t="shared" si="3"/>
        <v>0</v>
      </c>
      <c r="EO69" s="28">
        <f t="shared" si="4"/>
        <v>0</v>
      </c>
      <c r="EP69" s="28">
        <f>+EN69-EO69</f>
        <v>0</v>
      </c>
    </row>
    <row r="70" spans="2:147">
      <c r="B70" s="9">
        <f t="shared" si="12"/>
        <v>44315</v>
      </c>
      <c r="C70" s="92"/>
      <c r="D70" s="437" t="s">
        <v>436</v>
      </c>
      <c r="E70" s="478">
        <f>+F70+J70+L70+N70+T70+V70+X70+AB70+AD70+AF70+AL70+AN70+AP70+AU70+AW70+AY70+BC70+BE70+BG70+BM70+BO70+BQ70+BW70+CC70+CE70+CG70+CL70+CN70+CP70+CR70+CT70+CW70+CY70+DA70+DC70+DE70+DG70+DI70+DK70+DM70+DO70+DQ70+DS70+EE70+EG70+EI70+EK70+R70+H70+CI70+BA70+AR70+DU70</f>
        <v>0</v>
      </c>
      <c r="F70" s="26">
        <f>+BP70</f>
        <v>0</v>
      </c>
      <c r="G70" s="278">
        <v>0</v>
      </c>
      <c r="H70" s="27"/>
      <c r="I70" s="27"/>
      <c r="J70" s="27"/>
      <c r="K70" s="27"/>
      <c r="L70" s="27"/>
      <c r="M70" s="27"/>
      <c r="N70" s="25"/>
      <c r="O70" s="27"/>
      <c r="P70" s="27"/>
      <c r="Q70" s="27"/>
      <c r="R70" s="25"/>
      <c r="S70" s="27"/>
      <c r="T70" s="25"/>
      <c r="U70" s="25"/>
      <c r="V70" s="25"/>
      <c r="W70" s="25"/>
      <c r="X70" s="27"/>
      <c r="Y70" s="27"/>
      <c r="Z70" s="27"/>
      <c r="AA70" s="27"/>
      <c r="AB70" s="25"/>
      <c r="AC70" s="25"/>
      <c r="AD70" s="25"/>
      <c r="AE70" s="25"/>
      <c r="AF70" s="25"/>
      <c r="AG70" s="245"/>
      <c r="AH70" s="25"/>
      <c r="AI70" s="25"/>
      <c r="AJ70" s="25"/>
      <c r="AK70" s="25"/>
      <c r="AL70" s="25"/>
      <c r="AM70" s="25"/>
      <c r="AN70" s="25"/>
      <c r="AO70" s="27"/>
      <c r="AP70" s="25"/>
      <c r="AQ70" s="25"/>
      <c r="AR70" s="25"/>
      <c r="AS70" s="25"/>
      <c r="AT70" s="28"/>
      <c r="AU70" s="25"/>
      <c r="AV70" s="25"/>
      <c r="AW70" s="25"/>
      <c r="AX70" s="25"/>
      <c r="AY70" s="25"/>
      <c r="AZ70" s="27"/>
      <c r="BA70" s="25"/>
      <c r="BB70" s="25"/>
      <c r="BC70" s="25"/>
      <c r="BD70" s="27"/>
      <c r="BE70" s="245"/>
      <c r="BF70" s="27"/>
      <c r="BG70" s="25"/>
      <c r="BH70" s="27"/>
      <c r="BI70" s="27"/>
      <c r="BJ70" s="27"/>
      <c r="BK70" s="27"/>
      <c r="BL70" s="27"/>
      <c r="BM70" s="25"/>
      <c r="BN70" s="27"/>
      <c r="BO70" s="25"/>
      <c r="BP70" s="27">
        <f>(+BO69-BP8)*0</f>
        <v>0</v>
      </c>
      <c r="BQ70" s="27"/>
      <c r="BR70" s="27"/>
      <c r="BS70" s="25"/>
      <c r="BT70" s="27"/>
      <c r="BU70" s="25"/>
      <c r="BV70" s="27"/>
      <c r="BW70" s="25"/>
      <c r="BX70" s="27"/>
      <c r="BY70" s="27"/>
      <c r="BZ70" s="27"/>
      <c r="CA70" s="27"/>
      <c r="CB70" s="27"/>
      <c r="CC70" s="25"/>
      <c r="CD70" s="27"/>
      <c r="CE70" s="27"/>
      <c r="CF70" s="25"/>
      <c r="CG70" s="25"/>
      <c r="CH70" s="25"/>
      <c r="CI70" s="25"/>
      <c r="CJ70" s="25"/>
      <c r="CK70" s="28"/>
      <c r="CL70" s="25"/>
      <c r="CM70" s="25"/>
      <c r="CN70" s="25"/>
      <c r="CO70" s="27"/>
      <c r="CP70" s="25"/>
      <c r="CQ70" s="25"/>
      <c r="CR70" s="25"/>
      <c r="CS70" s="27"/>
      <c r="CT70" s="25"/>
      <c r="CU70" s="25"/>
      <c r="CV70" s="28"/>
      <c r="CW70" s="25"/>
      <c r="CX70" s="25"/>
      <c r="CY70" s="25"/>
      <c r="CZ70" s="25"/>
      <c r="DA70" s="25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5"/>
      <c r="DP70" s="25"/>
      <c r="DQ70" s="25"/>
      <c r="DR70" s="25"/>
      <c r="DS70" s="242"/>
      <c r="DT70" s="25"/>
      <c r="DU70" s="25"/>
      <c r="DV70" s="25"/>
      <c r="DW70" s="25"/>
      <c r="DX70" s="25"/>
      <c r="DY70" s="25"/>
      <c r="DZ70" s="25"/>
      <c r="EA70" s="245"/>
      <c r="EB70" s="245"/>
      <c r="EC70" s="25"/>
      <c r="ED70" s="25"/>
      <c r="EE70" s="25"/>
      <c r="EF70" s="25"/>
      <c r="EG70" s="25"/>
      <c r="EH70" s="25"/>
      <c r="EI70" s="25"/>
      <c r="EJ70" s="25"/>
      <c r="EK70" s="25">
        <v>0</v>
      </c>
      <c r="EL70" s="25"/>
      <c r="EM70" s="28"/>
      <c r="EN70" s="28">
        <f t="shared" si="3"/>
        <v>0</v>
      </c>
      <c r="EO70" s="28">
        <f t="shared" si="4"/>
        <v>0</v>
      </c>
      <c r="EP70" s="28">
        <f>+EN70-EO70</f>
        <v>0</v>
      </c>
    </row>
    <row r="71" spans="2:147">
      <c r="B71" s="39"/>
      <c r="C71" s="94"/>
      <c r="D71" s="40"/>
      <c r="E71" s="41"/>
      <c r="F71" s="42"/>
      <c r="G71" s="43"/>
      <c r="H71" s="43"/>
      <c r="I71" s="43"/>
      <c r="J71" s="43"/>
      <c r="K71" s="43"/>
      <c r="L71" s="43"/>
      <c r="M71" s="43"/>
      <c r="N71" s="41"/>
      <c r="O71" s="43"/>
      <c r="P71" s="43"/>
      <c r="Q71" s="43"/>
      <c r="R71" s="41"/>
      <c r="S71" s="43"/>
      <c r="T71" s="41"/>
      <c r="U71" s="41"/>
      <c r="V71" s="41"/>
      <c r="W71" s="41"/>
      <c r="X71" s="43"/>
      <c r="Y71" s="43"/>
      <c r="Z71" s="43"/>
      <c r="AA71" s="43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3"/>
      <c r="AP71" s="41"/>
      <c r="AQ71" s="41"/>
      <c r="AR71" s="41"/>
      <c r="AS71" s="41"/>
      <c r="AT71" s="28"/>
      <c r="AU71" s="41"/>
      <c r="AV71" s="41"/>
      <c r="AW71" s="41"/>
      <c r="AX71" s="41"/>
      <c r="AY71" s="41"/>
      <c r="AZ71" s="43"/>
      <c r="BA71" s="41"/>
      <c r="BB71" s="41"/>
      <c r="BC71" s="41"/>
      <c r="BD71" s="43"/>
      <c r="BE71" s="41"/>
      <c r="BF71" s="43"/>
      <c r="BG71" s="41"/>
      <c r="BH71" s="43"/>
      <c r="BI71" s="43"/>
      <c r="BJ71" s="43"/>
      <c r="BK71" s="43"/>
      <c r="BL71" s="43"/>
      <c r="BM71" s="41"/>
      <c r="BN71" s="43"/>
      <c r="BO71" s="41"/>
      <c r="BP71" s="43"/>
      <c r="BQ71" s="43"/>
      <c r="BR71" s="43"/>
      <c r="BS71" s="41"/>
      <c r="BT71" s="43"/>
      <c r="BU71" s="41"/>
      <c r="BV71" s="43"/>
      <c r="BW71" s="41"/>
      <c r="BX71" s="43"/>
      <c r="BY71" s="43"/>
      <c r="BZ71" s="43"/>
      <c r="CA71" s="43"/>
      <c r="CB71" s="43"/>
      <c r="CC71" s="41"/>
      <c r="CD71" s="43"/>
      <c r="CE71" s="43"/>
      <c r="CF71" s="41"/>
      <c r="CG71" s="41"/>
      <c r="CH71" s="41"/>
      <c r="CI71" s="41"/>
      <c r="CJ71" s="41"/>
      <c r="CK71" s="28"/>
      <c r="CL71" s="41"/>
      <c r="CM71" s="41"/>
      <c r="CN71" s="41"/>
      <c r="CO71" s="43"/>
      <c r="CP71" s="41"/>
      <c r="CQ71" s="41"/>
      <c r="CR71" s="41"/>
      <c r="CS71" s="43"/>
      <c r="CT71" s="41"/>
      <c r="CU71" s="41"/>
      <c r="CV71" s="28"/>
      <c r="CW71" s="41"/>
      <c r="CX71" s="41"/>
      <c r="CY71" s="41"/>
      <c r="CZ71" s="41"/>
      <c r="DA71" s="41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28"/>
      <c r="EN71" s="28">
        <f t="shared" si="3"/>
        <v>0</v>
      </c>
      <c r="EO71" s="28">
        <f t="shared" si="4"/>
        <v>0</v>
      </c>
      <c r="EP71" s="28">
        <f t="shared" ref="EP71:EP80" si="13">+EN71-EO71</f>
        <v>0</v>
      </c>
    </row>
    <row r="72" spans="2:147">
      <c r="B72" s="9">
        <f>+B63+30</f>
        <v>44345</v>
      </c>
      <c r="C72" s="91"/>
      <c r="D72" s="138" t="s">
        <v>112</v>
      </c>
      <c r="E72" s="25">
        <f>+F72+J72+L72+N72+T72+V72+X72+AB72+AD72+AF72+AL72+AN72+AP72+AU72+AW72+AY72+BC72+BE72+BG72+BM72+BO72+BQ72+BW72+CC72+CE72+CG72+CL72+CN72+CP72+CR72+CT72+CW72+CY72+DA72+DC72+DE72+DG72+DI72+DK72+DM72+DO72+DQ72+DS72+EE72+EG72+EI72+EK72+R72+H72+CI72+BA72+AR72</f>
        <v>0</v>
      </c>
      <c r="F72" s="26"/>
      <c r="G72" s="27"/>
      <c r="H72" s="27"/>
      <c r="I72" s="27"/>
      <c r="J72" s="27"/>
      <c r="K72" s="27"/>
      <c r="L72" s="27"/>
      <c r="M72" s="27"/>
      <c r="N72" s="25"/>
      <c r="O72" s="27"/>
      <c r="P72" s="27"/>
      <c r="Q72" s="27"/>
      <c r="R72" s="25"/>
      <c r="S72" s="27"/>
      <c r="T72" s="25"/>
      <c r="U72" s="25"/>
      <c r="V72" s="25"/>
      <c r="W72" s="25"/>
      <c r="X72" s="27"/>
      <c r="Y72" s="27"/>
      <c r="Z72" s="27"/>
      <c r="AA72" s="27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7"/>
      <c r="AP72" s="25"/>
      <c r="AQ72" s="25"/>
      <c r="AR72" s="25"/>
      <c r="AS72" s="25"/>
      <c r="AT72" s="28"/>
      <c r="AU72" s="25"/>
      <c r="AV72" s="25"/>
      <c r="AW72" s="25"/>
      <c r="AX72" s="25"/>
      <c r="AY72" s="25"/>
      <c r="AZ72" s="27"/>
      <c r="BA72" s="25"/>
      <c r="BB72" s="25"/>
      <c r="BC72" s="25"/>
      <c r="BD72" s="27"/>
      <c r="BE72" s="25"/>
      <c r="BF72" s="27"/>
      <c r="BG72" s="25"/>
      <c r="BH72" s="27"/>
      <c r="BI72" s="27"/>
      <c r="BJ72" s="27"/>
      <c r="BK72" s="27"/>
      <c r="BL72" s="27"/>
      <c r="BM72" s="25"/>
      <c r="BN72" s="27"/>
      <c r="BO72" s="25"/>
      <c r="BP72" s="27"/>
      <c r="BQ72" s="27"/>
      <c r="BR72" s="27"/>
      <c r="BS72" s="25"/>
      <c r="BT72" s="27"/>
      <c r="BU72" s="25"/>
      <c r="BV72" s="27"/>
      <c r="BW72" s="25"/>
      <c r="BX72" s="27"/>
      <c r="BY72" s="27"/>
      <c r="BZ72" s="27"/>
      <c r="CA72" s="27"/>
      <c r="CB72" s="27"/>
      <c r="CC72" s="25"/>
      <c r="CD72" s="27"/>
      <c r="CE72" s="25"/>
      <c r="CF72" s="25"/>
      <c r="CG72" s="25"/>
      <c r="CH72" s="25"/>
      <c r="CI72" s="25"/>
      <c r="CJ72" s="25"/>
      <c r="CK72" s="28"/>
      <c r="CL72" s="25"/>
      <c r="CM72" s="25"/>
      <c r="CN72" s="25"/>
      <c r="CO72" s="27"/>
      <c r="CP72" s="25"/>
      <c r="CQ72" s="25"/>
      <c r="CR72" s="25"/>
      <c r="CS72" s="27"/>
      <c r="CT72" s="25"/>
      <c r="CU72" s="25"/>
      <c r="CV72" s="28"/>
      <c r="CW72" s="25"/>
      <c r="CX72" s="25"/>
      <c r="CY72" s="25"/>
      <c r="CZ72" s="25"/>
      <c r="DA72" s="25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8"/>
      <c r="EN72" s="28">
        <f t="shared" si="3"/>
        <v>0</v>
      </c>
      <c r="EO72" s="28">
        <f t="shared" si="4"/>
        <v>0</v>
      </c>
      <c r="EP72" s="28">
        <f t="shared" si="13"/>
        <v>0</v>
      </c>
    </row>
    <row r="73" spans="2:147">
      <c r="B73" s="9">
        <f>+B72</f>
        <v>44345</v>
      </c>
      <c r="C73" s="91"/>
      <c r="D73" s="314" t="s">
        <v>320</v>
      </c>
      <c r="E73" s="478">
        <f>+F73+J73+L73+N73+T73+V73+X73+AB73+AD73+AF73+AL73+AN73+AP73+AU73+AW73+AY73+BC73+BE73+BG73+BM73+BO73+BQ73+BW73+CC73+CE73+CG73+CL73+CN73+CP73+CR73+CT73+CW73+CY73+DA73+DC73+DE73+DG73+DI73+DK73+DM73+DO73+DQ73+DS73+EE73+EG73+EI73+EK73+R73+H73+CI73+BA73+AR73</f>
        <v>0</v>
      </c>
      <c r="F73" s="26"/>
      <c r="G73" s="316">
        <f>+AU73</f>
        <v>0</v>
      </c>
      <c r="H73" s="27"/>
      <c r="I73" s="27"/>
      <c r="J73" s="27"/>
      <c r="K73" s="27"/>
      <c r="L73" s="27"/>
      <c r="M73" s="27"/>
      <c r="N73" s="25"/>
      <c r="O73" s="27"/>
      <c r="P73" s="27"/>
      <c r="Q73" s="27"/>
      <c r="R73" s="25"/>
      <c r="S73" s="27"/>
      <c r="T73" s="25"/>
      <c r="U73" s="25"/>
      <c r="V73" s="25"/>
      <c r="W73" s="25"/>
      <c r="X73" s="27"/>
      <c r="Y73" s="27"/>
      <c r="Z73" s="27"/>
      <c r="AA73" s="27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7"/>
      <c r="AP73" s="25"/>
      <c r="AQ73" s="25"/>
      <c r="AR73" s="25"/>
      <c r="AS73" s="25"/>
      <c r="AT73" s="28"/>
      <c r="AU73" s="315">
        <f>+AV65</f>
        <v>0</v>
      </c>
      <c r="AV73" s="25"/>
      <c r="AW73" s="25"/>
      <c r="AX73" s="25"/>
      <c r="AY73" s="25"/>
      <c r="AZ73" s="27"/>
      <c r="BA73" s="25"/>
      <c r="BB73" s="25"/>
      <c r="BC73" s="25"/>
      <c r="BD73" s="27"/>
      <c r="BE73" s="25"/>
      <c r="BF73" s="27"/>
      <c r="BG73" s="25"/>
      <c r="BH73" s="27"/>
      <c r="BI73" s="27"/>
      <c r="BJ73" s="27"/>
      <c r="BK73" s="27"/>
      <c r="BL73" s="27"/>
      <c r="BM73" s="25"/>
      <c r="BN73" s="27"/>
      <c r="BO73" s="25"/>
      <c r="BP73" s="27"/>
      <c r="BQ73" s="27"/>
      <c r="BR73" s="27"/>
      <c r="BS73" s="25"/>
      <c r="BT73" s="27"/>
      <c r="BU73" s="25"/>
      <c r="BV73" s="27"/>
      <c r="BW73" s="25"/>
      <c r="BX73" s="27"/>
      <c r="BY73" s="27"/>
      <c r="BZ73" s="27"/>
      <c r="CA73" s="27"/>
      <c r="CB73" s="27"/>
      <c r="CC73" s="25"/>
      <c r="CD73" s="27"/>
      <c r="CE73" s="27"/>
      <c r="CF73" s="25"/>
      <c r="CG73" s="25"/>
      <c r="CH73" s="25"/>
      <c r="CI73" s="25"/>
      <c r="CJ73" s="25"/>
      <c r="CK73" s="28"/>
      <c r="CL73" s="25"/>
      <c r="CM73" s="25"/>
      <c r="CN73" s="25"/>
      <c r="CO73" s="27"/>
      <c r="CP73" s="25"/>
      <c r="CQ73" s="25"/>
      <c r="CR73" s="25"/>
      <c r="CS73" s="27"/>
      <c r="CT73" s="25"/>
      <c r="CU73" s="25"/>
      <c r="CV73" s="28"/>
      <c r="CW73" s="25"/>
      <c r="CX73" s="25"/>
      <c r="CY73" s="25"/>
      <c r="CZ73" s="25"/>
      <c r="DA73" s="25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8"/>
      <c r="EN73" s="28">
        <f t="shared" si="3"/>
        <v>0</v>
      </c>
      <c r="EO73" s="28">
        <f t="shared" si="4"/>
        <v>0</v>
      </c>
      <c r="EP73" s="28">
        <f>+EN73-EO73</f>
        <v>0</v>
      </c>
    </row>
    <row r="74" spans="2:147">
      <c r="B74" s="9">
        <f>+B72</f>
        <v>44345</v>
      </c>
      <c r="C74" s="91"/>
      <c r="D74" s="216" t="s">
        <v>113</v>
      </c>
      <c r="E74" s="478">
        <f>+F74+J74+L74+N74+T74+V74+X74+AB74+AD74+AF74+AL74+AN74+AP74+AU74+AW74+AY74+BC74+BE74+BG74+BM74+BO74+BQ74+BW74+CC74+CE74+CG74+CL74+CN74+CP74+CR74+CT74+CW74+CY74+DA74+DC74+DE74+DG74+DI74+DK74+DM74+DO74+DQ74+DS74+EE74+EG74+EI74+EK74+R74+H74+CI74+BA74+AR74</f>
        <v>0</v>
      </c>
      <c r="F74" s="26"/>
      <c r="G74" s="427">
        <f>+L74+AW74+BE74+J74+BA74+BU74</f>
        <v>0</v>
      </c>
      <c r="H74" s="27"/>
      <c r="I74" s="27"/>
      <c r="J74" s="321">
        <v>0</v>
      </c>
      <c r="K74" s="27"/>
      <c r="L74" s="321">
        <f>+DATOS!F19</f>
        <v>0</v>
      </c>
      <c r="M74" s="27"/>
      <c r="N74" s="25"/>
      <c r="O74" s="27"/>
      <c r="P74" s="27"/>
      <c r="Q74" s="27"/>
      <c r="R74" s="25"/>
      <c r="S74" s="27"/>
      <c r="T74" s="25"/>
      <c r="U74" s="25"/>
      <c r="V74" s="25"/>
      <c r="W74" s="25"/>
      <c r="X74" s="27"/>
      <c r="Y74" s="27"/>
      <c r="Z74" s="27"/>
      <c r="AA74" s="27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7"/>
      <c r="AP74" s="25"/>
      <c r="AQ74" s="25"/>
      <c r="AR74" s="25"/>
      <c r="AS74" s="25"/>
      <c r="AT74" s="28"/>
      <c r="AU74" s="25"/>
      <c r="AV74" s="25"/>
      <c r="AW74" s="435">
        <f>+AX64</f>
        <v>0</v>
      </c>
      <c r="AX74" s="25"/>
      <c r="AY74" s="25"/>
      <c r="AZ74" s="27"/>
      <c r="BA74" s="435">
        <f>+BB65</f>
        <v>0</v>
      </c>
      <c r="BB74" s="25"/>
      <c r="BC74" s="25"/>
      <c r="BD74" s="27"/>
      <c r="BE74" s="25"/>
      <c r="BF74" s="27"/>
      <c r="BG74" s="25"/>
      <c r="BH74" s="27"/>
      <c r="BI74" s="27"/>
      <c r="BJ74" s="27"/>
      <c r="BK74" s="27"/>
      <c r="BL74" s="27"/>
      <c r="BM74" s="25"/>
      <c r="BN74" s="27"/>
      <c r="BO74" s="25"/>
      <c r="BP74" s="27"/>
      <c r="BQ74" s="27"/>
      <c r="BR74" s="27"/>
      <c r="BS74" s="25"/>
      <c r="BT74" s="27"/>
      <c r="BU74" s="25">
        <f>+BV65</f>
        <v>0</v>
      </c>
      <c r="BV74" s="27"/>
      <c r="BW74" s="25"/>
      <c r="BX74" s="27"/>
      <c r="BY74" s="27"/>
      <c r="BZ74" s="27"/>
      <c r="CA74" s="27"/>
      <c r="CB74" s="27"/>
      <c r="CC74" s="25"/>
      <c r="CD74" s="27"/>
      <c r="CE74" s="27"/>
      <c r="CF74" s="25"/>
      <c r="CG74" s="25"/>
      <c r="CH74" s="25"/>
      <c r="CI74" s="25"/>
      <c r="CJ74" s="25"/>
      <c r="CK74" s="28"/>
      <c r="CL74" s="25"/>
      <c r="CM74" s="25"/>
      <c r="CN74" s="25"/>
      <c r="CO74" s="27"/>
      <c r="CP74" s="25"/>
      <c r="CQ74" s="25"/>
      <c r="CR74" s="25"/>
      <c r="CS74" s="27"/>
      <c r="CT74" s="25"/>
      <c r="CU74" s="25"/>
      <c r="CV74" s="28"/>
      <c r="CW74" s="25"/>
      <c r="CX74" s="25"/>
      <c r="CY74" s="25"/>
      <c r="CZ74" s="25"/>
      <c r="DA74" s="25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8"/>
      <c r="EN74" s="28">
        <f t="shared" si="3"/>
        <v>0</v>
      </c>
      <c r="EO74" s="28">
        <f t="shared" si="4"/>
        <v>0</v>
      </c>
      <c r="EP74" s="28">
        <f t="shared" si="13"/>
        <v>0</v>
      </c>
      <c r="EQ74" s="28"/>
    </row>
    <row r="75" spans="2:147">
      <c r="B75" s="9">
        <f>+B74</f>
        <v>44345</v>
      </c>
      <c r="C75" s="91"/>
      <c r="D75" s="210" t="s">
        <v>114</v>
      </c>
      <c r="E75" s="478">
        <f>+F75+J75+L75+N75+T75+V75+X75+AB75+AD75+AF75+AL75+AN75+AP75+AU75+AW75+AY75+BC75+BE75+BG75+BM75+BO75+BQ75+BW75+CC75+CE75+CG75+CL75+CN75+CP75+CR75+CT75+CW75+CY75+DA75+DC75+DE75+DG75+DI75+DK75+DM75+DO75+DQ75+DS75+EE75+EG75+EI75+EK75+R75+H75+CI75+BA75+AR75+DY75</f>
        <v>0</v>
      </c>
      <c r="F75" s="26"/>
      <c r="G75" s="219">
        <f>+J75+EG75+DY75+X75+CW75</f>
        <v>0</v>
      </c>
      <c r="H75" s="27"/>
      <c r="I75" s="27"/>
      <c r="J75" s="219">
        <f>+DATOS!E40</f>
        <v>0</v>
      </c>
      <c r="K75" s="27"/>
      <c r="L75" s="27"/>
      <c r="M75" s="27"/>
      <c r="N75" s="25"/>
      <c r="O75" s="27"/>
      <c r="P75" s="27"/>
      <c r="Q75" s="27"/>
      <c r="R75" s="25"/>
      <c r="S75" s="27"/>
      <c r="T75" s="25"/>
      <c r="U75" s="25"/>
      <c r="V75" s="25"/>
      <c r="W75" s="25"/>
      <c r="X75" s="219"/>
      <c r="Y75" s="27"/>
      <c r="Z75" s="27"/>
      <c r="AA75" s="27"/>
      <c r="AB75" s="25"/>
      <c r="AC75" s="25"/>
      <c r="AD75" s="25"/>
      <c r="AE75" s="25"/>
      <c r="AF75" s="25"/>
      <c r="AG75" s="25">
        <v>0</v>
      </c>
      <c r="AH75" s="25"/>
      <c r="AI75" s="25"/>
      <c r="AJ75" s="25"/>
      <c r="AK75" s="25"/>
      <c r="AL75" s="25"/>
      <c r="AM75" s="25"/>
      <c r="AN75" s="25"/>
      <c r="AO75" s="27"/>
      <c r="AP75" s="25"/>
      <c r="AQ75" s="25"/>
      <c r="AR75" s="25"/>
      <c r="AS75" s="25"/>
      <c r="AT75" s="28"/>
      <c r="AU75" s="25"/>
      <c r="AV75" s="25"/>
      <c r="AW75" s="25"/>
      <c r="AX75" s="25"/>
      <c r="AY75" s="25"/>
      <c r="AZ75" s="27"/>
      <c r="BA75" s="25"/>
      <c r="BB75" s="25"/>
      <c r="BC75" s="25"/>
      <c r="BD75" s="27"/>
      <c r="BE75" s="25"/>
      <c r="BF75" s="27"/>
      <c r="BG75" s="25"/>
      <c r="BH75" s="27"/>
      <c r="BI75" s="27"/>
      <c r="BJ75" s="27"/>
      <c r="BK75" s="27"/>
      <c r="BL75" s="27"/>
      <c r="BM75" s="25"/>
      <c r="BN75" s="27"/>
      <c r="BO75" s="25"/>
      <c r="BP75" s="27"/>
      <c r="BQ75" s="27"/>
      <c r="BR75" s="27"/>
      <c r="BS75" s="25"/>
      <c r="BT75" s="27"/>
      <c r="BU75" s="25"/>
      <c r="BV75" s="27"/>
      <c r="BW75" s="25"/>
      <c r="BX75" s="27"/>
      <c r="BY75" s="27"/>
      <c r="BZ75" s="27"/>
      <c r="CA75" s="27"/>
      <c r="CB75" s="27"/>
      <c r="CC75" s="25"/>
      <c r="CD75" s="27"/>
      <c r="CE75" s="27"/>
      <c r="CF75" s="25"/>
      <c r="CG75" s="25"/>
      <c r="CH75" s="25"/>
      <c r="CI75" s="25"/>
      <c r="CJ75" s="25"/>
      <c r="CK75" s="28"/>
      <c r="CL75" s="25"/>
      <c r="CM75" s="25"/>
      <c r="CN75" s="25"/>
      <c r="CO75" s="27"/>
      <c r="CP75" s="25"/>
      <c r="CQ75" s="25"/>
      <c r="CR75" s="25"/>
      <c r="CS75" s="27"/>
      <c r="CT75" s="25"/>
      <c r="CU75" s="25"/>
      <c r="CV75" s="28"/>
      <c r="CW75" s="418">
        <f>+DATOS!F40</f>
        <v>0</v>
      </c>
      <c r="CX75" s="25"/>
      <c r="CY75" s="25"/>
      <c r="CZ75" s="25"/>
      <c r="DA75" s="25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>
        <v>0</v>
      </c>
      <c r="EB75" s="25"/>
      <c r="EC75" s="25"/>
      <c r="ED75" s="25"/>
      <c r="EE75" s="25"/>
      <c r="EF75" s="25"/>
      <c r="EG75" s="220">
        <f>ROUND(+J75/0.19,0)-X75</f>
        <v>0</v>
      </c>
      <c r="EH75" s="25"/>
      <c r="EI75" s="25"/>
      <c r="EJ75" s="25"/>
      <c r="EK75" s="25"/>
      <c r="EL75" s="25"/>
      <c r="EM75" s="28"/>
      <c r="EN75" s="28">
        <f t="shared" si="3"/>
        <v>0</v>
      </c>
      <c r="EO75" s="28">
        <f t="shared" si="4"/>
        <v>0</v>
      </c>
      <c r="EP75" s="28">
        <f t="shared" si="13"/>
        <v>0</v>
      </c>
    </row>
    <row r="76" spans="2:147">
      <c r="B76" s="9">
        <f>+B75</f>
        <v>44345</v>
      </c>
      <c r="C76" s="91"/>
      <c r="D76" s="211" t="s">
        <v>115</v>
      </c>
      <c r="E76" s="478">
        <f>+F76+J76+L76+N76+T76+V76+X76+AB76+AD76+AF76+AL76+AN76+AP76+AU76+AW76+AY76+BC76+BE76+BG76+BM76+BO76+BQ76+BW76+CC76+CE76+CG76+CL76+CN76+CP76+CR76+CT76+CW76+CY76+DA76+DC76+DE76+DG76+DI76+DK76+DM76+DO76+DQ76+DS76+EE76+EG76+EI76+EK76+R76+H76+CI76+BA76+AR76</f>
        <v>0</v>
      </c>
      <c r="F76" s="320">
        <f>(+K76+CM76)+CO76</f>
        <v>0</v>
      </c>
      <c r="G76" s="27"/>
      <c r="H76" s="27"/>
      <c r="I76" s="27"/>
      <c r="J76" s="27"/>
      <c r="K76" s="221">
        <f>+DATOS!E19</f>
        <v>0</v>
      </c>
      <c r="L76" s="27"/>
      <c r="M76" s="27"/>
      <c r="N76" s="25"/>
      <c r="O76" s="27"/>
      <c r="P76" s="27"/>
      <c r="Q76" s="27"/>
      <c r="R76" s="25"/>
      <c r="S76" s="27"/>
      <c r="T76" s="25"/>
      <c r="U76" s="25"/>
      <c r="V76" s="25"/>
      <c r="W76" s="25"/>
      <c r="X76" s="27"/>
      <c r="Y76" s="27"/>
      <c r="Z76" s="27"/>
      <c r="AA76" s="27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7"/>
      <c r="AP76" s="25"/>
      <c r="AQ76" s="25"/>
      <c r="AR76" s="25"/>
      <c r="AS76" s="25"/>
      <c r="AT76" s="28"/>
      <c r="AU76" s="25"/>
      <c r="AV76" s="25"/>
      <c r="AW76" s="25"/>
      <c r="AX76" s="25"/>
      <c r="AY76" s="25"/>
      <c r="AZ76" s="27"/>
      <c r="BA76" s="25"/>
      <c r="BB76" s="25"/>
      <c r="BC76" s="25"/>
      <c r="BD76" s="27"/>
      <c r="BE76" s="25"/>
      <c r="BF76" s="27"/>
      <c r="BG76" s="25"/>
      <c r="BH76" s="27"/>
      <c r="BI76" s="27"/>
      <c r="BJ76" s="27"/>
      <c r="BK76" s="27"/>
      <c r="BL76" s="27"/>
      <c r="BM76" s="25"/>
      <c r="BN76" s="27"/>
      <c r="BO76" s="25"/>
      <c r="BP76" s="27"/>
      <c r="BQ76" s="27"/>
      <c r="BR76" s="27"/>
      <c r="BS76" s="25"/>
      <c r="BT76" s="27"/>
      <c r="BU76" s="25"/>
      <c r="BV76" s="27"/>
      <c r="BW76" s="25"/>
      <c r="BX76" s="27"/>
      <c r="BY76" s="27"/>
      <c r="BZ76" s="27"/>
      <c r="CA76" s="27"/>
      <c r="CB76" s="27"/>
      <c r="CC76" s="25"/>
      <c r="CD76" s="27"/>
      <c r="CE76" s="27"/>
      <c r="CF76" s="25"/>
      <c r="CG76" s="25"/>
      <c r="CH76" s="25"/>
      <c r="CI76" s="25"/>
      <c r="CJ76" s="25"/>
      <c r="CK76" s="28"/>
      <c r="CL76" s="25"/>
      <c r="CM76" s="320">
        <f>ROUND(+K76/0.19,0)</f>
        <v>0</v>
      </c>
      <c r="CN76" s="25"/>
      <c r="CO76" s="221">
        <f>+DATOS!D19</f>
        <v>0</v>
      </c>
      <c r="CP76" s="25"/>
      <c r="CQ76" s="25"/>
      <c r="CR76" s="25"/>
      <c r="CS76" s="27"/>
      <c r="CT76" s="25"/>
      <c r="CU76" s="25"/>
      <c r="CV76" s="28"/>
      <c r="CW76" s="25"/>
      <c r="CX76" s="25"/>
      <c r="CY76" s="25"/>
      <c r="CZ76" s="25"/>
      <c r="DA76" s="25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8"/>
      <c r="EN76" s="28">
        <f t="shared" si="3"/>
        <v>0</v>
      </c>
      <c r="EO76" s="28">
        <f t="shared" si="4"/>
        <v>0</v>
      </c>
      <c r="EP76" s="28">
        <f t="shared" si="13"/>
        <v>0</v>
      </c>
    </row>
    <row r="77" spans="2:147">
      <c r="B77" s="9">
        <f>+B76</f>
        <v>44345</v>
      </c>
      <c r="C77" s="91"/>
      <c r="D77" s="436" t="s">
        <v>445</v>
      </c>
      <c r="E77" s="478">
        <f>+F77+J77+L77+N77+T77+V77+X77+AB77+AD77+AF77+AL77+AN77+AP77+AU77+AW77+AY77+BC77+BE77+BG77+BM77+BO77+BQ77+BW77+CC77+CE77+CG77+CL77+CN77+CP77+CR77+CT77+CW77+CY77+DA77+DC77+DE77+DG77+DI77+DK77+DM77+DO77+DQ77+DS77+EE77+EG77+EI77+EK77+R77+H77+CI77+BA77+AR77</f>
        <v>0</v>
      </c>
      <c r="F77" s="26"/>
      <c r="G77" s="27"/>
      <c r="H77" s="27"/>
      <c r="I77" s="27"/>
      <c r="J77" s="477"/>
      <c r="K77" s="27"/>
      <c r="L77" s="27"/>
      <c r="M77" s="27"/>
      <c r="N77" s="25"/>
      <c r="O77" s="27"/>
      <c r="P77" s="27"/>
      <c r="Q77" s="27"/>
      <c r="R77" s="25"/>
      <c r="S77" s="27"/>
      <c r="T77" s="25"/>
      <c r="U77" s="25"/>
      <c r="V77" s="25"/>
      <c r="W77" s="25"/>
      <c r="X77" s="27"/>
      <c r="Y77" s="27"/>
      <c r="Z77" s="27"/>
      <c r="AA77" s="27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7"/>
      <c r="AP77" s="25"/>
      <c r="AQ77" s="25"/>
      <c r="AR77" s="25"/>
      <c r="AS77" s="25"/>
      <c r="AT77" s="28"/>
      <c r="AU77" s="25"/>
      <c r="AV77" s="25"/>
      <c r="AW77" s="25"/>
      <c r="AX77" s="25"/>
      <c r="AY77" s="25"/>
      <c r="AZ77" s="27"/>
      <c r="BA77" s="25"/>
      <c r="BB77" s="25"/>
      <c r="BC77" s="25"/>
      <c r="BD77" s="27"/>
      <c r="BE77" s="25"/>
      <c r="BF77" s="27"/>
      <c r="BG77" s="25"/>
      <c r="BH77" s="27"/>
      <c r="BI77" s="27"/>
      <c r="BJ77" s="27"/>
      <c r="BK77" s="27"/>
      <c r="BL77" s="27"/>
      <c r="BM77" s="25"/>
      <c r="BN77" s="27"/>
      <c r="BO77" s="25"/>
      <c r="BP77" s="27"/>
      <c r="BQ77" s="27"/>
      <c r="BR77" s="27"/>
      <c r="BS77" s="25"/>
      <c r="BT77" s="27"/>
      <c r="BU77" s="25"/>
      <c r="BV77" s="27"/>
      <c r="BW77" s="25"/>
      <c r="BX77" s="27"/>
      <c r="BY77" s="27"/>
      <c r="BZ77" s="27"/>
      <c r="CA77" s="27"/>
      <c r="CB77" s="27"/>
      <c r="CC77" s="25"/>
      <c r="CD77" s="27"/>
      <c r="CE77" s="27"/>
      <c r="CF77" s="25"/>
      <c r="CG77" s="25"/>
      <c r="CH77" s="25"/>
      <c r="CI77" s="25"/>
      <c r="CJ77" s="25"/>
      <c r="CK77" s="28"/>
      <c r="CL77" s="25"/>
      <c r="CM77" s="25"/>
      <c r="CN77" s="25"/>
      <c r="CO77" s="27"/>
      <c r="CP77" s="25"/>
      <c r="CQ77" s="25"/>
      <c r="CR77" s="25"/>
      <c r="CS77" s="27"/>
      <c r="CT77" s="25"/>
      <c r="CU77" s="25"/>
      <c r="CV77" s="28"/>
      <c r="CW77" s="25"/>
      <c r="CX77" s="25"/>
      <c r="CY77" s="25"/>
      <c r="CZ77" s="25"/>
      <c r="DA77" s="25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478">
        <f>+J77</f>
        <v>0</v>
      </c>
      <c r="EM77" s="28"/>
      <c r="EN77" s="28">
        <f t="shared" si="3"/>
        <v>0</v>
      </c>
      <c r="EO77" s="28">
        <f t="shared" si="4"/>
        <v>0</v>
      </c>
      <c r="EP77" s="28">
        <f t="shared" si="13"/>
        <v>0</v>
      </c>
    </row>
    <row r="78" spans="2:147">
      <c r="B78" s="9">
        <f>+B76</f>
        <v>44345</v>
      </c>
      <c r="C78" s="92"/>
      <c r="D78" s="138" t="s">
        <v>151</v>
      </c>
      <c r="E78" s="25">
        <f>+F78+J78+L78+N78+T78+V78+X78+AB78+AD78+AF78+AL78+AN78+AP78+AU78+AW78+AY78+BC78+BE78+BG78+BM78+BO78+BQ78+BW78+CC78+CE78+CG78+CL78+CN78+CP78+CR78+CT78+CW78+CY78+DA78+DC78+DE78+DG78+DI78+DK78+DM78+DO78+DQ78+DS78+EE78+EG78+EI78+EK78+R78+H78+CI78+BA78+AR78</f>
        <v>0</v>
      </c>
      <c r="F78" s="26"/>
      <c r="G78" s="27">
        <f>+CW78+CY78+DA78+DC78+DE78+DG78+DI78+DK78+DM78</f>
        <v>0</v>
      </c>
      <c r="H78" s="27"/>
      <c r="I78" s="27"/>
      <c r="J78" s="27"/>
      <c r="K78" s="27"/>
      <c r="L78" s="27"/>
      <c r="M78" s="27"/>
      <c r="N78" s="25"/>
      <c r="O78" s="27"/>
      <c r="P78" s="27"/>
      <c r="Q78" s="27"/>
      <c r="R78" s="25"/>
      <c r="S78" s="27"/>
      <c r="T78" s="25"/>
      <c r="U78" s="25"/>
      <c r="V78" s="25"/>
      <c r="W78" s="25"/>
      <c r="X78" s="27"/>
      <c r="Y78" s="27"/>
      <c r="Z78" s="27"/>
      <c r="AA78" s="27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7"/>
      <c r="AP78" s="25"/>
      <c r="AQ78" s="25"/>
      <c r="AR78" s="25"/>
      <c r="AS78" s="25"/>
      <c r="AT78" s="28"/>
      <c r="AU78" s="25"/>
      <c r="AV78" s="25"/>
      <c r="AW78" s="25"/>
      <c r="AX78" s="25"/>
      <c r="AY78" s="25"/>
      <c r="AZ78" s="27"/>
      <c r="BA78" s="25"/>
      <c r="BB78" s="25"/>
      <c r="BC78" s="25"/>
      <c r="BD78" s="27"/>
      <c r="BE78" s="25"/>
      <c r="BF78" s="27"/>
      <c r="BG78" s="25"/>
      <c r="BH78" s="27"/>
      <c r="BI78" s="27"/>
      <c r="BJ78" s="27"/>
      <c r="BK78" s="27"/>
      <c r="BL78" s="27"/>
      <c r="BM78" s="25"/>
      <c r="BN78" s="27"/>
      <c r="BO78" s="25"/>
      <c r="BP78" s="27"/>
      <c r="BQ78" s="27"/>
      <c r="BR78" s="27"/>
      <c r="BS78" s="25"/>
      <c r="BT78" s="27"/>
      <c r="BU78" s="25"/>
      <c r="BV78" s="27"/>
      <c r="BW78" s="25"/>
      <c r="BX78" s="27"/>
      <c r="BY78" s="27"/>
      <c r="BZ78" s="27"/>
      <c r="CA78" s="27"/>
      <c r="CB78" s="27"/>
      <c r="CC78" s="25"/>
      <c r="CD78" s="27"/>
      <c r="CE78" s="27"/>
      <c r="CF78" s="25"/>
      <c r="CG78" s="25"/>
      <c r="CH78" s="25"/>
      <c r="CI78" s="25"/>
      <c r="CJ78" s="25"/>
      <c r="CK78" s="28"/>
      <c r="CL78" s="25"/>
      <c r="CM78" s="25"/>
      <c r="CN78" s="25"/>
      <c r="CO78" s="27"/>
      <c r="CP78" s="25"/>
      <c r="CQ78" s="25"/>
      <c r="CR78" s="25"/>
      <c r="CS78" s="27"/>
      <c r="CT78" s="25"/>
      <c r="CU78" s="25"/>
      <c r="CV78" s="28"/>
      <c r="CW78" s="25"/>
      <c r="CX78" s="25"/>
      <c r="CY78" s="25"/>
      <c r="CZ78" s="25"/>
      <c r="DA78" s="25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8"/>
      <c r="EN78" s="28">
        <f t="shared" si="3"/>
        <v>0</v>
      </c>
      <c r="EO78" s="28">
        <f t="shared" si="4"/>
        <v>0</v>
      </c>
      <c r="EP78" s="28">
        <f t="shared" si="13"/>
        <v>0</v>
      </c>
    </row>
    <row r="79" spans="2:147">
      <c r="B79" s="9">
        <f>+B77</f>
        <v>44345</v>
      </c>
      <c r="C79" s="92"/>
      <c r="D79" s="212" t="s">
        <v>147</v>
      </c>
      <c r="E79" s="25">
        <f>+F79+J79+L79+N79+T79+V79+X79+AB79+AD79+AF79+AL79+AN79+AP79+AU79+AW79+AY79+BC79+BE79+BG79+BM79+BO79+BQ79+BW79+CC79+CE79+CG79+CL79+CN79+CP79+CR79+CT79+CW79+CY79+DA79+DC79+DE79+DG79+DI79+DK79+DM79+DO79+DQ79+DS79+EE79+EG79+EI79+EK79+R79+H79+CI79+BA79+AR79</f>
        <v>0</v>
      </c>
      <c r="F79" s="26"/>
      <c r="G79" s="27">
        <f>+DS79-AX79</f>
        <v>0</v>
      </c>
      <c r="H79" s="27"/>
      <c r="I79" s="27"/>
      <c r="J79" s="27"/>
      <c r="K79" s="27"/>
      <c r="L79" s="27"/>
      <c r="M79" s="27"/>
      <c r="N79" s="25"/>
      <c r="O79" s="27"/>
      <c r="P79" s="27"/>
      <c r="Q79" s="27"/>
      <c r="R79" s="25"/>
      <c r="S79" s="27"/>
      <c r="T79" s="25"/>
      <c r="U79" s="25"/>
      <c r="V79" s="25"/>
      <c r="W79" s="25"/>
      <c r="X79" s="27"/>
      <c r="Y79" s="27"/>
      <c r="Z79" s="27"/>
      <c r="AA79" s="27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7"/>
      <c r="AP79" s="25"/>
      <c r="AQ79" s="25"/>
      <c r="AR79" s="25"/>
      <c r="AS79" s="25"/>
      <c r="AT79" s="28"/>
      <c r="AU79" s="25"/>
      <c r="AV79" s="25"/>
      <c r="AW79" s="25"/>
      <c r="AX79" s="217">
        <f>+DATOS!G19</f>
        <v>0</v>
      </c>
      <c r="AY79" s="25"/>
      <c r="AZ79" s="27"/>
      <c r="BA79" s="25"/>
      <c r="BB79" s="25"/>
      <c r="BC79" s="25"/>
      <c r="BD79" s="27"/>
      <c r="BE79" s="25"/>
      <c r="BF79" s="27"/>
      <c r="BG79" s="25"/>
      <c r="BH79" s="27"/>
      <c r="BI79" s="27"/>
      <c r="BJ79" s="27"/>
      <c r="BK79" s="27"/>
      <c r="BL79" s="27"/>
      <c r="BM79" s="25"/>
      <c r="BN79" s="27"/>
      <c r="BO79" s="25"/>
      <c r="BP79" s="27"/>
      <c r="BQ79" s="27"/>
      <c r="BR79" s="27"/>
      <c r="BS79" s="25"/>
      <c r="BT79" s="27"/>
      <c r="BU79" s="25"/>
      <c r="BV79" s="27"/>
      <c r="BW79" s="25"/>
      <c r="BX79" s="27"/>
      <c r="BY79" s="27"/>
      <c r="BZ79" s="27"/>
      <c r="CA79" s="27"/>
      <c r="CB79" s="27"/>
      <c r="CC79" s="25"/>
      <c r="CD79" s="27"/>
      <c r="CE79" s="27"/>
      <c r="CF79" s="25"/>
      <c r="CG79" s="25"/>
      <c r="CH79" s="25"/>
      <c r="CI79" s="25"/>
      <c r="CJ79" s="25"/>
      <c r="CK79" s="28"/>
      <c r="CL79" s="25"/>
      <c r="CM79" s="25"/>
      <c r="CN79" s="25"/>
      <c r="CO79" s="27"/>
      <c r="CP79" s="25"/>
      <c r="CQ79" s="25"/>
      <c r="CR79" s="25"/>
      <c r="CS79" s="27"/>
      <c r="CT79" s="25"/>
      <c r="CU79" s="25"/>
      <c r="CV79" s="28"/>
      <c r="CW79" s="25"/>
      <c r="CX79" s="25"/>
      <c r="CY79" s="25"/>
      <c r="CZ79" s="25"/>
      <c r="DA79" s="25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5"/>
      <c r="DP79" s="25"/>
      <c r="DQ79" s="25"/>
      <c r="DR79" s="25"/>
      <c r="DS79" s="218">
        <f>ROUND(+AX79/0.13,0)</f>
        <v>0</v>
      </c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8"/>
      <c r="EN79" s="28"/>
      <c r="EO79" s="28"/>
      <c r="EP79" s="28"/>
    </row>
    <row r="80" spans="2:147" ht="12" customHeight="1">
      <c r="B80" s="9">
        <f>+B78</f>
        <v>44345</v>
      </c>
      <c r="C80" s="92"/>
      <c r="D80" s="213" t="s">
        <v>195</v>
      </c>
      <c r="E80" s="478">
        <f>+F80+J80+L80+N80+T80+V80+X80+AB80+AD80+AF80+AL80+AN80+AP80+AU80+AW80+AY80+BC80+BE80+BG80+BM80+BO80+BQ80+BW80+CC80+CE80+CG80+CL80+CN80+CP80+CR80+CT80+CW80+CY80+DA80+DC80+DE80+DG80+DI80+DK80+DM80+DO80+DQ80+DS80+EE80+EG80+EI80+EK80+R80+H80+CI80+BA80+AR80+DU80</f>
        <v>0</v>
      </c>
      <c r="F80" s="26"/>
      <c r="G80" s="286">
        <f>+DU80-BB80-AV80-AQ80+DY80-BV80</f>
        <v>0</v>
      </c>
      <c r="H80" s="27"/>
      <c r="I80" s="27"/>
      <c r="J80" s="27"/>
      <c r="K80" s="27"/>
      <c r="L80" s="27"/>
      <c r="M80" s="27"/>
      <c r="N80" s="25"/>
      <c r="O80" s="27"/>
      <c r="P80" s="27"/>
      <c r="Q80" s="27"/>
      <c r="R80" s="25"/>
      <c r="S80" s="27"/>
      <c r="T80" s="25"/>
      <c r="U80" s="25"/>
      <c r="V80" s="25"/>
      <c r="W80" s="25"/>
      <c r="X80" s="27"/>
      <c r="Y80" s="27"/>
      <c r="Z80" s="27"/>
      <c r="AA80" s="27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7"/>
      <c r="AP80" s="213"/>
      <c r="AQ80" s="215">
        <f>+DATOS!K40</f>
        <v>0</v>
      </c>
      <c r="AR80" s="25"/>
      <c r="AS80" s="25"/>
      <c r="AT80" s="28"/>
      <c r="AU80" s="25"/>
      <c r="AV80" s="215">
        <f>+DATOS!J40+DATOS!M40</f>
        <v>0</v>
      </c>
      <c r="AW80" s="25"/>
      <c r="AX80" s="25"/>
      <c r="AY80" s="25"/>
      <c r="AZ80" s="27"/>
      <c r="BA80" s="25"/>
      <c r="BB80" s="25"/>
      <c r="BC80" s="25"/>
      <c r="BD80" s="27"/>
      <c r="BE80" s="25"/>
      <c r="BF80" s="27"/>
      <c r="BG80" s="25"/>
      <c r="BH80" s="27"/>
      <c r="BI80" s="27"/>
      <c r="BJ80" s="27"/>
      <c r="BK80" s="27"/>
      <c r="BL80" s="214">
        <v>0</v>
      </c>
      <c r="BM80" s="25"/>
      <c r="BN80" s="27"/>
      <c r="BO80" s="25"/>
      <c r="BP80" s="27"/>
      <c r="BQ80" s="27"/>
      <c r="BR80" s="27"/>
      <c r="BS80" s="25"/>
      <c r="BT80" s="27"/>
      <c r="BU80" s="25"/>
      <c r="BV80" s="27">
        <v>0</v>
      </c>
      <c r="BW80" s="25"/>
      <c r="BX80" s="27"/>
      <c r="BY80" s="27"/>
      <c r="BZ80" s="27"/>
      <c r="CA80" s="27"/>
      <c r="CB80" s="27"/>
      <c r="CC80" s="25"/>
      <c r="CD80" s="27"/>
      <c r="CE80" s="27"/>
      <c r="CF80" s="25"/>
      <c r="CG80" s="25"/>
      <c r="CH80" s="25"/>
      <c r="CI80" s="25"/>
      <c r="CJ80" s="25"/>
      <c r="CK80" s="28"/>
      <c r="CL80" s="25"/>
      <c r="CM80" s="25"/>
      <c r="CN80" s="25"/>
      <c r="CO80" s="27"/>
      <c r="CP80" s="25"/>
      <c r="CQ80" s="25"/>
      <c r="CR80" s="25"/>
      <c r="CS80" s="27"/>
      <c r="CT80" s="25"/>
      <c r="CU80" s="25"/>
      <c r="CV80" s="28"/>
      <c r="CW80" s="25"/>
      <c r="CX80" s="25"/>
      <c r="CY80" s="25"/>
      <c r="CZ80" s="25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5"/>
      <c r="DP80" s="25"/>
      <c r="DQ80" s="25"/>
      <c r="DR80" s="25"/>
      <c r="DS80" s="25"/>
      <c r="DT80" s="25"/>
      <c r="DU80" s="215">
        <f>+DATOS!G40</f>
        <v>0</v>
      </c>
      <c r="DV80" s="25"/>
      <c r="DW80" s="25"/>
      <c r="DX80" s="25"/>
      <c r="DY80" s="215">
        <f>+DATOS!M40</f>
        <v>0</v>
      </c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8"/>
      <c r="EN80" s="28">
        <f>+F80+J80+L80+N80+T80+V80+X80+AB80+AD80+AF80+AL80+AN80+AP80+AU80+AW80+AY80+BC80+BE80+BG80+BM80+BO80+BQ80+BU80+BW80+BY80+CC80+CE80+CG80+CL80+CN80+CP80+CR80+CT80+CW80+CY80+DA80+DC80+DE80+DG80+DI80+DK80+DM80+DO80+DQ80+DS80+EE80+EG80+EI80+EK80+H80+R80+AR80+BA80+CI80+DY80+DU80</f>
        <v>0</v>
      </c>
      <c r="EO80" s="28">
        <f>+G80+K80+M80+O80+U80+W80+Y80+AC80+AE80+AG80+AM80+AO80+AQ80+AV80+AX80+AZ80+BD80+BF80+BH80+BN80+BP80+BR80+BV80+BX80+BZ80+CD80+CF80+CH80+CM80+CO80+CQ80+CS80+CU80+CX80+CZ80+DB80+DD80+DF80+DH80+DJ80+DL80+DN80+DP80+DR80+DT80+EF80+EH80+EJ80+EL80+I80+S80+AS80+BL80+CJ80</f>
        <v>0</v>
      </c>
      <c r="EP80" s="28">
        <f t="shared" si="13"/>
        <v>0</v>
      </c>
    </row>
    <row r="81" spans="2:146" ht="12" customHeight="1">
      <c r="B81" s="9">
        <f>+B79</f>
        <v>44345</v>
      </c>
      <c r="C81" s="92"/>
      <c r="D81" s="485"/>
      <c r="E81" s="25">
        <f>+F81+J81+L81+N81+T81+V81+X81+AB81+AD81+AF81+AL81+AN81+AP81+AU81+AW81+AY81+BC81+BE81+BG81+BM81+BO81+BQ81+BW81+CC81+CE81+CG81+CL81+CN81+CP81+CR81+CT81+CW81+CY81+DA81+DC81+DE81+DG81+DI81+DK81+DM81+DO81+DQ81+DS81+EE81+EG81+EI81+EK81+R81+H81+CI81+BA81+AR81</f>
        <v>0</v>
      </c>
      <c r="F81" s="26"/>
      <c r="G81" s="278">
        <f>+BQ81+BS81+BU81+BW81+BY81</f>
        <v>0</v>
      </c>
      <c r="H81" s="27"/>
      <c r="I81" s="27"/>
      <c r="J81" s="27"/>
      <c r="K81" s="27"/>
      <c r="L81" s="27"/>
      <c r="M81" s="27"/>
      <c r="N81" s="25"/>
      <c r="O81" s="27"/>
      <c r="P81" s="27"/>
      <c r="Q81" s="27"/>
      <c r="R81" s="25"/>
      <c r="S81" s="27"/>
      <c r="T81" s="25"/>
      <c r="U81" s="25"/>
      <c r="V81" s="25"/>
      <c r="W81" s="25"/>
      <c r="X81" s="27"/>
      <c r="Y81" s="27"/>
      <c r="Z81" s="27"/>
      <c r="AA81" s="27"/>
      <c r="AB81" s="25"/>
      <c r="AC81" s="25"/>
      <c r="AD81" s="25"/>
      <c r="AE81" s="25"/>
      <c r="AF81" s="25"/>
      <c r="AG81" s="25"/>
      <c r="AH81" s="25"/>
      <c r="AI81" s="25"/>
      <c r="AJ81" s="25"/>
      <c r="AK81" s="535"/>
      <c r="AL81" s="25"/>
      <c r="AM81" s="25"/>
      <c r="AN81" s="25"/>
      <c r="AO81" s="27"/>
      <c r="AP81" s="25"/>
      <c r="AQ81" s="25"/>
      <c r="AR81" s="25"/>
      <c r="AS81" s="25"/>
      <c r="AT81" s="28"/>
      <c r="AU81" s="25"/>
      <c r="AV81" s="25"/>
      <c r="AW81" s="25"/>
      <c r="AX81" s="217"/>
      <c r="AY81" s="25"/>
      <c r="AZ81" s="27"/>
      <c r="BA81" s="25"/>
      <c r="BB81" s="25"/>
      <c r="BC81" s="25"/>
      <c r="BD81" s="27"/>
      <c r="BE81" s="25"/>
      <c r="BF81" s="27"/>
      <c r="BG81" s="25"/>
      <c r="BH81" s="27"/>
      <c r="BI81" s="27"/>
      <c r="BJ81" s="27"/>
      <c r="BK81" s="27"/>
      <c r="BL81" s="27"/>
      <c r="BM81" s="25"/>
      <c r="BN81" s="27"/>
      <c r="BO81" s="25"/>
      <c r="BP81" s="27"/>
      <c r="BQ81" s="27"/>
      <c r="BR81" s="27"/>
      <c r="BS81" s="25"/>
      <c r="BT81" s="27"/>
      <c r="BU81" s="25"/>
      <c r="BV81" s="27"/>
      <c r="BW81" s="25"/>
      <c r="BX81" s="27"/>
      <c r="BY81" s="27"/>
      <c r="BZ81" s="27"/>
      <c r="CA81" s="27"/>
      <c r="CB81" s="27"/>
      <c r="CC81" s="25"/>
      <c r="CD81" s="27"/>
      <c r="CE81" s="27"/>
      <c r="CF81" s="25"/>
      <c r="CG81" s="25"/>
      <c r="CH81" s="25"/>
      <c r="CI81" s="25"/>
      <c r="CJ81" s="25"/>
      <c r="CK81" s="28"/>
      <c r="CL81" s="25"/>
      <c r="CM81" s="25"/>
      <c r="CN81" s="25"/>
      <c r="CO81" s="27"/>
      <c r="CP81" s="25"/>
      <c r="CQ81" s="25"/>
      <c r="CR81" s="25"/>
      <c r="CS81" s="27"/>
      <c r="CT81" s="25"/>
      <c r="CU81" s="25"/>
      <c r="CV81" s="28"/>
      <c r="CW81" s="25"/>
      <c r="CX81" s="25"/>
      <c r="CY81" s="25"/>
      <c r="CZ81" s="25"/>
      <c r="DA81" s="25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8"/>
      <c r="EN81" s="28">
        <f t="shared" si="3"/>
        <v>0</v>
      </c>
      <c r="EO81" s="28">
        <f t="shared" si="4"/>
        <v>0</v>
      </c>
      <c r="EP81" s="28">
        <f t="shared" ref="EP81:EP143" si="14">+EN81-EO81</f>
        <v>0</v>
      </c>
    </row>
    <row r="82" spans="2:146" ht="12" customHeight="1" thickBot="1">
      <c r="B82" s="9">
        <f>+B80</f>
        <v>44345</v>
      </c>
      <c r="C82" s="92"/>
      <c r="D82" s="485" t="s">
        <v>488</v>
      </c>
      <c r="E82" s="25"/>
      <c r="F82" s="26"/>
      <c r="G82" s="278">
        <f>+BY82</f>
        <v>0</v>
      </c>
      <c r="H82" s="27"/>
      <c r="I82" s="27"/>
      <c r="J82" s="27"/>
      <c r="K82" s="27"/>
      <c r="L82" s="27"/>
      <c r="M82" s="27"/>
      <c r="N82" s="25"/>
      <c r="O82" s="27"/>
      <c r="P82" s="27"/>
      <c r="Q82" s="27"/>
      <c r="R82" s="25"/>
      <c r="S82" s="27"/>
      <c r="T82" s="25"/>
      <c r="U82" s="25"/>
      <c r="V82" s="25"/>
      <c r="W82" s="25"/>
      <c r="X82" s="27"/>
      <c r="Y82" s="27"/>
      <c r="Z82" s="27"/>
      <c r="AA82" s="27"/>
      <c r="AB82" s="25"/>
      <c r="AC82" s="25"/>
      <c r="AD82" s="25"/>
      <c r="AE82" s="25"/>
      <c r="AF82" s="25"/>
      <c r="AG82" s="25"/>
      <c r="AH82" s="25"/>
      <c r="AI82" s="25"/>
      <c r="AJ82" s="25"/>
      <c r="AK82" s="533"/>
      <c r="AL82" s="25"/>
      <c r="AM82" s="25"/>
      <c r="AN82" s="25"/>
      <c r="AO82" s="27"/>
      <c r="AP82" s="25"/>
      <c r="AQ82" s="25"/>
      <c r="AR82" s="25"/>
      <c r="AS82" s="25"/>
      <c r="AT82" s="28"/>
      <c r="AU82" s="25"/>
      <c r="AV82" s="25"/>
      <c r="AW82" s="25"/>
      <c r="AX82" s="25"/>
      <c r="AY82" s="25"/>
      <c r="AZ82" s="27"/>
      <c r="BA82" s="25"/>
      <c r="BB82" s="25"/>
      <c r="BC82" s="25"/>
      <c r="BD82" s="27"/>
      <c r="BE82" s="25"/>
      <c r="BF82" s="27"/>
      <c r="BG82" s="25"/>
      <c r="BH82" s="27"/>
      <c r="BI82" s="27"/>
      <c r="BJ82" s="27"/>
      <c r="BK82" s="27"/>
      <c r="BL82" s="27"/>
      <c r="BM82" s="25"/>
      <c r="BN82" s="27"/>
      <c r="BO82" s="25"/>
      <c r="BP82" s="27"/>
      <c r="BQ82" s="515">
        <f>+DATOS!C67</f>
        <v>0</v>
      </c>
      <c r="BR82" s="27"/>
      <c r="BS82" s="515">
        <f>+DATOS!F67</f>
        <v>0</v>
      </c>
      <c r="BT82" s="27"/>
      <c r="BU82" s="516">
        <f>+DATOS!I67</f>
        <v>0</v>
      </c>
      <c r="BV82" s="27"/>
      <c r="BW82" s="516">
        <f>+DATOS!L67</f>
        <v>0</v>
      </c>
      <c r="BX82" s="27"/>
      <c r="BY82" s="515">
        <f>+DATOS!O67</f>
        <v>0</v>
      </c>
      <c r="BZ82" s="27"/>
      <c r="CA82" s="27"/>
      <c r="CB82" s="27"/>
      <c r="CC82" s="25"/>
      <c r="CD82" s="27"/>
      <c r="CE82" s="27"/>
      <c r="CF82" s="25"/>
      <c r="CG82" s="25"/>
      <c r="CH82" s="25"/>
      <c r="CI82" s="25"/>
      <c r="CJ82" s="25"/>
      <c r="CK82" s="28"/>
      <c r="CL82" s="25"/>
      <c r="CM82" s="25"/>
      <c r="CN82" s="25"/>
      <c r="CO82" s="27"/>
      <c r="CP82" s="25"/>
      <c r="CQ82" s="25"/>
      <c r="CR82" s="25"/>
      <c r="CS82" s="27"/>
      <c r="CT82" s="25"/>
      <c r="CU82" s="25"/>
      <c r="CV82" s="28"/>
      <c r="CW82" s="25"/>
      <c r="CX82" s="25"/>
      <c r="CY82" s="25"/>
      <c r="CZ82" s="25"/>
      <c r="DA82" s="25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8"/>
      <c r="EN82" s="28">
        <f t="shared" si="3"/>
        <v>0</v>
      </c>
      <c r="EO82" s="28">
        <f t="shared" si="4"/>
        <v>0</v>
      </c>
      <c r="EP82" s="28">
        <f t="shared" si="14"/>
        <v>0</v>
      </c>
    </row>
    <row r="83" spans="2:146" ht="12" customHeight="1" thickBot="1">
      <c r="B83" s="9">
        <f>+B82</f>
        <v>44345</v>
      </c>
      <c r="C83" s="92"/>
      <c r="D83" s="302" t="s">
        <v>489</v>
      </c>
      <c r="E83" s="25">
        <f>+F83+J83+L83+N83+T83+V83+X83+AB83+AD83+AF83+AL83+AN83+AP83+AU83+AW83+AY83+BC83+BE83+BG83+BM83+BO83+BQ83+BW83+CC83+CE83+CG83+CL83+CN83+CP83+CR83+CT83+CW83+CY83+DA83+DC83+DE83+DG83+DI83+DK83+DM83+DO83+DQ83+DS83+EE83+EG83+EI83+EK83+R83+H83+CI83+BA83+AR83+DU83</f>
        <v>0</v>
      </c>
      <c r="F83" s="26"/>
      <c r="G83" s="27">
        <f>+DS83</f>
        <v>0</v>
      </c>
      <c r="H83" s="27"/>
      <c r="I83" s="27"/>
      <c r="J83" s="27"/>
      <c r="K83" s="27"/>
      <c r="L83" s="27"/>
      <c r="M83" s="27"/>
      <c r="N83" s="25"/>
      <c r="O83" s="27"/>
      <c r="P83" s="27"/>
      <c r="Q83" s="27"/>
      <c r="R83" s="25"/>
      <c r="S83" s="27"/>
      <c r="T83" s="25"/>
      <c r="U83" s="25"/>
      <c r="V83" s="25"/>
      <c r="W83" s="25"/>
      <c r="X83" s="27"/>
      <c r="Y83" s="27"/>
      <c r="Z83" s="27"/>
      <c r="AA83" s="27"/>
      <c r="AB83" s="25"/>
      <c r="AC83" s="25"/>
      <c r="AD83" s="25"/>
      <c r="AE83" s="25"/>
      <c r="AF83" s="25"/>
      <c r="AG83" s="527">
        <f>+DATOS!G67</f>
        <v>0</v>
      </c>
      <c r="AH83" s="25"/>
      <c r="AI83" s="527">
        <f>+DATOS!D67</f>
        <v>0</v>
      </c>
      <c r="AJ83" s="27"/>
      <c r="AK83" s="534">
        <f>+DATOS!J67+DATOS!M67+DATOS!P67</f>
        <v>0</v>
      </c>
      <c r="AL83" s="532"/>
      <c r="AM83" s="25"/>
      <c r="AN83" s="25"/>
      <c r="AO83" s="27"/>
      <c r="AP83" s="25"/>
      <c r="AQ83" s="25"/>
      <c r="AR83" s="25"/>
      <c r="AS83" s="25"/>
      <c r="AT83" s="28"/>
      <c r="AU83" s="25"/>
      <c r="AV83" s="25"/>
      <c r="AW83" s="25"/>
      <c r="AX83" s="25"/>
      <c r="AY83" s="25"/>
      <c r="AZ83" s="27"/>
      <c r="BA83" s="25"/>
      <c r="BB83" s="25"/>
      <c r="BC83" s="25"/>
      <c r="BD83" s="27"/>
      <c r="BE83" s="25"/>
      <c r="BF83" s="27"/>
      <c r="BG83" s="25"/>
      <c r="BH83" s="27"/>
      <c r="BI83" s="27"/>
      <c r="BJ83" s="27"/>
      <c r="BK83" s="27"/>
      <c r="BL83" s="27"/>
      <c r="BM83" s="25"/>
      <c r="BN83" s="27"/>
      <c r="BO83" s="25"/>
      <c r="BP83" s="27"/>
      <c r="BQ83" s="27"/>
      <c r="BR83" s="27"/>
      <c r="BS83" s="25"/>
      <c r="BT83" s="27"/>
      <c r="BU83" s="25"/>
      <c r="BV83" s="27"/>
      <c r="BW83" s="25"/>
      <c r="BX83" s="27"/>
      <c r="BY83" s="27"/>
      <c r="BZ83" s="27"/>
      <c r="CA83" s="27"/>
      <c r="CB83" s="27"/>
      <c r="CC83" s="25"/>
      <c r="CD83" s="27"/>
      <c r="CE83" s="27"/>
      <c r="CF83" s="25"/>
      <c r="CG83" s="25"/>
      <c r="CH83" s="25"/>
      <c r="CI83" s="25"/>
      <c r="CJ83" s="25"/>
      <c r="CK83" s="28"/>
      <c r="CL83" s="25"/>
      <c r="CM83" s="25"/>
      <c r="CN83" s="25"/>
      <c r="CO83" s="27"/>
      <c r="CP83" s="25"/>
      <c r="CQ83" s="25"/>
      <c r="CR83" s="25"/>
      <c r="CS83" s="27"/>
      <c r="CT83" s="25"/>
      <c r="CU83" s="25"/>
      <c r="CV83" s="28"/>
      <c r="CW83" s="25"/>
      <c r="CX83" s="25"/>
      <c r="CY83" s="25"/>
      <c r="CZ83" s="25"/>
      <c r="DA83" s="25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527">
        <f>+AG83+AI83+AK83</f>
        <v>0</v>
      </c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8"/>
      <c r="EN83" s="28">
        <f t="shared" si="3"/>
        <v>0</v>
      </c>
      <c r="EO83" s="28">
        <f t="shared" si="4"/>
        <v>0</v>
      </c>
      <c r="EP83" s="28">
        <f t="shared" si="14"/>
        <v>0</v>
      </c>
    </row>
    <row r="84" spans="2:146" ht="12" customHeight="1">
      <c r="B84" s="9">
        <f>+B83</f>
        <v>44345</v>
      </c>
      <c r="C84" s="92"/>
      <c r="D84" s="276"/>
      <c r="E84" s="25">
        <f>+F84+J84+L84+N84+T84+V84+X84+AB84+AD84+AF84+AL84+AN84+AP84+AU84+AW84+AY84+BC84+BE84+BG84+BM84+BO84+BQ84+BW84+CC84+CE84+CG84+CL84+CN84+CP84+CR84+CT84+CW84+CY84+DA84+DC84+DE84+DG84+DI84+DK84+DM84+DO84+DQ84+DS84+EE84+EG84+EI84+EK84+R84+H84+CI84+BA84+AR84+DU84</f>
        <v>0</v>
      </c>
      <c r="F84" s="26"/>
      <c r="G84" s="27">
        <f>+BG84</f>
        <v>0</v>
      </c>
      <c r="H84" s="27"/>
      <c r="I84" s="27"/>
      <c r="J84" s="27"/>
      <c r="K84" s="27"/>
      <c r="L84" s="27"/>
      <c r="M84" s="27"/>
      <c r="N84" s="25"/>
      <c r="O84" s="27"/>
      <c r="P84" s="27"/>
      <c r="Q84" s="27"/>
      <c r="R84" s="25"/>
      <c r="S84" s="27"/>
      <c r="T84" s="25"/>
      <c r="U84" s="25"/>
      <c r="V84" s="25"/>
      <c r="W84" s="25"/>
      <c r="X84" s="27"/>
      <c r="Y84" s="27"/>
      <c r="Z84" s="27"/>
      <c r="AA84" s="27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7"/>
      <c r="AP84" s="25"/>
      <c r="AQ84" s="25"/>
      <c r="AR84" s="25"/>
      <c r="AS84" s="25"/>
      <c r="AT84" s="28"/>
      <c r="AU84" s="25"/>
      <c r="AV84" s="25"/>
      <c r="AW84" s="25"/>
      <c r="AX84" s="25"/>
      <c r="AY84" s="25"/>
      <c r="AZ84" s="27"/>
      <c r="BA84" s="25"/>
      <c r="BB84" s="25"/>
      <c r="BC84" s="25"/>
      <c r="BD84" s="27"/>
      <c r="BE84" s="25"/>
      <c r="BF84" s="27"/>
      <c r="BG84" s="25"/>
      <c r="BH84" s="27"/>
      <c r="BI84" s="27"/>
      <c r="BJ84" s="27"/>
      <c r="BK84" s="27"/>
      <c r="BL84" s="27"/>
      <c r="BM84" s="25"/>
      <c r="BN84" s="27"/>
      <c r="BO84" s="25"/>
      <c r="BP84" s="27"/>
      <c r="BQ84" s="27"/>
      <c r="BR84" s="27"/>
      <c r="BS84" s="25"/>
      <c r="BT84" s="27"/>
      <c r="BU84" s="25"/>
      <c r="BV84" s="27"/>
      <c r="BW84" s="25"/>
      <c r="BX84" s="27"/>
      <c r="BY84" s="27"/>
      <c r="BZ84" s="27"/>
      <c r="CA84" s="27"/>
      <c r="CB84" s="27"/>
      <c r="CC84" s="25"/>
      <c r="CD84" s="27"/>
      <c r="CE84" s="27"/>
      <c r="CF84" s="25"/>
      <c r="CG84" s="25"/>
      <c r="CH84" s="25"/>
      <c r="CI84" s="25"/>
      <c r="CJ84" s="25"/>
      <c r="CK84" s="28"/>
      <c r="CL84" s="25"/>
      <c r="CM84" s="25"/>
      <c r="CN84" s="25"/>
      <c r="CO84" s="27"/>
      <c r="CP84" s="25"/>
      <c r="CQ84" s="25"/>
      <c r="CR84" s="25"/>
      <c r="CS84" s="27"/>
      <c r="CT84" s="25"/>
      <c r="CU84" s="25"/>
      <c r="CV84" s="28"/>
      <c r="CW84" s="25"/>
      <c r="CX84" s="25"/>
      <c r="CY84" s="25"/>
      <c r="CZ84" s="25"/>
      <c r="DA84" s="25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8"/>
      <c r="EN84" s="28">
        <f t="shared" ref="EN84:EN158" si="15">+F84+J84+L84+N84+T84+V84+X84+AB84+AD84+AF84+AL84+AN84+AP84+AU84+AW84+AY84+BC84+BE84+BG84+BM84+BO84+BQ84+BU84+BW84+BY84+CC84+CE84+CG84+CL84+CN84+CP84+CR84+CT84+CW84+CY84+DA84+DC84+DE84+DG84+DI84+DK84+DM84+DO84+DQ84+DS84+EE84+EG84+EI84+EK84+H84+R84+AR84+BA84+CI84</f>
        <v>0</v>
      </c>
      <c r="EO84" s="28">
        <f t="shared" ref="EO84:EO158" si="16">+G84+K84+M84+O84+U84+W84+Y84+AC84+AE84+AG84+AM84+AO84+AQ84+AV84+AX84+AZ84+BD84+BF84+BH84+BN84+BP84+BR84+BV84+BX84+BZ84+CD84+CF84+CH84+CM84+CO84+CQ84+CS84+CU84+CX84+CZ84+DB84+DD84+DF84+DH84+DJ84+DL84+DN84+DP84+DR84+DT84+EF84+EH84+EJ84+EL84+I84+S84+AS84+BB84+CJ84</f>
        <v>0</v>
      </c>
      <c r="EP84" s="28"/>
    </row>
    <row r="85" spans="2:146" ht="12" customHeight="1">
      <c r="B85" s="9"/>
      <c r="C85" s="92"/>
      <c r="D85" s="284" t="s">
        <v>263</v>
      </c>
      <c r="E85" s="478">
        <f>+F85+J85+L85+N85+T85+V85+X85+AB85+AD85+AF85+AL85+AN85+AP85+AU85+AW85+AY85+BC85+BE85+BG85+BM85+BO85+BQ85+BW85+CC85+CE85+CG85+CL85+CN85+CP85+CR85+CT85+CW85+CY85+DA85+DC85+DE85+DG85+DI85+DK85+DM85+DO85+DQ85+DS85+EE85+EG85+EI85+EK85+R85+H85+CI85+BA85+AR85</f>
        <v>0</v>
      </c>
      <c r="F85" s="26"/>
      <c r="G85" s="283">
        <f>+DW85</f>
        <v>0</v>
      </c>
      <c r="H85" s="27"/>
      <c r="I85" s="27"/>
      <c r="J85" s="27"/>
      <c r="K85" s="27"/>
      <c r="L85" s="27"/>
      <c r="M85" s="27"/>
      <c r="N85" s="25"/>
      <c r="O85" s="27"/>
      <c r="P85" s="27"/>
      <c r="Q85" s="27"/>
      <c r="R85" s="25"/>
      <c r="S85" s="27"/>
      <c r="T85" s="25"/>
      <c r="U85" s="25"/>
      <c r="V85" s="25"/>
      <c r="W85" s="25"/>
      <c r="X85" s="27"/>
      <c r="Y85" s="27"/>
      <c r="Z85" s="27"/>
      <c r="AA85" s="27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7"/>
      <c r="AP85" s="25"/>
      <c r="AQ85" s="25"/>
      <c r="AR85" s="25"/>
      <c r="AS85" s="25"/>
      <c r="AT85" s="28"/>
      <c r="AU85" s="25"/>
      <c r="AV85" s="25"/>
      <c r="AW85" s="25"/>
      <c r="AX85" s="25"/>
      <c r="AY85" s="25"/>
      <c r="AZ85" s="27"/>
      <c r="BA85" s="25"/>
      <c r="BB85" s="25"/>
      <c r="BC85" s="25"/>
      <c r="BD85" s="27"/>
      <c r="BE85" s="25"/>
      <c r="BF85" s="27"/>
      <c r="BG85" s="25"/>
      <c r="BH85" s="27"/>
      <c r="BI85" s="27"/>
      <c r="BJ85" s="27"/>
      <c r="BK85" s="27"/>
      <c r="BL85" s="27"/>
      <c r="BM85" s="25"/>
      <c r="BN85" s="27"/>
      <c r="BO85" s="25"/>
      <c r="BP85" s="27"/>
      <c r="BQ85" s="27"/>
      <c r="BR85" s="27"/>
      <c r="BS85" s="25"/>
      <c r="BT85" s="27"/>
      <c r="BU85" s="25"/>
      <c r="BV85" s="27"/>
      <c r="BW85" s="25"/>
      <c r="BX85" s="27"/>
      <c r="BY85" s="27"/>
      <c r="BZ85" s="27"/>
      <c r="CA85" s="27"/>
      <c r="CB85" s="27"/>
      <c r="CC85" s="25"/>
      <c r="CD85" s="27"/>
      <c r="CE85" s="27"/>
      <c r="CF85" s="25"/>
      <c r="CG85" s="25"/>
      <c r="CH85" s="25"/>
      <c r="CI85" s="25"/>
      <c r="CJ85" s="25"/>
      <c r="CK85" s="28"/>
      <c r="CL85" s="25"/>
      <c r="CM85" s="25"/>
      <c r="CN85" s="25"/>
      <c r="CO85" s="27"/>
      <c r="CP85" s="25"/>
      <c r="CQ85" s="25"/>
      <c r="CR85" s="25"/>
      <c r="CS85" s="27"/>
      <c r="CT85" s="25"/>
      <c r="CU85" s="25"/>
      <c r="CV85" s="28"/>
      <c r="CW85" s="25"/>
      <c r="CX85" s="25"/>
      <c r="CY85" s="25"/>
      <c r="CZ85" s="25"/>
      <c r="DA85" s="25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5"/>
      <c r="DP85" s="25"/>
      <c r="DQ85" s="25"/>
      <c r="DR85" s="25"/>
      <c r="DS85" s="25"/>
      <c r="DT85" s="25"/>
      <c r="DU85" s="25"/>
      <c r="DV85" s="25"/>
      <c r="DW85" s="285">
        <f>+DATOS!N40</f>
        <v>0</v>
      </c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8"/>
      <c r="EN85" s="28">
        <f t="shared" si="15"/>
        <v>0</v>
      </c>
      <c r="EO85" s="28">
        <f t="shared" si="16"/>
        <v>0</v>
      </c>
      <c r="EP85" s="28"/>
    </row>
    <row r="86" spans="2:146" ht="12" customHeight="1">
      <c r="B86" s="9"/>
      <c r="C86" s="92"/>
      <c r="D86" s="186"/>
      <c r="E86" s="25"/>
      <c r="F86" s="26"/>
      <c r="G86" s="26"/>
      <c r="H86" s="27"/>
      <c r="I86" s="27"/>
      <c r="J86" s="27"/>
      <c r="K86" s="27"/>
      <c r="L86" s="27"/>
      <c r="M86" s="27"/>
      <c r="N86" s="25"/>
      <c r="O86" s="27"/>
      <c r="P86" s="27"/>
      <c r="Q86" s="27"/>
      <c r="R86" s="25"/>
      <c r="S86" s="27"/>
      <c r="T86" s="25"/>
      <c r="U86" s="25"/>
      <c r="V86" s="25"/>
      <c r="W86" s="25"/>
      <c r="X86" s="27"/>
      <c r="Y86" s="27"/>
      <c r="Z86" s="27"/>
      <c r="AA86" s="27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7"/>
      <c r="AP86" s="25"/>
      <c r="AQ86" s="25"/>
      <c r="AR86" s="25"/>
      <c r="AS86" s="25"/>
      <c r="AT86" s="28"/>
      <c r="AU86" s="25"/>
      <c r="AV86" s="25"/>
      <c r="AW86" s="25"/>
      <c r="AX86" s="25"/>
      <c r="AY86" s="25"/>
      <c r="AZ86" s="27"/>
      <c r="BA86" s="25"/>
      <c r="BB86" s="25"/>
      <c r="BC86" s="25"/>
      <c r="BD86" s="27"/>
      <c r="BE86" s="25"/>
      <c r="BF86" s="27"/>
      <c r="BG86" s="25"/>
      <c r="BH86" s="27"/>
      <c r="BI86" s="27"/>
      <c r="BJ86" s="27"/>
      <c r="BK86" s="27"/>
      <c r="BL86" s="27"/>
      <c r="BM86" s="25"/>
      <c r="BN86" s="27"/>
      <c r="BO86" s="25"/>
      <c r="BP86" s="27"/>
      <c r="BQ86" s="27"/>
      <c r="BR86" s="27"/>
      <c r="BS86" s="25"/>
      <c r="BT86" s="27"/>
      <c r="BU86" s="25"/>
      <c r="BV86" s="27"/>
      <c r="BW86" s="25"/>
      <c r="BX86" s="27"/>
      <c r="BY86" s="27"/>
      <c r="BZ86" s="27"/>
      <c r="CA86" s="27"/>
      <c r="CB86" s="27"/>
      <c r="CC86" s="25"/>
      <c r="CD86" s="27"/>
      <c r="CE86" s="27"/>
      <c r="CF86" s="25"/>
      <c r="CG86" s="25"/>
      <c r="CH86" s="25"/>
      <c r="CI86" s="25"/>
      <c r="CJ86" s="25"/>
      <c r="CK86" s="28"/>
      <c r="CL86" s="25"/>
      <c r="CM86" s="25"/>
      <c r="CN86" s="25"/>
      <c r="CO86" s="27"/>
      <c r="CP86" s="25"/>
      <c r="CQ86" s="25"/>
      <c r="CR86" s="25"/>
      <c r="CS86" s="27"/>
      <c r="CT86" s="25"/>
      <c r="CU86" s="25"/>
      <c r="CV86" s="28"/>
      <c r="CW86" s="25"/>
      <c r="CX86" s="25"/>
      <c r="CY86" s="25"/>
      <c r="CZ86" s="25"/>
      <c r="DA86" s="25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8"/>
      <c r="EN86" s="28">
        <f t="shared" si="15"/>
        <v>0</v>
      </c>
      <c r="EO86" s="28">
        <f t="shared" si="16"/>
        <v>0</v>
      </c>
      <c r="EP86" s="28"/>
    </row>
    <row r="87" spans="2:146">
      <c r="B87" s="39"/>
      <c r="C87" s="94"/>
      <c r="D87" s="40"/>
      <c r="E87" s="41"/>
      <c r="F87" s="42"/>
      <c r="G87" s="42"/>
      <c r="H87" s="43"/>
      <c r="I87" s="43"/>
      <c r="J87" s="43"/>
      <c r="K87" s="43"/>
      <c r="L87" s="43"/>
      <c r="M87" s="43"/>
      <c r="N87" s="41"/>
      <c r="O87" s="43"/>
      <c r="P87" s="43"/>
      <c r="Q87" s="43"/>
      <c r="R87" s="41"/>
      <c r="S87" s="43"/>
      <c r="T87" s="41"/>
      <c r="U87" s="41"/>
      <c r="V87" s="41"/>
      <c r="W87" s="41"/>
      <c r="X87" s="43"/>
      <c r="Y87" s="43"/>
      <c r="Z87" s="43"/>
      <c r="AA87" s="43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3"/>
      <c r="AP87" s="41"/>
      <c r="AQ87" s="41"/>
      <c r="AR87" s="41"/>
      <c r="AS87" s="41"/>
      <c r="AT87" s="28"/>
      <c r="AU87" s="41"/>
      <c r="AV87" s="41"/>
      <c r="AW87" s="41"/>
      <c r="AX87" s="41"/>
      <c r="AY87" s="41"/>
      <c r="AZ87" s="43"/>
      <c r="BA87" s="41"/>
      <c r="BB87" s="25"/>
      <c r="BC87" s="41"/>
      <c r="BD87" s="43"/>
      <c r="BE87" s="41"/>
      <c r="BF87" s="43"/>
      <c r="BG87" s="41"/>
      <c r="BH87" s="43"/>
      <c r="BI87" s="43"/>
      <c r="BJ87" s="43"/>
      <c r="BK87" s="43"/>
      <c r="BL87" s="43"/>
      <c r="BM87" s="41"/>
      <c r="BN87" s="43"/>
      <c r="BO87" s="41"/>
      <c r="BP87" s="43"/>
      <c r="BQ87" s="43"/>
      <c r="BR87" s="43"/>
      <c r="BS87" s="41"/>
      <c r="BT87" s="43"/>
      <c r="BU87" s="41"/>
      <c r="BV87" s="43"/>
      <c r="BW87" s="41"/>
      <c r="BX87" s="43"/>
      <c r="BY87" s="43"/>
      <c r="BZ87" s="43"/>
      <c r="CA87" s="43"/>
      <c r="CB87" s="43"/>
      <c r="CC87" s="41"/>
      <c r="CD87" s="43"/>
      <c r="CE87" s="43"/>
      <c r="CF87" s="41"/>
      <c r="CG87" s="41"/>
      <c r="CH87" s="41"/>
      <c r="CI87" s="41"/>
      <c r="CJ87" s="41"/>
      <c r="CK87" s="28"/>
      <c r="CL87" s="41"/>
      <c r="CM87" s="41"/>
      <c r="CN87" s="41"/>
      <c r="CO87" s="43"/>
      <c r="CP87" s="41"/>
      <c r="CQ87" s="41"/>
      <c r="CR87" s="41"/>
      <c r="CS87" s="43"/>
      <c r="CT87" s="41"/>
      <c r="CU87" s="41"/>
      <c r="CV87" s="28"/>
      <c r="CW87" s="41"/>
      <c r="CX87" s="41"/>
      <c r="CY87" s="41"/>
      <c r="CZ87" s="41"/>
      <c r="DA87" s="41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28"/>
      <c r="EN87" s="28">
        <f t="shared" si="15"/>
        <v>0</v>
      </c>
      <c r="EO87" s="28">
        <f t="shared" si="16"/>
        <v>0</v>
      </c>
      <c r="EP87" s="28">
        <f t="shared" si="14"/>
        <v>0</v>
      </c>
    </row>
    <row r="88" spans="2:146">
      <c r="B88" s="9">
        <f>+B80+30</f>
        <v>44375</v>
      </c>
      <c r="C88" s="91"/>
      <c r="D88" s="138" t="s">
        <v>112</v>
      </c>
      <c r="E88" s="25">
        <f>+F88+J88+L88+N88+T88+V88+X88+AB88+AD88+AF88+AL88+AN88+AP88+AU88+AW88+AY88+BC88+BE88+BG88+BM88+BO88+BQ88+BW88+CC88+CE88+CG88+CL88+CN88+CP88+CR88+CT88+CW88+CY88+DA88+DC88+DE88+DG88+DI88+DK88+DM88+DO88+DQ88+DS88+EE88+EG88+EI88+EK88+R88+H88+CI88+BA88+AR88</f>
        <v>0</v>
      </c>
      <c r="F88" s="26"/>
      <c r="G88" s="27"/>
      <c r="H88" s="27"/>
      <c r="I88" s="27"/>
      <c r="J88" s="27"/>
      <c r="K88" s="27"/>
      <c r="L88" s="27"/>
      <c r="M88" s="27"/>
      <c r="N88" s="25"/>
      <c r="O88" s="27"/>
      <c r="P88" s="27"/>
      <c r="Q88" s="27"/>
      <c r="R88" s="25"/>
      <c r="S88" s="27"/>
      <c r="T88" s="25"/>
      <c r="U88" s="25"/>
      <c r="V88" s="25"/>
      <c r="W88" s="25"/>
      <c r="X88" s="27"/>
      <c r="Y88" s="27"/>
      <c r="Z88" s="27"/>
      <c r="AA88" s="27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7"/>
      <c r="AP88" s="25"/>
      <c r="AQ88" s="25"/>
      <c r="AR88" s="25"/>
      <c r="AS88" s="25"/>
      <c r="AT88" s="28"/>
      <c r="AU88" s="25"/>
      <c r="AV88" s="25"/>
      <c r="AW88" s="25"/>
      <c r="AX88" s="25"/>
      <c r="AY88" s="25"/>
      <c r="AZ88" s="27"/>
      <c r="BA88" s="25"/>
      <c r="BB88" s="25"/>
      <c r="BC88" s="25"/>
      <c r="BD88" s="27"/>
      <c r="BE88" s="25"/>
      <c r="BF88" s="27"/>
      <c r="BG88" s="25"/>
      <c r="BH88" s="27"/>
      <c r="BI88" s="27"/>
      <c r="BJ88" s="27"/>
      <c r="BK88" s="27"/>
      <c r="BL88" s="27"/>
      <c r="BM88" s="25"/>
      <c r="BN88" s="27"/>
      <c r="BO88" s="25"/>
      <c r="BP88" s="27"/>
      <c r="BQ88" s="27"/>
      <c r="BR88" s="27"/>
      <c r="BS88" s="25"/>
      <c r="BT88" s="27"/>
      <c r="BU88" s="25"/>
      <c r="BV88" s="27"/>
      <c r="BW88" s="25"/>
      <c r="BX88" s="27"/>
      <c r="BY88" s="27"/>
      <c r="BZ88" s="27"/>
      <c r="CA88" s="27"/>
      <c r="CB88" s="27"/>
      <c r="CC88" s="25"/>
      <c r="CD88" s="27"/>
      <c r="CE88" s="25"/>
      <c r="CF88" s="25"/>
      <c r="CG88" s="25"/>
      <c r="CH88" s="25"/>
      <c r="CI88" s="25"/>
      <c r="CJ88" s="25"/>
      <c r="CK88" s="28"/>
      <c r="CL88" s="25"/>
      <c r="CM88" s="25"/>
      <c r="CN88" s="25"/>
      <c r="CO88" s="27"/>
      <c r="CP88" s="25"/>
      <c r="CQ88" s="25"/>
      <c r="CR88" s="25"/>
      <c r="CS88" s="27"/>
      <c r="CT88" s="25"/>
      <c r="CU88" s="25"/>
      <c r="CV88" s="28"/>
      <c r="CW88" s="25"/>
      <c r="CX88" s="25"/>
      <c r="CY88" s="25"/>
      <c r="CZ88" s="25"/>
      <c r="DA88" s="25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8"/>
      <c r="EN88" s="28">
        <f t="shared" si="15"/>
        <v>0</v>
      </c>
      <c r="EO88" s="28">
        <f t="shared" si="16"/>
        <v>0</v>
      </c>
      <c r="EP88" s="28">
        <f t="shared" si="14"/>
        <v>0</v>
      </c>
    </row>
    <row r="89" spans="2:146">
      <c r="B89" s="9">
        <f>+B88</f>
        <v>44375</v>
      </c>
      <c r="C89" s="91"/>
      <c r="D89" s="314" t="s">
        <v>320</v>
      </c>
      <c r="E89" s="478">
        <f>+F89+J89+L89+N89+T89+V89+X89+AB89+AD89+AF89+AL89+AN89+AP89+AU89+AW89+AY89+BC89+BE89+BG89+BM89+BO89+BQ89+BW89+CC89+CE89+CG89+CL89+CN89+CP89+CR89+CT89+CW89+CY89+DA89+DC89+DE89+DG89+DI89+DK89+DM89+DO89+DQ89+DS89+EE89+EG89+EI89+EK89+R89+H89+CI89+BA89+AR89</f>
        <v>0</v>
      </c>
      <c r="F89" s="26"/>
      <c r="G89" s="316">
        <f>+AU89</f>
        <v>0</v>
      </c>
      <c r="H89" s="27"/>
      <c r="I89" s="27"/>
      <c r="J89" s="27"/>
      <c r="K89" s="27"/>
      <c r="L89" s="27"/>
      <c r="M89" s="27"/>
      <c r="N89" s="25"/>
      <c r="O89" s="27"/>
      <c r="P89" s="27"/>
      <c r="Q89" s="27"/>
      <c r="R89" s="25"/>
      <c r="S89" s="27"/>
      <c r="T89" s="25"/>
      <c r="U89" s="25"/>
      <c r="V89" s="25"/>
      <c r="W89" s="25"/>
      <c r="X89" s="27"/>
      <c r="Y89" s="27"/>
      <c r="Z89" s="27"/>
      <c r="AA89" s="27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7"/>
      <c r="AP89" s="25"/>
      <c r="AQ89" s="25"/>
      <c r="AR89" s="25"/>
      <c r="AS89" s="25"/>
      <c r="AT89" s="28"/>
      <c r="AU89" s="315">
        <f>+AV80</f>
        <v>0</v>
      </c>
      <c r="AV89" s="25"/>
      <c r="AW89" s="25"/>
      <c r="AX89" s="25"/>
      <c r="AY89" s="25"/>
      <c r="AZ89" s="27"/>
      <c r="BA89" s="25"/>
      <c r="BB89" s="25"/>
      <c r="BC89" s="25"/>
      <c r="BD89" s="27"/>
      <c r="BE89" s="25"/>
      <c r="BF89" s="27"/>
      <c r="BG89" s="25"/>
      <c r="BH89" s="27"/>
      <c r="BI89" s="27"/>
      <c r="BJ89" s="27"/>
      <c r="BK89" s="27"/>
      <c r="BL89" s="27"/>
      <c r="BM89" s="25"/>
      <c r="BN89" s="27"/>
      <c r="BO89" s="25"/>
      <c r="BP89" s="27"/>
      <c r="BQ89" s="27"/>
      <c r="BR89" s="27"/>
      <c r="BS89" s="25"/>
      <c r="BT89" s="27"/>
      <c r="BU89" s="25"/>
      <c r="BV89" s="27"/>
      <c r="BW89" s="25"/>
      <c r="BX89" s="27"/>
      <c r="BY89" s="27"/>
      <c r="BZ89" s="27"/>
      <c r="CA89" s="27"/>
      <c r="CB89" s="27"/>
      <c r="CC89" s="25"/>
      <c r="CD89" s="27"/>
      <c r="CE89" s="27"/>
      <c r="CF89" s="25"/>
      <c r="CG89" s="25"/>
      <c r="CH89" s="25"/>
      <c r="CI89" s="25"/>
      <c r="CJ89" s="25"/>
      <c r="CK89" s="28"/>
      <c r="CL89" s="25"/>
      <c r="CM89" s="25"/>
      <c r="CN89" s="25"/>
      <c r="CO89" s="27"/>
      <c r="CP89" s="25"/>
      <c r="CQ89" s="25"/>
      <c r="CR89" s="25"/>
      <c r="CS89" s="27"/>
      <c r="CT89" s="25"/>
      <c r="CU89" s="25"/>
      <c r="CV89" s="28"/>
      <c r="CW89" s="25"/>
      <c r="CX89" s="25"/>
      <c r="CY89" s="25"/>
      <c r="CZ89" s="25"/>
      <c r="DA89" s="25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8"/>
      <c r="EN89" s="28">
        <f t="shared" si="15"/>
        <v>0</v>
      </c>
      <c r="EO89" s="28">
        <f t="shared" si="16"/>
        <v>0</v>
      </c>
      <c r="EP89" s="28">
        <f>+EN89-EO89</f>
        <v>0</v>
      </c>
    </row>
    <row r="90" spans="2:146">
      <c r="B90" s="9">
        <f>+B88</f>
        <v>44375</v>
      </c>
      <c r="C90" s="91"/>
      <c r="D90" s="216" t="s">
        <v>113</v>
      </c>
      <c r="E90" s="478">
        <f>+F90+J90+L90+N90+T90+V90+X90+AB90+AD90+AF90+AL90+AN90+AP90+AU90+AW90+AY90+BC90+BE90+BG90+BM90+BO90+BQ90+BW90+CC90+CE90+CG90+CL90+CN90+CP90+CR90+CT90+CW90+CY90+DA90+DC90+DE90+DG90+DI90+DK90+DM90+DO90+DQ90+DS90+EE90+EG90+EI90+EK90+R90+H90+CI90+BK91+AR90</f>
        <v>0</v>
      </c>
      <c r="F90" s="26"/>
      <c r="G90" s="1141">
        <f>+L90+AW90+BE90+J90+BK91+BG90-EL90+BU90</f>
        <v>0</v>
      </c>
      <c r="H90" s="27"/>
      <c r="I90" s="27"/>
      <c r="J90" s="321">
        <v>0</v>
      </c>
      <c r="K90" s="27"/>
      <c r="L90" s="321">
        <f>+DATOS!F20</f>
        <v>0</v>
      </c>
      <c r="M90" s="27"/>
      <c r="N90" s="25"/>
      <c r="O90" s="27"/>
      <c r="P90" s="27"/>
      <c r="Q90" s="27"/>
      <c r="R90" s="25"/>
      <c r="S90" s="27"/>
      <c r="T90" s="25"/>
      <c r="U90" s="25"/>
      <c r="V90" s="25"/>
      <c r="W90" s="25"/>
      <c r="X90" s="27"/>
      <c r="Y90" s="27"/>
      <c r="Z90" s="27"/>
      <c r="AA90" s="27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7"/>
      <c r="AP90" s="25"/>
      <c r="AQ90" s="25"/>
      <c r="AR90" s="25"/>
      <c r="AS90" s="25"/>
      <c r="AT90" s="28"/>
      <c r="AU90" s="25"/>
      <c r="AV90" s="25"/>
      <c r="AW90" s="435">
        <f>+AX79</f>
        <v>0</v>
      </c>
      <c r="AX90" s="25"/>
      <c r="AY90" s="25"/>
      <c r="AZ90" s="27"/>
      <c r="BA90" s="25"/>
      <c r="BB90" s="25"/>
      <c r="BC90" s="25"/>
      <c r="BD90" s="27"/>
      <c r="BE90" s="25"/>
      <c r="BF90" s="27"/>
      <c r="BG90" s="498"/>
      <c r="BH90" s="27"/>
      <c r="BI90" s="27"/>
      <c r="BJ90" s="27"/>
      <c r="BK90" s="27"/>
      <c r="BL90" s="27"/>
      <c r="BM90" s="25"/>
      <c r="BN90" s="27"/>
      <c r="BO90" s="25"/>
      <c r="BP90" s="27"/>
      <c r="BQ90" s="27"/>
      <c r="BR90" s="27"/>
      <c r="BS90" s="25"/>
      <c r="BT90" s="27"/>
      <c r="BU90" s="25">
        <f>+BV80</f>
        <v>0</v>
      </c>
      <c r="BV90" s="27"/>
      <c r="BW90" s="25"/>
      <c r="BX90" s="27"/>
      <c r="BY90" s="27"/>
      <c r="BZ90" s="27"/>
      <c r="CA90" s="27"/>
      <c r="CB90" s="27"/>
      <c r="CC90" s="25"/>
      <c r="CD90" s="27"/>
      <c r="CE90" s="27"/>
      <c r="CF90" s="25"/>
      <c r="CG90" s="25"/>
      <c r="CH90" s="25"/>
      <c r="CI90" s="25"/>
      <c r="CJ90" s="25"/>
      <c r="CK90" s="28"/>
      <c r="CL90" s="25"/>
      <c r="CM90" s="25"/>
      <c r="CN90" s="25"/>
      <c r="CO90" s="27"/>
      <c r="CP90" s="25"/>
      <c r="CQ90" s="25"/>
      <c r="CR90" s="25"/>
      <c r="CS90" s="27"/>
      <c r="CT90" s="25"/>
      <c r="CU90" s="25"/>
      <c r="CV90" s="28"/>
      <c r="CW90" s="25"/>
      <c r="CX90" s="25"/>
      <c r="CY90" s="25"/>
      <c r="CZ90" s="25"/>
      <c r="DA90" s="25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>
        <v>0</v>
      </c>
      <c r="EM90" s="28"/>
      <c r="EN90" s="28">
        <f>+F90+J90+L90+N90+T90+V90+X90+AB90+AD90+AF90+AL90+AN90+AP90+AU90+AW90+AY90+BC90+BE90+BG90+BM90+BO90+BQ90+BU90+BW90+BY90+CC90+CE90+CG90+CL90+CN90+CP90+CR90+CT90+CW90+CY90+DA90+DC90+DE90+DG90+DI90+DK90+DM90+DO90+DQ90+DS90+EE90+EG90+EI90+EK90+H90+R90+AR90+BK91+CI90</f>
        <v>0</v>
      </c>
      <c r="EO90" s="28">
        <f t="shared" si="16"/>
        <v>0</v>
      </c>
      <c r="EP90" s="28">
        <f t="shared" si="14"/>
        <v>0</v>
      </c>
    </row>
    <row r="91" spans="2:146">
      <c r="B91" s="9">
        <f t="shared" ref="B91:B100" si="17">+B90</f>
        <v>44375</v>
      </c>
      <c r="C91" s="92"/>
      <c r="D91" s="210" t="s">
        <v>114</v>
      </c>
      <c r="E91" s="478">
        <f>+F91+J91+L91+N91+T91+V91+X91+AB91+AD91+AF91+AL91+AN91+AP91+AU91+AW91+AY91+BC91+BE91+BG91+BM91+BO91+BQ91+BW91+CC91+CE91+CG91+CL91+CN91+CP91+CR91+CT91+CW91+CY91+DA91+DC91+DE91+DG91+DI91+DK91+DM91+DO91+DQ91+DS91+EE91+EG91+EI91+EK91+R91+H91+CI91+BA91+AR91+DY91</f>
        <v>0</v>
      </c>
      <c r="F91" s="26"/>
      <c r="G91" s="219">
        <f>+J91+EG91+DY91+X91+CW91</f>
        <v>0</v>
      </c>
      <c r="H91" s="27"/>
      <c r="I91" s="27"/>
      <c r="J91" s="219">
        <f>+DATOS!E41</f>
        <v>0</v>
      </c>
      <c r="K91" s="27"/>
      <c r="L91" s="27"/>
      <c r="M91" s="27"/>
      <c r="N91" s="25"/>
      <c r="O91" s="27"/>
      <c r="P91" s="27"/>
      <c r="Q91" s="27"/>
      <c r="R91" s="25">
        <v>0</v>
      </c>
      <c r="S91" s="27"/>
      <c r="T91" s="25"/>
      <c r="U91" s="25"/>
      <c r="V91" s="25"/>
      <c r="W91" s="25"/>
      <c r="X91" s="219">
        <v>0</v>
      </c>
      <c r="Y91" s="27"/>
      <c r="Z91" s="27"/>
      <c r="AA91" s="27"/>
      <c r="AB91" s="25"/>
      <c r="AC91" s="25"/>
      <c r="AD91" s="25"/>
      <c r="AE91" s="25"/>
      <c r="AF91" s="25"/>
      <c r="AG91" s="25">
        <v>0</v>
      </c>
      <c r="AH91" s="25"/>
      <c r="AI91" s="25"/>
      <c r="AJ91" s="25"/>
      <c r="AK91" s="25"/>
      <c r="AL91" s="25"/>
      <c r="AM91" s="25"/>
      <c r="AN91" s="25"/>
      <c r="AO91" s="27"/>
      <c r="AP91" s="25"/>
      <c r="AQ91" s="25"/>
      <c r="AR91" s="25"/>
      <c r="AS91" s="25"/>
      <c r="AT91" s="28"/>
      <c r="AU91" s="25"/>
      <c r="AV91" s="25"/>
      <c r="AW91" s="25"/>
      <c r="AX91" s="25"/>
      <c r="AY91" s="25"/>
      <c r="AZ91" s="27"/>
      <c r="BA91" s="25"/>
      <c r="BB91" s="25"/>
      <c r="BC91" s="25"/>
      <c r="BD91" s="27"/>
      <c r="BE91" s="25"/>
      <c r="BF91" s="27"/>
      <c r="BG91" s="25"/>
      <c r="BH91" s="27"/>
      <c r="BI91" s="27"/>
      <c r="BJ91" s="27"/>
      <c r="BK91" s="435">
        <f>+BL80</f>
        <v>0</v>
      </c>
      <c r="BL91" s="27"/>
      <c r="BM91" s="25"/>
      <c r="BN91" s="27"/>
      <c r="BO91" s="25"/>
      <c r="BP91" s="27"/>
      <c r="BQ91" s="27"/>
      <c r="BR91" s="27"/>
      <c r="BS91" s="25"/>
      <c r="BT91" s="27"/>
      <c r="BU91" s="25"/>
      <c r="BV91" s="27"/>
      <c r="BW91" s="25"/>
      <c r="BX91" s="27"/>
      <c r="BY91" s="27"/>
      <c r="BZ91" s="27"/>
      <c r="CA91" s="27"/>
      <c r="CB91" s="27"/>
      <c r="CC91" s="25"/>
      <c r="CD91" s="27"/>
      <c r="CE91" s="27"/>
      <c r="CF91" s="25"/>
      <c r="CG91" s="25"/>
      <c r="CH91" s="25"/>
      <c r="CI91" s="25"/>
      <c r="CJ91" s="25"/>
      <c r="CK91" s="28"/>
      <c r="CL91" s="25"/>
      <c r="CM91" s="25"/>
      <c r="CN91" s="25"/>
      <c r="CO91" s="27"/>
      <c r="CP91" s="25"/>
      <c r="CQ91" s="25"/>
      <c r="CR91" s="25"/>
      <c r="CS91" s="27"/>
      <c r="CT91" s="25"/>
      <c r="CU91" s="25"/>
      <c r="CV91" s="28"/>
      <c r="CW91" s="418">
        <f>+DATOS!F41</f>
        <v>0</v>
      </c>
      <c r="CX91" s="25"/>
      <c r="CY91" s="25"/>
      <c r="CZ91" s="25"/>
      <c r="DA91" s="25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>
        <v>0</v>
      </c>
      <c r="EB91" s="25"/>
      <c r="EC91" s="25"/>
      <c r="ED91" s="25"/>
      <c r="EE91" s="25"/>
      <c r="EF91" s="25"/>
      <c r="EG91" s="220">
        <f>ROUND(+J91/0.19,0)-X91</f>
        <v>0</v>
      </c>
      <c r="EH91" s="25"/>
      <c r="EI91" s="25"/>
      <c r="EJ91" s="25"/>
      <c r="EK91" s="25"/>
      <c r="EL91" s="25"/>
      <c r="EM91" s="28"/>
      <c r="EN91" s="28">
        <f t="shared" si="15"/>
        <v>0</v>
      </c>
      <c r="EO91" s="28">
        <f t="shared" si="16"/>
        <v>0</v>
      </c>
      <c r="EP91" s="28">
        <f t="shared" si="14"/>
        <v>0</v>
      </c>
    </row>
    <row r="92" spans="2:146">
      <c r="B92" s="9">
        <f t="shared" si="17"/>
        <v>44375</v>
      </c>
      <c r="C92" s="92"/>
      <c r="D92" s="211" t="s">
        <v>115</v>
      </c>
      <c r="E92" s="478">
        <f>+F92+J92+L92+N92+T92+V92+X92+AB92+AD92+AF92+AL92+AN92+AP92+AU92+AW92+AY92+BC92+BE92+BG92+BM92+BO92+BQ92+BW92+CC92+CE92+CG92+CL92+CN92+CP92+CR92+CT92+CW92+CY92+DA92+DC92+DE92+DG92+DI92+DK92+DM92+DO92+DQ92+DS92+EE92+EG92+EI92+EK92+R92+H92+CI92+BA92+AR92</f>
        <v>0</v>
      </c>
      <c r="F92" s="320">
        <f>(+K92+CM92)+CO92</f>
        <v>0</v>
      </c>
      <c r="G92" s="27"/>
      <c r="H92" s="27"/>
      <c r="I92" s="27"/>
      <c r="J92" s="27"/>
      <c r="K92" s="221">
        <f>+DATOS!E20</f>
        <v>0</v>
      </c>
      <c r="L92" s="27"/>
      <c r="M92" s="27"/>
      <c r="N92" s="25"/>
      <c r="O92" s="27"/>
      <c r="P92" s="27"/>
      <c r="Q92" s="27"/>
      <c r="R92" s="25"/>
      <c r="S92" s="27"/>
      <c r="T92" s="25"/>
      <c r="U92" s="25"/>
      <c r="V92" s="25"/>
      <c r="W92" s="25"/>
      <c r="X92" s="27"/>
      <c r="Y92" s="27"/>
      <c r="Z92" s="27"/>
      <c r="AA92" s="27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7"/>
      <c r="AP92" s="25"/>
      <c r="AQ92" s="25"/>
      <c r="AR92" s="25"/>
      <c r="AS92" s="25"/>
      <c r="AT92" s="28"/>
      <c r="AU92" s="25"/>
      <c r="AV92" s="25"/>
      <c r="AW92" s="25"/>
      <c r="AX92" s="25"/>
      <c r="AY92" s="25"/>
      <c r="AZ92" s="27"/>
      <c r="BA92" s="25"/>
      <c r="BB92" s="25"/>
      <c r="BC92" s="25"/>
      <c r="BD92" s="27"/>
      <c r="BE92" s="25"/>
      <c r="BF92" s="27"/>
      <c r="BG92" s="25"/>
      <c r="BH92" s="27"/>
      <c r="BI92" s="27"/>
      <c r="BJ92" s="27"/>
      <c r="BK92" s="27"/>
      <c r="BL92" s="27"/>
      <c r="BM92" s="25"/>
      <c r="BN92" s="27"/>
      <c r="BO92" s="25"/>
      <c r="BP92" s="27"/>
      <c r="BQ92" s="27"/>
      <c r="BR92" s="27"/>
      <c r="BS92" s="25"/>
      <c r="BT92" s="27"/>
      <c r="BU92" s="25"/>
      <c r="BV92" s="27"/>
      <c r="BW92" s="25"/>
      <c r="BX92" s="27"/>
      <c r="BY92" s="27"/>
      <c r="BZ92" s="27"/>
      <c r="CA92" s="27"/>
      <c r="CB92" s="27"/>
      <c r="CC92" s="25"/>
      <c r="CD92" s="27"/>
      <c r="CE92" s="27"/>
      <c r="CF92" s="25"/>
      <c r="CG92" s="25"/>
      <c r="CH92" s="25"/>
      <c r="CI92" s="25"/>
      <c r="CJ92" s="25"/>
      <c r="CK92" s="28"/>
      <c r="CL92" s="25"/>
      <c r="CM92" s="320">
        <f>ROUND(+K92/0.19,0)</f>
        <v>0</v>
      </c>
      <c r="CN92" s="25"/>
      <c r="CO92" s="221">
        <f>+DATOS!D20</f>
        <v>0</v>
      </c>
      <c r="CP92" s="25"/>
      <c r="CQ92" s="25"/>
      <c r="CR92" s="25"/>
      <c r="CS92" s="27"/>
      <c r="CT92" s="25"/>
      <c r="CU92" s="25"/>
      <c r="CV92" s="28"/>
      <c r="CW92" s="25"/>
      <c r="CX92" s="25"/>
      <c r="CY92" s="25"/>
      <c r="CZ92" s="25"/>
      <c r="DA92" s="25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8"/>
      <c r="EN92" s="28">
        <f t="shared" si="15"/>
        <v>0</v>
      </c>
      <c r="EO92" s="28">
        <f t="shared" si="16"/>
        <v>0</v>
      </c>
      <c r="EP92" s="28">
        <f t="shared" si="14"/>
        <v>0</v>
      </c>
    </row>
    <row r="93" spans="2:146">
      <c r="B93" s="9">
        <f t="shared" si="17"/>
        <v>44375</v>
      </c>
      <c r="C93" s="92"/>
      <c r="D93" s="436" t="s">
        <v>445</v>
      </c>
      <c r="E93" s="478">
        <f>+F93+J93+L93+N93+T93+V93+X93+AB93+AD93+AF93+AL93+AN93+AP93+AU93+AW93+AY93+BC93+BE93+BG93+BM93+BO93+BQ93+BW93+CC93+CE93+CG93+CL93+CN93+CP93+CR93+CT93+CW93+CY93+DA93+DC93+DE93+DG93+DI93+DK93+DM93+DO93+DQ93+DS93+EE93+EG93+EI93+EK93+R93+H93+CI93+BA93+AR93</f>
        <v>0</v>
      </c>
      <c r="F93" s="26"/>
      <c r="G93" s="27"/>
      <c r="H93" s="27"/>
      <c r="I93" s="27"/>
      <c r="J93" s="477"/>
      <c r="K93" s="27"/>
      <c r="L93" s="27"/>
      <c r="M93" s="27"/>
      <c r="N93" s="25"/>
      <c r="O93" s="27"/>
      <c r="P93" s="27"/>
      <c r="Q93" s="27"/>
      <c r="R93" s="25"/>
      <c r="S93" s="27"/>
      <c r="T93" s="25"/>
      <c r="U93" s="25"/>
      <c r="V93" s="25"/>
      <c r="W93" s="25"/>
      <c r="X93" s="27"/>
      <c r="Y93" s="27"/>
      <c r="Z93" s="27"/>
      <c r="AA93" s="27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7"/>
      <c r="AP93" s="25"/>
      <c r="AQ93" s="25"/>
      <c r="AR93" s="25"/>
      <c r="AS93" s="25"/>
      <c r="AT93" s="28"/>
      <c r="AU93" s="25"/>
      <c r="AV93" s="25"/>
      <c r="AW93" s="25"/>
      <c r="AX93" s="25"/>
      <c r="AY93" s="25"/>
      <c r="AZ93" s="27"/>
      <c r="BA93" s="25"/>
      <c r="BB93" s="25"/>
      <c r="BC93" s="25"/>
      <c r="BD93" s="27"/>
      <c r="BE93" s="25"/>
      <c r="BF93" s="27"/>
      <c r="BG93" s="25"/>
      <c r="BH93" s="27"/>
      <c r="BI93" s="27"/>
      <c r="BJ93" s="27"/>
      <c r="BK93" s="27"/>
      <c r="BL93" s="27"/>
      <c r="BM93" s="25"/>
      <c r="BN93" s="27"/>
      <c r="BO93" s="25"/>
      <c r="BP93" s="27"/>
      <c r="BQ93" s="27"/>
      <c r="BR93" s="27"/>
      <c r="BS93" s="25"/>
      <c r="BT93" s="27"/>
      <c r="BU93" s="25"/>
      <c r="BV93" s="27"/>
      <c r="BW93" s="25"/>
      <c r="BX93" s="27"/>
      <c r="BY93" s="27"/>
      <c r="BZ93" s="27"/>
      <c r="CA93" s="27"/>
      <c r="CB93" s="27"/>
      <c r="CC93" s="25"/>
      <c r="CD93" s="27"/>
      <c r="CE93" s="27"/>
      <c r="CF93" s="25"/>
      <c r="CG93" s="25"/>
      <c r="CH93" s="25"/>
      <c r="CI93" s="25"/>
      <c r="CJ93" s="25"/>
      <c r="CK93" s="28"/>
      <c r="CL93" s="25"/>
      <c r="CM93" s="25"/>
      <c r="CN93" s="25"/>
      <c r="CO93" s="27"/>
      <c r="CP93" s="25"/>
      <c r="CQ93" s="25"/>
      <c r="CR93" s="25"/>
      <c r="CS93" s="27"/>
      <c r="CT93" s="25"/>
      <c r="CU93" s="25"/>
      <c r="CV93" s="28"/>
      <c r="CW93" s="25"/>
      <c r="CX93" s="25"/>
      <c r="CY93" s="25"/>
      <c r="CZ93" s="25"/>
      <c r="DA93" s="25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478">
        <f>+J93</f>
        <v>0</v>
      </c>
      <c r="EM93" s="28"/>
      <c r="EN93" s="28">
        <f t="shared" si="15"/>
        <v>0</v>
      </c>
      <c r="EO93" s="28">
        <f t="shared" si="16"/>
        <v>0</v>
      </c>
      <c r="EP93" s="28">
        <f t="shared" si="14"/>
        <v>0</v>
      </c>
    </row>
    <row r="94" spans="2:146">
      <c r="B94" s="9">
        <f t="shared" si="17"/>
        <v>44375</v>
      </c>
      <c r="C94" s="92"/>
      <c r="D94" s="138" t="s">
        <v>152</v>
      </c>
      <c r="E94" s="25">
        <f>+F94+J94+L94+N94+T94+V94+X94+AB94+AD94+AF94+AL94+AN94+AP94+AU94+AW94+AY94+BC94+BE94+BG94+BM94+BO94+BQ94+BW94+CC94+CE94+CG94+CL94+CN94+CP94+CR94+CT94+CW94+CY94+DA94+DC94+DE94+DG94+DI94+DK94+DM94+DO94+DQ94+DS94+EE94+EG94+EI94+EK94+R94+H94+CI94+BA94+AR94</f>
        <v>0</v>
      </c>
      <c r="F94" s="26"/>
      <c r="G94" s="27">
        <f>+CW94+CY94+DA94+DC94+DE94+DG94+DI94+DK94+DM94</f>
        <v>0</v>
      </c>
      <c r="H94" s="27"/>
      <c r="I94" s="27"/>
      <c r="J94" s="27"/>
      <c r="K94" s="27"/>
      <c r="L94" s="27"/>
      <c r="M94" s="27"/>
      <c r="N94" s="25"/>
      <c r="O94" s="27"/>
      <c r="P94" s="27"/>
      <c r="Q94" s="27"/>
      <c r="R94" s="25"/>
      <c r="S94" s="27"/>
      <c r="T94" s="25"/>
      <c r="U94" s="25"/>
      <c r="V94" s="25"/>
      <c r="W94" s="25"/>
      <c r="X94" s="27"/>
      <c r="Y94" s="27"/>
      <c r="Z94" s="27"/>
      <c r="AA94" s="27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7"/>
      <c r="AP94" s="25"/>
      <c r="AQ94" s="25"/>
      <c r="AR94" s="25"/>
      <c r="AS94" s="25"/>
      <c r="AT94" s="28"/>
      <c r="AU94" s="25"/>
      <c r="AV94" s="25"/>
      <c r="AW94" s="25"/>
      <c r="AX94" s="25"/>
      <c r="AY94" s="25"/>
      <c r="AZ94" s="27"/>
      <c r="BA94" s="25"/>
      <c r="BB94" s="25"/>
      <c r="BC94" s="25"/>
      <c r="BD94" s="27"/>
      <c r="BE94" s="25"/>
      <c r="BF94" s="27"/>
      <c r="BG94" s="25"/>
      <c r="BH94" s="27"/>
      <c r="BI94" s="27"/>
      <c r="BJ94" s="27"/>
      <c r="BK94" s="27"/>
      <c r="BL94" s="27"/>
      <c r="BM94" s="25"/>
      <c r="BN94" s="27"/>
      <c r="BO94" s="25"/>
      <c r="BP94" s="27"/>
      <c r="BQ94" s="27"/>
      <c r="BR94" s="27"/>
      <c r="BS94" s="25"/>
      <c r="BT94" s="27"/>
      <c r="BU94" s="25"/>
      <c r="BV94" s="27"/>
      <c r="BW94" s="25"/>
      <c r="BX94" s="27"/>
      <c r="BY94" s="27"/>
      <c r="BZ94" s="27"/>
      <c r="CA94" s="27"/>
      <c r="CB94" s="27"/>
      <c r="CC94" s="25"/>
      <c r="CD94" s="27"/>
      <c r="CE94" s="27"/>
      <c r="CF94" s="25"/>
      <c r="CG94" s="25"/>
      <c r="CH94" s="25"/>
      <c r="CI94" s="25"/>
      <c r="CJ94" s="25"/>
      <c r="CK94" s="28"/>
      <c r="CL94" s="25"/>
      <c r="CM94" s="25"/>
      <c r="CN94" s="25"/>
      <c r="CO94" s="27"/>
      <c r="CP94" s="25"/>
      <c r="CQ94" s="25"/>
      <c r="CR94" s="25"/>
      <c r="CS94" s="27"/>
      <c r="CT94" s="25"/>
      <c r="CU94" s="25"/>
      <c r="CV94" s="28"/>
      <c r="CW94" s="25"/>
      <c r="CX94" s="25"/>
      <c r="CY94" s="25"/>
      <c r="CZ94" s="25"/>
      <c r="DA94" s="25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>
        <v>0</v>
      </c>
      <c r="EH94" s="25"/>
      <c r="EI94" s="25"/>
      <c r="EJ94" s="25"/>
      <c r="EK94" s="25"/>
      <c r="EL94" s="25"/>
      <c r="EM94" s="28"/>
      <c r="EN94" s="28">
        <f t="shared" si="15"/>
        <v>0</v>
      </c>
      <c r="EO94" s="28">
        <f t="shared" si="16"/>
        <v>0</v>
      </c>
      <c r="EP94" s="28">
        <f t="shared" si="14"/>
        <v>0</v>
      </c>
    </row>
    <row r="95" spans="2:146">
      <c r="B95" s="9">
        <f t="shared" si="17"/>
        <v>44375</v>
      </c>
      <c r="C95" s="92"/>
      <c r="D95" s="213" t="s">
        <v>195</v>
      </c>
      <c r="E95" s="478">
        <f>+F95+J95+L95+N95+T95+V95+X95+AB95+AD95+AF95+AL95+AN95+AP95+AU95+AW95+AY95+BC95+BE95+BG95+BM95+BO95+BQ95+BW95+CC95+CE95+CG95+CL95+CN95+CP95+CR95+CT95+CW95+CY95+DA95+DC95+DE95+DG95+DI95+DK95+DM95+DO95+DQ95+DS95+EE95+EG95+EI95+EK95+R95+H95+CI95+BA95+AR95+DU95</f>
        <v>0</v>
      </c>
      <c r="F95" s="26"/>
      <c r="G95" s="286">
        <f>+DU95-BB95-AV95-AQ95+DY95-BJ95</f>
        <v>0</v>
      </c>
      <c r="H95" s="27"/>
      <c r="I95" s="27"/>
      <c r="J95" s="27"/>
      <c r="K95" s="27"/>
      <c r="L95" s="27"/>
      <c r="M95" s="27"/>
      <c r="N95" s="25"/>
      <c r="O95" s="27"/>
      <c r="P95" s="27"/>
      <c r="Q95" s="27"/>
      <c r="R95" s="25"/>
      <c r="S95" s="27"/>
      <c r="T95" s="25"/>
      <c r="U95" s="25"/>
      <c r="V95" s="25"/>
      <c r="W95" s="25"/>
      <c r="X95" s="27"/>
      <c r="Y95" s="27"/>
      <c r="Z95" s="27"/>
      <c r="AA95" s="27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7"/>
      <c r="AP95" s="213"/>
      <c r="AQ95" s="215">
        <f>+DATOS!K41</f>
        <v>0</v>
      </c>
      <c r="AR95" s="25"/>
      <c r="AS95" s="25"/>
      <c r="AT95" s="28"/>
      <c r="AU95" s="25"/>
      <c r="AV95" s="215">
        <f>+DATOS!J41+DATOS!M41</f>
        <v>0</v>
      </c>
      <c r="AW95" s="25"/>
      <c r="AX95" s="25"/>
      <c r="AY95" s="25"/>
      <c r="AZ95" s="27"/>
      <c r="BA95" s="25"/>
      <c r="BB95" s="214">
        <f>+DATOS!I41</f>
        <v>0</v>
      </c>
      <c r="BC95" s="25"/>
      <c r="BD95" s="27"/>
      <c r="BE95" s="25"/>
      <c r="BF95" s="27"/>
      <c r="BG95" s="25"/>
      <c r="BH95" s="27"/>
      <c r="BI95" s="27"/>
      <c r="BJ95" s="27"/>
      <c r="BK95" s="27"/>
      <c r="BL95" s="27"/>
      <c r="BM95" s="25"/>
      <c r="BN95" s="27"/>
      <c r="BO95" s="25"/>
      <c r="BP95" s="27"/>
      <c r="BQ95" s="27"/>
      <c r="BR95" s="27"/>
      <c r="BS95" s="25"/>
      <c r="BT95" s="27"/>
      <c r="BU95" s="25"/>
      <c r="BV95" s="27"/>
      <c r="BW95" s="25"/>
      <c r="BX95" s="27"/>
      <c r="BY95" s="27"/>
      <c r="BZ95" s="27"/>
      <c r="CA95" s="27"/>
      <c r="CB95" s="27"/>
      <c r="CC95" s="25"/>
      <c r="CD95" s="27"/>
      <c r="CE95" s="27"/>
      <c r="CF95" s="25"/>
      <c r="CG95" s="25"/>
      <c r="CH95" s="25"/>
      <c r="CI95" s="25"/>
      <c r="CJ95" s="25"/>
      <c r="CK95" s="28"/>
      <c r="CL95" s="25"/>
      <c r="CM95" s="25"/>
      <c r="CN95" s="25"/>
      <c r="CO95" s="27"/>
      <c r="CP95" s="25"/>
      <c r="CQ95" s="25"/>
      <c r="CR95" s="25"/>
      <c r="CS95" s="27"/>
      <c r="CT95" s="25"/>
      <c r="CU95" s="25"/>
      <c r="CV95" s="28"/>
      <c r="CW95" s="25"/>
      <c r="CX95" s="25"/>
      <c r="CY95" s="25"/>
      <c r="CZ95" s="25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5"/>
      <c r="DP95" s="25"/>
      <c r="DQ95" s="25"/>
      <c r="DR95" s="25"/>
      <c r="DS95" s="25"/>
      <c r="DT95" s="25"/>
      <c r="DU95" s="215">
        <f>+DATOS!G41</f>
        <v>0</v>
      </c>
      <c r="DV95" s="25"/>
      <c r="DW95" s="25"/>
      <c r="DX95" s="25"/>
      <c r="DY95" s="215">
        <f>+DATOS!M41</f>
        <v>0</v>
      </c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8"/>
      <c r="EN95" s="28">
        <f>+F95+J95+L95+N95+T95+V95+X95+AB95+AD95+AF95+AL95+AN95+AP95+AU95+AW95+AY95+BC95+BE95+BG95+BM95+BO95+BQ95+BU95+BW95+BY95+CC95+CE95+CG95+CL95+CN95+CP95+CR95+CT95+CW95+CY95+DA95+DC95+DE95+DG95+DI95+DK95+DM95+DO95+DQ95+DS95+EE95+EG95+EI95+EK95+H95+R95+AR95+BA95+CI95+DU95+DY95</f>
        <v>0</v>
      </c>
      <c r="EO95" s="28">
        <f>+G95+K95+M95+O95+U95+W95+Y95+AC95+AE95+AG95+AM95+AO95+AQ95+AV95+AX95+AZ95+BD95+BF95+BH95+BN95+BP95+BR95+BV95+BX95+BZ95+CD95+CF95+CH95+CM95+CO95+CQ95+CS95+CU95+CX95+CZ95+DB95+DD95+DF95+DH95+DJ95+DL95+DN95+DP95+DR95+DT95+EF95+EH95+EJ95+EL95+I95+S95+AS95+BB95+CJ95++BJ95</f>
        <v>0</v>
      </c>
      <c r="EP95" s="28">
        <f t="shared" si="14"/>
        <v>0</v>
      </c>
    </row>
    <row r="96" spans="2:146">
      <c r="B96" s="9">
        <f t="shared" si="17"/>
        <v>44375</v>
      </c>
      <c r="C96" s="92"/>
      <c r="D96" s="485" t="s">
        <v>488</v>
      </c>
      <c r="E96" s="478"/>
      <c r="F96" s="26"/>
      <c r="G96" s="278">
        <f>+BY96</f>
        <v>0</v>
      </c>
      <c r="H96" s="27"/>
      <c r="I96" s="27"/>
      <c r="J96" s="27"/>
      <c r="K96" s="27"/>
      <c r="L96" s="27"/>
      <c r="M96" s="27"/>
      <c r="N96" s="25"/>
      <c r="O96" s="27"/>
      <c r="P96" s="27"/>
      <c r="Q96" s="27"/>
      <c r="R96" s="25"/>
      <c r="S96" s="27"/>
      <c r="T96" s="25"/>
      <c r="U96" s="25"/>
      <c r="V96" s="25"/>
      <c r="W96" s="25"/>
      <c r="X96" s="27"/>
      <c r="Y96" s="27"/>
      <c r="Z96" s="27"/>
      <c r="AA96" s="27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7"/>
      <c r="AP96" s="517"/>
      <c r="AQ96" s="215"/>
      <c r="AR96" s="25"/>
      <c r="AS96" s="25"/>
      <c r="AT96" s="28"/>
      <c r="AU96" s="25"/>
      <c r="AV96" s="215"/>
      <c r="AW96" s="25"/>
      <c r="AX96" s="25"/>
      <c r="AY96" s="25"/>
      <c r="AZ96" s="27"/>
      <c r="BA96" s="25"/>
      <c r="BB96" s="214"/>
      <c r="BC96" s="25"/>
      <c r="BD96" s="27"/>
      <c r="BE96" s="25"/>
      <c r="BF96" s="27"/>
      <c r="BG96" s="25"/>
      <c r="BH96" s="27"/>
      <c r="BI96" s="27"/>
      <c r="BJ96" s="27"/>
      <c r="BK96" s="27"/>
      <c r="BL96" s="27"/>
      <c r="BM96" s="25"/>
      <c r="BN96" s="27"/>
      <c r="BO96" s="25"/>
      <c r="BP96" s="27"/>
      <c r="BQ96" s="515">
        <f>+DATOS!C68</f>
        <v>0</v>
      </c>
      <c r="BR96" s="27"/>
      <c r="BS96" s="515">
        <f>+DATOS!F68</f>
        <v>0</v>
      </c>
      <c r="BT96" s="27"/>
      <c r="BU96" s="516">
        <f>+DATOS!I68</f>
        <v>0</v>
      </c>
      <c r="BV96" s="27"/>
      <c r="BW96" s="516">
        <f>+DATOS!L68</f>
        <v>0</v>
      </c>
      <c r="BX96" s="27"/>
      <c r="BY96" s="515">
        <f>+DATOS!O68</f>
        <v>0</v>
      </c>
      <c r="BZ96" s="27"/>
      <c r="CA96" s="27"/>
      <c r="CB96" s="27"/>
      <c r="CC96" s="25"/>
      <c r="CD96" s="27"/>
      <c r="CE96" s="27"/>
      <c r="CF96" s="25"/>
      <c r="CG96" s="25"/>
      <c r="CH96" s="25"/>
      <c r="CI96" s="25"/>
      <c r="CJ96" s="25"/>
      <c r="CK96" s="28"/>
      <c r="CL96" s="25"/>
      <c r="CM96" s="25"/>
      <c r="CN96" s="25"/>
      <c r="CO96" s="27"/>
      <c r="CP96" s="25"/>
      <c r="CQ96" s="25"/>
      <c r="CR96" s="25"/>
      <c r="CS96" s="27"/>
      <c r="CT96" s="25"/>
      <c r="CU96" s="25"/>
      <c r="CV96" s="28"/>
      <c r="CW96" s="25"/>
      <c r="CX96" s="25"/>
      <c r="CY96" s="25"/>
      <c r="CZ96" s="25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5"/>
      <c r="DP96" s="25"/>
      <c r="DQ96" s="25"/>
      <c r="DR96" s="25"/>
      <c r="DS96" s="26"/>
      <c r="DT96" s="25"/>
      <c r="DU96" s="215"/>
      <c r="DV96" s="25"/>
      <c r="DW96" s="25"/>
      <c r="DX96" s="25"/>
      <c r="DY96" s="21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8"/>
      <c r="EN96" s="28"/>
      <c r="EO96" s="28"/>
      <c r="EP96" s="28"/>
    </row>
    <row r="97" spans="1:146">
      <c r="B97" s="9">
        <f t="shared" si="17"/>
        <v>44375</v>
      </c>
      <c r="C97" s="92"/>
      <c r="D97" s="302" t="s">
        <v>489</v>
      </c>
      <c r="E97" s="478"/>
      <c r="F97" s="26"/>
      <c r="G97" s="286"/>
      <c r="H97" s="27"/>
      <c r="I97" s="27"/>
      <c r="J97" s="27"/>
      <c r="K97" s="27"/>
      <c r="L97" s="27"/>
      <c r="M97" s="27"/>
      <c r="N97" s="25"/>
      <c r="O97" s="27"/>
      <c r="P97" s="27"/>
      <c r="Q97" s="27"/>
      <c r="R97" s="25"/>
      <c r="S97" s="27"/>
      <c r="T97" s="25"/>
      <c r="U97" s="25"/>
      <c r="V97" s="25"/>
      <c r="W97" s="25"/>
      <c r="X97" s="27"/>
      <c r="Y97" s="27"/>
      <c r="Z97" s="27"/>
      <c r="AA97" s="27"/>
      <c r="AB97" s="25"/>
      <c r="AC97" s="25"/>
      <c r="AD97" s="25"/>
      <c r="AE97" s="25"/>
      <c r="AF97" s="25"/>
      <c r="AG97" s="527">
        <f>+DATOS!G68</f>
        <v>0</v>
      </c>
      <c r="AH97" s="25"/>
      <c r="AI97" s="527">
        <f>+DATOS!D68</f>
        <v>0</v>
      </c>
      <c r="AJ97" s="25"/>
      <c r="AK97" s="531">
        <f>+DATOS!J68+DATOS!M68+DATOS!P68</f>
        <v>0</v>
      </c>
      <c r="AL97" s="25"/>
      <c r="AM97" s="25"/>
      <c r="AN97" s="25"/>
      <c r="AO97" s="27"/>
      <c r="AP97" s="517"/>
      <c r="AQ97" s="215"/>
      <c r="AR97" s="25"/>
      <c r="AS97" s="25"/>
      <c r="AT97" s="28"/>
      <c r="AU97" s="25"/>
      <c r="AV97" s="215"/>
      <c r="AW97" s="25"/>
      <c r="AX97" s="25"/>
      <c r="AY97" s="25"/>
      <c r="AZ97" s="27"/>
      <c r="BA97" s="25"/>
      <c r="BB97" s="214"/>
      <c r="BC97" s="25"/>
      <c r="BD97" s="27"/>
      <c r="BE97" s="25"/>
      <c r="BF97" s="27"/>
      <c r="BG97" s="25"/>
      <c r="BH97" s="27"/>
      <c r="BI97" s="27"/>
      <c r="BJ97" s="27"/>
      <c r="BK97" s="27"/>
      <c r="BL97" s="27"/>
      <c r="BM97" s="25"/>
      <c r="BN97" s="27"/>
      <c r="BO97" s="25"/>
      <c r="BP97" s="27"/>
      <c r="BQ97" s="27"/>
      <c r="BR97" s="27"/>
      <c r="BS97" s="25"/>
      <c r="BT97" s="27"/>
      <c r="BU97" s="25"/>
      <c r="BV97" s="27"/>
      <c r="BW97" s="25"/>
      <c r="BX97" s="27"/>
      <c r="BY97" s="27"/>
      <c r="BZ97" s="27"/>
      <c r="CA97" s="27"/>
      <c r="CB97" s="27"/>
      <c r="CC97" s="25"/>
      <c r="CD97" s="27"/>
      <c r="CE97" s="27"/>
      <c r="CF97" s="25"/>
      <c r="CG97" s="25"/>
      <c r="CH97" s="25"/>
      <c r="CI97" s="25"/>
      <c r="CJ97" s="25"/>
      <c r="CK97" s="28"/>
      <c r="CL97" s="25"/>
      <c r="CM97" s="25"/>
      <c r="CN97" s="25"/>
      <c r="CO97" s="27"/>
      <c r="CP97" s="25"/>
      <c r="CQ97" s="25"/>
      <c r="CR97" s="25"/>
      <c r="CS97" s="27"/>
      <c r="CT97" s="25"/>
      <c r="CU97" s="25"/>
      <c r="CV97" s="28"/>
      <c r="CW97" s="25"/>
      <c r="CX97" s="25"/>
      <c r="CY97" s="25"/>
      <c r="CZ97" s="25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5"/>
      <c r="DP97" s="25"/>
      <c r="DQ97" s="25"/>
      <c r="DR97" s="25"/>
      <c r="DS97" s="26"/>
      <c r="DT97" s="25"/>
      <c r="DU97" s="215"/>
      <c r="DV97" s="25"/>
      <c r="DW97" s="25"/>
      <c r="DX97" s="25"/>
      <c r="DY97" s="215"/>
      <c r="DZ97" s="25"/>
      <c r="EA97" s="527">
        <f>+AG97+AI97+AK97</f>
        <v>0</v>
      </c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8"/>
      <c r="EN97" s="28"/>
      <c r="EO97" s="28"/>
      <c r="EP97" s="28"/>
    </row>
    <row r="98" spans="1:146">
      <c r="B98" s="9">
        <f t="shared" si="17"/>
        <v>44375</v>
      </c>
      <c r="C98" s="92"/>
      <c r="D98" s="212" t="s">
        <v>147</v>
      </c>
      <c r="E98" s="478">
        <f>+F98+J98+L98+N98+T98+V98+X98+AB98+AD98+AF98+AL98+AN98+AP98+AU98+AW98+AY98+BC98+BE98+BG98+BM98+BO98+BQ98+BW98+CC98+CE98+CG98+CL98+CN98+CP98+CR98+CT98+CW98+CY98+DA98+DC98+DE98+DG98+DI98+DK98+DM98+DO98+DQ98+DS98+EE98+EG98+EI98+EK98+R98+H98+CI98+BA98+AR98</f>
        <v>0</v>
      </c>
      <c r="F98" s="26"/>
      <c r="G98" s="27">
        <f>+DS98-AX98</f>
        <v>0</v>
      </c>
      <c r="H98" s="27"/>
      <c r="I98" s="27"/>
      <c r="J98" s="27"/>
      <c r="K98" s="27"/>
      <c r="L98" s="27"/>
      <c r="M98" s="27"/>
      <c r="N98" s="25"/>
      <c r="O98" s="27"/>
      <c r="P98" s="27"/>
      <c r="Q98" s="27"/>
      <c r="R98" s="25"/>
      <c r="S98" s="27"/>
      <c r="T98" s="25"/>
      <c r="U98" s="25"/>
      <c r="V98" s="25"/>
      <c r="W98" s="25"/>
      <c r="X98" s="27"/>
      <c r="Y98" s="27"/>
      <c r="Z98" s="27"/>
      <c r="AA98" s="27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7"/>
      <c r="AP98" s="25"/>
      <c r="AQ98" s="25"/>
      <c r="AR98" s="25"/>
      <c r="AS98" s="25"/>
      <c r="AT98" s="28"/>
      <c r="AU98" s="25"/>
      <c r="AV98" s="25"/>
      <c r="AW98" s="25"/>
      <c r="AX98" s="217">
        <f>+DATOS!G20</f>
        <v>0</v>
      </c>
      <c r="AY98" s="25"/>
      <c r="AZ98" s="27"/>
      <c r="BA98" s="25"/>
      <c r="BB98" s="25"/>
      <c r="BC98" s="25"/>
      <c r="BD98" s="27"/>
      <c r="BE98" s="25"/>
      <c r="BF98" s="27"/>
      <c r="BG98" s="25"/>
      <c r="BH98" s="27"/>
      <c r="BI98" s="27"/>
      <c r="BJ98" s="27"/>
      <c r="BK98" s="27"/>
      <c r="BL98" s="27"/>
      <c r="BM98" s="25"/>
      <c r="BN98" s="27"/>
      <c r="BO98" s="25"/>
      <c r="BP98" s="27"/>
      <c r="BQ98" s="27"/>
      <c r="BR98" s="27"/>
      <c r="BS98" s="25"/>
      <c r="BT98" s="27"/>
      <c r="BU98" s="25"/>
      <c r="BV98" s="27"/>
      <c r="BW98" s="25"/>
      <c r="BX98" s="27"/>
      <c r="BY98" s="27"/>
      <c r="BZ98" s="27"/>
      <c r="CA98" s="27"/>
      <c r="CB98" s="27"/>
      <c r="CC98" s="25"/>
      <c r="CD98" s="27"/>
      <c r="CE98" s="27"/>
      <c r="CF98" s="25"/>
      <c r="CG98" s="25"/>
      <c r="CH98" s="25"/>
      <c r="CI98" s="25"/>
      <c r="CJ98" s="25"/>
      <c r="CK98" s="28"/>
      <c r="CL98" s="25"/>
      <c r="CM98" s="25"/>
      <c r="CN98" s="25"/>
      <c r="CO98" s="27"/>
      <c r="CP98" s="25"/>
      <c r="CQ98" s="25"/>
      <c r="CR98" s="25"/>
      <c r="CS98" s="27"/>
      <c r="CT98" s="25"/>
      <c r="CU98" s="25"/>
      <c r="CV98" s="28"/>
      <c r="CW98" s="25"/>
      <c r="CX98" s="25"/>
      <c r="CY98" s="25"/>
      <c r="CZ98" s="25"/>
      <c r="DA98" s="25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5"/>
      <c r="DP98" s="25"/>
      <c r="DQ98" s="25"/>
      <c r="DR98" s="25"/>
      <c r="DS98" s="218">
        <f>ROUND(+AX98/0.13,0)</f>
        <v>0</v>
      </c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8"/>
      <c r="EN98" s="28">
        <f t="shared" si="15"/>
        <v>0</v>
      </c>
      <c r="EO98" s="28">
        <f t="shared" si="16"/>
        <v>0</v>
      </c>
      <c r="EP98" s="28">
        <f t="shared" si="14"/>
        <v>0</v>
      </c>
    </row>
    <row r="99" spans="1:146">
      <c r="B99" s="9">
        <f t="shared" si="17"/>
        <v>44375</v>
      </c>
      <c r="C99" s="92"/>
      <c r="D99" s="436" t="s">
        <v>445</v>
      </c>
      <c r="E99" s="25">
        <f>+F99+J99+L99+N99+T99+V99+X99+AB99+AD99+AF99+AL99+AN99+AP99+AU99+AW99+AY99+BC99+BE99+BG99+BM99+BO99+BQ99+BW99+CC99+CE99+CG99+CL99+CN99+CP99+CR99+CT99+CW99+CY99+DA99+DC99+DE99+DG99+DI99+DK99+DM99+DO99+DQ99+DS99+EE99+EG99+EI99+EK99+R99+H99+CI99+BA99+AR99</f>
        <v>0</v>
      </c>
      <c r="F99" s="26"/>
      <c r="G99" s="283"/>
      <c r="H99" s="27"/>
      <c r="I99" s="27"/>
      <c r="J99" s="27"/>
      <c r="K99" s="27"/>
      <c r="L99" s="27"/>
      <c r="M99" s="27"/>
      <c r="N99" s="25"/>
      <c r="O99" s="27"/>
      <c r="P99" s="27"/>
      <c r="Q99" s="27"/>
      <c r="R99" s="25"/>
      <c r="S99" s="27"/>
      <c r="T99" s="25"/>
      <c r="U99" s="25"/>
      <c r="V99" s="25"/>
      <c r="W99" s="25"/>
      <c r="X99" s="27"/>
      <c r="Y99" s="27"/>
      <c r="Z99" s="27"/>
      <c r="AA99" s="27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7"/>
      <c r="AP99" s="25"/>
      <c r="AQ99" s="25"/>
      <c r="AR99" s="25"/>
      <c r="AS99" s="25"/>
      <c r="AT99" s="28"/>
      <c r="AU99" s="25"/>
      <c r="AV99" s="25"/>
      <c r="AW99" s="25"/>
      <c r="AX99" s="25"/>
      <c r="AY99" s="25"/>
      <c r="AZ99" s="27"/>
      <c r="BA99" s="25"/>
      <c r="BB99" s="25"/>
      <c r="BC99" s="25"/>
      <c r="BD99" s="27"/>
      <c r="BE99" s="25"/>
      <c r="BF99" s="27"/>
      <c r="BG99" s="25"/>
      <c r="BH99" s="27"/>
      <c r="BI99" s="27"/>
      <c r="BJ99" s="27"/>
      <c r="BK99" s="27"/>
      <c r="BL99" s="27"/>
      <c r="BM99" s="25"/>
      <c r="BN99" s="27"/>
      <c r="BO99" s="25"/>
      <c r="BP99" s="27"/>
      <c r="BQ99" s="27"/>
      <c r="BR99" s="27"/>
      <c r="BS99" s="25"/>
      <c r="BT99" s="27"/>
      <c r="BU99" s="25"/>
      <c r="BV99" s="27"/>
      <c r="BW99" s="25"/>
      <c r="BX99" s="27"/>
      <c r="BY99" s="27"/>
      <c r="BZ99" s="27"/>
      <c r="CA99" s="27"/>
      <c r="CB99" s="27"/>
      <c r="CC99" s="25"/>
      <c r="CD99" s="27"/>
      <c r="CE99" s="27"/>
      <c r="CF99" s="25"/>
      <c r="CG99" s="25"/>
      <c r="CH99" s="25"/>
      <c r="CI99" s="25"/>
      <c r="CJ99" s="25"/>
      <c r="CK99" s="28"/>
      <c r="CL99" s="25"/>
      <c r="CM99" s="25"/>
      <c r="CN99" s="25"/>
      <c r="CO99" s="27"/>
      <c r="CP99" s="25"/>
      <c r="CQ99" s="25"/>
      <c r="CR99" s="25"/>
      <c r="CS99" s="27"/>
      <c r="CT99" s="25"/>
      <c r="CU99" s="25"/>
      <c r="CV99" s="28"/>
      <c r="CW99" s="25"/>
      <c r="CX99" s="25"/>
      <c r="CY99" s="25"/>
      <c r="CZ99" s="25"/>
      <c r="DA99" s="25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8"/>
      <c r="EN99" s="28">
        <f t="shared" si="15"/>
        <v>0</v>
      </c>
      <c r="EO99" s="28">
        <f t="shared" si="16"/>
        <v>0</v>
      </c>
      <c r="EP99" s="28">
        <f t="shared" si="14"/>
        <v>0</v>
      </c>
    </row>
    <row r="100" spans="1:146">
      <c r="B100" s="9">
        <f t="shared" si="17"/>
        <v>44375</v>
      </c>
      <c r="C100" s="92"/>
      <c r="D100" s="276" t="s">
        <v>411</v>
      </c>
      <c r="E100" s="25">
        <f>+F100+J100+L100+N100+T100+V100+X100+AB100+AD100+AF100+AL100+AN100+AP100+AU100+AW100+AY100+BC100+BE100+BG100+BM100+BO100+BQ100+BW100+CC100+CE100+CG100+CL100+CN100+CP100+CR100+CT100+CW100+CY100+DA100+DC100+DE100+DG100+DI100+DK100+DM100+DO100+DQ100+DS100+EE100+EG100+EI100+EK100+R100+H100+CI100+BA100+AR100+DU100</f>
        <v>0</v>
      </c>
      <c r="F100" s="26"/>
      <c r="G100" s="27">
        <f>+BG100</f>
        <v>0</v>
      </c>
      <c r="H100" s="27"/>
      <c r="I100" s="27"/>
      <c r="J100" s="27"/>
      <c r="K100" s="27"/>
      <c r="L100" s="27"/>
      <c r="M100" s="27"/>
      <c r="N100" s="25"/>
      <c r="O100" s="27"/>
      <c r="P100" s="27"/>
      <c r="Q100" s="27"/>
      <c r="R100" s="25"/>
      <c r="S100" s="27"/>
      <c r="T100" s="25"/>
      <c r="U100" s="25"/>
      <c r="V100" s="25"/>
      <c r="W100" s="25"/>
      <c r="X100" s="27"/>
      <c r="Y100" s="27"/>
      <c r="Z100" s="27"/>
      <c r="AA100" s="27"/>
      <c r="AB100" s="25"/>
      <c r="AC100" s="25"/>
      <c r="AD100" s="25"/>
      <c r="AE100" s="25"/>
      <c r="AF100" s="408"/>
      <c r="AG100" s="25"/>
      <c r="AH100" s="25"/>
      <c r="AI100" s="25"/>
      <c r="AJ100" s="25"/>
      <c r="AK100" s="25"/>
      <c r="AL100" s="25"/>
      <c r="AM100" s="25"/>
      <c r="AN100" s="25"/>
      <c r="AO100" s="27"/>
      <c r="AP100" s="25"/>
      <c r="AQ100" s="25"/>
      <c r="AR100" s="25"/>
      <c r="AS100" s="25"/>
      <c r="AT100" s="28"/>
      <c r="AU100" s="25"/>
      <c r="AV100" s="25"/>
      <c r="AW100" s="25"/>
      <c r="AX100" s="25"/>
      <c r="AY100" s="25"/>
      <c r="AZ100" s="27"/>
      <c r="BA100" s="25"/>
      <c r="BB100" s="25"/>
      <c r="BC100" s="25"/>
      <c r="BD100" s="27"/>
      <c r="BE100" s="25"/>
      <c r="BF100" s="27"/>
      <c r="BG100" s="25"/>
      <c r="BH100" s="27"/>
      <c r="BI100" s="27"/>
      <c r="BJ100" s="27"/>
      <c r="BK100" s="27"/>
      <c r="BL100" s="407"/>
      <c r="BM100" s="25"/>
      <c r="BN100" s="27"/>
      <c r="BO100" s="25"/>
      <c r="BP100" s="27"/>
      <c r="BQ100" s="27"/>
      <c r="BR100" s="27"/>
      <c r="BS100" s="25"/>
      <c r="BT100" s="27"/>
      <c r="BU100" s="25"/>
      <c r="BV100" s="27"/>
      <c r="BW100" s="25"/>
      <c r="BX100" s="27"/>
      <c r="BY100" s="27"/>
      <c r="BZ100" s="27"/>
      <c r="CA100" s="27"/>
      <c r="CB100" s="27"/>
      <c r="CC100" s="25"/>
      <c r="CD100" s="27"/>
      <c r="CE100" s="27"/>
      <c r="CF100" s="25"/>
      <c r="CG100" s="25"/>
      <c r="CH100" s="25"/>
      <c r="CI100" s="25"/>
      <c r="CJ100" s="25"/>
      <c r="CK100" s="28"/>
      <c r="CL100" s="25"/>
      <c r="CM100" s="25"/>
      <c r="CN100" s="25"/>
      <c r="CO100" s="27"/>
      <c r="CP100" s="25"/>
      <c r="CQ100" s="25"/>
      <c r="CR100" s="25"/>
      <c r="CS100" s="27"/>
      <c r="CT100" s="25"/>
      <c r="CU100" s="25"/>
      <c r="CV100" s="28"/>
      <c r="CW100" s="25"/>
      <c r="CX100" s="25"/>
      <c r="CY100" s="25"/>
      <c r="CZ100" s="25"/>
      <c r="DA100" s="25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5"/>
      <c r="DP100" s="25"/>
      <c r="DQ100" s="25"/>
      <c r="DR100" s="25"/>
      <c r="DS100" s="242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8"/>
      <c r="EN100" s="28">
        <f t="shared" si="15"/>
        <v>0</v>
      </c>
      <c r="EO100" s="28">
        <f t="shared" si="16"/>
        <v>0</v>
      </c>
      <c r="EP100" s="28">
        <f t="shared" si="14"/>
        <v>0</v>
      </c>
    </row>
    <row r="101" spans="1:146">
      <c r="B101" s="9"/>
      <c r="C101" s="92"/>
      <c r="D101" s="284" t="s">
        <v>263</v>
      </c>
      <c r="E101" s="478">
        <f>+F101+J101+L101+N101+T101+V101+X101+AB101+AD101+AF101+AL101+AN101+AP101+AU101+AW101+AY101+BC101+BE101+BG101+BM101+BO101+BQ101+BW101+CC101+CE101+CG101+CL101+CN101+CP101+CR101+CT101+CW101+CY101+DA101+DC101+DE101+DG101+DI101+DK101+DM101+DO101+DQ101+DS101+EE101+EG101+EI101+EK101+R101+H101+CI101+BA101+AR101</f>
        <v>0</v>
      </c>
      <c r="F101" s="26"/>
      <c r="G101" s="283">
        <f>+DW101</f>
        <v>0</v>
      </c>
      <c r="H101" s="27"/>
      <c r="I101" s="27"/>
      <c r="J101" s="27"/>
      <c r="K101" s="27"/>
      <c r="L101" s="27"/>
      <c r="M101" s="27"/>
      <c r="N101" s="25"/>
      <c r="O101" s="27"/>
      <c r="P101" s="27"/>
      <c r="Q101" s="27"/>
      <c r="R101" s="25"/>
      <c r="S101" s="27"/>
      <c r="T101" s="25"/>
      <c r="U101" s="25"/>
      <c r="V101" s="25"/>
      <c r="W101" s="25"/>
      <c r="X101" s="27"/>
      <c r="Y101" s="27"/>
      <c r="Z101" s="27"/>
      <c r="AA101" s="27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7"/>
      <c r="AP101" s="25"/>
      <c r="AQ101" s="25"/>
      <c r="AR101" s="25"/>
      <c r="AS101" s="25"/>
      <c r="AT101" s="28"/>
      <c r="AU101" s="25"/>
      <c r="AV101" s="25"/>
      <c r="AW101" s="25"/>
      <c r="AX101" s="25"/>
      <c r="AY101" s="25"/>
      <c r="AZ101" s="27"/>
      <c r="BA101" s="25"/>
      <c r="BB101" s="25"/>
      <c r="BC101" s="25"/>
      <c r="BD101" s="27"/>
      <c r="BE101" s="25"/>
      <c r="BF101" s="27"/>
      <c r="BG101" s="25"/>
      <c r="BH101" s="27"/>
      <c r="BI101" s="27"/>
      <c r="BJ101" s="27"/>
      <c r="BK101" s="27"/>
      <c r="BL101" s="27"/>
      <c r="BM101" s="25"/>
      <c r="BN101" s="27"/>
      <c r="BO101" s="25"/>
      <c r="BP101" s="27"/>
      <c r="BQ101" s="27"/>
      <c r="BR101" s="27"/>
      <c r="BS101" s="25"/>
      <c r="BT101" s="27"/>
      <c r="BU101" s="25"/>
      <c r="BV101" s="27"/>
      <c r="BW101" s="25"/>
      <c r="BX101" s="27"/>
      <c r="BY101" s="27"/>
      <c r="BZ101" s="27"/>
      <c r="CA101" s="27"/>
      <c r="CB101" s="27"/>
      <c r="CC101" s="25"/>
      <c r="CD101" s="27"/>
      <c r="CE101" s="27"/>
      <c r="CF101" s="25"/>
      <c r="CG101" s="25"/>
      <c r="CH101" s="25"/>
      <c r="CI101" s="25"/>
      <c r="CJ101" s="25"/>
      <c r="CK101" s="28"/>
      <c r="CL101" s="25"/>
      <c r="CM101" s="25"/>
      <c r="CN101" s="25"/>
      <c r="CO101" s="27"/>
      <c r="CP101" s="25"/>
      <c r="CQ101" s="25"/>
      <c r="CR101" s="25"/>
      <c r="CS101" s="27"/>
      <c r="CT101" s="25"/>
      <c r="CU101" s="25"/>
      <c r="CV101" s="28"/>
      <c r="CW101" s="25"/>
      <c r="CX101" s="25"/>
      <c r="CY101" s="25"/>
      <c r="CZ101" s="25"/>
      <c r="DA101" s="25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5"/>
      <c r="DP101" s="25"/>
      <c r="DQ101" s="25"/>
      <c r="DR101" s="25"/>
      <c r="DS101" s="25"/>
      <c r="DT101" s="25"/>
      <c r="DU101" s="25"/>
      <c r="DV101" s="25"/>
      <c r="DW101" s="285">
        <f>+DATOS!N41</f>
        <v>0</v>
      </c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8"/>
      <c r="EN101" s="28">
        <f t="shared" si="15"/>
        <v>0</v>
      </c>
      <c r="EO101" s="28">
        <f t="shared" si="16"/>
        <v>0</v>
      </c>
      <c r="EP101" s="28"/>
    </row>
    <row r="102" spans="1:146">
      <c r="B102" s="9"/>
      <c r="C102" s="92"/>
      <c r="D102" s="186"/>
      <c r="E102" s="25"/>
      <c r="F102" s="26"/>
      <c r="G102" s="27"/>
      <c r="H102" s="27"/>
      <c r="I102" s="27"/>
      <c r="J102" s="27"/>
      <c r="K102" s="27"/>
      <c r="L102" s="27"/>
      <c r="M102" s="27"/>
      <c r="N102" s="25"/>
      <c r="O102" s="27"/>
      <c r="P102" s="27"/>
      <c r="Q102" s="27"/>
      <c r="R102" s="25"/>
      <c r="S102" s="27"/>
      <c r="T102" s="25"/>
      <c r="U102" s="25"/>
      <c r="V102" s="25"/>
      <c r="W102" s="25"/>
      <c r="X102" s="27"/>
      <c r="Y102" s="27"/>
      <c r="Z102" s="27"/>
      <c r="AA102" s="27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7"/>
      <c r="AP102" s="25"/>
      <c r="AQ102" s="25"/>
      <c r="AR102" s="25"/>
      <c r="AS102" s="25"/>
      <c r="AT102" s="28"/>
      <c r="AU102" s="25"/>
      <c r="AV102" s="25"/>
      <c r="AW102" s="25"/>
      <c r="AX102" s="25"/>
      <c r="AY102" s="25"/>
      <c r="AZ102" s="27"/>
      <c r="BA102" s="25"/>
      <c r="BB102" s="25"/>
      <c r="BC102" s="25"/>
      <c r="BD102" s="27"/>
      <c r="BE102" s="25"/>
      <c r="BF102" s="27"/>
      <c r="BG102" s="25"/>
      <c r="BH102" s="27"/>
      <c r="BI102" s="27"/>
      <c r="BJ102" s="27"/>
      <c r="BK102" s="27"/>
      <c r="BL102" s="27"/>
      <c r="BM102" s="25"/>
      <c r="BN102" s="27"/>
      <c r="BO102" s="25"/>
      <c r="BP102" s="27"/>
      <c r="BQ102" s="27"/>
      <c r="BR102" s="27"/>
      <c r="BS102" s="25"/>
      <c r="BT102" s="27"/>
      <c r="BU102" s="25"/>
      <c r="BV102" s="27"/>
      <c r="BW102" s="25"/>
      <c r="BX102" s="27"/>
      <c r="BY102" s="27"/>
      <c r="BZ102" s="27"/>
      <c r="CA102" s="27"/>
      <c r="CB102" s="27"/>
      <c r="CC102" s="25"/>
      <c r="CD102" s="27"/>
      <c r="CE102" s="27"/>
      <c r="CF102" s="25"/>
      <c r="CG102" s="25"/>
      <c r="CH102" s="25"/>
      <c r="CI102" s="25"/>
      <c r="CJ102" s="25"/>
      <c r="CK102" s="28"/>
      <c r="CL102" s="25"/>
      <c r="CM102" s="25"/>
      <c r="CN102" s="25"/>
      <c r="CO102" s="27"/>
      <c r="CP102" s="25"/>
      <c r="CQ102" s="25"/>
      <c r="CR102" s="25"/>
      <c r="CS102" s="27"/>
      <c r="CT102" s="25"/>
      <c r="CU102" s="25"/>
      <c r="CV102" s="28"/>
      <c r="CW102" s="25"/>
      <c r="CX102" s="25"/>
      <c r="CY102" s="25"/>
      <c r="CZ102" s="25"/>
      <c r="DA102" s="25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8"/>
      <c r="EN102" s="28">
        <f t="shared" si="15"/>
        <v>0</v>
      </c>
      <c r="EO102" s="28">
        <f t="shared" si="16"/>
        <v>0</v>
      </c>
      <c r="EP102" s="28">
        <f t="shared" si="14"/>
        <v>0</v>
      </c>
    </row>
    <row r="103" spans="1:146">
      <c r="B103" s="39"/>
      <c r="C103" s="94"/>
      <c r="D103" s="40"/>
      <c r="E103" s="41"/>
      <c r="F103" s="42"/>
      <c r="G103" s="43"/>
      <c r="H103" s="43"/>
      <c r="I103" s="43"/>
      <c r="J103" s="43"/>
      <c r="K103" s="43"/>
      <c r="L103" s="43"/>
      <c r="M103" s="43"/>
      <c r="N103" s="41"/>
      <c r="O103" s="43"/>
      <c r="P103" s="43"/>
      <c r="Q103" s="43"/>
      <c r="R103" s="41"/>
      <c r="S103" s="43"/>
      <c r="T103" s="41"/>
      <c r="U103" s="41"/>
      <c r="V103" s="41"/>
      <c r="W103" s="41"/>
      <c r="X103" s="43"/>
      <c r="Y103" s="43"/>
      <c r="Z103" s="43"/>
      <c r="AA103" s="43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3"/>
      <c r="AP103" s="41"/>
      <c r="AQ103" s="41"/>
      <c r="AR103" s="41"/>
      <c r="AS103" s="41"/>
      <c r="AT103" s="28"/>
      <c r="AU103" s="41"/>
      <c r="AV103" s="41"/>
      <c r="AW103" s="41"/>
      <c r="AX103" s="41"/>
      <c r="AY103" s="41"/>
      <c r="AZ103" s="43"/>
      <c r="BA103" s="41"/>
      <c r="BB103" s="41"/>
      <c r="BC103" s="41"/>
      <c r="BD103" s="43"/>
      <c r="BE103" s="41"/>
      <c r="BF103" s="43"/>
      <c r="BG103" s="41"/>
      <c r="BH103" s="43"/>
      <c r="BI103" s="43"/>
      <c r="BJ103" s="43"/>
      <c r="BK103" s="43"/>
      <c r="BL103" s="43"/>
      <c r="BM103" s="41"/>
      <c r="BN103" s="43"/>
      <c r="BO103" s="41"/>
      <c r="BP103" s="43"/>
      <c r="BQ103" s="43"/>
      <c r="BR103" s="43"/>
      <c r="BS103" s="41"/>
      <c r="BT103" s="43"/>
      <c r="BU103" s="41"/>
      <c r="BV103" s="43"/>
      <c r="BW103" s="41"/>
      <c r="BX103" s="43"/>
      <c r="BY103" s="43"/>
      <c r="BZ103" s="43"/>
      <c r="CA103" s="43"/>
      <c r="CB103" s="43"/>
      <c r="CC103" s="41"/>
      <c r="CD103" s="43"/>
      <c r="CE103" s="43"/>
      <c r="CF103" s="41"/>
      <c r="CG103" s="41"/>
      <c r="CH103" s="41"/>
      <c r="CI103" s="41"/>
      <c r="CJ103" s="41"/>
      <c r="CK103" s="28"/>
      <c r="CL103" s="41"/>
      <c r="CM103" s="41"/>
      <c r="CN103" s="41"/>
      <c r="CO103" s="43"/>
      <c r="CP103" s="41"/>
      <c r="CQ103" s="41"/>
      <c r="CR103" s="41"/>
      <c r="CS103" s="43"/>
      <c r="CT103" s="41"/>
      <c r="CU103" s="41"/>
      <c r="CV103" s="28"/>
      <c r="CW103" s="41"/>
      <c r="CX103" s="41"/>
      <c r="CY103" s="41"/>
      <c r="CZ103" s="41"/>
      <c r="DA103" s="41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28"/>
      <c r="EN103" s="28">
        <f t="shared" si="15"/>
        <v>0</v>
      </c>
      <c r="EO103" s="28">
        <f t="shared" si="16"/>
        <v>0</v>
      </c>
      <c r="EP103" s="28">
        <f t="shared" si="14"/>
        <v>0</v>
      </c>
    </row>
    <row r="104" spans="1:146">
      <c r="B104" s="9">
        <f>+B95+30</f>
        <v>44405</v>
      </c>
      <c r="C104" s="91"/>
      <c r="D104" s="138" t="s">
        <v>112</v>
      </c>
      <c r="E104" s="25">
        <f>+F104+J104+L104+N104+T104+V104+X104+AB104+AD104+AF104+AL104+AN104+AP104+AU104+AW104+AY104+BC104+BE104+BG104+BM104+BO104+BQ104+BW104+CC104+CE104+CG104+CL104+CN104+CP104+CR104+CT104+CW104+CY104+DA104+DC104+DE104+DG104+DI104+DK104+DM104+DO104+DQ104+DS104+EE104+EG104+EI104+EK104+R104+H104+CI104+BA104+AR104</f>
        <v>0</v>
      </c>
      <c r="F104" s="26"/>
      <c r="G104" s="27"/>
      <c r="H104" s="27"/>
      <c r="I104" s="27"/>
      <c r="J104" s="27"/>
      <c r="K104" s="27"/>
      <c r="L104" s="27"/>
      <c r="M104" s="27"/>
      <c r="N104" s="25"/>
      <c r="O104" s="27"/>
      <c r="P104" s="27"/>
      <c r="Q104" s="27"/>
      <c r="R104" s="25"/>
      <c r="S104" s="27"/>
      <c r="T104" s="25"/>
      <c r="U104" s="25"/>
      <c r="V104" s="25"/>
      <c r="W104" s="25"/>
      <c r="X104" s="27"/>
      <c r="Y104" s="27"/>
      <c r="Z104" s="27"/>
      <c r="AA104" s="27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7"/>
      <c r="AP104" s="25"/>
      <c r="AQ104" s="25"/>
      <c r="AR104" s="25"/>
      <c r="AS104" s="25"/>
      <c r="AT104" s="28"/>
      <c r="AU104" s="25"/>
      <c r="AV104" s="25"/>
      <c r="AW104" s="25"/>
      <c r="AX104" s="25"/>
      <c r="AY104" s="25"/>
      <c r="AZ104" s="27"/>
      <c r="BA104" s="25"/>
      <c r="BB104" s="25"/>
      <c r="BC104" s="25"/>
      <c r="BD104" s="27"/>
      <c r="BE104" s="25"/>
      <c r="BF104" s="27"/>
      <c r="BG104" s="25"/>
      <c r="BH104" s="27"/>
      <c r="BI104" s="27"/>
      <c r="BJ104" s="27"/>
      <c r="BK104" s="27"/>
      <c r="BL104" s="27"/>
      <c r="BM104" s="25"/>
      <c r="BN104" s="27"/>
      <c r="BO104" s="25"/>
      <c r="BP104" s="27"/>
      <c r="BQ104" s="27"/>
      <c r="BR104" s="27"/>
      <c r="BS104" s="25"/>
      <c r="BT104" s="27"/>
      <c r="BU104" s="25"/>
      <c r="BV104" s="27"/>
      <c r="BW104" s="25"/>
      <c r="BX104" s="27"/>
      <c r="BY104" s="27"/>
      <c r="BZ104" s="27"/>
      <c r="CA104" s="27"/>
      <c r="CB104" s="27"/>
      <c r="CC104" s="25"/>
      <c r="CD104" s="27"/>
      <c r="CE104" s="25"/>
      <c r="CF104" s="25"/>
      <c r="CG104" s="25"/>
      <c r="CH104" s="25"/>
      <c r="CI104" s="25"/>
      <c r="CJ104" s="25"/>
      <c r="CK104" s="28"/>
      <c r="CL104" s="25"/>
      <c r="CM104" s="25"/>
      <c r="CN104" s="25"/>
      <c r="CO104" s="27"/>
      <c r="CP104" s="25"/>
      <c r="CQ104" s="25"/>
      <c r="CR104" s="25"/>
      <c r="CS104" s="27"/>
      <c r="CT104" s="25"/>
      <c r="CU104" s="25"/>
      <c r="CV104" s="28"/>
      <c r="CW104" s="25"/>
      <c r="CX104" s="25"/>
      <c r="CY104" s="25"/>
      <c r="CZ104" s="25"/>
      <c r="DA104" s="25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8"/>
      <c r="EN104" s="28">
        <f t="shared" si="15"/>
        <v>0</v>
      </c>
      <c r="EO104" s="28">
        <f t="shared" si="16"/>
        <v>0</v>
      </c>
      <c r="EP104" s="28">
        <f t="shared" si="14"/>
        <v>0</v>
      </c>
    </row>
    <row r="105" spans="1:146">
      <c r="B105" s="9">
        <f>+B104</f>
        <v>44405</v>
      </c>
      <c r="C105" s="91"/>
      <c r="D105" s="314" t="s">
        <v>320</v>
      </c>
      <c r="E105" s="478">
        <f>+F105+J105+L105+N105+T105+V105+X105+AB105+AD105+AF105+AL105+AN105+AP105+AU105+AW105+AY105+BC105+BE105+BG105+BM105+BO105+BQ105+BW105+CC105+CE105+CG105+CL105+CN105+CP105+CR105+CT105+CW105+CY105+DA105+DC105+DE105+DG105+DI105+DK105+DM105+DO105+DQ105+DS105+EE105+EG105+EI105+EK105+R105+H105+CI105+BA105+AR105</f>
        <v>0</v>
      </c>
      <c r="F105" s="26"/>
      <c r="G105" s="316">
        <f>+AU105</f>
        <v>0</v>
      </c>
      <c r="H105" s="27"/>
      <c r="I105" s="27"/>
      <c r="J105" s="27"/>
      <c r="K105" s="27"/>
      <c r="L105" s="27"/>
      <c r="M105" s="27"/>
      <c r="N105" s="25"/>
      <c r="O105" s="27"/>
      <c r="P105" s="27"/>
      <c r="Q105" s="27"/>
      <c r="R105" s="25"/>
      <c r="S105" s="27"/>
      <c r="T105" s="25"/>
      <c r="U105" s="25"/>
      <c r="V105" s="25"/>
      <c r="W105" s="25"/>
      <c r="X105" s="27"/>
      <c r="Y105" s="27"/>
      <c r="Z105" s="27"/>
      <c r="AA105" s="27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7"/>
      <c r="AP105" s="25"/>
      <c r="AQ105" s="25"/>
      <c r="AR105" s="25"/>
      <c r="AS105" s="25"/>
      <c r="AT105" s="28"/>
      <c r="AU105" s="315">
        <f>+AV95</f>
        <v>0</v>
      </c>
      <c r="AV105" s="25"/>
      <c r="AW105" s="25"/>
      <c r="AX105" s="25"/>
      <c r="AY105" s="25"/>
      <c r="AZ105" s="27"/>
      <c r="BA105" s="25"/>
      <c r="BB105" s="25"/>
      <c r="BC105" s="25"/>
      <c r="BD105" s="27"/>
      <c r="BE105" s="25"/>
      <c r="BF105" s="27"/>
      <c r="BG105" s="25"/>
      <c r="BH105" s="27"/>
      <c r="BI105" s="27"/>
      <c r="BJ105" s="27"/>
      <c r="BK105" s="27"/>
      <c r="BL105" s="27"/>
      <c r="BM105" s="25"/>
      <c r="BN105" s="27"/>
      <c r="BO105" s="25"/>
      <c r="BP105" s="27"/>
      <c r="BQ105" s="27"/>
      <c r="BR105" s="27"/>
      <c r="BS105" s="25"/>
      <c r="BT105" s="27"/>
      <c r="BU105" s="25"/>
      <c r="BV105" s="27"/>
      <c r="BW105" s="25"/>
      <c r="BX105" s="27"/>
      <c r="BY105" s="27"/>
      <c r="BZ105" s="27"/>
      <c r="CA105" s="27"/>
      <c r="CB105" s="27"/>
      <c r="CC105" s="25"/>
      <c r="CD105" s="27"/>
      <c r="CE105" s="27"/>
      <c r="CF105" s="25"/>
      <c r="CG105" s="25"/>
      <c r="CH105" s="25"/>
      <c r="CI105" s="25"/>
      <c r="CJ105" s="25"/>
      <c r="CK105" s="28"/>
      <c r="CL105" s="25"/>
      <c r="CM105" s="25"/>
      <c r="CN105" s="25"/>
      <c r="CO105" s="27"/>
      <c r="CP105" s="25"/>
      <c r="CQ105" s="25"/>
      <c r="CR105" s="25"/>
      <c r="CS105" s="27"/>
      <c r="CT105" s="25"/>
      <c r="CU105" s="25"/>
      <c r="CV105" s="28"/>
      <c r="CW105" s="25"/>
      <c r="CX105" s="25"/>
      <c r="CY105" s="25"/>
      <c r="CZ105" s="25"/>
      <c r="DA105" s="25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8"/>
      <c r="EN105" s="28">
        <f t="shared" si="15"/>
        <v>0</v>
      </c>
      <c r="EO105" s="28">
        <f t="shared" si="16"/>
        <v>0</v>
      </c>
      <c r="EP105" s="28">
        <f>+EN105-EO105</f>
        <v>0</v>
      </c>
    </row>
    <row r="106" spans="1:146">
      <c r="B106" s="9">
        <f>+B104</f>
        <v>44405</v>
      </c>
      <c r="C106" s="91"/>
      <c r="D106" s="216" t="s">
        <v>113</v>
      </c>
      <c r="E106" s="478">
        <f>+F106+J106+L106+N106+T106+V106+X106+AB106+AD106+AF106+AL106+AN106+AP106+AU106+AW106+AY106+BC106+BE106+BG106+BM106+BO106+BQ106+BW106+CC106+CE106+CG106+CL106+CN106+CP106+CR106+CT106+CW106+CY106+DA106+DC106+DE106+DG106+DI106+DK106+DM106+DO106+DQ106+DS106+EE106+EG106+EI106+EK106+R106+H106+CI106+BA106+AR106</f>
        <v>0</v>
      </c>
      <c r="F106" s="26"/>
      <c r="G106" s="427">
        <f>+L106+AW106+BE106+J106+BA106+BU106-BI106-BJ106</f>
        <v>0</v>
      </c>
      <c r="H106" s="27"/>
      <c r="I106" s="27"/>
      <c r="J106" s="321">
        <v>0</v>
      </c>
      <c r="K106" s="27"/>
      <c r="L106" s="321">
        <f>+DATOS!F21</f>
        <v>0</v>
      </c>
      <c r="M106" s="27"/>
      <c r="N106" s="25"/>
      <c r="O106" s="27"/>
      <c r="P106" s="27"/>
      <c r="Q106" s="27"/>
      <c r="R106" s="25"/>
      <c r="S106" s="27"/>
      <c r="T106" s="25"/>
      <c r="U106" s="25"/>
      <c r="V106" s="25"/>
      <c r="W106" s="25"/>
      <c r="X106" s="27"/>
      <c r="Y106" s="27"/>
      <c r="Z106" s="27"/>
      <c r="AA106" s="27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7"/>
      <c r="AP106" s="25"/>
      <c r="AQ106" s="25"/>
      <c r="AR106" s="25"/>
      <c r="AS106" s="25"/>
      <c r="AT106" s="28"/>
      <c r="AU106" s="25"/>
      <c r="AV106" s="25"/>
      <c r="AW106" s="435">
        <f>+AX98</f>
        <v>0</v>
      </c>
      <c r="AX106" s="25"/>
      <c r="AY106" s="25"/>
      <c r="AZ106" s="27"/>
      <c r="BA106" s="435">
        <f>+DATOS!I41</f>
        <v>0</v>
      </c>
      <c r="BB106" s="25"/>
      <c r="BC106" s="25"/>
      <c r="BD106" s="27"/>
      <c r="BE106" s="25"/>
      <c r="BF106" s="27"/>
      <c r="BG106" s="25"/>
      <c r="BH106" s="27"/>
      <c r="BI106" s="27"/>
      <c r="BJ106" s="27">
        <v>0</v>
      </c>
      <c r="BK106" s="27"/>
      <c r="BL106" s="27"/>
      <c r="BM106" s="25"/>
      <c r="BN106" s="27"/>
      <c r="BO106" s="25"/>
      <c r="BP106" s="27"/>
      <c r="BQ106" s="27"/>
      <c r="BR106" s="27"/>
      <c r="BS106" s="25"/>
      <c r="BT106" s="27"/>
      <c r="BU106" s="25">
        <f>+BV95</f>
        <v>0</v>
      </c>
      <c r="BV106" s="27"/>
      <c r="BW106" s="25"/>
      <c r="BX106" s="27"/>
      <c r="BY106" s="27"/>
      <c r="BZ106" s="27"/>
      <c r="CA106" s="27"/>
      <c r="CB106" s="27"/>
      <c r="CC106" s="25"/>
      <c r="CD106" s="27"/>
      <c r="CE106" s="27"/>
      <c r="CF106" s="25"/>
      <c r="CG106" s="25"/>
      <c r="CH106" s="25"/>
      <c r="CI106" s="25"/>
      <c r="CJ106" s="25"/>
      <c r="CK106" s="28"/>
      <c r="CL106" s="25"/>
      <c r="CM106" s="25"/>
      <c r="CN106" s="25"/>
      <c r="CO106" s="27"/>
      <c r="CP106" s="25"/>
      <c r="CQ106" s="25"/>
      <c r="CR106" s="25"/>
      <c r="CS106" s="27"/>
      <c r="CT106" s="25"/>
      <c r="CU106" s="25"/>
      <c r="CV106" s="28"/>
      <c r="CW106" s="25"/>
      <c r="CX106" s="25"/>
      <c r="CY106" s="25"/>
      <c r="CZ106" s="25"/>
      <c r="DA106" s="25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8"/>
      <c r="EN106" s="28">
        <f t="shared" si="15"/>
        <v>0</v>
      </c>
      <c r="EO106" s="28">
        <f t="shared" si="16"/>
        <v>0</v>
      </c>
      <c r="EP106" s="28">
        <f t="shared" si="14"/>
        <v>0</v>
      </c>
    </row>
    <row r="107" spans="1:146">
      <c r="B107" s="9">
        <f>+B106</f>
        <v>44405</v>
      </c>
      <c r="C107" s="92"/>
      <c r="D107" s="210" t="s">
        <v>114</v>
      </c>
      <c r="E107" s="478">
        <f>+F107+J107+L107+N107+T107+V107+X107+AB107+AD107+AF107+AL107+AN107+AP107+AU107+AW107+AY107+BC107+BE107+BG107+BM107+BO107+BQ107+BW107+CC107+CE107+CG107+CL107+CN107+CP107+CR107+CT107+CW107+CY107+DA107+DC107+DE107+DG107+DI107+DK107+DM107+DO107+DQ107+DS107+EE107+EG107+EI107+EK107+R107+H107+CI107+BA107+AR107+DY107</f>
        <v>0</v>
      </c>
      <c r="F107" s="26"/>
      <c r="G107" s="219">
        <f>+J107+EG107+DY107+X107+CW107</f>
        <v>0</v>
      </c>
      <c r="H107" s="27"/>
      <c r="I107" s="27"/>
      <c r="J107" s="219">
        <f>+DATOS!E42</f>
        <v>0</v>
      </c>
      <c r="K107" s="27"/>
      <c r="L107" s="27"/>
      <c r="M107" s="27"/>
      <c r="N107" s="25"/>
      <c r="O107" s="27"/>
      <c r="P107" s="27"/>
      <c r="Q107" s="27"/>
      <c r="R107" s="25"/>
      <c r="S107" s="27"/>
      <c r="T107" s="25"/>
      <c r="U107" s="25"/>
      <c r="V107" s="25"/>
      <c r="W107" s="25"/>
      <c r="X107" s="219"/>
      <c r="Y107" s="27"/>
      <c r="Z107" s="27"/>
      <c r="AA107" s="27"/>
      <c r="AB107" s="25"/>
      <c r="AC107" s="25"/>
      <c r="AD107" s="25"/>
      <c r="AE107" s="25"/>
      <c r="AF107" s="25"/>
      <c r="AG107" s="25">
        <v>0</v>
      </c>
      <c r="AH107" s="25"/>
      <c r="AI107" s="25"/>
      <c r="AJ107" s="25"/>
      <c r="AK107" s="25"/>
      <c r="AL107" s="25"/>
      <c r="AM107" s="25"/>
      <c r="AN107" s="25"/>
      <c r="AO107" s="27"/>
      <c r="AP107" s="25"/>
      <c r="AQ107" s="25"/>
      <c r="AR107" s="25"/>
      <c r="AS107" s="25"/>
      <c r="AT107" s="28"/>
      <c r="AU107" s="25"/>
      <c r="AV107" s="25"/>
      <c r="AW107" s="25"/>
      <c r="AX107" s="25"/>
      <c r="AY107" s="25"/>
      <c r="AZ107" s="27"/>
      <c r="BA107" s="25"/>
      <c r="BB107" s="25"/>
      <c r="BC107" s="25"/>
      <c r="BD107" s="27"/>
      <c r="BE107" s="25"/>
      <c r="BF107" s="27"/>
      <c r="BG107" s="25"/>
      <c r="BH107" s="27"/>
      <c r="BI107" s="27"/>
      <c r="BJ107" s="27"/>
      <c r="BK107" s="27"/>
      <c r="BL107" s="27"/>
      <c r="BM107" s="25"/>
      <c r="BN107" s="27"/>
      <c r="BO107" s="25"/>
      <c r="BP107" s="27"/>
      <c r="BQ107" s="27"/>
      <c r="BR107" s="27"/>
      <c r="BS107" s="25"/>
      <c r="BT107" s="27"/>
      <c r="BU107" s="25"/>
      <c r="BV107" s="27"/>
      <c r="BW107" s="25"/>
      <c r="BX107" s="27"/>
      <c r="BY107" s="27"/>
      <c r="BZ107" s="27"/>
      <c r="CA107" s="27"/>
      <c r="CB107" s="27"/>
      <c r="CC107" s="25"/>
      <c r="CD107" s="27"/>
      <c r="CE107" s="27"/>
      <c r="CF107" s="25"/>
      <c r="CG107" s="25"/>
      <c r="CH107" s="25"/>
      <c r="CI107" s="25"/>
      <c r="CJ107" s="25"/>
      <c r="CK107" s="28"/>
      <c r="CL107" s="25"/>
      <c r="CM107" s="25"/>
      <c r="CN107" s="25"/>
      <c r="CO107" s="27"/>
      <c r="CP107" s="25"/>
      <c r="CQ107" s="25"/>
      <c r="CR107" s="25"/>
      <c r="CS107" s="27"/>
      <c r="CT107" s="25"/>
      <c r="CU107" s="25"/>
      <c r="CV107" s="28"/>
      <c r="CW107" s="418">
        <f>+DATOS!F42</f>
        <v>0</v>
      </c>
      <c r="CX107" s="25"/>
      <c r="CY107" s="25"/>
      <c r="CZ107" s="25"/>
      <c r="DA107" s="25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>
        <v>0</v>
      </c>
      <c r="EB107" s="25"/>
      <c r="EC107" s="25"/>
      <c r="ED107" s="25"/>
      <c r="EE107" s="25"/>
      <c r="EF107" s="25"/>
      <c r="EG107" s="220">
        <f>ROUND(+J107/0.19,0)-X107</f>
        <v>0</v>
      </c>
      <c r="EH107" s="25"/>
      <c r="EI107" s="25"/>
      <c r="EJ107" s="25"/>
      <c r="EK107" s="25"/>
      <c r="EL107" s="25"/>
      <c r="EM107" s="28"/>
      <c r="EN107" s="28">
        <f t="shared" si="15"/>
        <v>0</v>
      </c>
      <c r="EO107" s="28">
        <f t="shared" si="16"/>
        <v>0</v>
      </c>
      <c r="EP107" s="28">
        <f t="shared" si="14"/>
        <v>0</v>
      </c>
    </row>
    <row r="108" spans="1:146" ht="12" customHeight="1">
      <c r="B108" s="9">
        <f>+B107</f>
        <v>44405</v>
      </c>
      <c r="C108" s="92"/>
      <c r="D108" s="211" t="s">
        <v>115</v>
      </c>
      <c r="E108" s="478">
        <f>+F108+J108+L108+N108+T108+V108+X108+AB108+AD108+AF108+AL108+AN108+AP108+AU108+AW108+AY108+BC108+BE108+BG108+BM108+BO108+BQ108+BW108+CC108+CE108+CG108+CL108+CN108+CP108+CR108+CT108+CW108+CY108+DA108+DC108+DE108+DG108+DI108+DK108+DM108+DO108+DQ108+DS108+EE108+EG108+EI108+EK108+R108+H108+CI108+BA108+AR108</f>
        <v>0</v>
      </c>
      <c r="F108" s="320">
        <f>(+K108+CM108)+CO108</f>
        <v>0</v>
      </c>
      <c r="G108" s="27"/>
      <c r="H108" s="27"/>
      <c r="I108" s="27"/>
      <c r="J108" s="27"/>
      <c r="K108" s="221">
        <f>+DATOS!E21</f>
        <v>0</v>
      </c>
      <c r="L108" s="27"/>
      <c r="M108" s="27"/>
      <c r="N108" s="25"/>
      <c r="O108" s="27"/>
      <c r="P108" s="27"/>
      <c r="Q108" s="27"/>
      <c r="R108" s="25"/>
      <c r="S108" s="27"/>
      <c r="T108" s="25"/>
      <c r="U108" s="25"/>
      <c r="V108" s="25"/>
      <c r="W108" s="25"/>
      <c r="X108" s="27"/>
      <c r="Y108" s="27"/>
      <c r="Z108" s="27"/>
      <c r="AA108" s="27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7"/>
      <c r="AP108" s="25"/>
      <c r="AQ108" s="25"/>
      <c r="AR108" s="25"/>
      <c r="AS108" s="25"/>
      <c r="AT108" s="28"/>
      <c r="AU108" s="25"/>
      <c r="AV108" s="25"/>
      <c r="AW108" s="25"/>
      <c r="AX108" s="25"/>
      <c r="AY108" s="25"/>
      <c r="AZ108" s="27"/>
      <c r="BA108" s="25"/>
      <c r="BB108" s="25"/>
      <c r="BC108" s="25"/>
      <c r="BD108" s="27"/>
      <c r="BE108" s="25"/>
      <c r="BF108" s="27"/>
      <c r="BG108" s="25"/>
      <c r="BH108" s="27"/>
      <c r="BI108" s="27"/>
      <c r="BJ108" s="27"/>
      <c r="BK108" s="27"/>
      <c r="BL108" s="27"/>
      <c r="BM108" s="25"/>
      <c r="BN108" s="27"/>
      <c r="BO108" s="25"/>
      <c r="BP108" s="27"/>
      <c r="BQ108" s="27"/>
      <c r="BR108" s="27"/>
      <c r="BS108" s="25"/>
      <c r="BT108" s="27"/>
      <c r="BU108" s="25"/>
      <c r="BV108" s="27"/>
      <c r="BW108" s="25"/>
      <c r="BX108" s="27"/>
      <c r="BY108" s="27"/>
      <c r="BZ108" s="27"/>
      <c r="CA108" s="27"/>
      <c r="CB108" s="27"/>
      <c r="CC108" s="25"/>
      <c r="CD108" s="27"/>
      <c r="CE108" s="27"/>
      <c r="CF108" s="25"/>
      <c r="CG108" s="25"/>
      <c r="CH108" s="25"/>
      <c r="CI108" s="25"/>
      <c r="CJ108" s="25"/>
      <c r="CK108" s="28"/>
      <c r="CL108" s="25"/>
      <c r="CM108" s="320">
        <f>ROUND(+K108/0.19,0)</f>
        <v>0</v>
      </c>
      <c r="CN108" s="25"/>
      <c r="CO108" s="221">
        <f>+DATOS!D21</f>
        <v>0</v>
      </c>
      <c r="CP108" s="25"/>
      <c r="CQ108" s="25"/>
      <c r="CR108" s="25"/>
      <c r="CS108" s="27"/>
      <c r="CT108" s="25"/>
      <c r="CU108" s="25"/>
      <c r="CV108" s="28"/>
      <c r="CW108" s="25"/>
      <c r="CX108" s="25"/>
      <c r="CY108" s="25"/>
      <c r="CZ108" s="25"/>
      <c r="DA108" s="25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8"/>
      <c r="EN108" s="28">
        <f t="shared" si="15"/>
        <v>0</v>
      </c>
      <c r="EO108" s="28">
        <f t="shared" si="16"/>
        <v>0</v>
      </c>
      <c r="EP108" s="28">
        <f t="shared" si="14"/>
        <v>0</v>
      </c>
    </row>
    <row r="109" spans="1:146">
      <c r="B109" s="9">
        <f>+B108</f>
        <v>44405</v>
      </c>
      <c r="C109" s="91"/>
      <c r="D109" s="1139" t="s">
        <v>921</v>
      </c>
      <c r="E109" s="25">
        <f>+F109+J109+L109+N109+T109+V109+X109+AB109+AD109+AF109+AL109+AN109+AP109+AU109+AW109+AY109+BC109+BE109+BG109+BM109+BO109+BQ109+BW109+CC109+CE109+CG109+CL109+CN109+CP109+CR109+CT109+CW109+CY109+DA109+DC109+DE109+DG109+DI109+DK109+DM109+DO109+DQ109+DS109+EE109+EG109+EI109+EK109+R109+H109+CI109+BA109+AR109+DU109</f>
        <v>0</v>
      </c>
      <c r="F109" s="26"/>
      <c r="G109" s="1140">
        <f>+DU109</f>
        <v>0</v>
      </c>
      <c r="H109" s="27"/>
      <c r="I109" s="27"/>
      <c r="J109" s="1140"/>
      <c r="K109" s="27"/>
      <c r="L109" s="27"/>
      <c r="M109" s="27"/>
      <c r="N109" s="25"/>
      <c r="O109" s="27"/>
      <c r="P109" s="27"/>
      <c r="Q109" s="27"/>
      <c r="R109" s="25"/>
      <c r="S109" s="27"/>
      <c r="T109" s="25"/>
      <c r="U109" s="25"/>
      <c r="V109" s="25"/>
      <c r="W109" s="25"/>
      <c r="X109" s="27"/>
      <c r="Y109" s="27"/>
      <c r="Z109" s="27"/>
      <c r="AA109" s="27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7"/>
      <c r="AP109" s="25"/>
      <c r="AQ109" s="25"/>
      <c r="AR109" s="25"/>
      <c r="AS109" s="25"/>
      <c r="AT109" s="28"/>
      <c r="AU109" s="25"/>
      <c r="AV109" s="25"/>
      <c r="AW109" s="25"/>
      <c r="AX109" s="25"/>
      <c r="AY109" s="25"/>
      <c r="AZ109" s="27"/>
      <c r="BA109" s="25"/>
      <c r="BB109" s="25"/>
      <c r="BC109" s="25"/>
      <c r="BD109" s="27"/>
      <c r="BE109" s="25"/>
      <c r="BF109" s="27"/>
      <c r="BG109" s="25"/>
      <c r="BH109" s="27"/>
      <c r="BI109" s="27"/>
      <c r="BJ109" s="27"/>
      <c r="BK109" s="27"/>
      <c r="BL109" s="27"/>
      <c r="BM109" s="25"/>
      <c r="BN109" s="27"/>
      <c r="BO109" s="25"/>
      <c r="BP109" s="27"/>
      <c r="BQ109" s="27"/>
      <c r="BR109" s="27"/>
      <c r="BS109" s="25"/>
      <c r="BT109" s="27"/>
      <c r="BU109" s="25"/>
      <c r="BV109" s="27"/>
      <c r="BW109" s="25"/>
      <c r="BX109" s="27"/>
      <c r="BY109" s="27"/>
      <c r="BZ109" s="27"/>
      <c r="CA109" s="27"/>
      <c r="CB109" s="27"/>
      <c r="CC109" s="25"/>
      <c r="CD109" s="27"/>
      <c r="CE109" s="27"/>
      <c r="CF109" s="25"/>
      <c r="CG109" s="25"/>
      <c r="CH109" s="25"/>
      <c r="CI109" s="25"/>
      <c r="CJ109" s="25"/>
      <c r="CK109" s="28"/>
      <c r="CL109" s="25"/>
      <c r="CM109" s="26"/>
      <c r="CN109" s="25"/>
      <c r="CO109" s="27"/>
      <c r="CP109" s="25"/>
      <c r="CQ109" s="25"/>
      <c r="CR109" s="25"/>
      <c r="CS109" s="27"/>
      <c r="CT109" s="25"/>
      <c r="CU109" s="25"/>
      <c r="CV109" s="28"/>
      <c r="CW109" s="25"/>
      <c r="CX109" s="25"/>
      <c r="CY109" s="25"/>
      <c r="CZ109" s="25"/>
      <c r="DA109" s="25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5"/>
      <c r="DP109" s="25"/>
      <c r="DQ109" s="25"/>
      <c r="DR109" s="25"/>
      <c r="DS109" s="25"/>
      <c r="DT109" s="25"/>
      <c r="DU109" s="215"/>
      <c r="DV109" s="25"/>
      <c r="DW109" s="25"/>
      <c r="DX109" s="25"/>
      <c r="DY109" s="215"/>
      <c r="DZ109" s="25"/>
      <c r="EA109" s="25"/>
      <c r="EB109" s="25"/>
      <c r="EC109" s="25"/>
      <c r="ED109" s="25"/>
      <c r="EE109" s="25"/>
      <c r="EF109" s="25"/>
      <c r="EG109" s="27"/>
      <c r="EH109" s="25"/>
      <c r="EI109" s="25"/>
      <c r="EJ109" s="25"/>
      <c r="EK109" s="25"/>
      <c r="EL109" s="25">
        <f>+J109</f>
        <v>0</v>
      </c>
      <c r="EM109" s="28"/>
      <c r="EN109" s="28">
        <f t="shared" si="15"/>
        <v>0</v>
      </c>
      <c r="EO109" s="28">
        <f t="shared" si="16"/>
        <v>0</v>
      </c>
      <c r="EP109" s="28">
        <f>+EN109-EO109</f>
        <v>0</v>
      </c>
    </row>
    <row r="110" spans="1:146">
      <c r="A110">
        <v>490</v>
      </c>
      <c r="B110" s="9">
        <f>+B108</f>
        <v>44405</v>
      </c>
      <c r="C110" s="91"/>
      <c r="D110" s="138" t="s">
        <v>153</v>
      </c>
      <c r="E110" s="25">
        <f>+F110+J110+L110+N110+T110+V110+X110+AB110+AD110+AF110+AL110+AN110+AP110+AU110+AW110+AY110+BC110+BE110+BG110+BM110+BO110+BQ110+BW110+CC110+CE110+CG110+CL110+CN110+CP110+CR110+CT110+CW110+CY110+DA110+DC110+DE110+DG110+DI110+DK110+DM110+DO110+DQ110+DS110+EE110+EG110+EI110+EK110+R110+H110+CI110+BA110+AR110</f>
        <v>0</v>
      </c>
      <c r="F110" s="26"/>
      <c r="G110" s="27">
        <f>+CW110+CY110+DA110+DC110+DE110+DG110+DI110+DK110+DM110</f>
        <v>0</v>
      </c>
      <c r="H110" s="27"/>
      <c r="I110" s="27"/>
      <c r="J110" s="27"/>
      <c r="K110" s="27"/>
      <c r="L110" s="27"/>
      <c r="M110" s="27"/>
      <c r="N110" s="25"/>
      <c r="O110" s="27"/>
      <c r="P110" s="27"/>
      <c r="Q110" s="27"/>
      <c r="R110" s="25"/>
      <c r="S110" s="27"/>
      <c r="T110" s="25"/>
      <c r="U110" s="25"/>
      <c r="V110" s="25"/>
      <c r="W110" s="25"/>
      <c r="X110" s="27"/>
      <c r="Y110" s="27"/>
      <c r="Z110" s="27"/>
      <c r="AA110" s="27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7"/>
      <c r="AP110" s="25"/>
      <c r="AQ110" s="25"/>
      <c r="AR110" s="25"/>
      <c r="AS110" s="25"/>
      <c r="AT110" s="28"/>
      <c r="AU110" s="25"/>
      <c r="AV110" s="25"/>
      <c r="AW110" s="25"/>
      <c r="AX110" s="25"/>
      <c r="AY110" s="25"/>
      <c r="AZ110" s="27"/>
      <c r="BA110" s="25"/>
      <c r="BB110" s="25"/>
      <c r="BC110" s="25"/>
      <c r="BD110" s="27"/>
      <c r="BE110" s="25"/>
      <c r="BF110" s="27"/>
      <c r="BG110" s="25"/>
      <c r="BH110" s="27"/>
      <c r="BI110" s="27"/>
      <c r="BJ110" s="27"/>
      <c r="BK110" s="27"/>
      <c r="BL110" s="27"/>
      <c r="BM110" s="25"/>
      <c r="BN110" s="27"/>
      <c r="BO110" s="25"/>
      <c r="BP110" s="27"/>
      <c r="BQ110" s="27"/>
      <c r="BR110" s="27"/>
      <c r="BS110" s="25"/>
      <c r="BT110" s="27"/>
      <c r="BU110" s="25"/>
      <c r="BV110" s="27"/>
      <c r="BW110" s="25"/>
      <c r="BX110" s="27"/>
      <c r="BY110" s="27"/>
      <c r="BZ110" s="27"/>
      <c r="CA110" s="27"/>
      <c r="CB110" s="27"/>
      <c r="CC110" s="25"/>
      <c r="CD110" s="27"/>
      <c r="CE110" s="27"/>
      <c r="CF110" s="25"/>
      <c r="CG110" s="25"/>
      <c r="CH110" s="25"/>
      <c r="CI110" s="25"/>
      <c r="CJ110" s="25"/>
      <c r="CK110" s="28"/>
      <c r="CL110" s="25"/>
      <c r="CM110" s="25"/>
      <c r="CN110" s="25"/>
      <c r="CO110" s="27"/>
      <c r="CP110" s="25"/>
      <c r="CQ110" s="25"/>
      <c r="CR110" s="25"/>
      <c r="CS110" s="27"/>
      <c r="CT110" s="25"/>
      <c r="CU110" s="25"/>
      <c r="CV110" s="28"/>
      <c r="CW110" s="25">
        <v>0</v>
      </c>
      <c r="CX110" s="25"/>
      <c r="CY110" s="25"/>
      <c r="CZ110" s="25"/>
      <c r="DA110" s="25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8"/>
      <c r="EN110" s="28">
        <f t="shared" si="15"/>
        <v>0</v>
      </c>
      <c r="EO110" s="28">
        <f t="shared" si="16"/>
        <v>0</v>
      </c>
      <c r="EP110" s="28">
        <f t="shared" si="14"/>
        <v>0</v>
      </c>
    </row>
    <row r="111" spans="1:146">
      <c r="B111" s="9">
        <f>+B109</f>
        <v>44405</v>
      </c>
      <c r="C111" s="92"/>
      <c r="D111" s="212" t="s">
        <v>147</v>
      </c>
      <c r="E111" s="478">
        <f>+F111+J111+L111+N111+T111+V111+X111+AB111+AD111+AF111+AL111+AN111+AP111+AU111+AW111+AY111+BC111+BE111+BG111+BM111+BO111+BQ111+BW111+CC111+CE111+CG111+CL111+CN111+CP111+CR111+CT111+CW111+CY111+DA111+DC111+DE111+DG111+DI111+DK111+DM111+DO111+DQ111+DS111+EE111+EG111+EI111+EK111+R111+H111+CI111+BA111+AR111</f>
        <v>0</v>
      </c>
      <c r="F111" s="26"/>
      <c r="G111" s="27">
        <f>+DS111-AX111</f>
        <v>0</v>
      </c>
      <c r="H111" s="27"/>
      <c r="I111" s="27"/>
      <c r="J111" s="27"/>
      <c r="K111" s="27"/>
      <c r="L111" s="27"/>
      <c r="M111" s="27"/>
      <c r="N111" s="25"/>
      <c r="O111" s="27"/>
      <c r="P111" s="27"/>
      <c r="Q111" s="27"/>
      <c r="R111" s="25"/>
      <c r="S111" s="27"/>
      <c r="T111" s="25"/>
      <c r="U111" s="25"/>
      <c r="V111" s="25"/>
      <c r="W111" s="25"/>
      <c r="X111" s="27"/>
      <c r="Y111" s="27"/>
      <c r="Z111" s="27"/>
      <c r="AA111" s="27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7"/>
      <c r="AP111" s="25"/>
      <c r="AQ111" s="25"/>
      <c r="AR111" s="25"/>
      <c r="AS111" s="25"/>
      <c r="AT111" s="28"/>
      <c r="AU111" s="25"/>
      <c r="AV111" s="25"/>
      <c r="AW111" s="25"/>
      <c r="AX111" s="217">
        <f>+DATOS!G21</f>
        <v>0</v>
      </c>
      <c r="AY111" s="25"/>
      <c r="AZ111" s="27"/>
      <c r="BA111" s="25"/>
      <c r="BB111" s="25"/>
      <c r="BC111" s="25"/>
      <c r="BD111" s="27"/>
      <c r="BE111" s="25"/>
      <c r="BF111" s="27"/>
      <c r="BG111" s="25"/>
      <c r="BH111" s="27"/>
      <c r="BI111" s="27"/>
      <c r="BJ111" s="27"/>
      <c r="BK111" s="27"/>
      <c r="BL111" s="27"/>
      <c r="BM111" s="25"/>
      <c r="BN111" s="27"/>
      <c r="BO111" s="25"/>
      <c r="BP111" s="27"/>
      <c r="BQ111" s="27"/>
      <c r="BR111" s="27"/>
      <c r="BS111" s="25"/>
      <c r="BT111" s="27"/>
      <c r="BU111" s="25"/>
      <c r="BV111" s="27"/>
      <c r="BW111" s="25"/>
      <c r="BX111" s="27"/>
      <c r="BY111" s="27"/>
      <c r="BZ111" s="27"/>
      <c r="CA111" s="27"/>
      <c r="CB111" s="27"/>
      <c r="CC111" s="25"/>
      <c r="CD111" s="27"/>
      <c r="CE111" s="27"/>
      <c r="CF111" s="25"/>
      <c r="CG111" s="25"/>
      <c r="CH111" s="25"/>
      <c r="CI111" s="25"/>
      <c r="CJ111" s="25"/>
      <c r="CK111" s="28"/>
      <c r="CL111" s="25"/>
      <c r="CM111" s="25"/>
      <c r="CN111" s="25"/>
      <c r="CO111" s="27"/>
      <c r="CP111" s="25"/>
      <c r="CQ111" s="25"/>
      <c r="CR111" s="25"/>
      <c r="CS111" s="27"/>
      <c r="CT111" s="25"/>
      <c r="CU111" s="25"/>
      <c r="CV111" s="28"/>
      <c r="CW111" s="25"/>
      <c r="CX111" s="25"/>
      <c r="CY111" s="25"/>
      <c r="CZ111" s="25"/>
      <c r="DA111" s="25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5"/>
      <c r="DP111" s="25"/>
      <c r="DQ111" s="25"/>
      <c r="DR111" s="25"/>
      <c r="DS111" s="218">
        <f>ROUND(+AX111/0.13,0)</f>
        <v>0</v>
      </c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8"/>
      <c r="EN111" s="28">
        <f t="shared" si="15"/>
        <v>0</v>
      </c>
      <c r="EO111" s="28">
        <f t="shared" si="16"/>
        <v>0</v>
      </c>
      <c r="EP111" s="28">
        <f t="shared" si="14"/>
        <v>0</v>
      </c>
    </row>
    <row r="112" spans="1:146">
      <c r="B112" s="9">
        <f>+B110</f>
        <v>44405</v>
      </c>
      <c r="C112" s="92"/>
      <c r="D112" s="213" t="s">
        <v>195</v>
      </c>
      <c r="E112" s="478">
        <f>+F112+J112+L112+N112+T112+V112+X112+AB112+AD112+AF112+AL112+AN112+AP112+AU112+AW112+AY112+BC112+BE112+BG112+BM112+BO112+BQ112+BW112+CC112+CE112+CG112+CL112+CN112+CP112+CR112+CT112+CW112+CY112+DA112+DC112+DE112+DG112+DI112+DK112+DM112+DO112+DQ112+DS112+EE112+EG112+EI112+EK112+R112+H112+CI112+BA112+AR112+DU112</f>
        <v>0</v>
      </c>
      <c r="F112" s="26">
        <f>+BV112</f>
        <v>0</v>
      </c>
      <c r="G112" s="286">
        <f>+DU112-BB112-AV112-AQ112+DY112</f>
        <v>0</v>
      </c>
      <c r="H112" s="27"/>
      <c r="I112" s="27"/>
      <c r="J112" s="27"/>
      <c r="K112" s="27"/>
      <c r="L112" s="27"/>
      <c r="M112" s="27"/>
      <c r="N112" s="25"/>
      <c r="O112" s="27"/>
      <c r="P112" s="27"/>
      <c r="Q112" s="27"/>
      <c r="R112" s="25"/>
      <c r="S112" s="27"/>
      <c r="T112" s="25"/>
      <c r="U112" s="25"/>
      <c r="V112" s="25"/>
      <c r="W112" s="25"/>
      <c r="X112" s="27"/>
      <c r="Y112" s="27"/>
      <c r="Z112" s="27"/>
      <c r="AA112" s="27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7"/>
      <c r="AP112" s="213"/>
      <c r="AQ112" s="215">
        <f>+DATOS!K42</f>
        <v>0</v>
      </c>
      <c r="AR112" s="25"/>
      <c r="AS112" s="25"/>
      <c r="AT112" s="28"/>
      <c r="AU112" s="25"/>
      <c r="AV112" s="215">
        <f>+DATOS!J42+DATOS!M42</f>
        <v>0</v>
      </c>
      <c r="AW112" s="25"/>
      <c r="AX112" s="25"/>
      <c r="AY112" s="25"/>
      <c r="AZ112" s="27"/>
      <c r="BA112" s="25"/>
      <c r="BB112" s="214">
        <f>+DATOS!I42</f>
        <v>0</v>
      </c>
      <c r="BC112" s="25"/>
      <c r="BD112" s="27"/>
      <c r="BE112" s="25"/>
      <c r="BF112" s="27"/>
      <c r="BG112" s="25"/>
      <c r="BH112" s="27"/>
      <c r="BI112" s="27"/>
      <c r="BJ112" s="27"/>
      <c r="BK112" s="27"/>
      <c r="BL112" s="27"/>
      <c r="BM112" s="25"/>
      <c r="BN112" s="27"/>
      <c r="BO112" s="25"/>
      <c r="BP112" s="27"/>
      <c r="BQ112" s="27"/>
      <c r="BR112" s="27"/>
      <c r="BS112" s="25"/>
      <c r="BT112" s="27"/>
      <c r="BU112" s="25"/>
      <c r="BV112" s="27"/>
      <c r="BW112" s="25"/>
      <c r="BX112" s="27"/>
      <c r="BY112" s="27"/>
      <c r="BZ112" s="27"/>
      <c r="CA112" s="27"/>
      <c r="CB112" s="27"/>
      <c r="CC112" s="25"/>
      <c r="CD112" s="27"/>
      <c r="CE112" s="27"/>
      <c r="CF112" s="25"/>
      <c r="CG112" s="25"/>
      <c r="CH112" s="25"/>
      <c r="CI112" s="25"/>
      <c r="CJ112" s="25"/>
      <c r="CK112" s="28"/>
      <c r="CL112" s="25"/>
      <c r="CM112" s="25"/>
      <c r="CN112" s="25"/>
      <c r="CO112" s="27"/>
      <c r="CP112" s="25"/>
      <c r="CQ112" s="25"/>
      <c r="CR112" s="25"/>
      <c r="CS112" s="27"/>
      <c r="CT112" s="25"/>
      <c r="CU112" s="25"/>
      <c r="CV112" s="28"/>
      <c r="CW112" s="25"/>
      <c r="CX112" s="25"/>
      <c r="CY112" s="25"/>
      <c r="CZ112" s="25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5"/>
      <c r="DP112" s="25"/>
      <c r="DQ112" s="25"/>
      <c r="DR112" s="25"/>
      <c r="DS112" s="25"/>
      <c r="DT112" s="25"/>
      <c r="DU112" s="215">
        <f>+DATOS!G42</f>
        <v>0</v>
      </c>
      <c r="DV112" s="25"/>
      <c r="DW112" s="25"/>
      <c r="DX112" s="25"/>
      <c r="DY112" s="215">
        <f>+DATOS!M42</f>
        <v>0</v>
      </c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8"/>
      <c r="EN112" s="28">
        <f>+F112+J112+L112+N112+T112+V112+X112+AB112+AD112+AF112+AL112+AN112+AP112+AU112+AW112+AY112+BC112+BE112+BG112+BM112+BO112+BQ112+BU112+BW112+BY112+CC112+CE112+CG112+CL112+CN112+CP112+CR112+CT112+CW112+CY112+DA112+DC112+DE112+DG112+DI112+DK112+DM112+DO112+DQ112+DS112+EE112+EG112+EI112+EK112+H112+R112+AR112+BA112+CI112+DU112+DY112</f>
        <v>0</v>
      </c>
      <c r="EO112" s="28">
        <f t="shared" si="16"/>
        <v>0</v>
      </c>
      <c r="EP112" s="28">
        <f t="shared" si="14"/>
        <v>0</v>
      </c>
    </row>
    <row r="113" spans="2:146">
      <c r="B113" s="9">
        <f>+B111</f>
        <v>44405</v>
      </c>
      <c r="C113" s="92"/>
      <c r="D113" s="485" t="s">
        <v>488</v>
      </c>
      <c r="E113" s="478"/>
      <c r="F113" s="26"/>
      <c r="G113" s="278">
        <f>+BY113</f>
        <v>0</v>
      </c>
      <c r="H113" s="27"/>
      <c r="I113" s="27"/>
      <c r="J113" s="27"/>
      <c r="K113" s="27"/>
      <c r="L113" s="27"/>
      <c r="M113" s="27"/>
      <c r="N113" s="25"/>
      <c r="O113" s="27"/>
      <c r="P113" s="27"/>
      <c r="Q113" s="27"/>
      <c r="R113" s="25"/>
      <c r="S113" s="27"/>
      <c r="T113" s="25"/>
      <c r="U113" s="25"/>
      <c r="V113" s="25"/>
      <c r="W113" s="25"/>
      <c r="X113" s="27"/>
      <c r="Y113" s="27"/>
      <c r="Z113" s="27"/>
      <c r="AA113" s="27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7"/>
      <c r="AP113" s="517"/>
      <c r="AQ113" s="215"/>
      <c r="AR113" s="25"/>
      <c r="AS113" s="25"/>
      <c r="AT113" s="28"/>
      <c r="AU113" s="25"/>
      <c r="AV113" s="215"/>
      <c r="AW113" s="25"/>
      <c r="AX113" s="25"/>
      <c r="AY113" s="25"/>
      <c r="AZ113" s="27"/>
      <c r="BA113" s="25"/>
      <c r="BB113" s="214"/>
      <c r="BC113" s="25"/>
      <c r="BD113" s="27"/>
      <c r="BE113" s="25"/>
      <c r="BF113" s="27"/>
      <c r="BG113" s="25"/>
      <c r="BH113" s="27"/>
      <c r="BI113" s="27"/>
      <c r="BJ113" s="27"/>
      <c r="BK113" s="27"/>
      <c r="BL113" s="27"/>
      <c r="BM113" s="25"/>
      <c r="BN113" s="27"/>
      <c r="BO113" s="25"/>
      <c r="BP113" s="27"/>
      <c r="BQ113" s="515">
        <f>+DATOS!C69</f>
        <v>0</v>
      </c>
      <c r="BR113" s="27"/>
      <c r="BS113" s="515">
        <f>+DATOS!F69</f>
        <v>0</v>
      </c>
      <c r="BT113" s="27"/>
      <c r="BU113" s="516">
        <f>+DATOS!I69</f>
        <v>0</v>
      </c>
      <c r="BV113" s="27"/>
      <c r="BW113" s="516">
        <f>+DATOS!L69</f>
        <v>0</v>
      </c>
      <c r="BX113" s="27"/>
      <c r="BY113" s="515">
        <f>+DATOS!O69</f>
        <v>0</v>
      </c>
      <c r="BZ113" s="27"/>
      <c r="CA113" s="27"/>
      <c r="CB113" s="27"/>
      <c r="CC113" s="25"/>
      <c r="CD113" s="27"/>
      <c r="CE113" s="27"/>
      <c r="CF113" s="25"/>
      <c r="CG113" s="25"/>
      <c r="CH113" s="25"/>
      <c r="CI113" s="25"/>
      <c r="CJ113" s="25"/>
      <c r="CK113" s="28"/>
      <c r="CL113" s="25"/>
      <c r="CM113" s="25"/>
      <c r="CN113" s="25"/>
      <c r="CO113" s="27"/>
      <c r="CP113" s="25"/>
      <c r="CQ113" s="25"/>
      <c r="CR113" s="25"/>
      <c r="CS113" s="27"/>
      <c r="CT113" s="25"/>
      <c r="CU113" s="25"/>
      <c r="CV113" s="28"/>
      <c r="CW113" s="25"/>
      <c r="CX113" s="25"/>
      <c r="CY113" s="25"/>
      <c r="CZ113" s="25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5"/>
      <c r="DP113" s="25"/>
      <c r="DQ113" s="25"/>
      <c r="DR113" s="25"/>
      <c r="DS113" s="25"/>
      <c r="DT113" s="25"/>
      <c r="DU113" s="215"/>
      <c r="DV113" s="25"/>
      <c r="DW113" s="25"/>
      <c r="DX113" s="25"/>
      <c r="DY113" s="21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8"/>
      <c r="EN113" s="28"/>
      <c r="EO113" s="28"/>
      <c r="EP113" s="28"/>
    </row>
    <row r="114" spans="2:146">
      <c r="B114" s="9">
        <f>+B112</f>
        <v>44405</v>
      </c>
      <c r="C114" s="92"/>
      <c r="D114" s="302" t="s">
        <v>652</v>
      </c>
      <c r="E114" s="478"/>
      <c r="F114" s="26"/>
      <c r="G114" s="286"/>
      <c r="H114" s="27"/>
      <c r="I114" s="27"/>
      <c r="J114" s="27"/>
      <c r="K114" s="27"/>
      <c r="L114" s="27"/>
      <c r="M114" s="27"/>
      <c r="N114" s="25"/>
      <c r="O114" s="27"/>
      <c r="P114" s="27"/>
      <c r="Q114" s="27"/>
      <c r="R114" s="25"/>
      <c r="S114" s="27"/>
      <c r="T114" s="25"/>
      <c r="U114" s="25"/>
      <c r="V114" s="25"/>
      <c r="W114" s="25"/>
      <c r="X114" s="27"/>
      <c r="Y114" s="27"/>
      <c r="Z114" s="27"/>
      <c r="AA114" s="27"/>
      <c r="AB114" s="25"/>
      <c r="AC114" s="25"/>
      <c r="AD114" s="25"/>
      <c r="AE114" s="25"/>
      <c r="AF114" s="25"/>
      <c r="AG114" s="527">
        <f>+DATOS!G69</f>
        <v>0</v>
      </c>
      <c r="AH114" s="25"/>
      <c r="AI114" s="527">
        <f>+DATOS!D69</f>
        <v>0</v>
      </c>
      <c r="AJ114" s="25"/>
      <c r="AK114" s="531">
        <f>+DATOS!J69+DATOS!M69+DATOS!P69</f>
        <v>0</v>
      </c>
      <c r="AL114" s="25"/>
      <c r="AM114" s="25"/>
      <c r="AN114" s="25"/>
      <c r="AO114" s="27"/>
      <c r="AP114" s="517"/>
      <c r="AQ114" s="215"/>
      <c r="AR114" s="25"/>
      <c r="AS114" s="25"/>
      <c r="AT114" s="28"/>
      <c r="AU114" s="25"/>
      <c r="AV114" s="215"/>
      <c r="AW114" s="25"/>
      <c r="AX114" s="25"/>
      <c r="AY114" s="25"/>
      <c r="AZ114" s="27"/>
      <c r="BA114" s="25"/>
      <c r="BB114" s="214"/>
      <c r="BC114" s="25"/>
      <c r="BD114" s="27"/>
      <c r="BE114" s="25"/>
      <c r="BF114" s="27"/>
      <c r="BG114" s="25"/>
      <c r="BH114" s="27"/>
      <c r="BI114" s="27"/>
      <c r="BJ114" s="27"/>
      <c r="BK114" s="27"/>
      <c r="BL114" s="27"/>
      <c r="BM114" s="25"/>
      <c r="BN114" s="27"/>
      <c r="BO114" s="25"/>
      <c r="BP114" s="27"/>
      <c r="BQ114" s="27"/>
      <c r="BR114" s="27"/>
      <c r="BS114" s="25"/>
      <c r="BT114" s="27"/>
      <c r="BU114" s="25"/>
      <c r="BV114" s="27"/>
      <c r="BW114" s="25"/>
      <c r="BX114" s="27"/>
      <c r="BY114" s="27"/>
      <c r="BZ114" s="27"/>
      <c r="CA114" s="27"/>
      <c r="CB114" s="27"/>
      <c r="CC114" s="25"/>
      <c r="CD114" s="27"/>
      <c r="CE114" s="27"/>
      <c r="CF114" s="25"/>
      <c r="CG114" s="25"/>
      <c r="CH114" s="25"/>
      <c r="CI114" s="25"/>
      <c r="CJ114" s="25"/>
      <c r="CK114" s="28"/>
      <c r="CL114" s="25"/>
      <c r="CM114" s="25"/>
      <c r="CN114" s="25"/>
      <c r="CO114" s="27"/>
      <c r="CP114" s="25"/>
      <c r="CQ114" s="25"/>
      <c r="CR114" s="25"/>
      <c r="CS114" s="27"/>
      <c r="CT114" s="25"/>
      <c r="CU114" s="25"/>
      <c r="CV114" s="28"/>
      <c r="CW114" s="25"/>
      <c r="CX114" s="25"/>
      <c r="CY114" s="25"/>
      <c r="CZ114" s="25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5"/>
      <c r="DP114" s="25"/>
      <c r="DQ114" s="25"/>
      <c r="DR114" s="25"/>
      <c r="DS114" s="25"/>
      <c r="DT114" s="25"/>
      <c r="DU114" s="215"/>
      <c r="DV114" s="25"/>
      <c r="DW114" s="25"/>
      <c r="DX114" s="25"/>
      <c r="DY114" s="215"/>
      <c r="DZ114" s="25"/>
      <c r="EA114" s="527">
        <f>+AG114+AI114+AK114</f>
        <v>0</v>
      </c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8"/>
      <c r="EN114" s="28"/>
      <c r="EO114" s="28"/>
      <c r="EP114" s="28"/>
    </row>
    <row r="115" spans="2:146">
      <c r="B115" s="9">
        <f>+B112</f>
        <v>44405</v>
      </c>
      <c r="C115" s="92"/>
      <c r="D115" s="284" t="s">
        <v>263</v>
      </c>
      <c r="E115" s="478">
        <f>+F115+J115+L115+N115+T115+V115+X115+AB115+AD115+AF115+AL115+AN115+AP115+AU115+AW115+AY115+BC115+BE115+BG115+BM115+BO115+BQ115+BW115+CC115+CE115+CG115+CL115+CN115+CP115+CR115+CT115+CW115+CY115+DA115+DC115+DE115+DG115+DI115+DK115+DM115+DO115+DQ115+DS115+EE115+EG115+EI115+EK115+R115+H115+CI115+BA115+AR115</f>
        <v>0</v>
      </c>
      <c r="F115" s="26"/>
      <c r="G115" s="283">
        <f>+DW115</f>
        <v>0</v>
      </c>
      <c r="H115" s="27"/>
      <c r="I115" s="27"/>
      <c r="J115" s="27"/>
      <c r="K115" s="27"/>
      <c r="L115" s="27"/>
      <c r="M115" s="27"/>
      <c r="N115" s="25"/>
      <c r="O115" s="27"/>
      <c r="P115" s="27"/>
      <c r="Q115" s="27"/>
      <c r="R115" s="25"/>
      <c r="S115" s="27"/>
      <c r="T115" s="25"/>
      <c r="U115" s="25"/>
      <c r="V115" s="25"/>
      <c r="W115" s="25"/>
      <c r="X115" s="27"/>
      <c r="Y115" s="27"/>
      <c r="Z115" s="27"/>
      <c r="AA115" s="27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7"/>
      <c r="AP115" s="25"/>
      <c r="AQ115" s="25"/>
      <c r="AR115" s="25"/>
      <c r="AS115" s="25"/>
      <c r="AT115" s="28"/>
      <c r="AU115" s="25"/>
      <c r="AV115" s="25"/>
      <c r="AW115" s="25"/>
      <c r="AX115" s="25"/>
      <c r="AY115" s="25"/>
      <c r="AZ115" s="27"/>
      <c r="BA115" s="25"/>
      <c r="BB115" s="25"/>
      <c r="BC115" s="25"/>
      <c r="BD115" s="27"/>
      <c r="BE115" s="25"/>
      <c r="BF115" s="27"/>
      <c r="BG115" s="25"/>
      <c r="BH115" s="27"/>
      <c r="BI115" s="27"/>
      <c r="BJ115" s="27"/>
      <c r="BK115" s="27"/>
      <c r="BL115" s="27"/>
      <c r="BM115" s="25"/>
      <c r="BN115" s="27"/>
      <c r="BO115" s="25"/>
      <c r="BP115" s="27"/>
      <c r="BQ115" s="27"/>
      <c r="BR115" s="27"/>
      <c r="BS115" s="25"/>
      <c r="BT115" s="27"/>
      <c r="BU115" s="25"/>
      <c r="BV115" s="27"/>
      <c r="BW115" s="25"/>
      <c r="BX115" s="27"/>
      <c r="BY115" s="27"/>
      <c r="BZ115" s="27"/>
      <c r="CA115" s="27"/>
      <c r="CB115" s="27"/>
      <c r="CC115" s="25"/>
      <c r="CD115" s="27"/>
      <c r="CE115" s="27"/>
      <c r="CF115" s="25"/>
      <c r="CG115" s="25"/>
      <c r="CH115" s="25"/>
      <c r="CI115" s="25"/>
      <c r="CJ115" s="25"/>
      <c r="CK115" s="28"/>
      <c r="CL115" s="25"/>
      <c r="CM115" s="25"/>
      <c r="CN115" s="25"/>
      <c r="CO115" s="27"/>
      <c r="CP115" s="25"/>
      <c r="CQ115" s="25"/>
      <c r="CR115" s="25"/>
      <c r="CS115" s="27"/>
      <c r="CT115" s="25"/>
      <c r="CU115" s="25"/>
      <c r="CV115" s="28"/>
      <c r="CW115" s="25"/>
      <c r="CX115" s="25"/>
      <c r="CY115" s="25"/>
      <c r="CZ115" s="25"/>
      <c r="DA115" s="25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5"/>
      <c r="DP115" s="25"/>
      <c r="DQ115" s="25"/>
      <c r="DR115" s="25"/>
      <c r="DS115" s="25"/>
      <c r="DT115" s="25"/>
      <c r="DU115" s="25"/>
      <c r="DV115" s="25"/>
      <c r="DW115" s="285">
        <f>+DATOS!N42</f>
        <v>0</v>
      </c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8"/>
      <c r="EN115" s="28">
        <f t="shared" si="15"/>
        <v>0</v>
      </c>
      <c r="EO115" s="28">
        <f t="shared" si="16"/>
        <v>0</v>
      </c>
      <c r="EP115" s="28"/>
    </row>
    <row r="116" spans="2:146">
      <c r="B116" s="9"/>
      <c r="C116" s="92"/>
      <c r="D116" s="539" t="s">
        <v>497</v>
      </c>
      <c r="E116" s="25">
        <f>+F116+J116+L116+N116+T116+V116+X116+AB116+AD116+AF116+AL116+AN116+AP116+AU116+AW116+AY116+BC116+BE116+BG116+BM116+BO116+BQ116+BW116+CC116+CE116+CG116+CL116+CN116+CP116+CR116+CT116+CW116+CY116+DA116+DC116+DE116+DG116+DI116+DK116+DM116+DO116+DQ116+DS116+EE116+EG116+EI116+EK116+R116+H116+CI116+BA116+AR116+DU116</f>
        <v>0</v>
      </c>
      <c r="F116" s="26">
        <f>+BX116-AJ116</f>
        <v>0</v>
      </c>
      <c r="G116" s="27">
        <f>+DS116</f>
        <v>0</v>
      </c>
      <c r="H116" s="27"/>
      <c r="I116" s="27"/>
      <c r="J116" s="27"/>
      <c r="K116" s="27"/>
      <c r="L116" s="27"/>
      <c r="M116" s="27"/>
      <c r="N116" s="25"/>
      <c r="O116" s="27"/>
      <c r="P116" s="27"/>
      <c r="Q116" s="27"/>
      <c r="R116" s="25"/>
      <c r="S116" s="27"/>
      <c r="T116" s="25"/>
      <c r="U116" s="25"/>
      <c r="V116" s="25"/>
      <c r="W116" s="25"/>
      <c r="X116" s="27"/>
      <c r="Y116" s="27"/>
      <c r="Z116" s="27"/>
      <c r="AA116" s="27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7"/>
      <c r="AP116" s="25"/>
      <c r="AQ116" s="25"/>
      <c r="AR116" s="25"/>
      <c r="AS116" s="25"/>
      <c r="AT116" s="28"/>
      <c r="AU116" s="25"/>
      <c r="AV116" s="25"/>
      <c r="AW116" s="25"/>
      <c r="AX116" s="25"/>
      <c r="AY116" s="25"/>
      <c r="AZ116" s="27"/>
      <c r="BA116" s="25"/>
      <c r="BB116" s="25"/>
      <c r="BC116" s="25"/>
      <c r="BD116" s="27"/>
      <c r="BE116" s="25"/>
      <c r="BF116" s="27"/>
      <c r="BG116" s="25"/>
      <c r="BH116" s="27"/>
      <c r="BI116" s="27"/>
      <c r="BJ116" s="27"/>
      <c r="BK116" s="27"/>
      <c r="BL116" s="27"/>
      <c r="BM116" s="25"/>
      <c r="BN116" s="27"/>
      <c r="BO116" s="25"/>
      <c r="BP116" s="27"/>
      <c r="BQ116" s="27"/>
      <c r="BR116" s="27"/>
      <c r="BS116" s="25"/>
      <c r="BT116" s="27"/>
      <c r="BU116" s="25"/>
      <c r="BV116" s="27"/>
      <c r="BW116" s="25"/>
      <c r="BX116" s="27"/>
      <c r="BY116" s="27"/>
      <c r="BZ116" s="27"/>
      <c r="CA116" s="27"/>
      <c r="CB116" s="27"/>
      <c r="CC116" s="25"/>
      <c r="CD116" s="27"/>
      <c r="CE116" s="27"/>
      <c r="CF116" s="25"/>
      <c r="CG116" s="25"/>
      <c r="CH116" s="25"/>
      <c r="CI116" s="25"/>
      <c r="CJ116" s="25"/>
      <c r="CK116" s="28"/>
      <c r="CL116" s="25"/>
      <c r="CM116" s="25"/>
      <c r="CN116" s="25"/>
      <c r="CO116" s="27"/>
      <c r="CP116" s="25"/>
      <c r="CQ116" s="25"/>
      <c r="CR116" s="25"/>
      <c r="CS116" s="27"/>
      <c r="CT116" s="25"/>
      <c r="CU116" s="25"/>
      <c r="CV116" s="28"/>
      <c r="CW116" s="25"/>
      <c r="CX116" s="25"/>
      <c r="CY116" s="25"/>
      <c r="CZ116" s="25"/>
      <c r="DA116" s="25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5"/>
      <c r="DP116" s="25"/>
      <c r="DQ116" s="25"/>
      <c r="DR116" s="25"/>
      <c r="DS116" s="242">
        <f>+DS99</f>
        <v>0</v>
      </c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8"/>
      <c r="EN116" s="28">
        <f>+F116+J116+L116+N116+T116+V116+X116+AB116+AD116+AF116+AL116+AN116+AP116+AU116+AW116+AY116+BC116+BE116+BG116+BM116+BO116+BQ116+BU116+BW116+BY116+CC116+CE116+CG116+CL116+CN116+CP116+CR116+CT116+CW116+CY116+DA116+DC116+DE116+DG116+DI116+DK116+DM116+DO116+DQ116+DS116+EE116+EG116+EI116+EK116+H116+R116+AR116+BA116+CI116</f>
        <v>0</v>
      </c>
      <c r="EO116" s="28">
        <f>+G116+K116+M116+O116+U116+W116+Y116+AC116+AE116+AG116+AM116+AO116+AQ116+AV116+AX116+AZ116+BD116+BF116+BH116+BN116+BP116+BR116+BV116+BX116+BZ116+CD116+CF116+CH116+CM116+CO116+CQ116+CS116+CU116+CX116+CZ116+DB116+DD116+DF116+DH116+DJ116+DL116+DN116+DP116+DR116+DT116+EF116+EH116+EJ116+EL116+I116+S116+AS116+BB116+CJ116</f>
        <v>0</v>
      </c>
      <c r="EP116" s="28">
        <f>+EN116-EO116</f>
        <v>0</v>
      </c>
    </row>
    <row r="117" spans="2:146">
      <c r="B117" s="39"/>
      <c r="C117" s="94"/>
      <c r="D117" s="40"/>
      <c r="E117" s="41"/>
      <c r="F117" s="42"/>
      <c r="G117" s="43"/>
      <c r="H117" s="43"/>
      <c r="I117" s="43"/>
      <c r="J117" s="43"/>
      <c r="K117" s="43"/>
      <c r="L117" s="43"/>
      <c r="M117" s="43"/>
      <c r="N117" s="41"/>
      <c r="O117" s="43"/>
      <c r="P117" s="43"/>
      <c r="Q117" s="43"/>
      <c r="R117" s="41"/>
      <c r="S117" s="43"/>
      <c r="T117" s="41"/>
      <c r="U117" s="41"/>
      <c r="V117" s="41"/>
      <c r="W117" s="41"/>
      <c r="X117" s="43"/>
      <c r="Y117" s="43"/>
      <c r="Z117" s="43"/>
      <c r="AA117" s="43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3"/>
      <c r="AP117" s="41"/>
      <c r="AQ117" s="41"/>
      <c r="AR117" s="41"/>
      <c r="AS117" s="41"/>
      <c r="AT117" s="28"/>
      <c r="AU117" s="41"/>
      <c r="AV117" s="41"/>
      <c r="AW117" s="41"/>
      <c r="AX117" s="41"/>
      <c r="AY117" s="41"/>
      <c r="AZ117" s="43"/>
      <c r="BA117" s="41"/>
      <c r="BB117" s="41"/>
      <c r="BC117" s="41"/>
      <c r="BD117" s="43"/>
      <c r="BE117" s="41"/>
      <c r="BF117" s="43"/>
      <c r="BG117" s="41"/>
      <c r="BH117" s="43"/>
      <c r="BI117" s="43"/>
      <c r="BJ117" s="43"/>
      <c r="BK117" s="43"/>
      <c r="BL117" s="43"/>
      <c r="BM117" s="41"/>
      <c r="BN117" s="43"/>
      <c r="BO117" s="41"/>
      <c r="BP117" s="43"/>
      <c r="BQ117" s="43"/>
      <c r="BR117" s="43"/>
      <c r="BS117" s="41"/>
      <c r="BT117" s="43"/>
      <c r="BU117" s="41"/>
      <c r="BV117" s="43"/>
      <c r="BW117" s="41"/>
      <c r="BX117" s="43"/>
      <c r="BY117" s="43"/>
      <c r="BZ117" s="43"/>
      <c r="CA117" s="43"/>
      <c r="CB117" s="43"/>
      <c r="CC117" s="41"/>
      <c r="CD117" s="43"/>
      <c r="CE117" s="43"/>
      <c r="CF117" s="41"/>
      <c r="CG117" s="41"/>
      <c r="CH117" s="41"/>
      <c r="CI117" s="41"/>
      <c r="CJ117" s="41"/>
      <c r="CK117" s="28"/>
      <c r="CL117" s="41"/>
      <c r="CM117" s="41"/>
      <c r="CN117" s="41"/>
      <c r="CO117" s="43"/>
      <c r="CP117" s="41"/>
      <c r="CQ117" s="41"/>
      <c r="CR117" s="41"/>
      <c r="CS117" s="43"/>
      <c r="CT117" s="41"/>
      <c r="CU117" s="41"/>
      <c r="CV117" s="28"/>
      <c r="CW117" s="41"/>
      <c r="CX117" s="41"/>
      <c r="CY117" s="41"/>
      <c r="CZ117" s="41"/>
      <c r="DA117" s="41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209"/>
      <c r="EH117" s="41"/>
      <c r="EI117" s="41"/>
      <c r="EJ117" s="41"/>
      <c r="EK117" s="41"/>
      <c r="EL117" s="41"/>
      <c r="EM117" s="28"/>
      <c r="EN117" s="28">
        <f t="shared" si="15"/>
        <v>0</v>
      </c>
      <c r="EO117" s="28">
        <f t="shared" si="16"/>
        <v>0</v>
      </c>
      <c r="EP117" s="28">
        <f t="shared" si="14"/>
        <v>0</v>
      </c>
    </row>
    <row r="118" spans="2:146">
      <c r="B118" s="9">
        <f>+B111+30</f>
        <v>44435</v>
      </c>
      <c r="C118" s="92"/>
      <c r="D118" s="138" t="s">
        <v>112</v>
      </c>
      <c r="E118" s="25">
        <f>+F118+J118+L118+N118+T118+V118+X118+AB118+AD118+AF118+AL118+AN118+AP118+AU118+AW118+AY118+BC118+BE118+BG118+BM118+BO118+BQ118+BW118+CC118+CE118+CG118+CL118+CN118+CP118+CR118+CT118+CW118+CY118+DA118+DC118+DE118+DG118+DI118+DK118+DM118+DO118+DQ118+DS118+EE118+EG118+EI118+EK118+R118+H118+CI118+BA118+AR118</f>
        <v>0</v>
      </c>
      <c r="F118" s="26"/>
      <c r="G118" s="27"/>
      <c r="H118" s="27"/>
      <c r="I118" s="27"/>
      <c r="J118" s="27"/>
      <c r="K118" s="27"/>
      <c r="L118" s="27"/>
      <c r="M118" s="27"/>
      <c r="N118" s="25"/>
      <c r="O118" s="27"/>
      <c r="P118" s="27"/>
      <c r="Q118" s="27"/>
      <c r="R118" s="25"/>
      <c r="S118" s="27"/>
      <c r="T118" s="25"/>
      <c r="U118" s="25"/>
      <c r="V118" s="25"/>
      <c r="W118" s="25"/>
      <c r="X118" s="27"/>
      <c r="Y118" s="27"/>
      <c r="Z118" s="27"/>
      <c r="AA118" s="27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7"/>
      <c r="AP118" s="25"/>
      <c r="AQ118" s="25"/>
      <c r="AR118" s="25"/>
      <c r="AS118" s="25"/>
      <c r="AT118" s="28"/>
      <c r="AU118" s="25"/>
      <c r="AV118" s="25"/>
      <c r="AW118" s="25"/>
      <c r="AX118" s="25"/>
      <c r="AY118" s="25"/>
      <c r="AZ118" s="27"/>
      <c r="BA118" s="25"/>
      <c r="BB118" s="25"/>
      <c r="BC118" s="25"/>
      <c r="BD118" s="27"/>
      <c r="BE118" s="25"/>
      <c r="BF118" s="27"/>
      <c r="BG118" s="25"/>
      <c r="BH118" s="27"/>
      <c r="BI118" s="27"/>
      <c r="BJ118" s="27"/>
      <c r="BK118" s="27"/>
      <c r="BL118" s="27"/>
      <c r="BM118" s="25"/>
      <c r="BN118" s="27"/>
      <c r="BO118" s="25"/>
      <c r="BP118" s="27"/>
      <c r="BQ118" s="27"/>
      <c r="BR118" s="27"/>
      <c r="BS118" s="25"/>
      <c r="BT118" s="27"/>
      <c r="BU118" s="25"/>
      <c r="BV118" s="27"/>
      <c r="BW118" s="25"/>
      <c r="BX118" s="27"/>
      <c r="BY118" s="27"/>
      <c r="BZ118" s="27"/>
      <c r="CA118" s="27"/>
      <c r="CB118" s="27"/>
      <c r="CC118" s="25"/>
      <c r="CD118" s="27"/>
      <c r="CE118" s="25"/>
      <c r="CF118" s="25"/>
      <c r="CG118" s="25"/>
      <c r="CH118" s="25"/>
      <c r="CI118" s="25"/>
      <c r="CJ118" s="25"/>
      <c r="CK118" s="28"/>
      <c r="CL118" s="25"/>
      <c r="CM118" s="25"/>
      <c r="CN118" s="25"/>
      <c r="CO118" s="27"/>
      <c r="CP118" s="25"/>
      <c r="CQ118" s="25"/>
      <c r="CR118" s="25"/>
      <c r="CS118" s="27"/>
      <c r="CT118" s="25"/>
      <c r="CU118" s="25"/>
      <c r="CV118" s="28"/>
      <c r="CW118" s="25"/>
      <c r="CX118" s="25"/>
      <c r="CY118" s="25"/>
      <c r="CZ118" s="25"/>
      <c r="DA118" s="25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8"/>
      <c r="EN118" s="28">
        <f t="shared" si="15"/>
        <v>0</v>
      </c>
      <c r="EO118" s="28">
        <f t="shared" si="16"/>
        <v>0</v>
      </c>
      <c r="EP118" s="28">
        <f t="shared" si="14"/>
        <v>0</v>
      </c>
    </row>
    <row r="119" spans="2:146">
      <c r="B119" s="9">
        <f>+B118</f>
        <v>44435</v>
      </c>
      <c r="C119" s="92"/>
      <c r="D119" s="314" t="s">
        <v>320</v>
      </c>
      <c r="E119" s="478">
        <f>+F119+J119+L119+N119+T119+V119+X119+AB119+AD119+AF119+AL119+AN119+AP119+AU119+AW119+AY119+BC119+BE119+BG119+BM119+BO119+BQ119+BW119+CC119+CE119+CG119+CL119+CN119+CP119+CR119+CT119+CW119+CY119+DA119+DC119+DE119+DG119+DI119+DK119+DM119+DO119+DQ119+DS119+EE119+EG119+EI119+EK119+R119+H119+CI119+BA119+AR119</f>
        <v>0</v>
      </c>
      <c r="F119" s="26"/>
      <c r="G119" s="316">
        <f>+AU119</f>
        <v>0</v>
      </c>
      <c r="H119" s="27"/>
      <c r="I119" s="27"/>
      <c r="J119" s="27"/>
      <c r="K119" s="27"/>
      <c r="L119" s="27"/>
      <c r="M119" s="27"/>
      <c r="N119" s="25"/>
      <c r="O119" s="27"/>
      <c r="P119" s="27"/>
      <c r="Q119" s="27"/>
      <c r="R119" s="25"/>
      <c r="S119" s="27"/>
      <c r="T119" s="25"/>
      <c r="U119" s="25"/>
      <c r="V119" s="25"/>
      <c r="W119" s="25"/>
      <c r="X119" s="27"/>
      <c r="Y119" s="27"/>
      <c r="Z119" s="27"/>
      <c r="AA119" s="27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7"/>
      <c r="AP119" s="25"/>
      <c r="AQ119" s="25"/>
      <c r="AR119" s="25"/>
      <c r="AS119" s="25"/>
      <c r="AT119" s="28"/>
      <c r="AU119" s="315">
        <f>+AV112</f>
        <v>0</v>
      </c>
      <c r="AV119" s="25"/>
      <c r="AW119" s="25"/>
      <c r="AX119" s="25"/>
      <c r="AY119" s="25"/>
      <c r="AZ119" s="27"/>
      <c r="BA119" s="25"/>
      <c r="BB119" s="25"/>
      <c r="BC119" s="25"/>
      <c r="BD119" s="27"/>
      <c r="BE119" s="25"/>
      <c r="BF119" s="27"/>
      <c r="BG119" s="25"/>
      <c r="BH119" s="27"/>
      <c r="BI119" s="27"/>
      <c r="BJ119" s="27"/>
      <c r="BK119" s="27"/>
      <c r="BL119" s="27"/>
      <c r="BM119" s="25"/>
      <c r="BN119" s="27"/>
      <c r="BO119" s="25"/>
      <c r="BP119" s="27"/>
      <c r="BQ119" s="27"/>
      <c r="BR119" s="27"/>
      <c r="BS119" s="25"/>
      <c r="BT119" s="27"/>
      <c r="BU119" s="25"/>
      <c r="BV119" s="27"/>
      <c r="BW119" s="25"/>
      <c r="BX119" s="27"/>
      <c r="BY119" s="27"/>
      <c r="BZ119" s="27"/>
      <c r="CA119" s="27"/>
      <c r="CB119" s="27"/>
      <c r="CC119" s="25"/>
      <c r="CD119" s="27"/>
      <c r="CE119" s="27"/>
      <c r="CF119" s="25"/>
      <c r="CG119" s="25"/>
      <c r="CH119" s="25"/>
      <c r="CI119" s="25"/>
      <c r="CJ119" s="25"/>
      <c r="CK119" s="28"/>
      <c r="CL119" s="25"/>
      <c r="CM119" s="25"/>
      <c r="CN119" s="25"/>
      <c r="CO119" s="27"/>
      <c r="CP119" s="25"/>
      <c r="CQ119" s="25"/>
      <c r="CR119" s="25"/>
      <c r="CS119" s="27"/>
      <c r="CT119" s="25"/>
      <c r="CU119" s="25"/>
      <c r="CV119" s="28"/>
      <c r="CW119" s="25"/>
      <c r="CX119" s="25"/>
      <c r="CY119" s="25"/>
      <c r="CZ119" s="25"/>
      <c r="DA119" s="25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8"/>
      <c r="EN119" s="28">
        <f t="shared" si="15"/>
        <v>0</v>
      </c>
      <c r="EO119" s="28">
        <f t="shared" si="16"/>
        <v>0</v>
      </c>
      <c r="EP119" s="28">
        <f>+EN119-EO119</f>
        <v>0</v>
      </c>
    </row>
    <row r="120" spans="2:146">
      <c r="B120" s="9">
        <f>+B118</f>
        <v>44435</v>
      </c>
      <c r="C120" s="92"/>
      <c r="D120" s="216" t="s">
        <v>113</v>
      </c>
      <c r="E120" s="478">
        <f>+F120+J120+L120+N120+T120+V120+X120+AB120+AD120+AF120+AL120+AN120+AP120+AU120+AW120+AY120+BC120+BE120+BG120+BM120+BO120+BQ120+BW120+CC120+CE120+CG120+CL120+CN120+CP120+CR120+CT120+CW120+CY120+DA120+DC120+DE120+DG120+DI120+DK120+DM120+DO120+DQ120+DS120+EE120+EG120+EI120+EK120+R120+H120+CI120+BA120+AR120</f>
        <v>0</v>
      </c>
      <c r="F120" s="26"/>
      <c r="G120" s="427">
        <f>+L120+AW120+BE120+J120+BA120+BU120</f>
        <v>0</v>
      </c>
      <c r="H120" s="27"/>
      <c r="I120" s="27"/>
      <c r="J120" s="321">
        <f>+K108-J107</f>
        <v>0</v>
      </c>
      <c r="K120" s="27"/>
      <c r="L120" s="321">
        <f>+DATOS!F22</f>
        <v>0</v>
      </c>
      <c r="M120" s="27"/>
      <c r="N120" s="25"/>
      <c r="O120" s="27"/>
      <c r="P120" s="27"/>
      <c r="Q120" s="27"/>
      <c r="R120" s="25"/>
      <c r="S120" s="27"/>
      <c r="T120" s="25"/>
      <c r="U120" s="25"/>
      <c r="V120" s="25"/>
      <c r="W120" s="25"/>
      <c r="X120" s="27"/>
      <c r="Y120" s="27"/>
      <c r="Z120" s="27"/>
      <c r="AA120" s="27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7"/>
      <c r="AP120" s="25"/>
      <c r="AQ120" s="25"/>
      <c r="AR120" s="25"/>
      <c r="AS120" s="25"/>
      <c r="AT120" s="28"/>
      <c r="AU120" s="25"/>
      <c r="AV120" s="25"/>
      <c r="AW120" s="435">
        <f>+AX111</f>
        <v>0</v>
      </c>
      <c r="AX120" s="25"/>
      <c r="AY120" s="25"/>
      <c r="AZ120" s="27"/>
      <c r="BA120" s="435">
        <f>+BB112</f>
        <v>0</v>
      </c>
      <c r="BB120" s="25"/>
      <c r="BC120" s="25"/>
      <c r="BD120" s="27"/>
      <c r="BE120" s="25">
        <f>+BF112</f>
        <v>0</v>
      </c>
      <c r="BF120" s="27"/>
      <c r="BG120" s="25"/>
      <c r="BH120" s="27"/>
      <c r="BI120" s="27"/>
      <c r="BJ120" s="27"/>
      <c r="BK120" s="27"/>
      <c r="BL120" s="27"/>
      <c r="BM120" s="25">
        <f>+BN112</f>
        <v>0</v>
      </c>
      <c r="BN120" s="27"/>
      <c r="BO120" s="25"/>
      <c r="BP120" s="27"/>
      <c r="BQ120" s="27"/>
      <c r="BR120" s="27"/>
      <c r="BS120" s="25"/>
      <c r="BT120" s="27"/>
      <c r="BU120" s="25">
        <f>+BV112</f>
        <v>0</v>
      </c>
      <c r="BV120" s="27"/>
      <c r="BW120" s="25"/>
      <c r="BX120" s="27"/>
      <c r="BY120" s="27"/>
      <c r="BZ120" s="27"/>
      <c r="CA120" s="27"/>
      <c r="CB120" s="27"/>
      <c r="CC120" s="25"/>
      <c r="CD120" s="27"/>
      <c r="CE120" s="27"/>
      <c r="CF120" s="25"/>
      <c r="CG120" s="25"/>
      <c r="CH120" s="25"/>
      <c r="CI120" s="25"/>
      <c r="CJ120" s="25"/>
      <c r="CK120" s="28"/>
      <c r="CL120" s="25"/>
      <c r="CM120" s="25"/>
      <c r="CN120" s="25"/>
      <c r="CO120" s="27"/>
      <c r="CP120" s="25"/>
      <c r="CQ120" s="25"/>
      <c r="CR120" s="25"/>
      <c r="CS120" s="27"/>
      <c r="CT120" s="25"/>
      <c r="CU120" s="25"/>
      <c r="CV120" s="28"/>
      <c r="CW120" s="25"/>
      <c r="CX120" s="25"/>
      <c r="CY120" s="25"/>
      <c r="CZ120" s="25"/>
      <c r="DA120" s="25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8"/>
      <c r="EN120" s="28">
        <f t="shared" si="15"/>
        <v>0</v>
      </c>
      <c r="EO120" s="28">
        <f t="shared" si="16"/>
        <v>0</v>
      </c>
      <c r="EP120" s="28">
        <f t="shared" si="14"/>
        <v>0</v>
      </c>
    </row>
    <row r="121" spans="2:146">
      <c r="B121" s="9">
        <f>+B120</f>
        <v>44435</v>
      </c>
      <c r="C121" s="92"/>
      <c r="D121" s="210" t="s">
        <v>114</v>
      </c>
      <c r="E121" s="478">
        <f>+F121+J121+L121+N121+T121+V121+X121+AB121+AD121+AF121+AL121+AN121+AP121+AU121+AW121+AY121+BC121+BE121+BG121+BM121+BO121+BQ121+BW121+CC121+CE121+CG121+CL121+CN121+CP121+CR121+CT121+CW121+CY121+DA121+DC121+DE121+DG121+DI121+DK121+DM121+DO121+DQ121+DS121+EE121+EG121+EI121+EK121+R121+H121+CI121+BA121+AR121+DY121</f>
        <v>0</v>
      </c>
      <c r="F121" s="26"/>
      <c r="G121" s="219">
        <f>+J121+EG121+DY121+X121+CW121</f>
        <v>0</v>
      </c>
      <c r="H121" s="27"/>
      <c r="I121" s="27"/>
      <c r="J121" s="219">
        <f>+DATOS!E43</f>
        <v>0</v>
      </c>
      <c r="K121" s="27"/>
      <c r="L121" s="27"/>
      <c r="M121" s="27"/>
      <c r="N121" s="25"/>
      <c r="O121" s="27"/>
      <c r="P121" s="27"/>
      <c r="Q121" s="27"/>
      <c r="R121" s="25"/>
      <c r="S121" s="27"/>
      <c r="T121" s="25"/>
      <c r="U121" s="25"/>
      <c r="V121" s="25"/>
      <c r="W121" s="25"/>
      <c r="X121" s="219"/>
      <c r="Y121" s="27"/>
      <c r="Z121" s="27"/>
      <c r="AA121" s="27"/>
      <c r="AB121" s="25"/>
      <c r="AC121" s="25"/>
      <c r="AD121" s="25"/>
      <c r="AE121" s="25"/>
      <c r="AF121" s="25"/>
      <c r="AG121" s="25">
        <v>0</v>
      </c>
      <c r="AH121" s="25"/>
      <c r="AI121" s="25"/>
      <c r="AJ121" s="25"/>
      <c r="AK121" s="25"/>
      <c r="AL121" s="25"/>
      <c r="AM121" s="25"/>
      <c r="AN121" s="25"/>
      <c r="AO121" s="27"/>
      <c r="AP121" s="25"/>
      <c r="AQ121" s="25"/>
      <c r="AR121" s="25"/>
      <c r="AS121" s="25"/>
      <c r="AT121" s="28"/>
      <c r="AU121" s="25"/>
      <c r="AV121" s="25"/>
      <c r="AW121" s="25"/>
      <c r="AX121" s="25"/>
      <c r="AY121" s="25"/>
      <c r="AZ121" s="27"/>
      <c r="BA121" s="25"/>
      <c r="BB121" s="25"/>
      <c r="BC121" s="25"/>
      <c r="BD121" s="27"/>
      <c r="BE121" s="25"/>
      <c r="BF121" s="27"/>
      <c r="BG121" s="25"/>
      <c r="BH121" s="27"/>
      <c r="BI121" s="27"/>
      <c r="BJ121" s="27"/>
      <c r="BK121" s="27"/>
      <c r="BL121" s="27"/>
      <c r="BM121" s="25"/>
      <c r="BN121" s="27"/>
      <c r="BO121" s="25"/>
      <c r="BP121" s="27"/>
      <c r="BQ121" s="27"/>
      <c r="BR121" s="27"/>
      <c r="BS121" s="25"/>
      <c r="BT121" s="27"/>
      <c r="BU121" s="25"/>
      <c r="BV121" s="27"/>
      <c r="BW121" s="25"/>
      <c r="BX121" s="27"/>
      <c r="BY121" s="27"/>
      <c r="BZ121" s="27"/>
      <c r="CA121" s="27"/>
      <c r="CB121" s="27"/>
      <c r="CC121" s="25"/>
      <c r="CD121" s="27"/>
      <c r="CE121" s="27"/>
      <c r="CF121" s="25"/>
      <c r="CG121" s="25"/>
      <c r="CH121" s="25"/>
      <c r="CI121" s="25"/>
      <c r="CJ121" s="25"/>
      <c r="CK121" s="28"/>
      <c r="CL121" s="25"/>
      <c r="CM121" s="25"/>
      <c r="CN121" s="25"/>
      <c r="CO121" s="27"/>
      <c r="CP121" s="25"/>
      <c r="CQ121" s="25"/>
      <c r="CR121" s="25"/>
      <c r="CS121" s="27"/>
      <c r="CT121" s="25"/>
      <c r="CU121" s="25"/>
      <c r="CV121" s="28"/>
      <c r="CW121" s="418">
        <f>+DATOS!F43</f>
        <v>0</v>
      </c>
      <c r="CX121" s="25"/>
      <c r="CY121" s="25"/>
      <c r="CZ121" s="25"/>
      <c r="DA121" s="25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>
        <v>0</v>
      </c>
      <c r="EB121" s="25"/>
      <c r="EC121" s="25"/>
      <c r="ED121" s="25"/>
      <c r="EE121" s="25"/>
      <c r="EF121" s="25"/>
      <c r="EG121" s="220">
        <f>ROUND(+J121/0.19,0)-X121</f>
        <v>0</v>
      </c>
      <c r="EH121" s="25"/>
      <c r="EI121" s="25"/>
      <c r="EJ121" s="25"/>
      <c r="EK121" s="25"/>
      <c r="EL121" s="25"/>
      <c r="EM121" s="28"/>
      <c r="EN121" s="28">
        <f t="shared" si="15"/>
        <v>0</v>
      </c>
      <c r="EO121" s="28">
        <f t="shared" si="16"/>
        <v>0</v>
      </c>
      <c r="EP121" s="28">
        <f t="shared" si="14"/>
        <v>0</v>
      </c>
    </row>
    <row r="122" spans="2:146">
      <c r="B122" s="9">
        <f>+B121</f>
        <v>44435</v>
      </c>
      <c r="C122" s="93"/>
      <c r="D122" s="211" t="s">
        <v>115</v>
      </c>
      <c r="E122" s="478">
        <f>+F122+J122+L122+N122+T122+V122+X122+AB122+AD122+AF122+AL122+AN122+AP122+AU122+AW122+AY122+BC122+BE122+BG122+BM122+BO122+BQ122+BW122+CC122+CE122+CG122+CL122+CN122+CP122+CR122+CT122+CW122+CY122+DA122+DC122+DE122+DG122+DI122+DK122+DM122+DO122+DQ122+DS122+EE122+EG122+EI122+EK122+R122+H122+CI122+BA122+AR122</f>
        <v>0</v>
      </c>
      <c r="F122" s="320">
        <f>(+K122+CM122)+CO122</f>
        <v>0</v>
      </c>
      <c r="G122" s="27"/>
      <c r="H122" s="27"/>
      <c r="I122" s="27"/>
      <c r="J122" s="27"/>
      <c r="K122" s="221">
        <f>+DATOS!E22</f>
        <v>0</v>
      </c>
      <c r="L122" s="27"/>
      <c r="M122" s="27"/>
      <c r="N122" s="25"/>
      <c r="O122" s="27"/>
      <c r="P122" s="27"/>
      <c r="Q122" s="27"/>
      <c r="R122" s="25"/>
      <c r="S122" s="27"/>
      <c r="T122" s="25"/>
      <c r="U122" s="25"/>
      <c r="V122" s="25"/>
      <c r="W122" s="25"/>
      <c r="X122" s="27"/>
      <c r="Y122" s="27"/>
      <c r="Z122" s="27"/>
      <c r="AA122" s="27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7"/>
      <c r="AP122" s="25"/>
      <c r="AQ122" s="25"/>
      <c r="AR122" s="25"/>
      <c r="AS122" s="25"/>
      <c r="AT122" s="28"/>
      <c r="AU122" s="25"/>
      <c r="AV122" s="25"/>
      <c r="AW122" s="25"/>
      <c r="AX122" s="25"/>
      <c r="AY122" s="25"/>
      <c r="AZ122" s="27"/>
      <c r="BA122" s="25"/>
      <c r="BB122" s="25"/>
      <c r="BC122" s="25"/>
      <c r="BD122" s="27"/>
      <c r="BE122" s="25"/>
      <c r="BF122" s="27"/>
      <c r="BG122" s="25"/>
      <c r="BH122" s="27"/>
      <c r="BI122" s="27"/>
      <c r="BJ122" s="27"/>
      <c r="BK122" s="27"/>
      <c r="BL122" s="27"/>
      <c r="BM122" s="25"/>
      <c r="BN122" s="27"/>
      <c r="BO122" s="25"/>
      <c r="BP122" s="27"/>
      <c r="BQ122" s="27"/>
      <c r="BR122" s="27"/>
      <c r="BS122" s="25"/>
      <c r="BT122" s="27"/>
      <c r="BU122" s="25"/>
      <c r="BV122" s="27"/>
      <c r="BW122" s="25"/>
      <c r="BX122" s="27"/>
      <c r="BY122" s="27"/>
      <c r="BZ122" s="27"/>
      <c r="CA122" s="27"/>
      <c r="CB122" s="27"/>
      <c r="CC122" s="25"/>
      <c r="CD122" s="27"/>
      <c r="CE122" s="27"/>
      <c r="CF122" s="25"/>
      <c r="CG122" s="25"/>
      <c r="CH122" s="25"/>
      <c r="CI122" s="25"/>
      <c r="CJ122" s="25"/>
      <c r="CK122" s="28"/>
      <c r="CL122" s="25"/>
      <c r="CM122" s="320">
        <f>ROUND(+K122/0.19,0)</f>
        <v>0</v>
      </c>
      <c r="CN122" s="25"/>
      <c r="CO122" s="221">
        <f>+DATOS!D22</f>
        <v>0</v>
      </c>
      <c r="CP122" s="25"/>
      <c r="CQ122" s="25"/>
      <c r="CR122" s="25"/>
      <c r="CS122" s="27"/>
      <c r="CT122" s="25"/>
      <c r="CU122" s="25"/>
      <c r="CV122" s="28"/>
      <c r="CW122" s="30"/>
      <c r="CX122" s="30"/>
      <c r="CY122" s="30"/>
      <c r="CZ122" s="30"/>
      <c r="DA122" s="30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28"/>
      <c r="EN122" s="28">
        <f t="shared" si="15"/>
        <v>0</v>
      </c>
      <c r="EO122" s="28">
        <f t="shared" si="16"/>
        <v>0</v>
      </c>
      <c r="EP122" s="28">
        <f t="shared" si="14"/>
        <v>0</v>
      </c>
    </row>
    <row r="123" spans="2:146">
      <c r="B123" s="9">
        <f>+B122</f>
        <v>44435</v>
      </c>
      <c r="C123" s="92"/>
      <c r="D123" s="434"/>
      <c r="E123" s="25">
        <f>+F123+J123+L123+N123+T123+V123+X123+AB123+AD123+AF123+AL123+AN123+AP123+AU123+AW123+AY123+BC123+BE123+BG123+BM123+BO123+BQ123+BW123+CC123+CE123+CG123+CL123+CN123+CP123+CR123+CT123+CW123+CY123+DA123+DC123+DE123+DG123+DI123+DK123+DM123+DO123+DQ123+DS123+EE123+EG123+EI123+EK123+R123+H123+CI123+BA123+AR123+DU123</f>
        <v>0</v>
      </c>
      <c r="F123" s="26"/>
      <c r="G123" s="286">
        <f>+DU123</f>
        <v>0</v>
      </c>
      <c r="H123" s="27"/>
      <c r="I123" s="27"/>
      <c r="J123" s="27"/>
      <c r="K123" s="27"/>
      <c r="L123" s="27"/>
      <c r="M123" s="27"/>
      <c r="N123" s="25"/>
      <c r="O123" s="27"/>
      <c r="P123" s="27"/>
      <c r="Q123" s="27"/>
      <c r="R123" s="25"/>
      <c r="S123" s="27"/>
      <c r="T123" s="25"/>
      <c r="U123" s="25"/>
      <c r="V123" s="25"/>
      <c r="W123" s="25"/>
      <c r="X123" s="27"/>
      <c r="Y123" s="27"/>
      <c r="Z123" s="27"/>
      <c r="AA123" s="27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7"/>
      <c r="AP123" s="25"/>
      <c r="AQ123" s="25"/>
      <c r="AR123" s="25"/>
      <c r="AS123" s="25"/>
      <c r="AT123" s="28"/>
      <c r="AU123" s="25"/>
      <c r="AV123" s="25"/>
      <c r="AW123" s="25"/>
      <c r="AX123" s="25"/>
      <c r="AY123" s="25"/>
      <c r="AZ123" s="27"/>
      <c r="BA123" s="25"/>
      <c r="BB123" s="25"/>
      <c r="BC123" s="25"/>
      <c r="BD123" s="27"/>
      <c r="BE123" s="25"/>
      <c r="BF123" s="27"/>
      <c r="BG123" s="25"/>
      <c r="BH123" s="27"/>
      <c r="BI123" s="27"/>
      <c r="BJ123" s="27"/>
      <c r="BK123" s="27"/>
      <c r="BL123" s="27"/>
      <c r="BM123" s="25"/>
      <c r="BN123" s="27"/>
      <c r="BO123" s="25"/>
      <c r="BP123" s="27"/>
      <c r="BQ123" s="27"/>
      <c r="BR123" s="27"/>
      <c r="BS123" s="25"/>
      <c r="BT123" s="27"/>
      <c r="BU123" s="25"/>
      <c r="BV123" s="27"/>
      <c r="BW123" s="25"/>
      <c r="BX123" s="27"/>
      <c r="BY123" s="27"/>
      <c r="BZ123" s="27"/>
      <c r="CA123" s="27"/>
      <c r="CB123" s="27"/>
      <c r="CC123" s="25"/>
      <c r="CD123" s="27"/>
      <c r="CE123" s="27"/>
      <c r="CF123" s="25"/>
      <c r="CG123" s="25"/>
      <c r="CH123" s="25"/>
      <c r="CI123" s="25"/>
      <c r="CJ123" s="25"/>
      <c r="CK123" s="28"/>
      <c r="CL123" s="25"/>
      <c r="CM123" s="26"/>
      <c r="CN123" s="25"/>
      <c r="CO123" s="27"/>
      <c r="CP123" s="25"/>
      <c r="CQ123" s="25"/>
      <c r="CR123" s="25"/>
      <c r="CS123" s="27"/>
      <c r="CT123" s="25"/>
      <c r="CU123" s="25"/>
      <c r="CV123" s="28"/>
      <c r="CW123" s="25"/>
      <c r="CX123" s="25"/>
      <c r="CY123" s="25"/>
      <c r="CZ123" s="25"/>
      <c r="DA123" s="25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5"/>
      <c r="DP123" s="25"/>
      <c r="DQ123" s="25"/>
      <c r="DR123" s="25"/>
      <c r="DS123" s="25"/>
      <c r="DT123" s="25"/>
      <c r="DU123" s="215"/>
      <c r="DV123" s="25"/>
      <c r="DW123" s="25"/>
      <c r="DX123" s="25"/>
      <c r="DY123" s="215"/>
      <c r="DZ123" s="25"/>
      <c r="EA123" s="25"/>
      <c r="EB123" s="25"/>
      <c r="EC123" s="25"/>
      <c r="ED123" s="25"/>
      <c r="EE123" s="25"/>
      <c r="EF123" s="25"/>
      <c r="EG123" s="27"/>
      <c r="EH123" s="25"/>
      <c r="EI123" s="25"/>
      <c r="EJ123" s="25"/>
      <c r="EK123" s="25"/>
      <c r="EL123" s="25">
        <f>+J123</f>
        <v>0</v>
      </c>
      <c r="EM123" s="28"/>
      <c r="EN123" s="28">
        <f t="shared" si="15"/>
        <v>0</v>
      </c>
      <c r="EO123" s="28">
        <f t="shared" si="16"/>
        <v>0</v>
      </c>
      <c r="EP123" s="28">
        <f t="shared" si="14"/>
        <v>0</v>
      </c>
    </row>
    <row r="124" spans="2:146">
      <c r="B124" s="9">
        <f t="shared" ref="B124:B129" si="18">+B122</f>
        <v>44435</v>
      </c>
      <c r="C124" s="92"/>
      <c r="D124" s="138" t="s">
        <v>154</v>
      </c>
      <c r="E124" s="25">
        <f>+F124+J124+L124+N124+T124+V124+X124+AB124+AD124+AF124+AL124+AN124+AP124+AU124+AW124+AY124+BC124+BE124+BG124+BM124+BO124+BQ124+BW124+CC124+CE124+CG124+CL124+CN124+CP124+CR124+CT124+CW124+CY124+DA124+DC124+DE124+DG124+DI124+DK124+DM124+DO124+DQ124+DS124+EE124+EG124+EI124+EK124+R124+H124+CI124+BA124+AR124</f>
        <v>0</v>
      </c>
      <c r="F124" s="26"/>
      <c r="G124" s="27">
        <f>+CW124+CY124+DA124+DC124+DE124+DG124+DI124+DK124+DM124</f>
        <v>0</v>
      </c>
      <c r="H124" s="27"/>
      <c r="I124" s="27"/>
      <c r="J124" s="27"/>
      <c r="K124" s="27"/>
      <c r="L124" s="27"/>
      <c r="M124" s="27"/>
      <c r="N124" s="25"/>
      <c r="O124" s="27"/>
      <c r="P124" s="27"/>
      <c r="Q124" s="27"/>
      <c r="R124" s="25"/>
      <c r="S124" s="27"/>
      <c r="T124" s="25"/>
      <c r="U124" s="25"/>
      <c r="V124" s="25"/>
      <c r="W124" s="25"/>
      <c r="X124" s="27"/>
      <c r="Y124" s="27"/>
      <c r="Z124" s="27"/>
      <c r="AA124" s="27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7"/>
      <c r="AP124" s="25"/>
      <c r="AQ124" s="25"/>
      <c r="AR124" s="25"/>
      <c r="AS124" s="25"/>
      <c r="AT124" s="28"/>
      <c r="AU124" s="25"/>
      <c r="AV124" s="25"/>
      <c r="AW124" s="25"/>
      <c r="AX124" s="25"/>
      <c r="AY124" s="25"/>
      <c r="AZ124" s="27"/>
      <c r="BA124" s="25"/>
      <c r="BB124" s="25"/>
      <c r="BC124" s="25"/>
      <c r="BD124" s="27"/>
      <c r="BE124" s="25"/>
      <c r="BF124" s="27"/>
      <c r="BG124" s="25"/>
      <c r="BH124" s="27"/>
      <c r="BI124" s="27"/>
      <c r="BJ124" s="27"/>
      <c r="BK124" s="27"/>
      <c r="BL124" s="27"/>
      <c r="BM124" s="25"/>
      <c r="BN124" s="27"/>
      <c r="BO124" s="25"/>
      <c r="BP124" s="27"/>
      <c r="BQ124" s="27"/>
      <c r="BR124" s="27"/>
      <c r="BS124" s="25"/>
      <c r="BT124" s="27"/>
      <c r="BU124" s="25"/>
      <c r="BV124" s="27"/>
      <c r="BW124" s="25"/>
      <c r="BX124" s="27"/>
      <c r="BY124" s="27"/>
      <c r="BZ124" s="27"/>
      <c r="CA124" s="27"/>
      <c r="CB124" s="27"/>
      <c r="CC124" s="25"/>
      <c r="CD124" s="27"/>
      <c r="CE124" s="27"/>
      <c r="CF124" s="25"/>
      <c r="CG124" s="25"/>
      <c r="CH124" s="25"/>
      <c r="CI124" s="25"/>
      <c r="CJ124" s="25"/>
      <c r="CK124" s="28"/>
      <c r="CL124" s="25"/>
      <c r="CM124" s="25"/>
      <c r="CN124" s="25"/>
      <c r="CO124" s="27"/>
      <c r="CP124" s="25"/>
      <c r="CQ124" s="25"/>
      <c r="CR124" s="25"/>
      <c r="CS124" s="27"/>
      <c r="CT124" s="25"/>
      <c r="CU124" s="25"/>
      <c r="CV124" s="28"/>
      <c r="CW124" s="25">
        <v>0</v>
      </c>
      <c r="CX124" s="25"/>
      <c r="CY124" s="25"/>
      <c r="CZ124" s="25"/>
      <c r="DA124" s="25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>
        <v>0</v>
      </c>
      <c r="EH124" s="25"/>
      <c r="EI124" s="25"/>
      <c r="EJ124" s="25"/>
      <c r="EK124" s="25"/>
      <c r="EL124" s="25"/>
      <c r="EM124" s="28"/>
      <c r="EN124" s="28">
        <f t="shared" si="15"/>
        <v>0</v>
      </c>
      <c r="EO124" s="28">
        <f t="shared" si="16"/>
        <v>0</v>
      </c>
      <c r="EP124" s="28">
        <f t="shared" si="14"/>
        <v>0</v>
      </c>
    </row>
    <row r="125" spans="2:146">
      <c r="B125" s="9">
        <f t="shared" si="18"/>
        <v>44435</v>
      </c>
      <c r="C125" s="92"/>
      <c r="D125" s="1139" t="s">
        <v>921</v>
      </c>
      <c r="E125" s="25">
        <f>+F125+J125+L125+N125+T125+V125+X125+AB125+AD125+AF125+AL125+AN125+AP125+AU125+AW125+AY125+BC125+BE125+BG125+BM125+BO125+BQ125+BW125+CC125+CE125+CG125+CL125+CN125+CP125+CR125+CT125+CW125+CY125+DA125+DC125+DE125+DG125+DI125+DK125+DM125+DO125+DQ125+DS125+EE125+EG125+EI125+EK125+R125+H125+CI125+BA125+AR125</f>
        <v>0</v>
      </c>
      <c r="F125" s="26"/>
      <c r="G125" s="27">
        <f>+CW125+CY125+DA125+DC125+DE125+DG125+DI125+DK125+DM125</f>
        <v>0</v>
      </c>
      <c r="H125" s="27"/>
      <c r="I125" s="27"/>
      <c r="J125" s="1140"/>
      <c r="K125" s="27"/>
      <c r="L125" s="27"/>
      <c r="M125" s="27"/>
      <c r="N125" s="25"/>
      <c r="O125" s="27"/>
      <c r="P125" s="27"/>
      <c r="Q125" s="27"/>
      <c r="R125" s="25"/>
      <c r="S125" s="27"/>
      <c r="T125" s="25"/>
      <c r="U125" s="25"/>
      <c r="V125" s="25"/>
      <c r="W125" s="25"/>
      <c r="X125" s="27"/>
      <c r="Y125" s="27"/>
      <c r="Z125" s="27"/>
      <c r="AA125" s="27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7"/>
      <c r="AP125" s="25"/>
      <c r="AQ125" s="25"/>
      <c r="AR125" s="25"/>
      <c r="AS125" s="25"/>
      <c r="AT125" s="28"/>
      <c r="AU125" s="25"/>
      <c r="AV125" s="25"/>
      <c r="AW125" s="25"/>
      <c r="AX125" s="25"/>
      <c r="AY125" s="25"/>
      <c r="AZ125" s="27"/>
      <c r="BA125" s="25"/>
      <c r="BB125" s="25"/>
      <c r="BC125" s="25"/>
      <c r="BD125" s="27"/>
      <c r="BE125" s="25"/>
      <c r="BF125" s="27"/>
      <c r="BG125" s="25"/>
      <c r="BH125" s="27"/>
      <c r="BI125" s="27"/>
      <c r="BJ125" s="27"/>
      <c r="BK125" s="27"/>
      <c r="BL125" s="27"/>
      <c r="BM125" s="25"/>
      <c r="BN125" s="27"/>
      <c r="BO125" s="25"/>
      <c r="BP125" s="27"/>
      <c r="BQ125" s="27"/>
      <c r="BR125" s="27"/>
      <c r="BS125" s="25"/>
      <c r="BT125" s="27"/>
      <c r="BU125" s="25"/>
      <c r="BV125" s="27"/>
      <c r="BW125" s="25"/>
      <c r="BX125" s="27"/>
      <c r="BY125" s="27"/>
      <c r="BZ125" s="27"/>
      <c r="CA125" s="27"/>
      <c r="CB125" s="27"/>
      <c r="CC125" s="25"/>
      <c r="CD125" s="27"/>
      <c r="CE125" s="27"/>
      <c r="CF125" s="25"/>
      <c r="CG125" s="25"/>
      <c r="CH125" s="25"/>
      <c r="CI125" s="25"/>
      <c r="CJ125" s="25"/>
      <c r="CK125" s="28"/>
      <c r="CL125" s="25"/>
      <c r="CM125" s="25"/>
      <c r="CN125" s="25"/>
      <c r="CO125" s="27"/>
      <c r="CP125" s="25"/>
      <c r="CQ125" s="25"/>
      <c r="CR125" s="25"/>
      <c r="CS125" s="27"/>
      <c r="CT125" s="25"/>
      <c r="CU125" s="25"/>
      <c r="CV125" s="28"/>
      <c r="CW125" s="25"/>
      <c r="CX125" s="25"/>
      <c r="CY125" s="25">
        <v>0</v>
      </c>
      <c r="CZ125" s="25"/>
      <c r="DA125" s="25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>
        <f>+J125</f>
        <v>0</v>
      </c>
      <c r="EM125" s="28"/>
      <c r="EN125" s="28">
        <f t="shared" si="15"/>
        <v>0</v>
      </c>
      <c r="EO125" s="28">
        <f t="shared" si="16"/>
        <v>0</v>
      </c>
      <c r="EP125" s="28">
        <f t="shared" si="14"/>
        <v>0</v>
      </c>
    </row>
    <row r="126" spans="2:146">
      <c r="B126" s="9">
        <f t="shared" si="18"/>
        <v>44435</v>
      </c>
      <c r="C126" s="92"/>
      <c r="D126" s="213" t="s">
        <v>195</v>
      </c>
      <c r="E126" s="478">
        <f>+F126+J126+L126+N126+T126+V126+X126+AB126+AD126+AF126+AL126+AN126+AP126+AU126+AW126+AY126+BC126+BE126+BG126+BM126+BO126+BQ126+BW126+CC126+CE126+CG126+CL126+CN126+CP126+CR126+CT126+CW126+CY126+DA126+DC126+DE126+DG126+DI126+DK126+DM126+DO126+DQ126+DS126+EE126+EG126+EI126+EK126+R126+H126+CI126+BA126+AR126+DU126</f>
        <v>0</v>
      </c>
      <c r="F126" s="26">
        <f>+BV126</f>
        <v>0</v>
      </c>
      <c r="G126" s="286">
        <f>+DU126-BB126-AV126-AQ126+DY126</f>
        <v>0</v>
      </c>
      <c r="H126" s="27"/>
      <c r="I126" s="27"/>
      <c r="J126" s="27"/>
      <c r="K126" s="27"/>
      <c r="L126" s="27"/>
      <c r="M126" s="27"/>
      <c r="N126" s="25"/>
      <c r="O126" s="27"/>
      <c r="P126" s="27"/>
      <c r="Q126" s="27"/>
      <c r="R126" s="25"/>
      <c r="S126" s="27"/>
      <c r="T126" s="25"/>
      <c r="U126" s="25"/>
      <c r="V126" s="25"/>
      <c r="W126" s="25"/>
      <c r="X126" s="27"/>
      <c r="Y126" s="27"/>
      <c r="Z126" s="27"/>
      <c r="AA126" s="27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7"/>
      <c r="AP126" s="213"/>
      <c r="AQ126" s="215">
        <f>+DATOS!K43</f>
        <v>0</v>
      </c>
      <c r="AR126" s="25"/>
      <c r="AS126" s="25"/>
      <c r="AT126" s="28"/>
      <c r="AU126" s="25"/>
      <c r="AV126" s="215">
        <f>+DATOS!J43+DATOS!M43</f>
        <v>0</v>
      </c>
      <c r="AW126" s="25"/>
      <c r="AX126" s="25"/>
      <c r="AY126" s="25"/>
      <c r="AZ126" s="27"/>
      <c r="BA126" s="25"/>
      <c r="BB126" s="214">
        <f>+DATOS!I43</f>
        <v>0</v>
      </c>
      <c r="BC126" s="25"/>
      <c r="BD126" s="27"/>
      <c r="BE126" s="25"/>
      <c r="BF126" s="27"/>
      <c r="BG126" s="25"/>
      <c r="BH126" s="27"/>
      <c r="BI126" s="27"/>
      <c r="BJ126" s="27"/>
      <c r="BK126" s="27"/>
      <c r="BL126" s="27"/>
      <c r="BM126" s="25"/>
      <c r="BN126" s="27"/>
      <c r="BO126" s="25"/>
      <c r="BP126" s="27"/>
      <c r="BQ126" s="27"/>
      <c r="BR126" s="27"/>
      <c r="BS126" s="25"/>
      <c r="BT126" s="27"/>
      <c r="BU126" s="25"/>
      <c r="BV126" s="27"/>
      <c r="BW126" s="25"/>
      <c r="BX126" s="27"/>
      <c r="BY126" s="27"/>
      <c r="BZ126" s="27"/>
      <c r="CA126" s="27"/>
      <c r="CB126" s="27"/>
      <c r="CC126" s="25"/>
      <c r="CD126" s="27"/>
      <c r="CE126" s="27"/>
      <c r="CF126" s="25"/>
      <c r="CG126" s="25"/>
      <c r="CH126" s="25"/>
      <c r="CI126" s="25"/>
      <c r="CJ126" s="25"/>
      <c r="CK126" s="28"/>
      <c r="CL126" s="25"/>
      <c r="CM126" s="25"/>
      <c r="CN126" s="25"/>
      <c r="CO126" s="27"/>
      <c r="CP126" s="25"/>
      <c r="CQ126" s="25"/>
      <c r="CR126" s="25"/>
      <c r="CS126" s="27"/>
      <c r="CT126" s="25"/>
      <c r="CU126" s="25"/>
      <c r="CV126" s="28"/>
      <c r="CW126" s="25"/>
      <c r="CX126" s="25"/>
      <c r="CY126" s="25"/>
      <c r="CZ126" s="25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5"/>
      <c r="DP126" s="25"/>
      <c r="DQ126" s="25"/>
      <c r="DR126" s="25"/>
      <c r="DS126" s="25"/>
      <c r="DT126" s="25"/>
      <c r="DU126" s="215">
        <f>+DATOS!G43</f>
        <v>0</v>
      </c>
      <c r="DV126" s="25"/>
      <c r="DW126" s="25"/>
      <c r="DX126" s="25"/>
      <c r="DY126" s="215">
        <f>+DATOS!M43</f>
        <v>0</v>
      </c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>
        <v>0</v>
      </c>
      <c r="EM126" s="28"/>
      <c r="EN126" s="28">
        <f>+F126+J126+L126+N126+T126+V126+X126+AB126+AD126+AF126+AL126+AN126+AP126+AU126+AW126+AY126+BC126+BE126+BG126+BM126+BO126+BQ126+BU126+BW126+BY126+CC126+CE126+CG126+CL126+CN126+CP126+CR126+CT126+CW126+CY126+DA126+DC126+DE126+DG126+DI126+DK126+DM126+DO126+DQ126+DS126+EE126+EG126+EI126+EK126+H126+R126+AR126+BA126+CI126+DU126+DY126</f>
        <v>0</v>
      </c>
      <c r="EO126" s="28">
        <f t="shared" si="16"/>
        <v>0</v>
      </c>
      <c r="EP126" s="28">
        <f t="shared" si="14"/>
        <v>0</v>
      </c>
    </row>
    <row r="127" spans="2:146">
      <c r="B127" s="9">
        <f t="shared" si="18"/>
        <v>44435</v>
      </c>
      <c r="C127" s="92"/>
      <c r="D127" s="485" t="s">
        <v>488</v>
      </c>
      <c r="E127" s="478"/>
      <c r="F127" s="26"/>
      <c r="G127" s="278">
        <f>+BY127</f>
        <v>0</v>
      </c>
      <c r="H127" s="27"/>
      <c r="I127" s="27"/>
      <c r="J127" s="27"/>
      <c r="K127" s="27"/>
      <c r="L127" s="27"/>
      <c r="M127" s="27"/>
      <c r="N127" s="25"/>
      <c r="O127" s="27"/>
      <c r="P127" s="27"/>
      <c r="Q127" s="27"/>
      <c r="R127" s="25"/>
      <c r="S127" s="27"/>
      <c r="T127" s="25"/>
      <c r="U127" s="25"/>
      <c r="V127" s="25"/>
      <c r="W127" s="25"/>
      <c r="X127" s="27"/>
      <c r="Y127" s="27"/>
      <c r="Z127" s="27"/>
      <c r="AA127" s="27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7"/>
      <c r="AP127" s="517"/>
      <c r="AQ127" s="215"/>
      <c r="AR127" s="25"/>
      <c r="AS127" s="25"/>
      <c r="AT127" s="28"/>
      <c r="AU127" s="25"/>
      <c r="AV127" s="215"/>
      <c r="AW127" s="25"/>
      <c r="AX127" s="25"/>
      <c r="AY127" s="25"/>
      <c r="AZ127" s="27"/>
      <c r="BA127" s="25"/>
      <c r="BB127" s="214"/>
      <c r="BC127" s="25"/>
      <c r="BD127" s="27"/>
      <c r="BE127" s="25"/>
      <c r="BF127" s="27"/>
      <c r="BG127" s="25"/>
      <c r="BH127" s="27"/>
      <c r="BI127" s="27"/>
      <c r="BJ127" s="27"/>
      <c r="BK127" s="27"/>
      <c r="BL127" s="27"/>
      <c r="BM127" s="25"/>
      <c r="BN127" s="27"/>
      <c r="BO127" s="25"/>
      <c r="BP127" s="27"/>
      <c r="BQ127" s="515">
        <f>+DATOS!C70</f>
        <v>0</v>
      </c>
      <c r="BR127" s="27"/>
      <c r="BS127" s="515">
        <f>+DATOS!F70</f>
        <v>0</v>
      </c>
      <c r="BT127" s="27"/>
      <c r="BU127" s="516">
        <f>+DATOS!I70</f>
        <v>0</v>
      </c>
      <c r="BV127" s="27"/>
      <c r="BW127" s="516">
        <f>+DATOS!L70</f>
        <v>0</v>
      </c>
      <c r="BX127" s="27"/>
      <c r="BY127" s="515">
        <f>+DATOS!O70</f>
        <v>0</v>
      </c>
      <c r="BZ127" s="27"/>
      <c r="CA127" s="27"/>
      <c r="CB127" s="27"/>
      <c r="CC127" s="25"/>
      <c r="CD127" s="27"/>
      <c r="CE127" s="27"/>
      <c r="CF127" s="25"/>
      <c r="CG127" s="25"/>
      <c r="CH127" s="25"/>
      <c r="CI127" s="25"/>
      <c r="CJ127" s="25"/>
      <c r="CK127" s="28"/>
      <c r="CL127" s="25"/>
      <c r="CM127" s="25"/>
      <c r="CN127" s="25"/>
      <c r="CO127" s="27"/>
      <c r="CP127" s="25"/>
      <c r="CQ127" s="25"/>
      <c r="CR127" s="25"/>
      <c r="CS127" s="27"/>
      <c r="CT127" s="25"/>
      <c r="CU127" s="25"/>
      <c r="CV127" s="28"/>
      <c r="CW127" s="25"/>
      <c r="CX127" s="25"/>
      <c r="CY127" s="25"/>
      <c r="CZ127" s="25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5"/>
      <c r="DP127" s="25"/>
      <c r="DQ127" s="25"/>
      <c r="DR127" s="25"/>
      <c r="DS127" s="26"/>
      <c r="DT127" s="25"/>
      <c r="DU127" s="215"/>
      <c r="DV127" s="25"/>
      <c r="DW127" s="25"/>
      <c r="DX127" s="25"/>
      <c r="DY127" s="21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8"/>
      <c r="EN127" s="28">
        <f>+F127+J127+L127+N127+T127+V127+X127+AB127+AD127+AF127+AL127+AN127+AP127+AU127+AW127+AY127+BC127+BE127+BG127+BM127+BO127+BQ127+BU127+BW127+BY127+CC127+CE127+CG127+CL127+CN127+CP127+CR127+CT127+CW127+CY127+DA127+DC127+DE127+DG127+DI127+DK127+DM127+DO127+DQ127+DS127+EE127+EG127+EI127+EK127+H127+R127+AR127+BA127+CI127+DU127+DY127</f>
        <v>0</v>
      </c>
      <c r="EO127" s="28">
        <f>+G127+K127+M127+O127+U127+W127+Y127+AC127+AE127+AG127+AM127+AO127+AQ127+AV127+AX127+AZ127+BD127+BF127+BH127+BN127+BP127+BR127+BV127+BX127+BZ127+CD127+CF127+CH127+CM127+CO127+CQ127+CS127+CU127+CX127+CZ127+DB127+DD127+DF127+DH127+DJ127+DL127+DN127+DP127+DR127+DT127+EF127+EH127+EJ127+EL127+I127+S127+AS127+BB127+CJ127</f>
        <v>0</v>
      </c>
      <c r="EP127" s="28">
        <f>+EN127-EO127</f>
        <v>0</v>
      </c>
    </row>
    <row r="128" spans="2:146">
      <c r="B128" s="9">
        <f t="shared" si="18"/>
        <v>44435</v>
      </c>
      <c r="C128" s="92"/>
      <c r="D128" s="302" t="s">
        <v>489</v>
      </c>
      <c r="E128" s="478"/>
      <c r="F128" s="26"/>
      <c r="G128" s="286"/>
      <c r="H128" s="27"/>
      <c r="I128" s="27"/>
      <c r="J128" s="27"/>
      <c r="K128" s="27"/>
      <c r="L128" s="27"/>
      <c r="M128" s="27"/>
      <c r="N128" s="25"/>
      <c r="O128" s="27"/>
      <c r="P128" s="27"/>
      <c r="Q128" s="27"/>
      <c r="R128" s="25"/>
      <c r="S128" s="27"/>
      <c r="T128" s="25"/>
      <c r="U128" s="25"/>
      <c r="V128" s="25"/>
      <c r="W128" s="25"/>
      <c r="X128" s="27"/>
      <c r="Y128" s="27"/>
      <c r="Z128" s="27"/>
      <c r="AA128" s="27"/>
      <c r="AB128" s="25"/>
      <c r="AC128" s="25"/>
      <c r="AD128" s="25"/>
      <c r="AE128" s="25"/>
      <c r="AF128" s="25"/>
      <c r="AG128" s="527">
        <f>+DATOS!G70</f>
        <v>0</v>
      </c>
      <c r="AH128" s="25"/>
      <c r="AI128" s="527">
        <f>+DATOS!D70</f>
        <v>0</v>
      </c>
      <c r="AJ128" s="25"/>
      <c r="AK128" s="531">
        <f>+DATOS!J70+DATOS!M70+DATOS!P70</f>
        <v>0</v>
      </c>
      <c r="AL128" s="25"/>
      <c r="AM128" s="25"/>
      <c r="AN128" s="25"/>
      <c r="AO128" s="27"/>
      <c r="AP128" s="517"/>
      <c r="AQ128" s="215"/>
      <c r="AR128" s="25"/>
      <c r="AS128" s="25"/>
      <c r="AT128" s="28"/>
      <c r="AU128" s="25"/>
      <c r="AV128" s="215"/>
      <c r="AW128" s="25"/>
      <c r="AX128" s="25"/>
      <c r="AY128" s="25"/>
      <c r="AZ128" s="27"/>
      <c r="BA128" s="25"/>
      <c r="BB128" s="214"/>
      <c r="BC128" s="25"/>
      <c r="BD128" s="27"/>
      <c r="BE128" s="25"/>
      <c r="BF128" s="27"/>
      <c r="BG128" s="25"/>
      <c r="BH128" s="27"/>
      <c r="BI128" s="27"/>
      <c r="BJ128" s="27"/>
      <c r="BK128" s="27"/>
      <c r="BL128" s="27"/>
      <c r="BM128" s="25"/>
      <c r="BN128" s="27"/>
      <c r="BO128" s="25"/>
      <c r="BP128" s="27"/>
      <c r="BQ128" s="27"/>
      <c r="BR128" s="27"/>
      <c r="BS128" s="25"/>
      <c r="BT128" s="27"/>
      <c r="BU128" s="25"/>
      <c r="BV128" s="27"/>
      <c r="BW128" s="25"/>
      <c r="BX128" s="27"/>
      <c r="BY128" s="27"/>
      <c r="BZ128" s="27"/>
      <c r="CA128" s="27"/>
      <c r="CB128" s="27"/>
      <c r="CC128" s="25"/>
      <c r="CD128" s="27"/>
      <c r="CE128" s="27"/>
      <c r="CF128" s="25"/>
      <c r="CG128" s="25"/>
      <c r="CH128" s="25"/>
      <c r="CI128" s="25"/>
      <c r="CJ128" s="25"/>
      <c r="CK128" s="28"/>
      <c r="CL128" s="25"/>
      <c r="CM128" s="25"/>
      <c r="CN128" s="25"/>
      <c r="CO128" s="27"/>
      <c r="CP128" s="25"/>
      <c r="CQ128" s="25"/>
      <c r="CR128" s="25"/>
      <c r="CS128" s="27"/>
      <c r="CT128" s="25"/>
      <c r="CU128" s="25"/>
      <c r="CV128" s="28"/>
      <c r="CW128" s="25"/>
      <c r="CX128" s="25"/>
      <c r="CY128" s="25"/>
      <c r="CZ128" s="25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5"/>
      <c r="DP128" s="25"/>
      <c r="DQ128" s="25"/>
      <c r="DR128" s="25"/>
      <c r="DS128" s="26"/>
      <c r="DT128" s="25"/>
      <c r="DU128" s="215"/>
      <c r="DV128" s="25"/>
      <c r="DW128" s="25"/>
      <c r="DX128" s="25"/>
      <c r="DY128" s="215"/>
      <c r="DZ128" s="25"/>
      <c r="EA128" s="527">
        <f>+AG128+AI128+AK128</f>
        <v>0</v>
      </c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8"/>
      <c r="EN128" s="28">
        <f>+F128+J128+L128+N128+T128+V128+X128+AB128+AD128+AF128+AL128+AN128+AP128+AU128+AW128+AY128+BC128+BE128+BG128+BM128+BO128+BQ128+BU128+BW128+BY128+CC128+CE128+CG128+CL128+CN128+CP128+CR128+CT128+CW128+CY128+DA128+DC128+DE128+DG128+DI128+DK128+DM128+DO128+DQ128+DS128+EE128+EG128+EI128+EK128+H128+R128+AR128+BA128+CI128+DU128+DY128</f>
        <v>0</v>
      </c>
      <c r="EO128" s="28">
        <f>+G128+K128+M128+O128+U128+W128+Y128+AC128+AE128+AG128+AM128+AO128+AQ128+AV128+AX128+AZ128+BD128+BF128+BH128+BN128+BP128+BR128+BV128+BX128+BZ128+CD128+CF128+CH128+CM128+CO128+CQ128+CS128+CU128+CX128+CZ128+DB128+DD128+DF128+DH128+DJ128+DL128+DN128+DP128+DR128+DT128+EF128+EH128+EJ128+EL128+I128+S128+AS128+BB128+CJ128</f>
        <v>0</v>
      </c>
      <c r="EP128" s="28">
        <f>+EN128-EO128</f>
        <v>0</v>
      </c>
    </row>
    <row r="129" spans="2:146">
      <c r="B129" s="9">
        <f t="shared" si="18"/>
        <v>44435</v>
      </c>
      <c r="C129" s="92"/>
      <c r="D129" s="212" t="s">
        <v>147</v>
      </c>
      <c r="E129" s="478">
        <f>+F129+J129+L129+N129+T129+V129+X129+AB129+AD129+AF129+AL129+AN129+AP129+AU129+AW129+AY129+BC129+BE129+BG129+BM129+BO129+BQ129+BW129+CC129+CE129+CG129+CL129+CN129+CP129+CR129+CT129+CW129+CY129+DA129+DC129+DE129+DG129+DI129+DK129+DM129+DO129+DQ129+DS129+EE129+EG129+EI129+EK129+R129+H129+CI129+BA129+AR129</f>
        <v>0</v>
      </c>
      <c r="F129" s="26"/>
      <c r="G129" s="27">
        <f>+DS129-AX129</f>
        <v>0</v>
      </c>
      <c r="H129" s="27"/>
      <c r="I129" s="27"/>
      <c r="J129" s="27"/>
      <c r="K129" s="27"/>
      <c r="L129" s="27"/>
      <c r="M129" s="27"/>
      <c r="N129" s="25"/>
      <c r="O129" s="27"/>
      <c r="P129" s="27"/>
      <c r="Q129" s="27"/>
      <c r="R129" s="25"/>
      <c r="S129" s="27"/>
      <c r="T129" s="25"/>
      <c r="U129" s="25"/>
      <c r="V129" s="25"/>
      <c r="W129" s="25"/>
      <c r="X129" s="27"/>
      <c r="Y129" s="27"/>
      <c r="Z129" s="27"/>
      <c r="AA129" s="27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7"/>
      <c r="AP129" s="25"/>
      <c r="AQ129" s="25"/>
      <c r="AR129" s="25"/>
      <c r="AS129" s="25"/>
      <c r="AT129" s="28"/>
      <c r="AU129" s="25"/>
      <c r="AV129" s="25"/>
      <c r="AW129" s="25"/>
      <c r="AX129" s="217">
        <f>+DATOS!G22</f>
        <v>0</v>
      </c>
      <c r="AY129" s="25"/>
      <c r="AZ129" s="27"/>
      <c r="BA129" s="25"/>
      <c r="BB129" s="25"/>
      <c r="BC129" s="25"/>
      <c r="BD129" s="27"/>
      <c r="BE129" s="25"/>
      <c r="BF129" s="27"/>
      <c r="BG129" s="25"/>
      <c r="BH129" s="27"/>
      <c r="BI129" s="27"/>
      <c r="BJ129" s="27"/>
      <c r="BK129" s="27"/>
      <c r="BL129" s="27"/>
      <c r="BM129" s="25"/>
      <c r="BN129" s="27"/>
      <c r="BO129" s="25"/>
      <c r="BP129" s="27"/>
      <c r="BQ129" s="27"/>
      <c r="BR129" s="27"/>
      <c r="BS129" s="25"/>
      <c r="BT129" s="27"/>
      <c r="BU129" s="25"/>
      <c r="BV129" s="27"/>
      <c r="BW129" s="25"/>
      <c r="BX129" s="27"/>
      <c r="BY129" s="27"/>
      <c r="BZ129" s="27"/>
      <c r="CA129" s="27"/>
      <c r="CB129" s="27"/>
      <c r="CC129" s="25"/>
      <c r="CD129" s="27"/>
      <c r="CE129" s="27"/>
      <c r="CF129" s="25"/>
      <c r="CG129" s="25"/>
      <c r="CH129" s="25"/>
      <c r="CI129" s="25"/>
      <c r="CJ129" s="25"/>
      <c r="CK129" s="28"/>
      <c r="CL129" s="25"/>
      <c r="CM129" s="25"/>
      <c r="CN129" s="25"/>
      <c r="CO129" s="27"/>
      <c r="CP129" s="25"/>
      <c r="CQ129" s="25"/>
      <c r="CR129" s="25"/>
      <c r="CS129" s="27"/>
      <c r="CT129" s="25"/>
      <c r="CU129" s="25"/>
      <c r="CV129" s="28"/>
      <c r="CW129" s="25"/>
      <c r="CX129" s="25"/>
      <c r="CY129" s="25"/>
      <c r="CZ129" s="25"/>
      <c r="DA129" s="25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5"/>
      <c r="DP129" s="25"/>
      <c r="DQ129" s="25"/>
      <c r="DR129" s="25"/>
      <c r="DS129" s="218">
        <f>ROUND(+AX129/0.13,0)</f>
        <v>0</v>
      </c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8"/>
      <c r="EN129" s="28">
        <f>+F129+J129+L129+N129+T129+V129+X129+AB129+AD129+AF129+AL129+AN129+AP129+AU129+AW129+AY129+BC129+BE129+BG129+BM129+BO129+BQ129+BU129+BW129+BY129+CC129+CE129+CG129+CL129+CN129+CP129+CR129+CT129+CW129+CY129+DA129+DC129+DE129+DG129+DI129+DK129+DM129+DO129+DQ129+DS129+EE129+EG129+EI129+EK129+H129+R129+AR129+BA129+CI129+DU129+DY129</f>
        <v>0</v>
      </c>
      <c r="EO129" s="28">
        <f>+G129+K129+M129+O129+U129+W129+Y129+AC129+AE129+AG129+AM129+AO129+AQ129+AV129+AX129+AZ129+BD129+BF129+BH129+BN129+BP129+BR129+BV129+BX129+BZ129+CD129+CF129+CH129+CM129+CO129+CQ129+CS129+CU129+CX129+CZ129+DB129+DD129+DF129+DH129+DJ129+DL129+DN129+DP129+DR129+DT129+EF129+EH129+EJ129+EL129+I129+S129+AS129+BB129+CJ129</f>
        <v>0</v>
      </c>
      <c r="EP129" s="28">
        <f>+EN129-EO129</f>
        <v>0</v>
      </c>
    </row>
    <row r="130" spans="2:146">
      <c r="B130" s="9">
        <f>+B126</f>
        <v>44435</v>
      </c>
      <c r="C130" s="92"/>
      <c r="D130" s="284" t="s">
        <v>263</v>
      </c>
      <c r="E130" s="478">
        <f>+F130+J130+L130+N130+T130+V130+X130+AB130+AD130+AF130+AL130+AN130+AP130+AU130+AW130+AY130+BC130+BE130+BG130+BM130+BO130+BQ130+BW130+CC130+CE130+CG130+CL130+CN130+CP130+CR130+CT130+CW130+CY130+DA130+DC130+DE130+DG130+DI130+DK130+DM130+DO130+DQ130+DS130+EE130+EG130+EI130+EK130+R130+H130+CI130+BA130+AR130</f>
        <v>0</v>
      </c>
      <c r="F130" s="26"/>
      <c r="G130" s="283">
        <f>+DW130</f>
        <v>0</v>
      </c>
      <c r="H130" s="27"/>
      <c r="I130" s="27"/>
      <c r="J130" s="27"/>
      <c r="K130" s="27"/>
      <c r="L130" s="27"/>
      <c r="M130" s="27"/>
      <c r="N130" s="25"/>
      <c r="O130" s="27"/>
      <c r="P130" s="27"/>
      <c r="Q130" s="27"/>
      <c r="R130" s="25"/>
      <c r="S130" s="27"/>
      <c r="T130" s="25"/>
      <c r="U130" s="25"/>
      <c r="V130" s="25"/>
      <c r="W130" s="25"/>
      <c r="X130" s="27"/>
      <c r="Y130" s="27"/>
      <c r="Z130" s="27"/>
      <c r="AA130" s="27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7"/>
      <c r="AP130" s="25"/>
      <c r="AQ130" s="25"/>
      <c r="AR130" s="25"/>
      <c r="AS130" s="25"/>
      <c r="AT130" s="28"/>
      <c r="AU130" s="25"/>
      <c r="AV130" s="25"/>
      <c r="AW130" s="25"/>
      <c r="AX130" s="25"/>
      <c r="AY130" s="25"/>
      <c r="AZ130" s="27"/>
      <c r="BA130" s="25"/>
      <c r="BB130" s="25"/>
      <c r="BC130" s="25"/>
      <c r="BD130" s="27"/>
      <c r="BE130" s="25"/>
      <c r="BF130" s="27"/>
      <c r="BG130" s="25"/>
      <c r="BH130" s="27"/>
      <c r="BI130" s="27"/>
      <c r="BJ130" s="27"/>
      <c r="BK130" s="27"/>
      <c r="BL130" s="27"/>
      <c r="BM130" s="25"/>
      <c r="BN130" s="27"/>
      <c r="BO130" s="25"/>
      <c r="BP130" s="27"/>
      <c r="BQ130" s="27"/>
      <c r="BR130" s="27"/>
      <c r="BS130" s="25"/>
      <c r="BT130" s="27"/>
      <c r="BU130" s="25"/>
      <c r="BV130" s="27"/>
      <c r="BW130" s="25"/>
      <c r="BX130" s="27"/>
      <c r="BY130" s="27"/>
      <c r="BZ130" s="27"/>
      <c r="CA130" s="27"/>
      <c r="CB130" s="27"/>
      <c r="CC130" s="25"/>
      <c r="CD130" s="27"/>
      <c r="CE130" s="27"/>
      <c r="CF130" s="25"/>
      <c r="CG130" s="25"/>
      <c r="CH130" s="25"/>
      <c r="CI130" s="25"/>
      <c r="CJ130" s="25"/>
      <c r="CK130" s="28"/>
      <c r="CL130" s="25"/>
      <c r="CM130" s="25"/>
      <c r="CN130" s="25"/>
      <c r="CO130" s="27"/>
      <c r="CP130" s="25"/>
      <c r="CQ130" s="25"/>
      <c r="CR130" s="25"/>
      <c r="CS130" s="27"/>
      <c r="CT130" s="25"/>
      <c r="CU130" s="25"/>
      <c r="CV130" s="28"/>
      <c r="CW130" s="25"/>
      <c r="CX130" s="25"/>
      <c r="CY130" s="25"/>
      <c r="CZ130" s="25"/>
      <c r="DA130" s="25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5"/>
      <c r="DP130" s="25"/>
      <c r="DQ130" s="25"/>
      <c r="DR130" s="25"/>
      <c r="DS130" s="25"/>
      <c r="DT130" s="25"/>
      <c r="DU130" s="25"/>
      <c r="DV130" s="25"/>
      <c r="DW130" s="285">
        <f>+DATOS!N43</f>
        <v>0</v>
      </c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8"/>
      <c r="EN130" s="28">
        <f t="shared" si="15"/>
        <v>0</v>
      </c>
      <c r="EO130" s="28">
        <f t="shared" si="16"/>
        <v>0</v>
      </c>
      <c r="EP130" s="28"/>
    </row>
    <row r="131" spans="2:146">
      <c r="B131" s="9"/>
      <c r="C131" s="92"/>
      <c r="D131" s="186"/>
      <c r="E131" s="25">
        <f>+F131+J131+L131+N131+T131+V131+X131+AB131+AD131+AF131+AL131+AN131+AP131+AU131+AW131+AY131+BC131+BE131+BG131+BM131+BO131+BQ131+BW131+CC131+CE131+CG131+CL131+CN131+CP131+CR131+CT131+CW131+CY131+DA131+DC131+DE131+DG131+DI131+DK131+DM131+DO131+DQ131+DS131+EE131+EG131+EI131+EK131+R131+H131+CI131+BA131+AR131+DU131</f>
        <v>0</v>
      </c>
      <c r="F131" s="26"/>
      <c r="G131" s="27">
        <f>+DS131</f>
        <v>0</v>
      </c>
      <c r="H131" s="27"/>
      <c r="I131" s="27"/>
      <c r="J131" s="27"/>
      <c r="K131" s="27"/>
      <c r="L131" s="27"/>
      <c r="M131" s="27"/>
      <c r="N131" s="25"/>
      <c r="O131" s="27"/>
      <c r="P131" s="27"/>
      <c r="Q131" s="27"/>
      <c r="R131" s="25"/>
      <c r="S131" s="27"/>
      <c r="T131" s="25"/>
      <c r="U131" s="25"/>
      <c r="V131" s="25"/>
      <c r="W131" s="25"/>
      <c r="X131" s="27"/>
      <c r="Y131" s="27"/>
      <c r="Z131" s="27"/>
      <c r="AA131" s="27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7"/>
      <c r="AP131" s="25"/>
      <c r="AQ131" s="25"/>
      <c r="AR131" s="25"/>
      <c r="AS131" s="25"/>
      <c r="AT131" s="28"/>
      <c r="AU131" s="25"/>
      <c r="AV131" s="25"/>
      <c r="AW131" s="25"/>
      <c r="AX131" s="25"/>
      <c r="AY131" s="25"/>
      <c r="AZ131" s="27"/>
      <c r="BA131" s="25"/>
      <c r="BB131" s="25"/>
      <c r="BC131" s="25"/>
      <c r="BD131" s="27"/>
      <c r="BE131" s="25"/>
      <c r="BF131" s="27"/>
      <c r="BG131" s="25"/>
      <c r="BH131" s="27"/>
      <c r="BI131" s="27"/>
      <c r="BJ131" s="27"/>
      <c r="BK131" s="27"/>
      <c r="BL131" s="27"/>
      <c r="BM131" s="25"/>
      <c r="BN131" s="27"/>
      <c r="BO131" s="25"/>
      <c r="BP131" s="27"/>
      <c r="BQ131" s="27"/>
      <c r="BR131" s="27"/>
      <c r="BS131" s="25"/>
      <c r="BT131" s="27"/>
      <c r="BU131" s="25"/>
      <c r="BV131" s="27"/>
      <c r="BW131" s="25"/>
      <c r="BX131" s="27"/>
      <c r="BY131" s="27"/>
      <c r="BZ131" s="27"/>
      <c r="CA131" s="27"/>
      <c r="CB131" s="27"/>
      <c r="CC131" s="25"/>
      <c r="CD131" s="27"/>
      <c r="CE131" s="27"/>
      <c r="CF131" s="25"/>
      <c r="CG131" s="25"/>
      <c r="CH131" s="25"/>
      <c r="CI131" s="25"/>
      <c r="CJ131" s="25"/>
      <c r="CK131" s="28"/>
      <c r="CL131" s="25"/>
      <c r="CM131" s="25"/>
      <c r="CN131" s="25"/>
      <c r="CO131" s="27"/>
      <c r="CP131" s="25"/>
      <c r="CQ131" s="25"/>
      <c r="CR131" s="25"/>
      <c r="CS131" s="27"/>
      <c r="CT131" s="25"/>
      <c r="CU131" s="25"/>
      <c r="CV131" s="28"/>
      <c r="CW131" s="25"/>
      <c r="CX131" s="25"/>
      <c r="CY131" s="25"/>
      <c r="CZ131" s="25"/>
      <c r="DA131" s="25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5"/>
      <c r="DP131" s="25"/>
      <c r="DQ131" s="25"/>
      <c r="DR131" s="25"/>
      <c r="DS131" s="242">
        <f>+DS115</f>
        <v>0</v>
      </c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8"/>
      <c r="EN131" s="28">
        <f t="shared" si="15"/>
        <v>0</v>
      </c>
      <c r="EO131" s="28">
        <f t="shared" si="16"/>
        <v>0</v>
      </c>
      <c r="EP131" s="28">
        <f t="shared" si="14"/>
        <v>0</v>
      </c>
    </row>
    <row r="132" spans="2:146">
      <c r="B132" s="39"/>
      <c r="C132" s="94"/>
      <c r="D132" s="40"/>
      <c r="E132" s="41"/>
      <c r="F132" s="42"/>
      <c r="G132" s="43"/>
      <c r="H132" s="43"/>
      <c r="I132" s="43"/>
      <c r="J132" s="43"/>
      <c r="K132" s="43"/>
      <c r="L132" s="43"/>
      <c r="M132" s="43"/>
      <c r="N132" s="41"/>
      <c r="O132" s="43"/>
      <c r="P132" s="43"/>
      <c r="Q132" s="43"/>
      <c r="R132" s="41"/>
      <c r="S132" s="43"/>
      <c r="T132" s="41"/>
      <c r="U132" s="41"/>
      <c r="V132" s="41"/>
      <c r="W132" s="41"/>
      <c r="X132" s="43"/>
      <c r="Y132" s="43"/>
      <c r="Z132" s="43"/>
      <c r="AA132" s="43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3"/>
      <c r="AP132" s="41"/>
      <c r="AQ132" s="41"/>
      <c r="AR132" s="41"/>
      <c r="AS132" s="41"/>
      <c r="AT132" s="28"/>
      <c r="AU132" s="41"/>
      <c r="AV132" s="41"/>
      <c r="AW132" s="41"/>
      <c r="AX132" s="41"/>
      <c r="AY132" s="41"/>
      <c r="AZ132" s="43"/>
      <c r="BA132" s="41"/>
      <c r="BB132" s="41"/>
      <c r="BC132" s="41"/>
      <c r="BD132" s="43"/>
      <c r="BE132" s="41"/>
      <c r="BF132" s="43"/>
      <c r="BG132" s="41"/>
      <c r="BH132" s="43"/>
      <c r="BI132" s="43"/>
      <c r="BJ132" s="43"/>
      <c r="BK132" s="43"/>
      <c r="BL132" s="43"/>
      <c r="BM132" s="41"/>
      <c r="BN132" s="43"/>
      <c r="BO132" s="41"/>
      <c r="BP132" s="43"/>
      <c r="BQ132" s="43"/>
      <c r="BR132" s="43"/>
      <c r="BS132" s="41"/>
      <c r="BT132" s="43"/>
      <c r="BU132" s="41"/>
      <c r="BV132" s="43"/>
      <c r="BW132" s="41"/>
      <c r="BX132" s="43"/>
      <c r="BY132" s="43"/>
      <c r="BZ132" s="43"/>
      <c r="CA132" s="43"/>
      <c r="CB132" s="43"/>
      <c r="CC132" s="41"/>
      <c r="CD132" s="43"/>
      <c r="CE132" s="43"/>
      <c r="CF132" s="41"/>
      <c r="CG132" s="41"/>
      <c r="CH132" s="41"/>
      <c r="CI132" s="41"/>
      <c r="CJ132" s="41"/>
      <c r="CK132" s="28"/>
      <c r="CL132" s="41"/>
      <c r="CM132" s="41"/>
      <c r="CN132" s="41"/>
      <c r="CO132" s="43"/>
      <c r="CP132" s="41"/>
      <c r="CQ132" s="41"/>
      <c r="CR132" s="41"/>
      <c r="CS132" s="43"/>
      <c r="CT132" s="41"/>
      <c r="CU132" s="41"/>
      <c r="CV132" s="28"/>
      <c r="CW132" s="41"/>
      <c r="CX132" s="41"/>
      <c r="CY132" s="41"/>
      <c r="CZ132" s="41"/>
      <c r="DA132" s="41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28"/>
      <c r="EN132" s="28">
        <f t="shared" si="15"/>
        <v>0</v>
      </c>
      <c r="EO132" s="28">
        <f t="shared" si="16"/>
        <v>0</v>
      </c>
      <c r="EP132" s="28">
        <f t="shared" si="14"/>
        <v>0</v>
      </c>
    </row>
    <row r="133" spans="2:146">
      <c r="B133" s="9">
        <f>+B125+30</f>
        <v>44465</v>
      </c>
      <c r="C133" s="92"/>
      <c r="D133" s="138" t="s">
        <v>112</v>
      </c>
      <c r="E133" s="25">
        <f>+F133+J133+L133+N133+T133+V133+X133+AB133+AD133+AF133+AL133+AN133+AP133+AU133+AW133+AY133+BC133+BE133+BG133+BM133+BO133+BQ133+BW133+CC133+CE133+CG133+CL133+CN133+CP133+CR133+CT133+CW133+CY133+DA133+DC133+DE133+DG133+DI133+DK133+DM133+DO133+DQ133+DS133+EE133+EG133+EI133+EK133+R133+H133+CI133+BA133+AR133</f>
        <v>0</v>
      </c>
      <c r="F133" s="26"/>
      <c r="G133" s="27"/>
      <c r="H133" s="27"/>
      <c r="I133" s="27"/>
      <c r="J133" s="27"/>
      <c r="K133" s="27"/>
      <c r="L133" s="27"/>
      <c r="M133" s="27"/>
      <c r="N133" s="25"/>
      <c r="O133" s="27"/>
      <c r="P133" s="27"/>
      <c r="Q133" s="27"/>
      <c r="R133" s="25"/>
      <c r="S133" s="27"/>
      <c r="T133" s="25"/>
      <c r="U133" s="25"/>
      <c r="V133" s="25"/>
      <c r="W133" s="25"/>
      <c r="X133" s="27"/>
      <c r="Y133" s="27"/>
      <c r="Z133" s="27"/>
      <c r="AA133" s="27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7"/>
      <c r="AP133" s="25"/>
      <c r="AQ133" s="25"/>
      <c r="AR133" s="25"/>
      <c r="AS133" s="25"/>
      <c r="AT133" s="28"/>
      <c r="AU133" s="25"/>
      <c r="AV133" s="25"/>
      <c r="AW133" s="25"/>
      <c r="AX133" s="25"/>
      <c r="AY133" s="25"/>
      <c r="AZ133" s="27"/>
      <c r="BA133" s="25"/>
      <c r="BB133" s="25"/>
      <c r="BC133" s="25"/>
      <c r="BD133" s="27"/>
      <c r="BE133" s="25"/>
      <c r="BF133" s="27"/>
      <c r="BG133" s="25"/>
      <c r="BH133" s="27"/>
      <c r="BI133" s="27"/>
      <c r="BJ133" s="27"/>
      <c r="BK133" s="27"/>
      <c r="BL133" s="27"/>
      <c r="BM133" s="25"/>
      <c r="BN133" s="27"/>
      <c r="BO133" s="25"/>
      <c r="BP133" s="27"/>
      <c r="BQ133" s="27"/>
      <c r="BR133" s="27"/>
      <c r="BS133" s="25"/>
      <c r="BT133" s="27"/>
      <c r="BU133" s="25"/>
      <c r="BV133" s="27"/>
      <c r="BW133" s="25"/>
      <c r="BX133" s="27"/>
      <c r="BY133" s="27"/>
      <c r="BZ133" s="27"/>
      <c r="CA133" s="27"/>
      <c r="CB133" s="27"/>
      <c r="CC133" s="25"/>
      <c r="CD133" s="27"/>
      <c r="CE133" s="25"/>
      <c r="CF133" s="25"/>
      <c r="CG133" s="25"/>
      <c r="CH133" s="25"/>
      <c r="CI133" s="25"/>
      <c r="CJ133" s="25"/>
      <c r="CK133" s="28"/>
      <c r="CL133" s="25"/>
      <c r="CM133" s="25"/>
      <c r="CN133" s="25"/>
      <c r="CO133" s="27"/>
      <c r="CP133" s="25"/>
      <c r="CQ133" s="25"/>
      <c r="CR133" s="25"/>
      <c r="CS133" s="27"/>
      <c r="CT133" s="25"/>
      <c r="CU133" s="25"/>
      <c r="CV133" s="28"/>
      <c r="CW133" s="25"/>
      <c r="CX133" s="25"/>
      <c r="CY133" s="25"/>
      <c r="CZ133" s="25"/>
      <c r="DA133" s="25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8"/>
      <c r="EN133" s="28">
        <f t="shared" si="15"/>
        <v>0</v>
      </c>
      <c r="EO133" s="28">
        <f t="shared" si="16"/>
        <v>0</v>
      </c>
      <c r="EP133" s="28">
        <f t="shared" si="14"/>
        <v>0</v>
      </c>
    </row>
    <row r="134" spans="2:146">
      <c r="B134" s="9">
        <f>+B133</f>
        <v>44465</v>
      </c>
      <c r="C134" s="92"/>
      <c r="D134" s="314" t="s">
        <v>320</v>
      </c>
      <c r="E134" s="478">
        <f>+F134+J134+L134+N134+T134+V134+X134+AB134+AD134+AF134+AL134+AN134+AP134+AU134+AW134+AY134+BC134+BE134+BG134+BM134+BO134+BQ134+BW134+CC134+CE134+CG134+CL134+CN134+CP134+CR134+CT134+CW134+CY134+DA134+DC134+DE134+DG134+DI134+DK134+DM134+DO134+DQ134+DS134+EE134+EG134+EI134+EK134+R134+H134+CI134+BA134+AR134</f>
        <v>0</v>
      </c>
      <c r="F134" s="26"/>
      <c r="G134" s="316">
        <f>+AU134</f>
        <v>0</v>
      </c>
      <c r="H134" s="27"/>
      <c r="I134" s="27"/>
      <c r="J134" s="27"/>
      <c r="K134" s="27"/>
      <c r="L134" s="27"/>
      <c r="M134" s="27"/>
      <c r="N134" s="25"/>
      <c r="O134" s="27"/>
      <c r="P134" s="27"/>
      <c r="Q134" s="27"/>
      <c r="R134" s="25"/>
      <c r="S134" s="27"/>
      <c r="T134" s="25"/>
      <c r="U134" s="25"/>
      <c r="V134" s="25"/>
      <c r="W134" s="25"/>
      <c r="X134" s="27"/>
      <c r="Y134" s="27"/>
      <c r="Z134" s="27"/>
      <c r="AA134" s="27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7"/>
      <c r="AP134" s="25"/>
      <c r="AQ134" s="25"/>
      <c r="AR134" s="25"/>
      <c r="AS134" s="25"/>
      <c r="AT134" s="28"/>
      <c r="AU134" s="315">
        <f>+AV126</f>
        <v>0</v>
      </c>
      <c r="AV134" s="25"/>
      <c r="AW134" s="25"/>
      <c r="AX134" s="25"/>
      <c r="AY134" s="25"/>
      <c r="AZ134" s="27"/>
      <c r="BA134" s="25"/>
      <c r="BB134" s="25"/>
      <c r="BC134" s="25"/>
      <c r="BD134" s="27"/>
      <c r="BE134" s="25"/>
      <c r="BF134" s="27"/>
      <c r="BG134" s="25"/>
      <c r="BH134" s="27"/>
      <c r="BI134" s="27"/>
      <c r="BJ134" s="27"/>
      <c r="BK134" s="27"/>
      <c r="BL134" s="27"/>
      <c r="BM134" s="25"/>
      <c r="BN134" s="27"/>
      <c r="BO134" s="25"/>
      <c r="BP134" s="27"/>
      <c r="BQ134" s="27"/>
      <c r="BR134" s="27"/>
      <c r="BS134" s="25"/>
      <c r="BT134" s="27"/>
      <c r="BU134" s="25"/>
      <c r="BV134" s="27"/>
      <c r="BW134" s="25"/>
      <c r="BX134" s="27"/>
      <c r="BY134" s="27"/>
      <c r="BZ134" s="27"/>
      <c r="CA134" s="27"/>
      <c r="CB134" s="27"/>
      <c r="CC134" s="25"/>
      <c r="CD134" s="27"/>
      <c r="CE134" s="25"/>
      <c r="CF134" s="25"/>
      <c r="CG134" s="25"/>
      <c r="CH134" s="25"/>
      <c r="CI134" s="25"/>
      <c r="CJ134" s="25"/>
      <c r="CK134" s="28"/>
      <c r="CL134" s="25"/>
      <c r="CM134" s="25"/>
      <c r="CN134" s="25"/>
      <c r="CO134" s="27"/>
      <c r="CP134" s="25"/>
      <c r="CQ134" s="25"/>
      <c r="CR134" s="25"/>
      <c r="CS134" s="27"/>
      <c r="CT134" s="25"/>
      <c r="CU134" s="25"/>
      <c r="CV134" s="28"/>
      <c r="CW134" s="25"/>
      <c r="CX134" s="25"/>
      <c r="CY134" s="25"/>
      <c r="CZ134" s="25"/>
      <c r="DA134" s="25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8"/>
      <c r="EN134" s="28">
        <f t="shared" si="15"/>
        <v>0</v>
      </c>
      <c r="EO134" s="28">
        <f t="shared" si="16"/>
        <v>0</v>
      </c>
      <c r="EP134" s="28">
        <f>+EN134-EO134</f>
        <v>0</v>
      </c>
    </row>
    <row r="135" spans="2:146">
      <c r="B135" s="9">
        <f>+B133</f>
        <v>44465</v>
      </c>
      <c r="C135" s="92"/>
      <c r="D135" s="216" t="s">
        <v>113</v>
      </c>
      <c r="E135" s="478">
        <f>+F135+J135+L135+N135+T135+V135+X135+AB135+AD135+AF135+AL135+AN135+AP135+AU135+AW135+AY135+BC135+BE135+BG135+BM135+BO135+BQ135+BW135+CC135+CE135+CG135+CL135+CN135+CP135+CR135+CT135+CW135+CY135+DA135+DC135+DE135+DG135+DI135+DK135+DM135+DO135+DQ135+DS135+EE135+EG135+EI135+EK135+R135+H135+CI135+BA135+AR135</f>
        <v>0</v>
      </c>
      <c r="F135" s="26"/>
      <c r="G135" s="427">
        <f>+L135+AW135+BE135+J135+BA135+BU135</f>
        <v>0</v>
      </c>
      <c r="H135" s="27"/>
      <c r="I135" s="27"/>
      <c r="J135" s="321">
        <f>+K122-J121</f>
        <v>0</v>
      </c>
      <c r="K135" s="27"/>
      <c r="L135" s="321">
        <f>+DATOS!F23</f>
        <v>0</v>
      </c>
      <c r="M135" s="27"/>
      <c r="N135" s="25"/>
      <c r="O135" s="27"/>
      <c r="P135" s="27"/>
      <c r="Q135" s="27"/>
      <c r="R135" s="25"/>
      <c r="S135" s="27"/>
      <c r="T135" s="25"/>
      <c r="U135" s="25"/>
      <c r="V135" s="25"/>
      <c r="W135" s="25"/>
      <c r="X135" s="27"/>
      <c r="Y135" s="27"/>
      <c r="Z135" s="27"/>
      <c r="AA135" s="27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7"/>
      <c r="AP135" s="25"/>
      <c r="AQ135" s="25"/>
      <c r="AR135" s="25"/>
      <c r="AS135" s="25"/>
      <c r="AT135" s="28"/>
      <c r="AU135" s="25"/>
      <c r="AV135" s="25"/>
      <c r="AW135" s="435">
        <f>+AX129</f>
        <v>0</v>
      </c>
      <c r="AX135" s="25"/>
      <c r="AY135" s="25"/>
      <c r="AZ135" s="27"/>
      <c r="BA135" s="435">
        <f>+BB126</f>
        <v>0</v>
      </c>
      <c r="BB135" s="25"/>
      <c r="BC135" s="25"/>
      <c r="BD135" s="27"/>
      <c r="BE135" s="25">
        <f>+BF126</f>
        <v>0</v>
      </c>
      <c r="BF135" s="27"/>
      <c r="BG135" s="25"/>
      <c r="BH135" s="27"/>
      <c r="BI135" s="27"/>
      <c r="BJ135" s="27"/>
      <c r="BK135" s="27"/>
      <c r="BL135" s="27"/>
      <c r="BM135" s="25">
        <f>+BN126</f>
        <v>0</v>
      </c>
      <c r="BN135" s="27"/>
      <c r="BO135" s="25"/>
      <c r="BP135" s="27"/>
      <c r="BQ135" s="27"/>
      <c r="BR135" s="27"/>
      <c r="BS135" s="25"/>
      <c r="BT135" s="27"/>
      <c r="BU135" s="25">
        <f>+BV126</f>
        <v>0</v>
      </c>
      <c r="BV135" s="27"/>
      <c r="BW135" s="25"/>
      <c r="BX135" s="27"/>
      <c r="BY135" s="27"/>
      <c r="BZ135" s="27"/>
      <c r="CA135" s="27"/>
      <c r="CB135" s="27"/>
      <c r="CC135" s="25"/>
      <c r="CD135" s="27"/>
      <c r="CE135" s="25"/>
      <c r="CF135" s="25"/>
      <c r="CG135" s="25"/>
      <c r="CH135" s="25"/>
      <c r="CI135" s="25"/>
      <c r="CJ135" s="25"/>
      <c r="CK135" s="28"/>
      <c r="CL135" s="25"/>
      <c r="CM135" s="25"/>
      <c r="CN135" s="25"/>
      <c r="CO135" s="27"/>
      <c r="CP135" s="25"/>
      <c r="CQ135" s="25"/>
      <c r="CR135" s="25"/>
      <c r="CS135" s="27"/>
      <c r="CT135" s="25"/>
      <c r="CU135" s="25"/>
      <c r="CV135" s="28"/>
      <c r="CW135" s="25"/>
      <c r="CX135" s="25"/>
      <c r="CY135" s="25"/>
      <c r="CZ135" s="25"/>
      <c r="DA135" s="25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8"/>
      <c r="EN135" s="28">
        <f t="shared" si="15"/>
        <v>0</v>
      </c>
      <c r="EO135" s="28">
        <f t="shared" si="16"/>
        <v>0</v>
      </c>
      <c r="EP135" s="28">
        <f t="shared" si="14"/>
        <v>0</v>
      </c>
    </row>
    <row r="136" spans="2:146">
      <c r="B136" s="9">
        <f>+B135</f>
        <v>44465</v>
      </c>
      <c r="C136" s="92"/>
      <c r="D136" s="210" t="s">
        <v>114</v>
      </c>
      <c r="E136" s="478">
        <f>+F136+J136+L136+N136+T136+V136+X136+AB136+AD136+AF136+AL136+AN136+AP136+AU136+AW136+AY136+BC136+BE136+BG136+BM136+BO136+BQ136+BW136+CC136+CE136+CG136+CL136+CN136+CP136+CR136+CT136+CW136+CY136+DA136+DC136+DE136+DG136+DI136+DK136+DM136+DO136+DQ136+DS136+EE136+EG136+EI136+EK136+R136+H136+CI136+BA136+AR136+DY136</f>
        <v>0</v>
      </c>
      <c r="F136" s="26"/>
      <c r="G136" s="219">
        <f>+J136+EG136+DY136+X136+CW136</f>
        <v>0</v>
      </c>
      <c r="H136" s="27"/>
      <c r="I136" s="27"/>
      <c r="J136" s="219">
        <f>+DATOS!E44</f>
        <v>0</v>
      </c>
      <c r="K136" s="27"/>
      <c r="L136" s="27"/>
      <c r="M136" s="27"/>
      <c r="N136" s="27"/>
      <c r="O136" s="27"/>
      <c r="P136" s="27"/>
      <c r="Q136" s="27"/>
      <c r="R136" s="25"/>
      <c r="S136" s="27"/>
      <c r="T136" s="25"/>
      <c r="U136" s="25"/>
      <c r="V136" s="25"/>
      <c r="W136" s="25"/>
      <c r="X136" s="219"/>
      <c r="Y136" s="27"/>
      <c r="Z136" s="27"/>
      <c r="AA136" s="27"/>
      <c r="AB136" s="25"/>
      <c r="AC136" s="25"/>
      <c r="AD136" s="25"/>
      <c r="AE136" s="25"/>
      <c r="AF136" s="25"/>
      <c r="AG136" s="25">
        <v>0</v>
      </c>
      <c r="AH136" s="25"/>
      <c r="AI136" s="25"/>
      <c r="AJ136" s="25"/>
      <c r="AK136" s="25"/>
      <c r="AL136" s="25"/>
      <c r="AM136" s="25"/>
      <c r="AN136" s="25"/>
      <c r="AO136" s="27"/>
      <c r="AP136" s="25"/>
      <c r="AQ136" s="25"/>
      <c r="AR136" s="25"/>
      <c r="AS136" s="25"/>
      <c r="AT136" s="28"/>
      <c r="AU136" s="25"/>
      <c r="AV136" s="25"/>
      <c r="AW136" s="25"/>
      <c r="AX136" s="25"/>
      <c r="AY136" s="25"/>
      <c r="AZ136" s="27"/>
      <c r="BA136" s="25"/>
      <c r="BB136" s="25"/>
      <c r="BC136" s="25"/>
      <c r="BD136" s="27"/>
      <c r="BE136" s="25"/>
      <c r="BF136" s="27"/>
      <c r="BG136" s="25"/>
      <c r="BH136" s="27"/>
      <c r="BI136" s="27"/>
      <c r="BJ136" s="27"/>
      <c r="BK136" s="27"/>
      <c r="BL136" s="27"/>
      <c r="BM136" s="25"/>
      <c r="BN136" s="27"/>
      <c r="BO136" s="25"/>
      <c r="BP136" s="27"/>
      <c r="BQ136" s="27"/>
      <c r="BR136" s="27"/>
      <c r="BS136" s="25"/>
      <c r="BT136" s="27"/>
      <c r="BU136" s="25"/>
      <c r="BV136" s="27"/>
      <c r="BW136" s="25"/>
      <c r="BX136" s="27"/>
      <c r="BY136" s="27"/>
      <c r="BZ136" s="27"/>
      <c r="CA136" s="27"/>
      <c r="CB136" s="27"/>
      <c r="CC136" s="25"/>
      <c r="CD136" s="27"/>
      <c r="CE136" s="27"/>
      <c r="CF136" s="25"/>
      <c r="CG136" s="25"/>
      <c r="CH136" s="25"/>
      <c r="CI136" s="25"/>
      <c r="CJ136" s="25"/>
      <c r="CK136" s="28"/>
      <c r="CL136" s="25"/>
      <c r="CM136" s="25"/>
      <c r="CN136" s="25"/>
      <c r="CO136" s="27"/>
      <c r="CP136" s="25"/>
      <c r="CQ136" s="25"/>
      <c r="CR136" s="25"/>
      <c r="CS136" s="27"/>
      <c r="CT136" s="25"/>
      <c r="CU136" s="25"/>
      <c r="CV136" s="28"/>
      <c r="CW136" s="418">
        <f>+DATOS!F44</f>
        <v>0</v>
      </c>
      <c r="CX136" s="25"/>
      <c r="CY136" s="25"/>
      <c r="CZ136" s="25"/>
      <c r="DA136" s="25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5"/>
      <c r="DP136" s="25"/>
      <c r="DQ136" s="25"/>
      <c r="DR136" s="25"/>
      <c r="DS136" s="26">
        <v>0</v>
      </c>
      <c r="DT136" s="25"/>
      <c r="DU136" s="25"/>
      <c r="DV136" s="25"/>
      <c r="DW136" s="25"/>
      <c r="DX136" s="25"/>
      <c r="DY136" s="25"/>
      <c r="DZ136" s="25"/>
      <c r="EA136" s="25">
        <v>0</v>
      </c>
      <c r="EB136" s="25"/>
      <c r="EC136" s="25"/>
      <c r="ED136" s="25"/>
      <c r="EE136" s="25"/>
      <c r="EF136" s="25"/>
      <c r="EG136" s="220">
        <f>ROUND(+J136/0.19,0)-X136</f>
        <v>0</v>
      </c>
      <c r="EH136" s="25"/>
      <c r="EI136" s="25"/>
      <c r="EJ136" s="25"/>
      <c r="EK136" s="25"/>
      <c r="EL136" s="25"/>
      <c r="EM136" s="28"/>
      <c r="EN136" s="28">
        <f t="shared" si="15"/>
        <v>0</v>
      </c>
      <c r="EO136" s="28">
        <f t="shared" si="16"/>
        <v>0</v>
      </c>
      <c r="EP136" s="28">
        <f t="shared" si="14"/>
        <v>0</v>
      </c>
    </row>
    <row r="137" spans="2:146">
      <c r="B137" s="9">
        <f>+B136</f>
        <v>44465</v>
      </c>
      <c r="C137" s="92"/>
      <c r="D137" s="211" t="s">
        <v>115</v>
      </c>
      <c r="E137" s="478">
        <f t="shared" ref="E137:E142" si="19">+F137+J137+L137+N137+T137+V137+X137+AB137+AD137+AF137+AL137+AN137+AP137+AU137+AW137+AY137+BC137+BE137+BG137+BM137+BO137+BQ137+BW137+CC137+CE137+CG137+CL137+CN137+CP137+CR137+CT137+CW137+CY137+DA137+DC137+DE137+DG137+DI137+DK137+DM137+DO137+DQ137+DS137+EE137+EG137+EI137+EK137+R137+H137+CI137+BA137+AR137</f>
        <v>0</v>
      </c>
      <c r="F137" s="320">
        <f>(+K137+CM137)+CO137</f>
        <v>0</v>
      </c>
      <c r="G137" s="27"/>
      <c r="H137" s="27"/>
      <c r="I137" s="27"/>
      <c r="J137" s="27"/>
      <c r="K137" s="221">
        <f>+DATOS!E23</f>
        <v>0</v>
      </c>
      <c r="L137" s="27"/>
      <c r="M137" s="27"/>
      <c r="N137" s="25"/>
      <c r="O137" s="27"/>
      <c r="P137" s="27"/>
      <c r="Q137" s="27"/>
      <c r="R137" s="25"/>
      <c r="S137" s="27"/>
      <c r="T137" s="25"/>
      <c r="U137" s="25"/>
      <c r="V137" s="25"/>
      <c r="W137" s="25"/>
      <c r="X137" s="27"/>
      <c r="Y137" s="27"/>
      <c r="Z137" s="27"/>
      <c r="AA137" s="27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7"/>
      <c r="AP137" s="25"/>
      <c r="AQ137" s="25"/>
      <c r="AR137" s="25"/>
      <c r="AS137" s="25"/>
      <c r="AT137" s="28"/>
      <c r="AU137" s="25"/>
      <c r="AV137" s="25"/>
      <c r="AW137" s="25"/>
      <c r="AX137" s="25"/>
      <c r="AY137" s="25"/>
      <c r="AZ137" s="27"/>
      <c r="BA137" s="25"/>
      <c r="BB137" s="25"/>
      <c r="BC137" s="25"/>
      <c r="BD137" s="27"/>
      <c r="BE137" s="25"/>
      <c r="BF137" s="27"/>
      <c r="BG137" s="25"/>
      <c r="BH137" s="27"/>
      <c r="BI137" s="27"/>
      <c r="BJ137" s="27"/>
      <c r="BK137" s="27"/>
      <c r="BL137" s="27"/>
      <c r="BM137" s="25"/>
      <c r="BN137" s="27"/>
      <c r="BO137" s="25"/>
      <c r="BP137" s="27"/>
      <c r="BQ137" s="27"/>
      <c r="BR137" s="27"/>
      <c r="BS137" s="25"/>
      <c r="BT137" s="27"/>
      <c r="BU137" s="25"/>
      <c r="BV137" s="27"/>
      <c r="BW137" s="25"/>
      <c r="BX137" s="27"/>
      <c r="BY137" s="27"/>
      <c r="BZ137" s="27"/>
      <c r="CA137" s="27"/>
      <c r="CB137" s="27"/>
      <c r="CC137" s="25"/>
      <c r="CD137" s="27"/>
      <c r="CE137" s="27"/>
      <c r="CF137" s="25"/>
      <c r="CG137" s="25"/>
      <c r="CH137" s="25"/>
      <c r="CI137" s="25"/>
      <c r="CJ137" s="25"/>
      <c r="CK137" s="28"/>
      <c r="CL137" s="25"/>
      <c r="CM137" s="320">
        <f>ROUND(+K137/0.19,0)</f>
        <v>0</v>
      </c>
      <c r="CN137" s="25"/>
      <c r="CO137" s="221">
        <f>+DATOS!D23</f>
        <v>0</v>
      </c>
      <c r="CP137" s="25"/>
      <c r="CQ137" s="25"/>
      <c r="CR137" s="25"/>
      <c r="CS137" s="27"/>
      <c r="CT137" s="25"/>
      <c r="CU137" s="25"/>
      <c r="CV137" s="28"/>
      <c r="CW137" s="25"/>
      <c r="CX137" s="25"/>
      <c r="CY137" s="25"/>
      <c r="CZ137" s="25"/>
      <c r="DA137" s="25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8"/>
      <c r="EN137" s="28">
        <f t="shared" si="15"/>
        <v>0</v>
      </c>
      <c r="EO137" s="28">
        <f t="shared" si="16"/>
        <v>0</v>
      </c>
      <c r="EP137" s="28">
        <f t="shared" si="14"/>
        <v>0</v>
      </c>
    </row>
    <row r="138" spans="2:146">
      <c r="B138" s="9">
        <f>+B137</f>
        <v>44465</v>
      </c>
      <c r="C138" s="92"/>
      <c r="D138" s="1139" t="s">
        <v>921</v>
      </c>
      <c r="E138" s="25">
        <f>+F138+J138+L138+N138+T138+V138+X138+AB138+AD138+AF138+AL138+AN138+AP138+AU138+AW138+AY138+BC138+BE138+BG138+BM138+BO138+BQ138+BW138+CC138+CE138+CG138+CL138+CN138+CP138+CR138+CT138+CW138+CY138+DA138+DC138+DE138+DG138+DI138+DK138+DM138+DO138+DQ138+DS138+EE138+EG138+EI138+EK138+R138+H138+CI138+BA138+AR138+DU138</f>
        <v>0</v>
      </c>
      <c r="F138" s="26"/>
      <c r="G138" s="286">
        <f>+DU138</f>
        <v>0</v>
      </c>
      <c r="H138" s="27"/>
      <c r="I138" s="27"/>
      <c r="J138" s="1140"/>
      <c r="K138" s="27"/>
      <c r="L138" s="27"/>
      <c r="M138" s="27"/>
      <c r="N138" s="25"/>
      <c r="O138" s="27"/>
      <c r="P138" s="27"/>
      <c r="Q138" s="27"/>
      <c r="R138" s="25"/>
      <c r="S138" s="27"/>
      <c r="T138" s="25"/>
      <c r="U138" s="25"/>
      <c r="V138" s="25"/>
      <c r="W138" s="25"/>
      <c r="X138" s="27"/>
      <c r="Y138" s="27"/>
      <c r="Z138" s="27"/>
      <c r="AA138" s="27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7"/>
      <c r="AP138" s="25"/>
      <c r="AQ138" s="25"/>
      <c r="AR138" s="25"/>
      <c r="AS138" s="25"/>
      <c r="AT138" s="28"/>
      <c r="AU138" s="25"/>
      <c r="AV138" s="25"/>
      <c r="AW138" s="25"/>
      <c r="AX138" s="25"/>
      <c r="AY138" s="25"/>
      <c r="AZ138" s="27"/>
      <c r="BA138" s="25"/>
      <c r="BB138" s="25"/>
      <c r="BC138" s="25"/>
      <c r="BD138" s="27"/>
      <c r="BE138" s="25"/>
      <c r="BF138" s="27"/>
      <c r="BG138" s="25"/>
      <c r="BH138" s="27"/>
      <c r="BI138" s="27"/>
      <c r="BJ138" s="27"/>
      <c r="BK138" s="27"/>
      <c r="BL138" s="27"/>
      <c r="BM138" s="25"/>
      <c r="BN138" s="27"/>
      <c r="BO138" s="25"/>
      <c r="BP138" s="27"/>
      <c r="BQ138" s="27"/>
      <c r="BR138" s="27"/>
      <c r="BS138" s="25"/>
      <c r="BT138" s="27"/>
      <c r="BU138" s="25"/>
      <c r="BV138" s="27"/>
      <c r="BW138" s="25"/>
      <c r="BX138" s="27"/>
      <c r="BY138" s="27"/>
      <c r="BZ138" s="27"/>
      <c r="CA138" s="27"/>
      <c r="CB138" s="27"/>
      <c r="CC138" s="25"/>
      <c r="CD138" s="27"/>
      <c r="CE138" s="27"/>
      <c r="CF138" s="25"/>
      <c r="CG138" s="25"/>
      <c r="CH138" s="25"/>
      <c r="CI138" s="25"/>
      <c r="CJ138" s="25"/>
      <c r="CK138" s="28"/>
      <c r="CL138" s="25"/>
      <c r="CM138" s="26"/>
      <c r="CN138" s="25"/>
      <c r="CO138" s="27"/>
      <c r="CP138" s="25"/>
      <c r="CQ138" s="25"/>
      <c r="CR138" s="25"/>
      <c r="CS138" s="27"/>
      <c r="CT138" s="25"/>
      <c r="CU138" s="25"/>
      <c r="CV138" s="28"/>
      <c r="CW138" s="25"/>
      <c r="CX138" s="25"/>
      <c r="CY138" s="25"/>
      <c r="CZ138" s="25"/>
      <c r="DA138" s="25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5"/>
      <c r="DP138" s="25"/>
      <c r="DQ138" s="25"/>
      <c r="DR138" s="25"/>
      <c r="DS138" s="25"/>
      <c r="DT138" s="25"/>
      <c r="DU138" s="215"/>
      <c r="DV138" s="25"/>
      <c r="DW138" s="25"/>
      <c r="DX138" s="25"/>
      <c r="DY138" s="215"/>
      <c r="DZ138" s="25"/>
      <c r="EA138" s="25"/>
      <c r="EB138" s="25"/>
      <c r="EC138" s="25"/>
      <c r="ED138" s="25"/>
      <c r="EE138" s="25"/>
      <c r="EF138" s="25"/>
      <c r="EG138" s="27"/>
      <c r="EH138" s="25"/>
      <c r="EI138" s="25"/>
      <c r="EJ138" s="25"/>
      <c r="EK138" s="25"/>
      <c r="EL138" s="25">
        <f>+J138</f>
        <v>0</v>
      </c>
      <c r="EM138" s="28"/>
      <c r="EN138" s="28">
        <f t="shared" si="15"/>
        <v>0</v>
      </c>
      <c r="EO138" s="28">
        <f t="shared" si="16"/>
        <v>0</v>
      </c>
      <c r="EP138" s="28">
        <f>+EN138-EO138</f>
        <v>0</v>
      </c>
    </row>
    <row r="139" spans="2:146">
      <c r="B139" s="9">
        <f>+B138</f>
        <v>44465</v>
      </c>
      <c r="C139" s="92"/>
      <c r="D139" s="138" t="s">
        <v>169</v>
      </c>
      <c r="E139" s="25">
        <f t="shared" si="19"/>
        <v>0</v>
      </c>
      <c r="F139" s="26"/>
      <c r="G139" s="27">
        <f>+CW139+CY139+DA139+DC139+DE139+DG139+DI139+DK139+DM139</f>
        <v>0</v>
      </c>
      <c r="H139" s="27"/>
      <c r="I139" s="27"/>
      <c r="J139" s="27"/>
      <c r="K139" s="27"/>
      <c r="L139" s="27"/>
      <c r="M139" s="27"/>
      <c r="N139" s="25"/>
      <c r="O139" s="27"/>
      <c r="P139" s="27"/>
      <c r="Q139" s="27"/>
      <c r="R139" s="25"/>
      <c r="S139" s="27"/>
      <c r="T139" s="25"/>
      <c r="U139" s="25"/>
      <c r="V139" s="25"/>
      <c r="W139" s="25"/>
      <c r="X139" s="27"/>
      <c r="Y139" s="27"/>
      <c r="Z139" s="27"/>
      <c r="AA139" s="27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7"/>
      <c r="AP139" s="25"/>
      <c r="AQ139" s="25"/>
      <c r="AR139" s="25"/>
      <c r="AS139" s="25"/>
      <c r="AT139" s="28"/>
      <c r="AU139" s="25"/>
      <c r="AV139" s="25"/>
      <c r="AW139" s="25"/>
      <c r="AX139" s="25"/>
      <c r="AY139" s="25"/>
      <c r="AZ139" s="27"/>
      <c r="BA139" s="25"/>
      <c r="BB139" s="25"/>
      <c r="BC139" s="25"/>
      <c r="BD139" s="27"/>
      <c r="BE139" s="25"/>
      <c r="BF139" s="27"/>
      <c r="BG139" s="25"/>
      <c r="BH139" s="27"/>
      <c r="BI139" s="27"/>
      <c r="BJ139" s="27"/>
      <c r="BK139" s="27"/>
      <c r="BL139" s="27"/>
      <c r="BM139" s="25"/>
      <c r="BN139" s="27"/>
      <c r="BO139" s="25"/>
      <c r="BP139" s="27"/>
      <c r="BQ139" s="27"/>
      <c r="BR139" s="27"/>
      <c r="BS139" s="25"/>
      <c r="BT139" s="27"/>
      <c r="BU139" s="25"/>
      <c r="BV139" s="27"/>
      <c r="BW139" s="25"/>
      <c r="BX139" s="27"/>
      <c r="BY139" s="27"/>
      <c r="BZ139" s="27"/>
      <c r="CA139" s="27"/>
      <c r="CB139" s="27"/>
      <c r="CC139" s="25"/>
      <c r="CD139" s="27"/>
      <c r="CE139" s="27"/>
      <c r="CF139" s="25"/>
      <c r="CG139" s="25"/>
      <c r="CH139" s="25"/>
      <c r="CI139" s="25"/>
      <c r="CJ139" s="25"/>
      <c r="CK139" s="28"/>
      <c r="CL139" s="25"/>
      <c r="CM139" s="25"/>
      <c r="CN139" s="25"/>
      <c r="CO139" s="27"/>
      <c r="CP139" s="25"/>
      <c r="CQ139" s="25"/>
      <c r="CR139" s="25"/>
      <c r="CS139" s="27"/>
      <c r="CT139" s="25"/>
      <c r="CU139" s="25"/>
      <c r="CV139" s="28"/>
      <c r="CW139" s="25">
        <v>0</v>
      </c>
      <c r="CX139" s="25"/>
      <c r="CY139" s="25"/>
      <c r="CZ139" s="25"/>
      <c r="DA139" s="25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8"/>
      <c r="EN139" s="28">
        <f t="shared" si="15"/>
        <v>0</v>
      </c>
      <c r="EO139" s="28">
        <f t="shared" si="16"/>
        <v>0</v>
      </c>
      <c r="EP139" s="28">
        <f t="shared" si="14"/>
        <v>0</v>
      </c>
    </row>
    <row r="140" spans="2:146">
      <c r="B140" s="9">
        <f t="shared" ref="B140:B147" si="20">+B138</f>
        <v>44465</v>
      </c>
      <c r="C140" s="92"/>
      <c r="D140" s="212" t="s">
        <v>147</v>
      </c>
      <c r="E140" s="25">
        <f t="shared" si="19"/>
        <v>0</v>
      </c>
      <c r="F140" s="26"/>
      <c r="G140" s="27">
        <f>+DS140-AX140</f>
        <v>0</v>
      </c>
      <c r="H140" s="27"/>
      <c r="I140" s="27"/>
      <c r="J140" s="27"/>
      <c r="K140" s="27"/>
      <c r="L140" s="27"/>
      <c r="M140" s="27"/>
      <c r="N140" s="25"/>
      <c r="O140" s="27"/>
      <c r="P140" s="27"/>
      <c r="Q140" s="27"/>
      <c r="R140" s="25"/>
      <c r="S140" s="27"/>
      <c r="T140" s="25"/>
      <c r="U140" s="25"/>
      <c r="V140" s="25"/>
      <c r="W140" s="25"/>
      <c r="X140" s="27"/>
      <c r="Y140" s="27"/>
      <c r="Z140" s="27"/>
      <c r="AA140" s="27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7"/>
      <c r="AP140" s="25"/>
      <c r="AQ140" s="25"/>
      <c r="AR140" s="25"/>
      <c r="AS140" s="25"/>
      <c r="AT140" s="28"/>
      <c r="AU140" s="25"/>
      <c r="AV140" s="25"/>
      <c r="AW140" s="25"/>
      <c r="AX140" s="217">
        <f>+DATOS!G23</f>
        <v>0</v>
      </c>
      <c r="AY140" s="25"/>
      <c r="AZ140" s="27"/>
      <c r="BA140" s="25"/>
      <c r="BB140" s="25"/>
      <c r="BC140" s="25"/>
      <c r="BD140" s="27"/>
      <c r="BE140" s="25"/>
      <c r="BF140" s="27"/>
      <c r="BG140" s="25"/>
      <c r="BH140" s="27"/>
      <c r="BI140" s="27"/>
      <c r="BJ140" s="27"/>
      <c r="BK140" s="27"/>
      <c r="BL140" s="27"/>
      <c r="BM140" s="25"/>
      <c r="BN140" s="27"/>
      <c r="BO140" s="25"/>
      <c r="BP140" s="27"/>
      <c r="BQ140" s="27"/>
      <c r="BR140" s="27"/>
      <c r="BS140" s="25"/>
      <c r="BT140" s="27"/>
      <c r="BU140" s="25"/>
      <c r="BV140" s="27"/>
      <c r="BW140" s="25"/>
      <c r="BX140" s="27"/>
      <c r="BY140" s="27"/>
      <c r="BZ140" s="27"/>
      <c r="CA140" s="27"/>
      <c r="CB140" s="27"/>
      <c r="CC140" s="25"/>
      <c r="CD140" s="27"/>
      <c r="CE140" s="27"/>
      <c r="CF140" s="25"/>
      <c r="CG140" s="25"/>
      <c r="CH140" s="25"/>
      <c r="CI140" s="25"/>
      <c r="CJ140" s="25"/>
      <c r="CK140" s="28"/>
      <c r="CL140" s="25"/>
      <c r="CM140" s="25"/>
      <c r="CN140" s="25"/>
      <c r="CO140" s="27"/>
      <c r="CP140" s="25"/>
      <c r="CQ140" s="25"/>
      <c r="CR140" s="25"/>
      <c r="CS140" s="27"/>
      <c r="CT140" s="25"/>
      <c r="CU140" s="25"/>
      <c r="CV140" s="28"/>
      <c r="CW140" s="25"/>
      <c r="CX140" s="25"/>
      <c r="CY140" s="25"/>
      <c r="CZ140" s="25"/>
      <c r="DA140" s="25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5"/>
      <c r="DP140" s="25"/>
      <c r="DQ140" s="25"/>
      <c r="DR140" s="25"/>
      <c r="DS140" s="218">
        <f>ROUND(+AX140/0.13,0)</f>
        <v>0</v>
      </c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8"/>
      <c r="EN140" s="28">
        <f t="shared" si="15"/>
        <v>0</v>
      </c>
      <c r="EO140" s="28">
        <f>+G140+K140+M140+O140+U140+W140+Y140+AC140+AE140+AG140+AM140+AO140+AQ140+AV140+AX140+AZ140+BD140+BF140+BH140+BN140+BP140+BR140+BV140+BX140+BZ140+CD140+CF140+CH140+CM140+CO140+CQ140+CS140+CU140+CX140+CZ140+DB140+DD140+DF140+DH140+DJ140+DL140+DN140+DP140+DR140+DT140+EF140+EH140+EJ140+EL140+I140+S140+AS140+BB140+CJ140</f>
        <v>0</v>
      </c>
      <c r="EP140" s="28">
        <f t="shared" si="14"/>
        <v>0</v>
      </c>
    </row>
    <row r="141" spans="2:146">
      <c r="B141" s="9">
        <f t="shared" si="20"/>
        <v>44465</v>
      </c>
      <c r="C141" s="92"/>
      <c r="D141" s="138" t="s">
        <v>176</v>
      </c>
      <c r="E141" s="25">
        <f t="shared" si="19"/>
        <v>0</v>
      </c>
      <c r="F141" s="26"/>
      <c r="G141" s="27"/>
      <c r="H141" s="27"/>
      <c r="I141" s="27"/>
      <c r="J141" s="27"/>
      <c r="K141" s="27"/>
      <c r="L141" s="27"/>
      <c r="M141" s="27"/>
      <c r="N141" s="25"/>
      <c r="O141" s="27"/>
      <c r="P141" s="27"/>
      <c r="Q141" s="27"/>
      <c r="R141" s="25"/>
      <c r="S141" s="27"/>
      <c r="T141" s="25"/>
      <c r="U141" s="25"/>
      <c r="V141" s="25"/>
      <c r="W141" s="25"/>
      <c r="X141" s="27"/>
      <c r="Y141" s="27"/>
      <c r="Z141" s="27"/>
      <c r="AA141" s="27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7"/>
      <c r="AP141" s="25"/>
      <c r="AQ141" s="25"/>
      <c r="AR141" s="25"/>
      <c r="AS141" s="25"/>
      <c r="AT141" s="28"/>
      <c r="AU141" s="25"/>
      <c r="AV141" s="25"/>
      <c r="AW141" s="25"/>
      <c r="AX141" s="25"/>
      <c r="AY141" s="25"/>
      <c r="AZ141" s="27"/>
      <c r="BA141" s="25"/>
      <c r="BB141" s="25"/>
      <c r="BC141" s="25"/>
      <c r="BD141" s="27"/>
      <c r="BE141" s="25"/>
      <c r="BF141" s="27"/>
      <c r="BG141" s="25"/>
      <c r="BH141" s="27"/>
      <c r="BI141" s="27"/>
      <c r="BJ141" s="27"/>
      <c r="BK141" s="27"/>
      <c r="BL141" s="27"/>
      <c r="BM141" s="25"/>
      <c r="BN141" s="27"/>
      <c r="BO141" s="25"/>
      <c r="BP141" s="27"/>
      <c r="BQ141" s="27"/>
      <c r="BR141" s="27"/>
      <c r="BS141" s="25"/>
      <c r="BT141" s="27"/>
      <c r="BU141" s="25"/>
      <c r="BV141" s="27"/>
      <c r="BW141" s="25"/>
      <c r="BX141" s="27"/>
      <c r="BY141" s="27"/>
      <c r="BZ141" s="27"/>
      <c r="CA141" s="27"/>
      <c r="CB141" s="27"/>
      <c r="CC141" s="25"/>
      <c r="CD141" s="27"/>
      <c r="CE141" s="27"/>
      <c r="CF141" s="25"/>
      <c r="CG141" s="25"/>
      <c r="CH141" s="25"/>
      <c r="CI141" s="25"/>
      <c r="CJ141" s="25"/>
      <c r="CK141" s="28"/>
      <c r="CL141" s="25"/>
      <c r="CM141" s="25"/>
      <c r="CN141" s="25"/>
      <c r="CO141" s="27"/>
      <c r="CP141" s="25"/>
      <c r="CQ141" s="25"/>
      <c r="CR141" s="25"/>
      <c r="CS141" s="27"/>
      <c r="CT141" s="25"/>
      <c r="CU141" s="25"/>
      <c r="CV141" s="28"/>
      <c r="CW141" s="25"/>
      <c r="CX141" s="25"/>
      <c r="CY141" s="25"/>
      <c r="CZ141" s="25"/>
      <c r="DA141" s="25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5"/>
      <c r="DP141" s="25"/>
      <c r="DQ141" s="25"/>
      <c r="DR141" s="25"/>
      <c r="DS141" s="30">
        <v>0</v>
      </c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8"/>
      <c r="EN141" s="28">
        <f t="shared" si="15"/>
        <v>0</v>
      </c>
      <c r="EO141" s="28">
        <f t="shared" si="16"/>
        <v>0</v>
      </c>
      <c r="EP141" s="28">
        <f t="shared" si="14"/>
        <v>0</v>
      </c>
    </row>
    <row r="142" spans="2:146">
      <c r="B142" s="9">
        <f t="shared" si="20"/>
        <v>44465</v>
      </c>
      <c r="C142" s="92"/>
      <c r="D142" s="539" t="s">
        <v>500</v>
      </c>
      <c r="E142" s="25">
        <f t="shared" si="19"/>
        <v>0</v>
      </c>
      <c r="F142" s="26"/>
      <c r="G142" s="27">
        <f>+BS142</f>
        <v>0</v>
      </c>
      <c r="H142" s="27"/>
      <c r="I142" s="27"/>
      <c r="J142" s="27"/>
      <c r="K142" s="27"/>
      <c r="L142" s="27"/>
      <c r="M142" s="27"/>
      <c r="N142" s="25"/>
      <c r="O142" s="27"/>
      <c r="P142" s="27"/>
      <c r="Q142" s="27"/>
      <c r="R142" s="25"/>
      <c r="S142" s="27"/>
      <c r="T142" s="25"/>
      <c r="U142" s="25"/>
      <c r="V142" s="25"/>
      <c r="W142" s="25"/>
      <c r="X142" s="27"/>
      <c r="Y142" s="27"/>
      <c r="Z142" s="27"/>
      <c r="AA142" s="27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7"/>
      <c r="AP142" s="25"/>
      <c r="AQ142" s="25"/>
      <c r="AR142" s="25"/>
      <c r="AS142" s="25"/>
      <c r="AT142" s="28"/>
      <c r="AU142" s="25"/>
      <c r="AV142" s="25"/>
      <c r="AW142" s="25"/>
      <c r="AX142" s="25"/>
      <c r="AY142" s="25"/>
      <c r="AZ142" s="27"/>
      <c r="BA142" s="25"/>
      <c r="BB142" s="25"/>
      <c r="BC142" s="25"/>
      <c r="BD142" s="27"/>
      <c r="BE142" s="25"/>
      <c r="BF142" s="27"/>
      <c r="BG142" s="25"/>
      <c r="BH142" s="27"/>
      <c r="BI142" s="27"/>
      <c r="BJ142" s="27"/>
      <c r="BK142" s="27"/>
      <c r="BL142" s="27"/>
      <c r="BM142" s="25"/>
      <c r="BN142" s="27"/>
      <c r="BO142" s="25"/>
      <c r="BP142" s="27"/>
      <c r="BQ142" s="27"/>
      <c r="BR142" s="27"/>
      <c r="BS142" s="25"/>
      <c r="BT142" s="27"/>
      <c r="BU142" s="25"/>
      <c r="BV142" s="27"/>
      <c r="BW142" s="25"/>
      <c r="BX142" s="27"/>
      <c r="BY142" s="27"/>
      <c r="BZ142" s="27"/>
      <c r="CA142" s="27"/>
      <c r="CB142" s="27"/>
      <c r="CC142" s="25"/>
      <c r="CD142" s="27"/>
      <c r="CE142" s="27"/>
      <c r="CF142" s="25"/>
      <c r="CG142" s="25"/>
      <c r="CH142" s="25"/>
      <c r="CI142" s="25"/>
      <c r="CJ142" s="25"/>
      <c r="CK142" s="28"/>
      <c r="CL142" s="25"/>
      <c r="CM142" s="25"/>
      <c r="CN142" s="25"/>
      <c r="CO142" s="27"/>
      <c r="CP142" s="25"/>
      <c r="CQ142" s="25"/>
      <c r="CR142" s="25"/>
      <c r="CS142" s="27"/>
      <c r="CT142" s="25"/>
      <c r="CU142" s="25"/>
      <c r="CV142" s="28"/>
      <c r="CW142" s="25"/>
      <c r="CX142" s="25"/>
      <c r="CY142" s="25"/>
      <c r="CZ142" s="25"/>
      <c r="DA142" s="25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8"/>
      <c r="EN142" s="28">
        <f t="shared" si="15"/>
        <v>0</v>
      </c>
      <c r="EO142" s="28">
        <f t="shared" si="16"/>
        <v>0</v>
      </c>
      <c r="EP142" s="28">
        <f t="shared" si="14"/>
        <v>0</v>
      </c>
    </row>
    <row r="143" spans="2:146">
      <c r="B143" s="9">
        <f t="shared" si="20"/>
        <v>44465</v>
      </c>
      <c r="C143" s="92"/>
      <c r="D143" s="213" t="s">
        <v>195</v>
      </c>
      <c r="E143" s="478">
        <f>+F143+J143+L143+N143+T143+V143+X143+AB143+AD143+AF143+AL143+AN143+AP143+AU143+AW143+AY143+BC143+BE143+BG143+BM143+BO143+BQ143+BW143+CC143+CE143+CG143+CL143+CN143+CP143+CR143+CT143+CW143+CY143+DA143+DC143+DE143+DG143+DI143+DK143+DM143+DO143+DQ143+DS143+EE143+EG143+EI143+EK143+R143+H143+CI143+BA143+AR143+DU143</f>
        <v>0</v>
      </c>
      <c r="F143" s="26"/>
      <c r="G143" s="286">
        <f>+DU143-BB143-AV143-AQ143+DY143</f>
        <v>0</v>
      </c>
      <c r="H143" s="27"/>
      <c r="I143" s="27"/>
      <c r="J143" s="27"/>
      <c r="K143" s="27"/>
      <c r="L143" s="27"/>
      <c r="M143" s="27"/>
      <c r="N143" s="25"/>
      <c r="O143" s="27"/>
      <c r="P143" s="27"/>
      <c r="Q143" s="27"/>
      <c r="R143" s="25"/>
      <c r="S143" s="27"/>
      <c r="T143" s="25"/>
      <c r="U143" s="25"/>
      <c r="V143" s="25"/>
      <c r="W143" s="25"/>
      <c r="X143" s="27"/>
      <c r="Y143" s="27"/>
      <c r="Z143" s="27"/>
      <c r="AA143" s="27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7"/>
      <c r="AP143" s="213"/>
      <c r="AQ143" s="215">
        <f>+DATOS!K44</f>
        <v>0</v>
      </c>
      <c r="AR143" s="25"/>
      <c r="AS143" s="25"/>
      <c r="AT143" s="28"/>
      <c r="AU143" s="25"/>
      <c r="AV143" s="215">
        <f>+DATOS!J44+DATOS!M44</f>
        <v>0</v>
      </c>
      <c r="AW143" s="25"/>
      <c r="AX143" s="25"/>
      <c r="AY143" s="25"/>
      <c r="AZ143" s="27"/>
      <c r="BA143" s="25"/>
      <c r="BB143" s="214">
        <f>+DATOS!I44</f>
        <v>0</v>
      </c>
      <c r="BC143" s="25"/>
      <c r="BD143" s="27"/>
      <c r="BE143" s="25"/>
      <c r="BF143" s="27"/>
      <c r="BG143" s="25"/>
      <c r="BH143" s="27"/>
      <c r="BI143" s="27"/>
      <c r="BJ143" s="27"/>
      <c r="BK143" s="27"/>
      <c r="BL143" s="27"/>
      <c r="BM143" s="25"/>
      <c r="BN143" s="27"/>
      <c r="BO143" s="25"/>
      <c r="BP143" s="27"/>
      <c r="BQ143" s="27"/>
      <c r="BR143" s="27"/>
      <c r="BS143" s="25"/>
      <c r="BT143" s="27"/>
      <c r="BU143" s="25"/>
      <c r="BV143" s="27"/>
      <c r="BW143" s="25"/>
      <c r="BX143" s="27"/>
      <c r="BY143" s="27"/>
      <c r="BZ143" s="27"/>
      <c r="CA143" s="27"/>
      <c r="CB143" s="27"/>
      <c r="CC143" s="25"/>
      <c r="CD143" s="27"/>
      <c r="CE143" s="27"/>
      <c r="CF143" s="25"/>
      <c r="CG143" s="25"/>
      <c r="CH143" s="25"/>
      <c r="CI143" s="25"/>
      <c r="CJ143" s="25"/>
      <c r="CK143" s="28"/>
      <c r="CL143" s="25"/>
      <c r="CM143" s="25"/>
      <c r="CN143" s="25"/>
      <c r="CO143" s="27"/>
      <c r="CP143" s="25"/>
      <c r="CQ143" s="25"/>
      <c r="CR143" s="25"/>
      <c r="CS143" s="27"/>
      <c r="CT143" s="25"/>
      <c r="CU143" s="25"/>
      <c r="CV143" s="28"/>
      <c r="CW143" s="25"/>
      <c r="CX143" s="25"/>
      <c r="CY143" s="25"/>
      <c r="CZ143" s="25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5"/>
      <c r="DP143" s="25"/>
      <c r="DQ143" s="25"/>
      <c r="DR143" s="25"/>
      <c r="DS143" s="25"/>
      <c r="DT143" s="25"/>
      <c r="DU143" s="215">
        <f>+DATOS!G44</f>
        <v>0</v>
      </c>
      <c r="DV143" s="25"/>
      <c r="DW143" s="25"/>
      <c r="DX143" s="25"/>
      <c r="DY143" s="215">
        <f>+DATOS!M44</f>
        <v>0</v>
      </c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8"/>
      <c r="EN143" s="28">
        <f>+F143+J143+L143+N143+T143+V143+X143+AB143+AD143+AF143+AL143+AN143+AP143+AU143+AW143+AY143+BC143+BE143+BG143+BM143+BO143+BQ143+BU143+BW143+BY143+CC143+CE143+CG143+CL143+CN143+CP143+CR143+CT143+CW143+CY143+DA143+DC143+DE143+DG143+DI143+DK143+DM143+DO143+DQ143+DS143+EE143+EG143+EI143+EK143+H143+R143+AR143+BA143+CI143+DU143+DY143</f>
        <v>0</v>
      </c>
      <c r="EO143" s="28">
        <f t="shared" si="16"/>
        <v>0</v>
      </c>
      <c r="EP143" s="28">
        <f t="shared" si="14"/>
        <v>0</v>
      </c>
    </row>
    <row r="144" spans="2:146">
      <c r="B144" s="9">
        <f t="shared" si="20"/>
        <v>44465</v>
      </c>
      <c r="C144" s="92"/>
      <c r="D144" s="485" t="s">
        <v>488</v>
      </c>
      <c r="E144" s="478"/>
      <c r="F144" s="26"/>
      <c r="G144" s="278">
        <f>+BY144</f>
        <v>0</v>
      </c>
      <c r="H144" s="27"/>
      <c r="I144" s="27"/>
      <c r="J144" s="27"/>
      <c r="K144" s="27"/>
      <c r="L144" s="27"/>
      <c r="M144" s="27"/>
      <c r="N144" s="25"/>
      <c r="O144" s="27"/>
      <c r="P144" s="27"/>
      <c r="Q144" s="27"/>
      <c r="R144" s="25"/>
      <c r="S144" s="27"/>
      <c r="T144" s="25"/>
      <c r="U144" s="25"/>
      <c r="V144" s="25"/>
      <c r="W144" s="25"/>
      <c r="X144" s="27"/>
      <c r="Y144" s="27"/>
      <c r="Z144" s="27"/>
      <c r="AA144" s="27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7"/>
      <c r="AP144" s="517"/>
      <c r="AQ144" s="215"/>
      <c r="AR144" s="25"/>
      <c r="AS144" s="25"/>
      <c r="AT144" s="28"/>
      <c r="AU144" s="25"/>
      <c r="AV144" s="215"/>
      <c r="AW144" s="25"/>
      <c r="AX144" s="25"/>
      <c r="AY144" s="25"/>
      <c r="AZ144" s="27"/>
      <c r="BA144" s="25"/>
      <c r="BB144" s="214"/>
      <c r="BC144" s="25"/>
      <c r="BD144" s="27"/>
      <c r="BE144" s="25"/>
      <c r="BF144" s="27"/>
      <c r="BG144" s="25"/>
      <c r="BH144" s="27"/>
      <c r="BI144" s="27"/>
      <c r="BJ144" s="27"/>
      <c r="BK144" s="27"/>
      <c r="BL144" s="27"/>
      <c r="BM144" s="25"/>
      <c r="BN144" s="27"/>
      <c r="BO144" s="25"/>
      <c r="BP144" s="27"/>
      <c r="BQ144" s="515">
        <f>+DATOS!C71</f>
        <v>0</v>
      </c>
      <c r="BR144" s="27"/>
      <c r="BS144" s="515">
        <f>+DATOS!F71</f>
        <v>0</v>
      </c>
      <c r="BT144" s="27"/>
      <c r="BU144" s="516">
        <f>+DATOS!I71</f>
        <v>0</v>
      </c>
      <c r="BV144" s="27"/>
      <c r="BW144" s="516">
        <f>+DATOS!L71</f>
        <v>0</v>
      </c>
      <c r="BX144" s="27"/>
      <c r="BY144" s="515">
        <f>+DATOS!O71</f>
        <v>0</v>
      </c>
      <c r="BZ144" s="27"/>
      <c r="CA144" s="27"/>
      <c r="CB144" s="27"/>
      <c r="CC144" s="25"/>
      <c r="CD144" s="27"/>
      <c r="CE144" s="27"/>
      <c r="CF144" s="25"/>
      <c r="CG144" s="25"/>
      <c r="CH144" s="25"/>
      <c r="CI144" s="25"/>
      <c r="CJ144" s="25"/>
      <c r="CK144" s="28"/>
      <c r="CL144" s="25"/>
      <c r="CM144" s="25"/>
      <c r="CN144" s="25"/>
      <c r="CO144" s="27"/>
      <c r="CP144" s="25"/>
      <c r="CQ144" s="25"/>
      <c r="CR144" s="25"/>
      <c r="CS144" s="27"/>
      <c r="CT144" s="25"/>
      <c r="CU144" s="25"/>
      <c r="CV144" s="28"/>
      <c r="CW144" s="25"/>
      <c r="CX144" s="25"/>
      <c r="CY144" s="25"/>
      <c r="CZ144" s="25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5"/>
      <c r="DP144" s="25"/>
      <c r="DQ144" s="25"/>
      <c r="DR144" s="25"/>
      <c r="DS144" s="25"/>
      <c r="DT144" s="25"/>
      <c r="DU144" s="215"/>
      <c r="DV144" s="25"/>
      <c r="DW144" s="25"/>
      <c r="DX144" s="25"/>
      <c r="DY144" s="21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8"/>
      <c r="EN144" s="28">
        <f>+F144+J144+L144+N144+T144+V144+X144+AB144+AD144+AF144+AL144+AN144+AP144+AU144+AW144+AY144+BC144+BE144+BG144+BM144+BO144+BQ144+BU144+BW144+BY144+CC144+CE144+CG144+CL144+CN144+CP144+CR144+CT144+CW144+CY144+DA144+DC144+DE144+DG144+DI144+DK144+DM144+DO144+DQ144+DS144+EE144+EG144+EI144+EK144+H144+R144+AR144+BA144+CI144+DU144+DY144</f>
        <v>0</v>
      </c>
      <c r="EO144" s="28">
        <f>+G144+K144+M144+O144+U144+W144+Y144+AC144+AE144+AG144+AM144+AO144+AQ144+AV144+AX144+AZ144+BD144+BF144+BH144+BN144+BP144+BR144+BV144+BX144+BZ144+CD144+CF144+CH144+CM144+CO144+CQ144+CS144+CU144+CX144+CZ144+DB144+DD144+DF144+DH144+DJ144+DL144+DN144+DP144+DR144+DT144+EF144+EH144+EJ144+EL144+I144+S144+AS144+BB144+CJ144</f>
        <v>0</v>
      </c>
      <c r="EP144" s="28">
        <f>+EN144-EO144</f>
        <v>0</v>
      </c>
    </row>
    <row r="145" spans="2:146">
      <c r="B145" s="9">
        <f t="shared" si="20"/>
        <v>44465</v>
      </c>
      <c r="C145" s="92"/>
      <c r="D145" s="302" t="s">
        <v>489</v>
      </c>
      <c r="E145" s="478"/>
      <c r="F145" s="26"/>
      <c r="G145" s="286"/>
      <c r="H145" s="27"/>
      <c r="I145" s="27"/>
      <c r="J145" s="27"/>
      <c r="K145" s="27"/>
      <c r="L145" s="27"/>
      <c r="M145" s="27"/>
      <c r="N145" s="25"/>
      <c r="O145" s="27"/>
      <c r="P145" s="27"/>
      <c r="Q145" s="27"/>
      <c r="R145" s="25"/>
      <c r="S145" s="27"/>
      <c r="T145" s="25"/>
      <c r="U145" s="25"/>
      <c r="V145" s="25"/>
      <c r="W145" s="25"/>
      <c r="X145" s="27"/>
      <c r="Y145" s="27"/>
      <c r="Z145" s="27"/>
      <c r="AA145" s="27"/>
      <c r="AB145" s="25"/>
      <c r="AC145" s="25"/>
      <c r="AD145" s="25"/>
      <c r="AE145" s="25"/>
      <c r="AF145" s="25"/>
      <c r="AG145" s="527">
        <f>+DATOS!G71</f>
        <v>0</v>
      </c>
      <c r="AH145" s="25"/>
      <c r="AI145" s="527">
        <f>+DATOS!D71</f>
        <v>0</v>
      </c>
      <c r="AJ145" s="25"/>
      <c r="AK145" s="531">
        <f>+DATOS!J71+DATOS!M71+DATOS!P71</f>
        <v>0</v>
      </c>
      <c r="AL145" s="25"/>
      <c r="AM145" s="25"/>
      <c r="AN145" s="25"/>
      <c r="AO145" s="27"/>
      <c r="AP145" s="517"/>
      <c r="AQ145" s="215"/>
      <c r="AR145" s="25"/>
      <c r="AS145" s="25"/>
      <c r="AT145" s="28"/>
      <c r="AU145" s="25"/>
      <c r="AV145" s="215"/>
      <c r="AW145" s="25"/>
      <c r="AX145" s="25"/>
      <c r="AY145" s="25"/>
      <c r="AZ145" s="27"/>
      <c r="BA145" s="25"/>
      <c r="BB145" s="214"/>
      <c r="BC145" s="25"/>
      <c r="BD145" s="27"/>
      <c r="BE145" s="25"/>
      <c r="BF145" s="27"/>
      <c r="BG145" s="25"/>
      <c r="BH145" s="27"/>
      <c r="BI145" s="27"/>
      <c r="BJ145" s="27"/>
      <c r="BK145" s="27"/>
      <c r="BL145" s="27"/>
      <c r="BM145" s="25"/>
      <c r="BN145" s="27"/>
      <c r="BO145" s="25"/>
      <c r="BP145" s="27"/>
      <c r="BQ145" s="27"/>
      <c r="BR145" s="27"/>
      <c r="BS145" s="25"/>
      <c r="BT145" s="27"/>
      <c r="BU145" s="25"/>
      <c r="BV145" s="27"/>
      <c r="BW145" s="25"/>
      <c r="BX145" s="27"/>
      <c r="BY145" s="27"/>
      <c r="BZ145" s="27"/>
      <c r="CA145" s="27"/>
      <c r="CB145" s="27"/>
      <c r="CC145" s="25"/>
      <c r="CD145" s="27"/>
      <c r="CE145" s="27"/>
      <c r="CF145" s="25"/>
      <c r="CG145" s="25"/>
      <c r="CH145" s="25"/>
      <c r="CI145" s="25"/>
      <c r="CJ145" s="25"/>
      <c r="CK145" s="28"/>
      <c r="CL145" s="25"/>
      <c r="CM145" s="25"/>
      <c r="CN145" s="25"/>
      <c r="CO145" s="27"/>
      <c r="CP145" s="25"/>
      <c r="CQ145" s="25"/>
      <c r="CR145" s="25"/>
      <c r="CS145" s="27"/>
      <c r="CT145" s="25"/>
      <c r="CU145" s="25"/>
      <c r="CV145" s="28"/>
      <c r="CW145" s="25"/>
      <c r="CX145" s="25"/>
      <c r="CY145" s="25"/>
      <c r="CZ145" s="25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5"/>
      <c r="DP145" s="25"/>
      <c r="DQ145" s="25"/>
      <c r="DR145" s="25"/>
      <c r="DS145" s="25"/>
      <c r="DT145" s="25"/>
      <c r="DU145" s="215"/>
      <c r="DV145" s="25"/>
      <c r="DW145" s="25"/>
      <c r="DX145" s="25"/>
      <c r="DY145" s="215"/>
      <c r="DZ145" s="25"/>
      <c r="EA145" s="527">
        <f>+AG145+AI145+AK145</f>
        <v>0</v>
      </c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8"/>
      <c r="EN145" s="28">
        <f>+F145+J145+L145+N145+T145+V145+X145+AB145+AD145+AF145+AL145+AN145+AP145+AU145+AW145+AY145+BC145+BE145+BG145+BM145+BO145+BQ145+BU145+BW145+BY145+CC145+CE145+CG145+CL145+CN145+CP145+CR145+CT145+CW145+CY145+DA145+DC145+DE145+DG145+DI145+DK145+DM145+DO145+DQ145+DS145+EE145+EG145+EI145+EK145+H145+R145+AR145+BA145+CI145+DU145+DY145</f>
        <v>0</v>
      </c>
      <c r="EO145" s="28">
        <f>+G145+K145+M145+O145+U145+W145+Y145+AC145+AE145+AG145+AM145+AO145+AQ145+AV145+AX145+AZ145+BD145+BF145+BH145+BN145+BP145+BR145+BV145+BX145+BZ145+CD145+CF145+CH145+CM145+CO145+CQ145+CS145+CU145+CX145+CZ145+DB145+DD145+DF145+DH145+DJ145+DL145+DN145+DP145+DR145+DT145+EF145+EH145+EJ145+EL145+I145+S145+AS145+BB145+CJ145</f>
        <v>0</v>
      </c>
      <c r="EP145" s="28">
        <f>+EN145-EO145</f>
        <v>0</v>
      </c>
    </row>
    <row r="146" spans="2:146">
      <c r="B146" s="9">
        <f t="shared" si="20"/>
        <v>44465</v>
      </c>
      <c r="C146" s="92"/>
      <c r="D146" s="212" t="s">
        <v>147</v>
      </c>
      <c r="E146" s="478"/>
      <c r="F146" s="26"/>
      <c r="G146" s="286"/>
      <c r="H146" s="27"/>
      <c r="I146" s="27"/>
      <c r="J146" s="27"/>
      <c r="K146" s="27"/>
      <c r="L146" s="27"/>
      <c r="M146" s="27"/>
      <c r="N146" s="25"/>
      <c r="O146" s="27"/>
      <c r="P146" s="27"/>
      <c r="Q146" s="27"/>
      <c r="R146" s="25"/>
      <c r="S146" s="27"/>
      <c r="T146" s="25"/>
      <c r="U146" s="25"/>
      <c r="V146" s="25"/>
      <c r="W146" s="25"/>
      <c r="X146" s="27"/>
      <c r="Y146" s="27"/>
      <c r="Z146" s="27"/>
      <c r="AA146" s="27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7"/>
      <c r="AP146" s="517"/>
      <c r="AQ146" s="215"/>
      <c r="AR146" s="25"/>
      <c r="AS146" s="25"/>
      <c r="AT146" s="28"/>
      <c r="AU146" s="25"/>
      <c r="AV146" s="215"/>
      <c r="AW146" s="25"/>
      <c r="AX146" s="25"/>
      <c r="AY146" s="25"/>
      <c r="AZ146" s="27"/>
      <c r="BA146" s="25"/>
      <c r="BB146" s="214"/>
      <c r="BC146" s="25"/>
      <c r="BD146" s="27"/>
      <c r="BE146" s="25"/>
      <c r="BF146" s="27"/>
      <c r="BG146" s="25"/>
      <c r="BH146" s="27"/>
      <c r="BI146" s="27"/>
      <c r="BJ146" s="27"/>
      <c r="BK146" s="27"/>
      <c r="BL146" s="27"/>
      <c r="BM146" s="25"/>
      <c r="BN146" s="27"/>
      <c r="BO146" s="25"/>
      <c r="BP146" s="27"/>
      <c r="BQ146" s="27"/>
      <c r="BR146" s="27"/>
      <c r="BS146" s="25"/>
      <c r="BT146" s="27"/>
      <c r="BU146" s="25"/>
      <c r="BV146" s="27"/>
      <c r="BW146" s="25"/>
      <c r="BX146" s="27"/>
      <c r="BY146" s="27"/>
      <c r="BZ146" s="27"/>
      <c r="CA146" s="27"/>
      <c r="CB146" s="27"/>
      <c r="CC146" s="25"/>
      <c r="CD146" s="27"/>
      <c r="CE146" s="27"/>
      <c r="CF146" s="25"/>
      <c r="CG146" s="25"/>
      <c r="CH146" s="25"/>
      <c r="CI146" s="25"/>
      <c r="CJ146" s="25"/>
      <c r="CK146" s="28"/>
      <c r="CL146" s="25"/>
      <c r="CM146" s="25"/>
      <c r="CN146" s="25"/>
      <c r="CO146" s="27"/>
      <c r="CP146" s="25"/>
      <c r="CQ146" s="25"/>
      <c r="CR146" s="25"/>
      <c r="CS146" s="27"/>
      <c r="CT146" s="25"/>
      <c r="CU146" s="25"/>
      <c r="CV146" s="28"/>
      <c r="CW146" s="25"/>
      <c r="CX146" s="25"/>
      <c r="CY146" s="25"/>
      <c r="CZ146" s="25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5"/>
      <c r="DP146" s="25"/>
      <c r="DQ146" s="25"/>
      <c r="DR146" s="25"/>
      <c r="DS146" s="25"/>
      <c r="DT146" s="25"/>
      <c r="DU146" s="215"/>
      <c r="DV146" s="25"/>
      <c r="DW146" s="25"/>
      <c r="DX146" s="25"/>
      <c r="DY146" s="21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8"/>
      <c r="EN146" s="28">
        <f>+F146+J146+L146+N146+T146+V146+X146+AB146+AD146+AF146+AL146+AN146+AP146+AU146+AW146+AY146+BC146+BE146+BG146+BM146+BO146+BQ146+BU146+BW146+BY146+CC146+CE146+CG146+CL146+CN146+CP146+CR146+CT146+CW146+CY146+DA146+DC146+DE146+DG146+DI146+DK146+DM146+DO146+DQ146+DS146+EE146+EG146+EI146+EK146+H146+R146+AR146+BA146+CI146+DU146+DY146</f>
        <v>0</v>
      </c>
      <c r="EO146" s="28">
        <f>+G146+K146+M146+O146+U146+W146+Y146+AC146+AE146+AG146+AM146+AO146+AQ146+AV146+AX146+AZ146+BD146+BF146+BH146+BN146+BP146+BR146+BV146+BX146+BZ146+CD146+CF146+CH146+CM146+CO146+CQ146+CS146+CU146+CX146+CZ146+DB146+DD146+DF146+DH146+DJ146+DL146+DN146+DP146+DR146+DT146+EF146+EH146+EJ146+EL146+I146+S146+AS146+BB146+CJ146</f>
        <v>0</v>
      </c>
      <c r="EP146" s="28">
        <f>+EN146-EO146</f>
        <v>0</v>
      </c>
    </row>
    <row r="147" spans="2:146">
      <c r="B147" s="9">
        <f t="shared" si="20"/>
        <v>44465</v>
      </c>
      <c r="C147" s="92"/>
      <c r="D147" s="284" t="s">
        <v>263</v>
      </c>
      <c r="E147" s="478">
        <f>+F147+J147+L147+N147+T147+V147+X147+AB147+AD147+AF147+AL147+AN147+AP147+AU147+AW147+AY147+BC147+BE147+BG147+BM147+BO147+BQ147+BW147+CC147+CE147+CG147+CL147+CN147+CP147+CR147+CT147+CW147+CY147+DA147+DC147+DE147+DG147+DI147+DK147+DM147+DO147+DQ147+DS147+EE147+EG147+EI147+EK147+R147+H147+CI147+BA147+AR147</f>
        <v>0</v>
      </c>
      <c r="F147" s="26"/>
      <c r="G147" s="283">
        <f>+DW147</f>
        <v>0</v>
      </c>
      <c r="H147" s="27"/>
      <c r="I147" s="27"/>
      <c r="J147" s="27"/>
      <c r="K147" s="27"/>
      <c r="L147" s="27"/>
      <c r="M147" s="27"/>
      <c r="N147" s="25"/>
      <c r="O147" s="27"/>
      <c r="P147" s="27"/>
      <c r="Q147" s="27"/>
      <c r="R147" s="25"/>
      <c r="S147" s="27"/>
      <c r="T147" s="25"/>
      <c r="U147" s="25"/>
      <c r="V147" s="25"/>
      <c r="W147" s="25"/>
      <c r="X147" s="27"/>
      <c r="Y147" s="27"/>
      <c r="Z147" s="27"/>
      <c r="AA147" s="27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7"/>
      <c r="AP147" s="25"/>
      <c r="AQ147" s="25"/>
      <c r="AR147" s="25"/>
      <c r="AS147" s="25"/>
      <c r="AT147" s="28"/>
      <c r="AU147" s="25"/>
      <c r="AV147" s="25"/>
      <c r="AW147" s="25"/>
      <c r="AX147" s="25"/>
      <c r="AY147" s="25"/>
      <c r="AZ147" s="27"/>
      <c r="BA147" s="25"/>
      <c r="BB147" s="25"/>
      <c r="BC147" s="25"/>
      <c r="BD147" s="27"/>
      <c r="BE147" s="25"/>
      <c r="BF147" s="27"/>
      <c r="BG147" s="25"/>
      <c r="BH147" s="27"/>
      <c r="BI147" s="27"/>
      <c r="BJ147" s="27"/>
      <c r="BK147" s="27"/>
      <c r="BL147" s="27"/>
      <c r="BM147" s="25"/>
      <c r="BN147" s="27"/>
      <c r="BO147" s="25"/>
      <c r="BP147" s="27"/>
      <c r="BQ147" s="27"/>
      <c r="BR147" s="27"/>
      <c r="BS147" s="25"/>
      <c r="BT147" s="27"/>
      <c r="BU147" s="25"/>
      <c r="BV147" s="27"/>
      <c r="BW147" s="25"/>
      <c r="BX147" s="27"/>
      <c r="BY147" s="27"/>
      <c r="BZ147" s="27"/>
      <c r="CA147" s="27"/>
      <c r="CB147" s="27"/>
      <c r="CC147" s="25"/>
      <c r="CD147" s="27"/>
      <c r="CE147" s="27"/>
      <c r="CF147" s="25"/>
      <c r="CG147" s="25"/>
      <c r="CH147" s="25"/>
      <c r="CI147" s="25"/>
      <c r="CJ147" s="25"/>
      <c r="CK147" s="28"/>
      <c r="CL147" s="25"/>
      <c r="CM147" s="25"/>
      <c r="CN147" s="25"/>
      <c r="CO147" s="27"/>
      <c r="CP147" s="25"/>
      <c r="CQ147" s="25"/>
      <c r="CR147" s="25"/>
      <c r="CS147" s="27"/>
      <c r="CT147" s="25"/>
      <c r="CU147" s="25"/>
      <c r="CV147" s="28"/>
      <c r="CW147" s="25"/>
      <c r="CX147" s="25"/>
      <c r="CY147" s="25"/>
      <c r="CZ147" s="25"/>
      <c r="DA147" s="25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5"/>
      <c r="DP147" s="25"/>
      <c r="DQ147" s="25"/>
      <c r="DR147" s="25"/>
      <c r="DS147" s="25"/>
      <c r="DT147" s="25"/>
      <c r="DU147" s="25"/>
      <c r="DV147" s="25"/>
      <c r="DW147" s="285">
        <f>+DATOS!N44</f>
        <v>0</v>
      </c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8"/>
      <c r="EN147" s="28">
        <f>+F147+J147+L147+N147+T147+V147+X147+AB147+AD147+AF147+AL147+AN147+AP147+AU147+AW147+AY147+BC147+BE147+BG147+BM147+BO147+BQ147+BU147+BW147+BY147+CC147+CE147+CG147+CL147+CN147+CP147+CR147+CT147+CW147+CY147+DA147+DC147+DE147+DG147+DI147+DK147+DM147+DO147+DQ147+DS147+EE147+EG147+EI147+EK147+H147+R147+AR147+BA147+CI147+DU147+DY147</f>
        <v>0</v>
      </c>
      <c r="EO147" s="28">
        <f>+G147+K147+M147+O147+U147+W147+Y147+AC147+AE147+AG147+AM147+AO147+AQ147+AV147+AX147+AZ147+BD147+BF147+BH147+BN147+BP147+BR147+BV147+BX147+BZ147+CD147+CF147+CH147+CM147+CO147+CQ147+CS147+CU147+CX147+CZ147+DB147+DD147+DF147+DH147+DJ147+DL147+DN147+DP147+DR147+DT147+EF147+EH147+EJ147+EL147+I147+S147+AS147+BB147+CJ147</f>
        <v>0</v>
      </c>
      <c r="EP147" s="28">
        <f>+EN147-EO147</f>
        <v>0</v>
      </c>
    </row>
    <row r="148" spans="2:146">
      <c r="B148" s="9"/>
      <c r="C148" s="92"/>
      <c r="D148" s="539" t="s">
        <v>498</v>
      </c>
      <c r="E148" s="25">
        <f>+F148+J148+L148+N148+T148+V148+X148+AB148+AD148+AF148+AL148+AN148+AP148+AU148+AW148+AY148+BC148+BE148+BG148+BM148+BO148+BQ148+BW148+CC148+CE148+CG148+CL148+CN148+CP148+CR148+CT148+CW148+CY148+DA148+DC148+DE148+DG148+DI148+DK148+DM148+DO148+DQ148+DS148+EE148+EG148+EI148+EK148+R148+H148+CI148+BA148+AR148+DU148</f>
        <v>0</v>
      </c>
      <c r="F148" s="26">
        <f>+BZ148-AJ148</f>
        <v>0</v>
      </c>
      <c r="G148" s="27">
        <f>+DS148</f>
        <v>0</v>
      </c>
      <c r="H148" s="27"/>
      <c r="I148" s="27"/>
      <c r="J148" s="27"/>
      <c r="K148" s="27"/>
      <c r="L148" s="27"/>
      <c r="M148" s="27"/>
      <c r="N148" s="25"/>
      <c r="O148" s="27"/>
      <c r="P148" s="27"/>
      <c r="Q148" s="27"/>
      <c r="R148" s="25"/>
      <c r="S148" s="27"/>
      <c r="T148" s="25"/>
      <c r="U148" s="25"/>
      <c r="V148" s="25"/>
      <c r="W148" s="25"/>
      <c r="X148" s="27"/>
      <c r="Y148" s="27"/>
      <c r="Z148" s="27"/>
      <c r="AA148" s="27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7"/>
      <c r="AP148" s="25"/>
      <c r="AQ148" s="25"/>
      <c r="AR148" s="25"/>
      <c r="AS148" s="25"/>
      <c r="AT148" s="28"/>
      <c r="AU148" s="25"/>
      <c r="AV148" s="25"/>
      <c r="AW148" s="25"/>
      <c r="AX148" s="25"/>
      <c r="AY148" s="25"/>
      <c r="AZ148" s="27"/>
      <c r="BA148" s="25"/>
      <c r="BB148" s="25"/>
      <c r="BC148" s="25"/>
      <c r="BD148" s="27"/>
      <c r="BE148" s="25"/>
      <c r="BF148" s="27"/>
      <c r="BG148" s="25"/>
      <c r="BH148" s="27"/>
      <c r="BI148" s="27"/>
      <c r="BJ148" s="27"/>
      <c r="BK148" s="27"/>
      <c r="BL148" s="27"/>
      <c r="BM148" s="25"/>
      <c r="BN148" s="27"/>
      <c r="BO148" s="25"/>
      <c r="BP148" s="27"/>
      <c r="BQ148" s="27"/>
      <c r="BR148" s="27"/>
      <c r="BS148" s="25"/>
      <c r="BT148" s="27"/>
      <c r="BU148" s="25"/>
      <c r="BV148" s="27"/>
      <c r="BW148" s="25"/>
      <c r="BX148" s="27"/>
      <c r="BY148" s="27"/>
      <c r="BZ148" s="27"/>
      <c r="CA148" s="27"/>
      <c r="CB148" s="27"/>
      <c r="CC148" s="25"/>
      <c r="CD148" s="27"/>
      <c r="CE148" s="27"/>
      <c r="CF148" s="25"/>
      <c r="CG148" s="25"/>
      <c r="CH148" s="25"/>
      <c r="CI148" s="25"/>
      <c r="CJ148" s="25"/>
      <c r="CK148" s="28"/>
      <c r="CL148" s="25"/>
      <c r="CM148" s="25"/>
      <c r="CN148" s="25"/>
      <c r="CO148" s="27"/>
      <c r="CP148" s="25"/>
      <c r="CQ148" s="25"/>
      <c r="CR148" s="25"/>
      <c r="CS148" s="27"/>
      <c r="CT148" s="25"/>
      <c r="CU148" s="25"/>
      <c r="CV148" s="28"/>
      <c r="CW148" s="25"/>
      <c r="CX148" s="25"/>
      <c r="CY148" s="25"/>
      <c r="CZ148" s="25"/>
      <c r="DA148" s="25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5"/>
      <c r="DP148" s="25"/>
      <c r="DQ148" s="25"/>
      <c r="DR148" s="25"/>
      <c r="DS148" s="242">
        <f>+DS130</f>
        <v>0</v>
      </c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8"/>
      <c r="EN148" s="28"/>
      <c r="EO148" s="28"/>
      <c r="EP148" s="28"/>
    </row>
    <row r="149" spans="2:146">
      <c r="B149" s="9"/>
      <c r="C149" s="92"/>
      <c r="D149" s="539" t="s">
        <v>497</v>
      </c>
      <c r="E149" s="25">
        <f>+F149+J149+L149+N149+T149+V149+X149+AB149+AD149+AF149+AL149+AN149+AP149+AU149+AW149+AY149+BC149+BE149+BG149+BM149+BO149+BQ149+BW149+CC149+CE149+CG149+CL149+CN149+CP149+CR149+CT149+CW149+CY149+DA149+DC149+DE149+DG149+DI149+DK149+DM149+DO149+DQ149+DS149+EE149+EG149+EI149+EK149+R149+H149+CI149+BA149+AR149+DU149</f>
        <v>0</v>
      </c>
      <c r="F149" s="26">
        <f>+BV149-AJ149</f>
        <v>0</v>
      </c>
      <c r="G149" s="27">
        <f>+DS149</f>
        <v>0</v>
      </c>
      <c r="H149" s="27"/>
      <c r="I149" s="27"/>
      <c r="J149" s="27"/>
      <c r="K149" s="27"/>
      <c r="L149" s="27"/>
      <c r="M149" s="27"/>
      <c r="N149" s="25"/>
      <c r="O149" s="27"/>
      <c r="P149" s="27"/>
      <c r="Q149" s="27"/>
      <c r="R149" s="25"/>
      <c r="S149" s="27"/>
      <c r="T149" s="25"/>
      <c r="U149" s="25"/>
      <c r="V149" s="25"/>
      <c r="W149" s="25"/>
      <c r="X149" s="27"/>
      <c r="Y149" s="27"/>
      <c r="Z149" s="27"/>
      <c r="AA149" s="27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7"/>
      <c r="AP149" s="25"/>
      <c r="AQ149" s="25"/>
      <c r="AR149" s="25"/>
      <c r="AS149" s="25"/>
      <c r="AT149" s="28"/>
      <c r="AU149" s="25"/>
      <c r="AV149" s="25"/>
      <c r="AW149" s="25"/>
      <c r="AX149" s="25"/>
      <c r="AY149" s="25"/>
      <c r="AZ149" s="27"/>
      <c r="BA149" s="25"/>
      <c r="BB149" s="25"/>
      <c r="BC149" s="25"/>
      <c r="BD149" s="27"/>
      <c r="BE149" s="25"/>
      <c r="BF149" s="27"/>
      <c r="BG149" s="25"/>
      <c r="BH149" s="27"/>
      <c r="BI149" s="27"/>
      <c r="BJ149" s="27"/>
      <c r="BK149" s="27"/>
      <c r="BL149" s="27"/>
      <c r="BM149" s="25"/>
      <c r="BN149" s="27"/>
      <c r="BO149" s="25"/>
      <c r="BP149" s="27"/>
      <c r="BQ149" s="27"/>
      <c r="BR149" s="27"/>
      <c r="BS149" s="25"/>
      <c r="BT149" s="27"/>
      <c r="BU149" s="25"/>
      <c r="BV149" s="27"/>
      <c r="BW149" s="25"/>
      <c r="BX149" s="27"/>
      <c r="BY149" s="27"/>
      <c r="BZ149" s="27"/>
      <c r="CA149" s="27"/>
      <c r="CB149" s="27"/>
      <c r="CC149" s="25"/>
      <c r="CD149" s="27"/>
      <c r="CE149" s="27"/>
      <c r="CF149" s="25"/>
      <c r="CG149" s="25"/>
      <c r="CH149" s="25"/>
      <c r="CI149" s="25"/>
      <c r="CJ149" s="25"/>
      <c r="CK149" s="28"/>
      <c r="CL149" s="25"/>
      <c r="CM149" s="25"/>
      <c r="CN149" s="25"/>
      <c r="CO149" s="27"/>
      <c r="CP149" s="25"/>
      <c r="CQ149" s="25"/>
      <c r="CR149" s="25"/>
      <c r="CS149" s="27"/>
      <c r="CT149" s="25"/>
      <c r="CU149" s="25"/>
      <c r="CV149" s="28"/>
      <c r="CW149" s="25"/>
      <c r="CX149" s="25"/>
      <c r="CY149" s="25"/>
      <c r="CZ149" s="25"/>
      <c r="DA149" s="25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5"/>
      <c r="DP149" s="25"/>
      <c r="DQ149" s="25"/>
      <c r="DR149" s="25"/>
      <c r="DS149" s="242">
        <f>+DS131</f>
        <v>0</v>
      </c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8"/>
      <c r="EN149" s="28">
        <f t="shared" si="15"/>
        <v>0</v>
      </c>
      <c r="EO149" s="28">
        <f t="shared" si="16"/>
        <v>0</v>
      </c>
      <c r="EP149" s="28">
        <f t="shared" ref="EP149:EP207" si="21">+EN149-EO149</f>
        <v>0</v>
      </c>
    </row>
    <row r="150" spans="2:146">
      <c r="B150" s="9"/>
      <c r="C150" s="92"/>
      <c r="D150" s="539" t="s">
        <v>503</v>
      </c>
      <c r="E150" s="25">
        <f>+F150+J150+L150+N150+T150+V150+X150+AB150+AD150+AF150+AL150+AN150+AP150+AU150+AW150+AY150+BC150+BE150+BG150+BM150+BO150+BQ150+BW150+CC150+CE150+CG150+CL150+CN150+CP150+CR150+CT150+CW150+CY150+DA150+DC150+DE150+DG150+DI150+DK150+DM150+DO150+DQ150+DS150+EE150+EG150+EI150+EK150+R150+H150+CI150+BA150+AR150</f>
        <v>0</v>
      </c>
      <c r="F150" s="26"/>
      <c r="G150" s="27">
        <f>+DC150</f>
        <v>0</v>
      </c>
      <c r="H150" s="27"/>
      <c r="I150" s="27"/>
      <c r="J150" s="27"/>
      <c r="K150" s="27"/>
      <c r="L150" s="27"/>
      <c r="M150" s="27"/>
      <c r="N150" s="25"/>
      <c r="O150" s="27"/>
      <c r="P150" s="27"/>
      <c r="Q150" s="27"/>
      <c r="R150" s="25"/>
      <c r="S150" s="27"/>
      <c r="T150" s="25"/>
      <c r="U150" s="25"/>
      <c r="V150" s="25"/>
      <c r="W150" s="25"/>
      <c r="X150" s="27"/>
      <c r="Y150" s="27"/>
      <c r="Z150" s="27"/>
      <c r="AA150" s="27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7"/>
      <c r="AP150" s="25"/>
      <c r="AQ150" s="25"/>
      <c r="AR150" s="25"/>
      <c r="AS150" s="25"/>
      <c r="AT150" s="28"/>
      <c r="AU150" s="25"/>
      <c r="AV150" s="25"/>
      <c r="AW150" s="25"/>
      <c r="AX150" s="25"/>
      <c r="AY150" s="25"/>
      <c r="AZ150" s="27"/>
      <c r="BA150" s="25"/>
      <c r="BB150" s="25"/>
      <c r="BC150" s="25"/>
      <c r="BD150" s="27"/>
      <c r="BE150" s="25"/>
      <c r="BF150" s="27"/>
      <c r="BG150" s="25"/>
      <c r="BH150" s="27"/>
      <c r="BI150" s="27"/>
      <c r="BJ150" s="27"/>
      <c r="BK150" s="27"/>
      <c r="BL150" s="27"/>
      <c r="BM150" s="25"/>
      <c r="BN150" s="27"/>
      <c r="BO150" s="25"/>
      <c r="BP150" s="27"/>
      <c r="BQ150" s="27"/>
      <c r="BR150" s="27"/>
      <c r="BS150" s="25"/>
      <c r="BT150" s="27"/>
      <c r="BU150" s="25"/>
      <c r="BV150" s="27"/>
      <c r="BW150" s="25"/>
      <c r="BX150" s="27"/>
      <c r="BY150" s="27"/>
      <c r="BZ150" s="27"/>
      <c r="CA150" s="27"/>
      <c r="CB150" s="27"/>
      <c r="CC150" s="25"/>
      <c r="CD150" s="27"/>
      <c r="CE150" s="27"/>
      <c r="CF150" s="25"/>
      <c r="CG150" s="25"/>
      <c r="CH150" s="25"/>
      <c r="CI150" s="25"/>
      <c r="CJ150" s="25"/>
      <c r="CK150" s="28"/>
      <c r="CL150" s="25"/>
      <c r="CM150" s="25"/>
      <c r="CN150" s="25"/>
      <c r="CO150" s="27"/>
      <c r="CP150" s="25"/>
      <c r="CQ150" s="25"/>
      <c r="CR150" s="25"/>
      <c r="CS150" s="27"/>
      <c r="CT150" s="25"/>
      <c r="CU150" s="25"/>
      <c r="CV150" s="28"/>
      <c r="CW150" s="25"/>
      <c r="CX150" s="25"/>
      <c r="CY150" s="25"/>
      <c r="CZ150" s="25"/>
      <c r="DA150" s="25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8"/>
      <c r="EN150" s="28">
        <f t="shared" si="15"/>
        <v>0</v>
      </c>
      <c r="EO150" s="28">
        <f t="shared" si="16"/>
        <v>0</v>
      </c>
      <c r="EP150" s="28">
        <f t="shared" si="21"/>
        <v>0</v>
      </c>
    </row>
    <row r="151" spans="2:146">
      <c r="B151" s="39"/>
      <c r="C151" s="94"/>
      <c r="D151" s="40"/>
      <c r="E151" s="41"/>
      <c r="F151" s="42"/>
      <c r="G151" s="43"/>
      <c r="H151" s="43"/>
      <c r="I151" s="43"/>
      <c r="J151" s="43"/>
      <c r="K151" s="43"/>
      <c r="L151" s="43"/>
      <c r="M151" s="43"/>
      <c r="N151" s="41"/>
      <c r="O151" s="43"/>
      <c r="P151" s="43"/>
      <c r="Q151" s="43"/>
      <c r="R151" s="41"/>
      <c r="S151" s="43"/>
      <c r="T151" s="41"/>
      <c r="U151" s="41"/>
      <c r="V151" s="41"/>
      <c r="W151" s="41"/>
      <c r="X151" s="43"/>
      <c r="Y151" s="43"/>
      <c r="Z151" s="43"/>
      <c r="AA151" s="43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3"/>
      <c r="AP151" s="41"/>
      <c r="AQ151" s="41"/>
      <c r="AR151" s="41"/>
      <c r="AS151" s="41"/>
      <c r="AT151" s="28"/>
      <c r="AU151" s="41"/>
      <c r="AV151" s="41"/>
      <c r="AW151" s="41"/>
      <c r="AX151" s="41"/>
      <c r="AY151" s="41"/>
      <c r="AZ151" s="43"/>
      <c r="BA151" s="41"/>
      <c r="BB151" s="41"/>
      <c r="BC151" s="41"/>
      <c r="BD151" s="43"/>
      <c r="BE151" s="41"/>
      <c r="BF151" s="43"/>
      <c r="BG151" s="41"/>
      <c r="BH151" s="43"/>
      <c r="BI151" s="43"/>
      <c r="BJ151" s="43"/>
      <c r="BK151" s="43"/>
      <c r="BL151" s="43"/>
      <c r="BM151" s="41"/>
      <c r="BN151" s="43"/>
      <c r="BO151" s="41"/>
      <c r="BP151" s="43"/>
      <c r="BQ151" s="43"/>
      <c r="BR151" s="43"/>
      <c r="BS151" s="41"/>
      <c r="BT151" s="43"/>
      <c r="BU151" s="41"/>
      <c r="BV151" s="43"/>
      <c r="BW151" s="41"/>
      <c r="BX151" s="43"/>
      <c r="BY151" s="43"/>
      <c r="BZ151" s="43"/>
      <c r="CA151" s="43"/>
      <c r="CB151" s="43"/>
      <c r="CC151" s="41"/>
      <c r="CD151" s="43"/>
      <c r="CE151" s="43"/>
      <c r="CF151" s="41"/>
      <c r="CG151" s="41"/>
      <c r="CH151" s="41"/>
      <c r="CI151" s="41"/>
      <c r="CJ151" s="41"/>
      <c r="CK151" s="28"/>
      <c r="CL151" s="41"/>
      <c r="CM151" s="41"/>
      <c r="CN151" s="41"/>
      <c r="CO151" s="43"/>
      <c r="CP151" s="41"/>
      <c r="CQ151" s="41"/>
      <c r="CR151" s="41"/>
      <c r="CS151" s="43"/>
      <c r="CT151" s="41"/>
      <c r="CU151" s="41"/>
      <c r="CV151" s="28"/>
      <c r="CW151" s="41"/>
      <c r="CX151" s="41"/>
      <c r="CY151" s="41"/>
      <c r="CZ151" s="41"/>
      <c r="DA151" s="41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28"/>
      <c r="EN151" s="28">
        <f t="shared" si="15"/>
        <v>0</v>
      </c>
      <c r="EO151" s="28">
        <f t="shared" si="16"/>
        <v>0</v>
      </c>
      <c r="EP151" s="28">
        <f t="shared" si="21"/>
        <v>0</v>
      </c>
    </row>
    <row r="152" spans="2:146" ht="12" customHeight="1">
      <c r="B152" s="9">
        <f>+B147+30</f>
        <v>44495</v>
      </c>
      <c r="C152" s="92"/>
      <c r="D152" s="138" t="s">
        <v>112</v>
      </c>
      <c r="E152" s="25">
        <f>+F152+J152+L152+N152+T152+V152+X152+AB152+AD152+AF152+AL152+AN152+AP152+AU152+AW152+AY152+BC152+BE152+BG152+BM152+BO152+BQ152+BW152+CC152+CE152+CG152+CL152+CN152+CP152+CR152+CT152+CW152+CY152+DA152+DC152+DE152+DG152+DI152+DK152+DM152+DO152+DQ152+DS152+EE152+EG152+EI152+EK152+R152+H152+CI152+BA152+AR152</f>
        <v>0</v>
      </c>
      <c r="F152" s="26"/>
      <c r="G152" s="27"/>
      <c r="H152" s="27"/>
      <c r="I152" s="27"/>
      <c r="J152" s="27"/>
      <c r="K152" s="27"/>
      <c r="L152" s="27"/>
      <c r="M152" s="27"/>
      <c r="N152" s="25"/>
      <c r="O152" s="27"/>
      <c r="P152" s="27"/>
      <c r="Q152" s="27"/>
      <c r="R152" s="25"/>
      <c r="S152" s="27"/>
      <c r="T152" s="25"/>
      <c r="U152" s="25"/>
      <c r="V152" s="25"/>
      <c r="W152" s="25"/>
      <c r="X152" s="27"/>
      <c r="Y152" s="27"/>
      <c r="Z152" s="27"/>
      <c r="AA152" s="27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7"/>
      <c r="AP152" s="25"/>
      <c r="AQ152" s="25"/>
      <c r="AR152" s="25"/>
      <c r="AS152" s="25"/>
      <c r="AT152" s="28"/>
      <c r="AU152" s="25"/>
      <c r="AV152" s="25"/>
      <c r="AW152" s="25"/>
      <c r="AX152" s="25"/>
      <c r="AY152" s="25"/>
      <c r="AZ152" s="27"/>
      <c r="BA152" s="25"/>
      <c r="BB152" s="25"/>
      <c r="BC152" s="25"/>
      <c r="BD152" s="27"/>
      <c r="BE152" s="25"/>
      <c r="BF152" s="27"/>
      <c r="BG152" s="25"/>
      <c r="BH152" s="27"/>
      <c r="BI152" s="27"/>
      <c r="BJ152" s="27"/>
      <c r="BK152" s="27"/>
      <c r="BL152" s="27"/>
      <c r="BM152" s="25"/>
      <c r="BN152" s="27"/>
      <c r="BO152" s="25"/>
      <c r="BP152" s="27"/>
      <c r="BQ152" s="27"/>
      <c r="BR152" s="27"/>
      <c r="BS152" s="25"/>
      <c r="BT152" s="27"/>
      <c r="BU152" s="25"/>
      <c r="BV152" s="27"/>
      <c r="BW152" s="25"/>
      <c r="BX152" s="27"/>
      <c r="BY152" s="27"/>
      <c r="BZ152" s="27"/>
      <c r="CA152" s="27"/>
      <c r="CB152" s="27"/>
      <c r="CC152" s="25"/>
      <c r="CD152" s="27"/>
      <c r="CE152" s="25"/>
      <c r="CF152" s="25"/>
      <c r="CG152" s="25"/>
      <c r="CH152" s="25"/>
      <c r="CI152" s="25"/>
      <c r="CJ152" s="25"/>
      <c r="CK152" s="28"/>
      <c r="CL152" s="25"/>
      <c r="CM152" s="25"/>
      <c r="CN152" s="25"/>
      <c r="CO152" s="27"/>
      <c r="CP152" s="25"/>
      <c r="CQ152" s="25"/>
      <c r="CR152" s="25"/>
      <c r="CS152" s="27"/>
      <c r="CT152" s="25"/>
      <c r="CU152" s="25"/>
      <c r="CV152" s="28"/>
      <c r="CW152" s="25"/>
      <c r="CX152" s="25"/>
      <c r="CY152" s="25"/>
      <c r="CZ152" s="25"/>
      <c r="DA152" s="25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8"/>
      <c r="EN152" s="28">
        <f t="shared" si="15"/>
        <v>0</v>
      </c>
      <c r="EO152" s="28">
        <f t="shared" si="16"/>
        <v>0</v>
      </c>
      <c r="EP152" s="28">
        <f t="shared" si="21"/>
        <v>0</v>
      </c>
    </row>
    <row r="153" spans="2:146" ht="12" customHeight="1">
      <c r="B153" s="9">
        <f>+B152</f>
        <v>44495</v>
      </c>
      <c r="C153" s="92"/>
      <c r="D153" s="314" t="s">
        <v>320</v>
      </c>
      <c r="E153" s="478">
        <f>+F153+J153+L153+N153+T153+V153+X153+AB153+AD153+AF153+AL153+AN153+AP153+AU153+AW153+AY153+BC153+BE153+BG153+BM153+BO153+BQ153+BW153+CC153+CE153+CG153+CL153+CN153+CP153+CR153+CT153+CW153+CY153+DA153+DC153+DE153+DG153+DI153+DK153+DM153+DO153+DQ153+DS153+EE153+EG153+EI153+EK153+R153+H153+CI153+BA153+AR153</f>
        <v>0</v>
      </c>
      <c r="F153" s="26"/>
      <c r="G153" s="316">
        <f>+AU153</f>
        <v>0</v>
      </c>
      <c r="H153" s="27"/>
      <c r="I153" s="27"/>
      <c r="J153" s="27"/>
      <c r="K153" s="27"/>
      <c r="L153" s="27"/>
      <c r="M153" s="27"/>
      <c r="N153" s="25"/>
      <c r="O153" s="27"/>
      <c r="P153" s="27"/>
      <c r="Q153" s="27"/>
      <c r="R153" s="25"/>
      <c r="S153" s="27"/>
      <c r="T153" s="25"/>
      <c r="U153" s="25"/>
      <c r="V153" s="25"/>
      <c r="W153" s="25"/>
      <c r="X153" s="27"/>
      <c r="Y153" s="27"/>
      <c r="Z153" s="27"/>
      <c r="AA153" s="27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7"/>
      <c r="AP153" s="25"/>
      <c r="AQ153" s="25"/>
      <c r="AR153" s="25"/>
      <c r="AS153" s="25"/>
      <c r="AT153" s="28"/>
      <c r="AU153" s="315">
        <f>+AV143</f>
        <v>0</v>
      </c>
      <c r="AV153" s="25"/>
      <c r="AW153" s="25"/>
      <c r="AX153" s="25"/>
      <c r="AY153" s="25"/>
      <c r="AZ153" s="27"/>
      <c r="BA153" s="25"/>
      <c r="BB153" s="25"/>
      <c r="BC153" s="25"/>
      <c r="BD153" s="27"/>
      <c r="BE153" s="25"/>
      <c r="BF153" s="27"/>
      <c r="BG153" s="25"/>
      <c r="BH153" s="27"/>
      <c r="BI153" s="27"/>
      <c r="BJ153" s="27"/>
      <c r="BK153" s="27"/>
      <c r="BL153" s="27"/>
      <c r="BM153" s="25"/>
      <c r="BN153" s="27"/>
      <c r="BO153" s="25"/>
      <c r="BP153" s="27"/>
      <c r="BQ153" s="27"/>
      <c r="BR153" s="27"/>
      <c r="BS153" s="25"/>
      <c r="BT153" s="27"/>
      <c r="BU153" s="25"/>
      <c r="BV153" s="27"/>
      <c r="BW153" s="25"/>
      <c r="BX153" s="27"/>
      <c r="BY153" s="27"/>
      <c r="BZ153" s="27"/>
      <c r="CA153" s="27"/>
      <c r="CB153" s="27"/>
      <c r="CC153" s="25"/>
      <c r="CD153" s="27"/>
      <c r="CE153" s="27"/>
      <c r="CF153" s="25"/>
      <c r="CG153" s="25"/>
      <c r="CH153" s="25"/>
      <c r="CI153" s="25"/>
      <c r="CJ153" s="25"/>
      <c r="CK153" s="28"/>
      <c r="CL153" s="25"/>
      <c r="CM153" s="25"/>
      <c r="CN153" s="25"/>
      <c r="CO153" s="27"/>
      <c r="CP153" s="25"/>
      <c r="CQ153" s="25"/>
      <c r="CR153" s="25"/>
      <c r="CS153" s="27"/>
      <c r="CT153" s="25"/>
      <c r="CU153" s="25"/>
      <c r="CV153" s="28"/>
      <c r="CW153" s="25"/>
      <c r="CX153" s="25"/>
      <c r="CY153" s="25"/>
      <c r="CZ153" s="25"/>
      <c r="DA153" s="25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8"/>
      <c r="EN153" s="28">
        <f t="shared" si="15"/>
        <v>0</v>
      </c>
      <c r="EO153" s="28">
        <f t="shared" si="16"/>
        <v>0</v>
      </c>
      <c r="EP153" s="28"/>
    </row>
    <row r="154" spans="2:146">
      <c r="B154" s="9">
        <f>+B152</f>
        <v>44495</v>
      </c>
      <c r="C154" s="92"/>
      <c r="D154" s="216" t="s">
        <v>113</v>
      </c>
      <c r="E154" s="478">
        <f>+F154+J154+L154+N154+T154+V154+X154+AB154+AD154+AF154+AL154+AN154+AP154+AU154+AW154+AY154+BC154+BE154+BG154+BM154+BO154+BQ154+BW154+CC154+CE154+CG154+CL154+CN154+CP154+CR154+CT154+CW154+CY154+DA154+DC154+DE154+DG154+DI154+DK154+DM154+DO154+DQ154+DS154+EE154+EG154+EI154+EK154+R154+H154+CI154+BA154+AR154</f>
        <v>0</v>
      </c>
      <c r="F154" s="26"/>
      <c r="G154" s="427">
        <f>+L154+AW154+BE154+J154+BA154</f>
        <v>0</v>
      </c>
      <c r="H154" s="27"/>
      <c r="I154" s="27"/>
      <c r="J154" s="321">
        <f>+K137-J136</f>
        <v>0</v>
      </c>
      <c r="K154" s="27"/>
      <c r="L154" s="321">
        <f>+DATOS!F24</f>
        <v>0</v>
      </c>
      <c r="M154" s="27"/>
      <c r="N154" s="25"/>
      <c r="O154" s="27"/>
      <c r="P154" s="27"/>
      <c r="Q154" s="27"/>
      <c r="R154" s="25"/>
      <c r="S154" s="27"/>
      <c r="T154" s="25"/>
      <c r="U154" s="25"/>
      <c r="V154" s="25"/>
      <c r="W154" s="25"/>
      <c r="X154" s="27"/>
      <c r="Y154" s="27"/>
      <c r="Z154" s="27"/>
      <c r="AA154" s="27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7"/>
      <c r="AP154" s="25"/>
      <c r="AQ154" s="25"/>
      <c r="AR154" s="25"/>
      <c r="AS154" s="25"/>
      <c r="AT154" s="28"/>
      <c r="AU154" s="25"/>
      <c r="AV154" s="25"/>
      <c r="AW154" s="435">
        <f>+DATOS!G23</f>
        <v>0</v>
      </c>
      <c r="AX154" s="25"/>
      <c r="AY154" s="25"/>
      <c r="AZ154" s="27"/>
      <c r="BA154" s="435">
        <f>+BB143</f>
        <v>0</v>
      </c>
      <c r="BB154" s="25"/>
      <c r="BC154" s="25"/>
      <c r="BD154" s="27"/>
      <c r="BE154" s="25">
        <f>+BF142</f>
        <v>0</v>
      </c>
      <c r="BF154" s="27"/>
      <c r="BG154" s="25"/>
      <c r="BH154" s="27"/>
      <c r="BI154" s="27"/>
      <c r="BJ154" s="27"/>
      <c r="BK154" s="27"/>
      <c r="BL154" s="27"/>
      <c r="BM154" s="25">
        <f>+BN142</f>
        <v>0</v>
      </c>
      <c r="BN154" s="27"/>
      <c r="BO154" s="25"/>
      <c r="BP154" s="27"/>
      <c r="BQ154" s="27"/>
      <c r="BR154" s="27"/>
      <c r="BS154" s="25"/>
      <c r="BT154" s="27"/>
      <c r="BU154" s="25"/>
      <c r="BV154" s="27"/>
      <c r="BW154" s="25"/>
      <c r="BX154" s="27"/>
      <c r="BY154" s="27"/>
      <c r="BZ154" s="27"/>
      <c r="CA154" s="27"/>
      <c r="CB154" s="27"/>
      <c r="CC154" s="25"/>
      <c r="CD154" s="27"/>
      <c r="CE154" s="25"/>
      <c r="CF154" s="25"/>
      <c r="CG154" s="25"/>
      <c r="CH154" s="25"/>
      <c r="CI154" s="25"/>
      <c r="CJ154" s="25"/>
      <c r="CK154" s="28"/>
      <c r="CL154" s="25"/>
      <c r="CM154" s="25"/>
      <c r="CN154" s="25"/>
      <c r="CO154" s="27"/>
      <c r="CP154" s="25"/>
      <c r="CQ154" s="25"/>
      <c r="CR154" s="25"/>
      <c r="CS154" s="27"/>
      <c r="CT154" s="25"/>
      <c r="CU154" s="25"/>
      <c r="CV154" s="28"/>
      <c r="CW154" s="25"/>
      <c r="CX154" s="25"/>
      <c r="CY154" s="25"/>
      <c r="CZ154" s="25"/>
      <c r="DA154" s="25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8"/>
      <c r="EN154" s="28">
        <f t="shared" si="15"/>
        <v>0</v>
      </c>
      <c r="EO154" s="28">
        <f t="shared" si="16"/>
        <v>0</v>
      </c>
      <c r="EP154" s="28">
        <f>+EN154-EO154</f>
        <v>0</v>
      </c>
    </row>
    <row r="155" spans="2:146">
      <c r="B155" s="9">
        <f>+B154</f>
        <v>44495</v>
      </c>
      <c r="C155" s="92"/>
      <c r="D155" s="210" t="s">
        <v>114</v>
      </c>
      <c r="E155" s="478">
        <f>+F155+J155+L155+N155+T155+V155+X155+AB155+AD155+AF155+AL155+AN155+AP155+AU155+AW155+AY155+BC155+BE155+BG155+BM155+BO155+BQ155+BW155+CC155+CE155+CG155+CL155+CN155+CP155+CR155+CT155+CW155+CY155+DA155+DC155+DE155+DG155+DI155+DK155+DM155+DO155+DQ155+DS155+EE155+EG155+EI155+EK155+R155+H155+CI155+BA155+AR155+DY155</f>
        <v>0</v>
      </c>
      <c r="F155" s="26"/>
      <c r="G155" s="219">
        <f>+J155+EG155+DY155+X155+CW155</f>
        <v>0</v>
      </c>
      <c r="H155" s="27"/>
      <c r="I155" s="27"/>
      <c r="J155" s="219">
        <f>+DATOS!E45</f>
        <v>0</v>
      </c>
      <c r="K155" s="27"/>
      <c r="L155" s="27"/>
      <c r="M155" s="27"/>
      <c r="N155" s="25"/>
      <c r="O155" s="27"/>
      <c r="P155" s="27"/>
      <c r="Q155" s="27"/>
      <c r="R155" s="25"/>
      <c r="S155" s="27"/>
      <c r="T155" s="25"/>
      <c r="U155" s="25"/>
      <c r="V155" s="25"/>
      <c r="W155" s="25"/>
      <c r="X155" s="219"/>
      <c r="Y155" s="27"/>
      <c r="Z155" s="27"/>
      <c r="AA155" s="27"/>
      <c r="AB155" s="25"/>
      <c r="AC155" s="25"/>
      <c r="AD155" s="25"/>
      <c r="AE155" s="25"/>
      <c r="AF155" s="25"/>
      <c r="AG155" s="25">
        <v>0</v>
      </c>
      <c r="AH155" s="25"/>
      <c r="AI155" s="25"/>
      <c r="AJ155" s="25"/>
      <c r="AK155" s="25"/>
      <c r="AL155" s="25"/>
      <c r="AM155" s="25"/>
      <c r="AN155" s="25"/>
      <c r="AO155" s="27"/>
      <c r="AP155" s="25"/>
      <c r="AQ155" s="25"/>
      <c r="AR155" s="25"/>
      <c r="AS155" s="25"/>
      <c r="AT155" s="28"/>
      <c r="AU155" s="25"/>
      <c r="AV155" s="25"/>
      <c r="AW155" s="25"/>
      <c r="AX155" s="25"/>
      <c r="AY155" s="25"/>
      <c r="AZ155" s="27"/>
      <c r="BA155" s="25"/>
      <c r="BB155" s="25"/>
      <c r="BC155" s="25"/>
      <c r="BD155" s="27"/>
      <c r="BE155" s="25"/>
      <c r="BF155" s="27"/>
      <c r="BG155" s="25"/>
      <c r="BH155" s="27"/>
      <c r="BI155" s="27"/>
      <c r="BJ155" s="27"/>
      <c r="BK155" s="27"/>
      <c r="BL155" s="27"/>
      <c r="BM155" s="25"/>
      <c r="BN155" s="27"/>
      <c r="BO155" s="25"/>
      <c r="BP155" s="27"/>
      <c r="BQ155" s="27"/>
      <c r="BR155" s="27"/>
      <c r="BS155" s="25"/>
      <c r="BT155" s="27"/>
      <c r="BU155" s="25"/>
      <c r="BV155" s="27"/>
      <c r="BW155" s="25"/>
      <c r="BX155" s="27"/>
      <c r="BY155" s="27"/>
      <c r="BZ155" s="27"/>
      <c r="CA155" s="27"/>
      <c r="CB155" s="27"/>
      <c r="CC155" s="25"/>
      <c r="CD155" s="27"/>
      <c r="CE155" s="27"/>
      <c r="CF155" s="25"/>
      <c r="CG155" s="25"/>
      <c r="CH155" s="25"/>
      <c r="CI155" s="25"/>
      <c r="CJ155" s="25"/>
      <c r="CK155" s="28"/>
      <c r="CL155" s="25"/>
      <c r="CM155" s="25"/>
      <c r="CN155" s="25"/>
      <c r="CO155" s="27"/>
      <c r="CP155" s="25"/>
      <c r="CQ155" s="25"/>
      <c r="CR155" s="25"/>
      <c r="CS155" s="27"/>
      <c r="CT155" s="25"/>
      <c r="CU155" s="25"/>
      <c r="CV155" s="28"/>
      <c r="CW155" s="418">
        <f>+DATOS!F45</f>
        <v>0</v>
      </c>
      <c r="CX155" s="25"/>
      <c r="CY155" s="25"/>
      <c r="CZ155" s="25"/>
      <c r="DA155" s="25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5"/>
      <c r="DP155" s="25"/>
      <c r="DQ155" s="25"/>
      <c r="DR155" s="25"/>
      <c r="DS155" s="26">
        <v>0</v>
      </c>
      <c r="DT155" s="25"/>
      <c r="DU155" s="25"/>
      <c r="DV155" s="25"/>
      <c r="DW155" s="25"/>
      <c r="DX155" s="25"/>
      <c r="DY155" s="25"/>
      <c r="DZ155" s="25"/>
      <c r="EA155" s="25">
        <v>0</v>
      </c>
      <c r="EB155" s="25"/>
      <c r="EC155" s="25"/>
      <c r="ED155" s="25"/>
      <c r="EE155" s="25"/>
      <c r="EF155" s="25"/>
      <c r="EG155" s="220">
        <f>ROUND(+J155/0.19,0)-X155</f>
        <v>0</v>
      </c>
      <c r="EH155" s="25"/>
      <c r="EI155" s="25"/>
      <c r="EJ155" s="25"/>
      <c r="EK155" s="25"/>
      <c r="EL155" s="25"/>
      <c r="EM155" s="28"/>
      <c r="EN155" s="28">
        <f t="shared" si="15"/>
        <v>0</v>
      </c>
      <c r="EO155" s="28">
        <f t="shared" si="16"/>
        <v>0</v>
      </c>
      <c r="EP155" s="28">
        <f t="shared" si="21"/>
        <v>0</v>
      </c>
    </row>
    <row r="156" spans="2:146">
      <c r="B156" s="9">
        <f>+B155</f>
        <v>44495</v>
      </c>
      <c r="C156" s="91"/>
      <c r="D156" s="211" t="s">
        <v>115</v>
      </c>
      <c r="E156" s="478">
        <f>+F156+J156+L156+N156+T156+V156+X156+AB156+AD156+AF156+AL156+AN156+AP156+AU156+AW156+AY156+BC156+BE156+BG156+BM156+BO156+BQ156+BW156+CC156+CE156+CG156+CL156+CN156+CP156+CR156+CT156+CW156+CY156+DA156+DC156+DE156+DG156+DI156+DK156+DM156+DO156+DQ156+DS156+EE156+EG156+EI156+EK156+R156+H156+CI156+BA156+AR156</f>
        <v>0</v>
      </c>
      <c r="F156" s="320">
        <f>(+K156+CM156)+CO156</f>
        <v>0</v>
      </c>
      <c r="G156" s="27"/>
      <c r="H156" s="27"/>
      <c r="I156" s="27"/>
      <c r="J156" s="27"/>
      <c r="K156" s="221">
        <f>+DATOS!E24</f>
        <v>0</v>
      </c>
      <c r="L156" s="27"/>
      <c r="M156" s="27"/>
      <c r="N156" s="25"/>
      <c r="O156" s="27"/>
      <c r="P156" s="27"/>
      <c r="Q156" s="27"/>
      <c r="R156" s="25"/>
      <c r="S156" s="27"/>
      <c r="T156" s="25"/>
      <c r="U156" s="25"/>
      <c r="V156" s="25"/>
      <c r="W156" s="25"/>
      <c r="X156" s="27"/>
      <c r="Y156" s="27"/>
      <c r="Z156" s="27"/>
      <c r="AA156" s="27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7"/>
      <c r="AP156" s="25"/>
      <c r="AQ156" s="25"/>
      <c r="AR156" s="25"/>
      <c r="AS156" s="25"/>
      <c r="AT156" s="28"/>
      <c r="AU156" s="25"/>
      <c r="AV156" s="25"/>
      <c r="AW156" s="25"/>
      <c r="AX156" s="25"/>
      <c r="AY156" s="25"/>
      <c r="AZ156" s="27"/>
      <c r="BA156" s="25"/>
      <c r="BB156" s="25"/>
      <c r="BC156" s="25"/>
      <c r="BD156" s="27"/>
      <c r="BE156" s="25"/>
      <c r="BF156" s="27"/>
      <c r="BG156" s="25"/>
      <c r="BH156" s="27"/>
      <c r="BI156" s="27"/>
      <c r="BJ156" s="27"/>
      <c r="BK156" s="27"/>
      <c r="BL156" s="27"/>
      <c r="BM156" s="25"/>
      <c r="BN156" s="27"/>
      <c r="BO156" s="25"/>
      <c r="BP156" s="27"/>
      <c r="BQ156" s="27"/>
      <c r="BR156" s="27"/>
      <c r="BS156" s="25"/>
      <c r="BT156" s="27"/>
      <c r="BU156" s="25"/>
      <c r="BV156" s="27"/>
      <c r="BW156" s="25"/>
      <c r="BX156" s="27"/>
      <c r="BY156" s="27"/>
      <c r="BZ156" s="27"/>
      <c r="CA156" s="27"/>
      <c r="CB156" s="27"/>
      <c r="CC156" s="25"/>
      <c r="CD156" s="27"/>
      <c r="CE156" s="27"/>
      <c r="CF156" s="25"/>
      <c r="CG156" s="25"/>
      <c r="CH156" s="25"/>
      <c r="CI156" s="25"/>
      <c r="CJ156" s="25"/>
      <c r="CK156" s="28"/>
      <c r="CL156" s="25"/>
      <c r="CM156" s="320">
        <f>ROUND(+K156/0.19,0)</f>
        <v>0</v>
      </c>
      <c r="CN156" s="25"/>
      <c r="CO156" s="221">
        <f>+DATOS!D24</f>
        <v>0</v>
      </c>
      <c r="CP156" s="25"/>
      <c r="CQ156" s="25"/>
      <c r="CR156" s="25"/>
      <c r="CS156" s="27"/>
      <c r="CT156" s="25"/>
      <c r="CU156" s="25"/>
      <c r="CV156" s="28"/>
      <c r="CW156" s="25"/>
      <c r="CX156" s="25"/>
      <c r="CY156" s="25"/>
      <c r="CZ156" s="25"/>
      <c r="DA156" s="25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8"/>
      <c r="EN156" s="28">
        <f t="shared" si="15"/>
        <v>0</v>
      </c>
      <c r="EO156" s="28">
        <f t="shared" si="16"/>
        <v>0</v>
      </c>
      <c r="EP156" s="28">
        <f t="shared" si="21"/>
        <v>0</v>
      </c>
    </row>
    <row r="157" spans="2:146">
      <c r="B157" s="9">
        <f>+B156</f>
        <v>44495</v>
      </c>
      <c r="C157" s="92"/>
      <c r="D157" s="434" t="s">
        <v>433</v>
      </c>
      <c r="E157" s="25">
        <f>+F157+J157+L157+N157+T157+V157+X157+AB157+AD157+AF157+AL157+AN157+AP157+AU157+AW157+AY157+BC157+BE157+BG157+BM157+BO157+BQ157+BW157+CC157+CE157+CG157+CL157+CN157+CP157+CR157+CT157+CW157+CY157+DA157+DC157+DE157+DG157+DI157+DK157+DM157+DO157+DQ157+DS157+EE157+EG157+EI157+EK157+R157+H157+CI157+BA157+AR157+DU157</f>
        <v>0</v>
      </c>
      <c r="F157" s="26"/>
      <c r="G157" s="286">
        <f>+DU157</f>
        <v>0</v>
      </c>
      <c r="H157" s="27"/>
      <c r="I157" s="27"/>
      <c r="J157" s="27"/>
      <c r="K157" s="27"/>
      <c r="L157" s="27"/>
      <c r="M157" s="27"/>
      <c r="N157" s="25"/>
      <c r="O157" s="27"/>
      <c r="P157" s="27"/>
      <c r="Q157" s="27"/>
      <c r="R157" s="25"/>
      <c r="S157" s="27"/>
      <c r="T157" s="25"/>
      <c r="U157" s="25"/>
      <c r="V157" s="25"/>
      <c r="W157" s="25"/>
      <c r="X157" s="27"/>
      <c r="Y157" s="27"/>
      <c r="Z157" s="27"/>
      <c r="AA157" s="27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7"/>
      <c r="AP157" s="25"/>
      <c r="AQ157" s="25"/>
      <c r="AR157" s="25"/>
      <c r="AS157" s="25"/>
      <c r="AT157" s="28"/>
      <c r="AU157" s="25"/>
      <c r="AV157" s="25"/>
      <c r="AW157" s="25"/>
      <c r="AX157" s="25"/>
      <c r="AY157" s="25"/>
      <c r="AZ157" s="27"/>
      <c r="BA157" s="25"/>
      <c r="BB157" s="25"/>
      <c r="BC157" s="25"/>
      <c r="BD157" s="27"/>
      <c r="BE157" s="25"/>
      <c r="BF157" s="27"/>
      <c r="BG157" s="25"/>
      <c r="BH157" s="27"/>
      <c r="BI157" s="27"/>
      <c r="BJ157" s="27"/>
      <c r="BK157" s="27"/>
      <c r="BL157" s="27"/>
      <c r="BM157" s="25"/>
      <c r="BN157" s="27"/>
      <c r="BO157" s="25"/>
      <c r="BP157" s="27"/>
      <c r="BQ157" s="27"/>
      <c r="BR157" s="27"/>
      <c r="BS157" s="25"/>
      <c r="BT157" s="27"/>
      <c r="BU157" s="25"/>
      <c r="BV157" s="27"/>
      <c r="BW157" s="25"/>
      <c r="BX157" s="27"/>
      <c r="BY157" s="27"/>
      <c r="BZ157" s="27"/>
      <c r="CA157" s="27"/>
      <c r="CB157" s="27"/>
      <c r="CC157" s="25"/>
      <c r="CD157" s="27"/>
      <c r="CE157" s="27"/>
      <c r="CF157" s="25"/>
      <c r="CG157" s="25"/>
      <c r="CH157" s="25"/>
      <c r="CI157" s="25"/>
      <c r="CJ157" s="25"/>
      <c r="CK157" s="28"/>
      <c r="CL157" s="25"/>
      <c r="CM157" s="26"/>
      <c r="CN157" s="25"/>
      <c r="CO157" s="27"/>
      <c r="CP157" s="25"/>
      <c r="CQ157" s="25"/>
      <c r="CR157" s="25"/>
      <c r="CS157" s="27"/>
      <c r="CT157" s="25"/>
      <c r="CU157" s="25"/>
      <c r="CV157" s="28"/>
      <c r="CW157" s="25"/>
      <c r="CX157" s="25"/>
      <c r="CY157" s="25"/>
      <c r="CZ157" s="25"/>
      <c r="DA157" s="25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5"/>
      <c r="DP157" s="25"/>
      <c r="DQ157" s="25"/>
      <c r="DR157" s="25"/>
      <c r="DS157" s="25"/>
      <c r="DT157" s="25"/>
      <c r="DU157" s="215"/>
      <c r="DV157" s="25"/>
      <c r="DW157" s="25"/>
      <c r="DX157" s="25"/>
      <c r="DY157" s="215"/>
      <c r="DZ157" s="25"/>
      <c r="EA157" s="25"/>
      <c r="EB157" s="25"/>
      <c r="EC157" s="25"/>
      <c r="ED157" s="25"/>
      <c r="EE157" s="25"/>
      <c r="EF157" s="25"/>
      <c r="EG157" s="27"/>
      <c r="EH157" s="25"/>
      <c r="EI157" s="25"/>
      <c r="EJ157" s="25"/>
      <c r="EK157" s="25"/>
      <c r="EL157" s="25">
        <f>+J157</f>
        <v>0</v>
      </c>
      <c r="EM157" s="28"/>
      <c r="EN157" s="28">
        <f t="shared" si="15"/>
        <v>0</v>
      </c>
      <c r="EO157" s="28">
        <f t="shared" si="16"/>
        <v>0</v>
      </c>
      <c r="EP157" s="28">
        <f t="shared" si="21"/>
        <v>0</v>
      </c>
    </row>
    <row r="158" spans="2:146">
      <c r="B158" s="9">
        <f t="shared" ref="B158:B164" si="22">+B156</f>
        <v>44495</v>
      </c>
      <c r="C158" s="92"/>
      <c r="D158" s="138" t="s">
        <v>170</v>
      </c>
      <c r="E158" s="25">
        <f>+F158+J158+L158+N158+T158+V158+X158+AB158+AD158+AF158+AL158+AN158+AP158+AU158+AW158+AY158+BC158+BE158+BG158+BM158+BO158+BQ158+BW158+CC158+CE158+CG158+CL158+CN158+CP158+CR158+CT158+CW158+CY158+DA158+DC158+DE158+DG158+DI158+DK158+DM158+DO158+DQ158+DS158+EE158+EG158+EI158+EK158+R158+H158+CI158+BA158+AR158</f>
        <v>0</v>
      </c>
      <c r="F158" s="26"/>
      <c r="G158" s="27">
        <f>+CW158+CY158+DA158+DC158+DE158+DG158+DI158+DK158+DM158</f>
        <v>0</v>
      </c>
      <c r="H158" s="27"/>
      <c r="I158" s="27"/>
      <c r="J158" s="27"/>
      <c r="K158" s="27"/>
      <c r="L158" s="27"/>
      <c r="M158" s="27"/>
      <c r="N158" s="25"/>
      <c r="O158" s="27"/>
      <c r="P158" s="27"/>
      <c r="Q158" s="27"/>
      <c r="R158" s="25"/>
      <c r="S158" s="27"/>
      <c r="T158" s="25"/>
      <c r="U158" s="25"/>
      <c r="V158" s="25"/>
      <c r="W158" s="25"/>
      <c r="X158" s="27"/>
      <c r="Y158" s="27"/>
      <c r="Z158" s="27"/>
      <c r="AA158" s="27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7"/>
      <c r="AP158" s="25"/>
      <c r="AQ158" s="25"/>
      <c r="AR158" s="25"/>
      <c r="AS158" s="25"/>
      <c r="AT158" s="28"/>
      <c r="AU158" s="25"/>
      <c r="AV158" s="25"/>
      <c r="AW158" s="25"/>
      <c r="AX158" s="25"/>
      <c r="AY158" s="25"/>
      <c r="AZ158" s="27"/>
      <c r="BA158" s="25"/>
      <c r="BB158" s="25"/>
      <c r="BC158" s="25"/>
      <c r="BD158" s="27"/>
      <c r="BE158" s="25"/>
      <c r="BF158" s="27"/>
      <c r="BG158" s="25"/>
      <c r="BH158" s="27"/>
      <c r="BI158" s="27"/>
      <c r="BJ158" s="27"/>
      <c r="BK158" s="27"/>
      <c r="BL158" s="27"/>
      <c r="BM158" s="25"/>
      <c r="BN158" s="27"/>
      <c r="BO158" s="25"/>
      <c r="BP158" s="27"/>
      <c r="BQ158" s="27"/>
      <c r="BR158" s="27"/>
      <c r="BS158" s="25"/>
      <c r="BT158" s="27"/>
      <c r="BU158" s="25"/>
      <c r="BV158" s="27"/>
      <c r="BW158" s="25"/>
      <c r="BX158" s="27"/>
      <c r="BY158" s="27"/>
      <c r="BZ158" s="27"/>
      <c r="CA158" s="27"/>
      <c r="CB158" s="27"/>
      <c r="CC158" s="25"/>
      <c r="CD158" s="27"/>
      <c r="CE158" s="27"/>
      <c r="CF158" s="25"/>
      <c r="CG158" s="25"/>
      <c r="CH158" s="25"/>
      <c r="CI158" s="25"/>
      <c r="CJ158" s="25"/>
      <c r="CK158" s="28"/>
      <c r="CL158" s="25"/>
      <c r="CM158" s="25"/>
      <c r="CN158" s="25"/>
      <c r="CO158" s="27"/>
      <c r="CP158" s="25"/>
      <c r="CQ158" s="25"/>
      <c r="CR158" s="25"/>
      <c r="CS158" s="27"/>
      <c r="CT158" s="25"/>
      <c r="CU158" s="25"/>
      <c r="CV158" s="28"/>
      <c r="CW158" s="25">
        <v>0</v>
      </c>
      <c r="CX158" s="25"/>
      <c r="CY158" s="25"/>
      <c r="CZ158" s="25"/>
      <c r="DA158" s="25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7">
        <v>0</v>
      </c>
      <c r="EH158" s="25"/>
      <c r="EI158" s="25"/>
      <c r="EJ158" s="25"/>
      <c r="EK158" s="25"/>
      <c r="EL158" s="25"/>
      <c r="EM158" s="28"/>
      <c r="EN158" s="28">
        <f t="shared" si="15"/>
        <v>0</v>
      </c>
      <c r="EO158" s="28">
        <f t="shared" si="16"/>
        <v>0</v>
      </c>
      <c r="EP158" s="28">
        <f t="shared" si="21"/>
        <v>0</v>
      </c>
    </row>
    <row r="159" spans="2:146">
      <c r="B159" s="9">
        <f t="shared" si="22"/>
        <v>44495</v>
      </c>
      <c r="C159" s="92"/>
      <c r="D159" s="1139" t="s">
        <v>921</v>
      </c>
      <c r="E159" s="25">
        <f>+F159+J159+L159+N159+T159+V159+X159+AB159+AD159+AF159+AL159+AN159+AP159+AU159+AW159+AY159+BC159+BE159+BG159+BM159+BO159+BQ159+BW159+CC159+CE159+CG159+CL159+CN159+CP159+CR159+CT159+CW159+CY159+DA159+DC159+DE159+DG159+DI159+DK159+DM159+DO159+DQ159+DS159+EE159+EG159+EI159+EK159+R159+H159+CI159+BA159+AR159</f>
        <v>0</v>
      </c>
      <c r="F159" s="27"/>
      <c r="G159" s="27">
        <v>0</v>
      </c>
      <c r="H159" s="27"/>
      <c r="I159" s="27"/>
      <c r="J159" s="1140"/>
      <c r="K159" s="27"/>
      <c r="L159" s="27"/>
      <c r="M159" s="27"/>
      <c r="N159" s="25"/>
      <c r="O159" s="27"/>
      <c r="P159" s="27"/>
      <c r="Q159" s="27"/>
      <c r="R159" s="25"/>
      <c r="S159" s="27"/>
      <c r="T159" s="25"/>
      <c r="U159" s="25"/>
      <c r="V159" s="25"/>
      <c r="W159" s="25"/>
      <c r="X159" s="27"/>
      <c r="Y159" s="27"/>
      <c r="Z159" s="27"/>
      <c r="AA159" s="27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7"/>
      <c r="AP159" s="25"/>
      <c r="AQ159" s="25"/>
      <c r="AR159" s="25"/>
      <c r="AS159" s="25"/>
      <c r="AT159" s="28"/>
      <c r="AU159" s="25"/>
      <c r="AV159" s="25"/>
      <c r="AW159" s="25"/>
      <c r="AX159" s="25"/>
      <c r="AY159" s="25"/>
      <c r="AZ159" s="27"/>
      <c r="BA159" s="25"/>
      <c r="BB159" s="25"/>
      <c r="BC159" s="25"/>
      <c r="BD159" s="27"/>
      <c r="BE159" s="25"/>
      <c r="BF159" s="27"/>
      <c r="BG159" s="25"/>
      <c r="BH159" s="27"/>
      <c r="BI159" s="27"/>
      <c r="BJ159" s="27"/>
      <c r="BK159" s="27"/>
      <c r="BL159" s="27"/>
      <c r="BM159" s="25"/>
      <c r="BN159" s="27"/>
      <c r="BO159" s="25"/>
      <c r="BP159" s="27"/>
      <c r="BQ159" s="27"/>
      <c r="BR159" s="27"/>
      <c r="BS159" s="25"/>
      <c r="BT159" s="27"/>
      <c r="BU159" s="25"/>
      <c r="BV159" s="27"/>
      <c r="BW159" s="25"/>
      <c r="BX159" s="27"/>
      <c r="BY159" s="27"/>
      <c r="BZ159" s="27"/>
      <c r="CA159" s="27"/>
      <c r="CB159" s="27"/>
      <c r="CC159" s="25"/>
      <c r="CD159" s="27"/>
      <c r="CE159" s="27"/>
      <c r="CF159" s="25"/>
      <c r="CG159" s="25"/>
      <c r="CH159" s="25"/>
      <c r="CI159" s="25"/>
      <c r="CJ159" s="25"/>
      <c r="CK159" s="28"/>
      <c r="CL159" s="25"/>
      <c r="CM159" s="25"/>
      <c r="CN159" s="25"/>
      <c r="CO159" s="27"/>
      <c r="CP159" s="25"/>
      <c r="CQ159" s="25"/>
      <c r="CR159" s="25"/>
      <c r="CS159" s="27"/>
      <c r="CT159" s="25"/>
      <c r="CU159" s="25"/>
      <c r="CV159" s="28"/>
      <c r="CW159" s="25"/>
      <c r="CX159" s="25"/>
      <c r="CY159" s="25"/>
      <c r="CZ159" s="25"/>
      <c r="DA159" s="25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>
        <v>0</v>
      </c>
      <c r="EH159" s="25"/>
      <c r="EI159" s="25"/>
      <c r="EJ159" s="25"/>
      <c r="EK159" s="25"/>
      <c r="EL159" s="25">
        <f>+J159</f>
        <v>0</v>
      </c>
      <c r="EM159" s="28"/>
      <c r="EN159" s="28">
        <f t="shared" ref="EN159:EN224" si="23">+F159+J159+L159+N159+T159+V159+X159+AB159+AD159+AF159+AL159+AN159+AP159+AU159+AW159+AY159+BC159+BE159+BG159+BM159+BO159+BQ159+BU159+BW159+BY159+CC159+CE159+CG159+CL159+CN159+CP159+CR159+CT159+CW159+CY159+DA159+DC159+DE159+DG159+DI159+DK159+DM159+DO159+DQ159+DS159+EE159+EG159+EI159+EK159+H159+R159+AR159+BA159+CI159</f>
        <v>0</v>
      </c>
      <c r="EO159" s="28">
        <f t="shared" ref="EO159:EO224" si="24">+G159+K159+M159+O159+U159+W159+Y159+AC159+AE159+AG159+AM159+AO159+AQ159+AV159+AX159+AZ159+BD159+BF159+BH159+BN159+BP159+BR159+BV159+BX159+BZ159+CD159+CF159+CH159+CM159+CO159+CQ159+CS159+CU159+CX159+CZ159+DB159+DD159+DF159+DH159+DJ159+DL159+DN159+DP159+DR159+DT159+EF159+EH159+EJ159+EL159+I159+S159+AS159+BB159+CJ159</f>
        <v>0</v>
      </c>
      <c r="EP159" s="28">
        <f t="shared" si="21"/>
        <v>0</v>
      </c>
    </row>
    <row r="160" spans="2:146">
      <c r="B160" s="9">
        <f t="shared" si="22"/>
        <v>44495</v>
      </c>
      <c r="C160" s="92"/>
      <c r="D160" s="213" t="s">
        <v>195</v>
      </c>
      <c r="E160" s="478">
        <f>+F160+J160+L160+N160+T160+V160+X160+AB160+AD160+AF160+AL160+AN160+AP160+AU160+AW160+AY160+BC160+BE160+BG160+BM160+BO160+BQ160+BW160+CC160+CE160+CG160+CL160+CN160+CP160+CR160+CT160+CW160+CY160+DA160+DC160+DE160+DG160+DI160+DK160+DM160+DO160+DQ160+DS160+EE160+EG160+EI160+EK160+R160+H160+CI160+BA160+AR160+DU160</f>
        <v>0</v>
      </c>
      <c r="F160" s="26">
        <f>+BV160</f>
        <v>0</v>
      </c>
      <c r="G160" s="286">
        <f>+DU160-BB160-AV160-AQ160+DY160</f>
        <v>0</v>
      </c>
      <c r="H160" s="27"/>
      <c r="I160" s="27"/>
      <c r="J160" s="27"/>
      <c r="K160" s="27"/>
      <c r="L160" s="27"/>
      <c r="M160" s="27"/>
      <c r="N160" s="25"/>
      <c r="O160" s="27"/>
      <c r="P160" s="27"/>
      <c r="Q160" s="27"/>
      <c r="R160" s="25"/>
      <c r="S160" s="27"/>
      <c r="T160" s="25"/>
      <c r="U160" s="25"/>
      <c r="V160" s="25"/>
      <c r="W160" s="25"/>
      <c r="X160" s="27"/>
      <c r="Y160" s="27"/>
      <c r="Z160" s="27"/>
      <c r="AA160" s="27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7"/>
      <c r="AP160" s="213"/>
      <c r="AQ160" s="215">
        <f>+DATOS!K45</f>
        <v>0</v>
      </c>
      <c r="AR160" s="25"/>
      <c r="AS160" s="25"/>
      <c r="AT160" s="28"/>
      <c r="AU160" s="25"/>
      <c r="AV160" s="215">
        <f>+DATOS!J45+DATOS!M45</f>
        <v>0</v>
      </c>
      <c r="AW160" s="25"/>
      <c r="AX160" s="25"/>
      <c r="AY160" s="25"/>
      <c r="AZ160" s="27"/>
      <c r="BA160" s="25"/>
      <c r="BB160" s="214">
        <f>+DATOS!I45</f>
        <v>0</v>
      </c>
      <c r="BC160" s="25"/>
      <c r="BD160" s="27"/>
      <c r="BE160" s="25"/>
      <c r="BF160" s="27"/>
      <c r="BG160" s="25"/>
      <c r="BH160" s="27"/>
      <c r="BI160" s="27"/>
      <c r="BJ160" s="27"/>
      <c r="BK160" s="27"/>
      <c r="BL160" s="27"/>
      <c r="BM160" s="25"/>
      <c r="BN160" s="27"/>
      <c r="BO160" s="25"/>
      <c r="BP160" s="27"/>
      <c r="BQ160" s="27"/>
      <c r="BR160" s="27"/>
      <c r="BS160" s="25"/>
      <c r="BT160" s="27"/>
      <c r="BU160" s="25"/>
      <c r="BV160" s="27"/>
      <c r="BW160" s="25"/>
      <c r="BX160" s="27"/>
      <c r="BY160" s="27"/>
      <c r="BZ160" s="27"/>
      <c r="CA160" s="27"/>
      <c r="CB160" s="27"/>
      <c r="CC160" s="25"/>
      <c r="CD160" s="27"/>
      <c r="CE160" s="27"/>
      <c r="CF160" s="25"/>
      <c r="CG160" s="25"/>
      <c r="CH160" s="25"/>
      <c r="CI160" s="25"/>
      <c r="CJ160" s="25"/>
      <c r="CK160" s="28"/>
      <c r="CL160" s="25"/>
      <c r="CM160" s="25"/>
      <c r="CN160" s="25"/>
      <c r="CO160" s="27"/>
      <c r="CP160" s="25"/>
      <c r="CQ160" s="25"/>
      <c r="CR160" s="25"/>
      <c r="CS160" s="27"/>
      <c r="CT160" s="25"/>
      <c r="CU160" s="25"/>
      <c r="CV160" s="28"/>
      <c r="CW160" s="25"/>
      <c r="CX160" s="25"/>
      <c r="CY160" s="25"/>
      <c r="CZ160" s="25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5"/>
      <c r="DP160" s="25"/>
      <c r="DQ160" s="25"/>
      <c r="DR160" s="25"/>
      <c r="DS160" s="25"/>
      <c r="DT160" s="25"/>
      <c r="DU160" s="215">
        <f>+DATOS!G45</f>
        <v>0</v>
      </c>
      <c r="DV160" s="25"/>
      <c r="DW160" s="25"/>
      <c r="DX160" s="25"/>
      <c r="DY160" s="215">
        <f>+DATOS!M45</f>
        <v>0</v>
      </c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8"/>
      <c r="EN160" s="28">
        <f>+F160+J160+L160+N160+T160+V160+X160+AB160+AD160+AF160+AL160+AN160+AP160+AU160+AW160+AY160+BC160+BE160+BG160+BM160+BO160+BQ160+BU160+BW160+BY160+CC160+CE160+CG160+CL160+CN160+CP160+CR160+CT160+CW160+CY160+DA160+DC160+DE160+DG160+DI160+DK160+DM160+DO160+DQ160+DS160+EE160+EG160+EI160+EK160+H160+R160+AR160+BA160+CI160+DU160+DY160</f>
        <v>0</v>
      </c>
      <c r="EO160" s="28">
        <f t="shared" si="24"/>
        <v>0</v>
      </c>
      <c r="EP160" s="28">
        <f t="shared" si="21"/>
        <v>0</v>
      </c>
    </row>
    <row r="161" spans="2:146">
      <c r="B161" s="9">
        <f t="shared" si="22"/>
        <v>44495</v>
      </c>
      <c r="C161" s="92"/>
      <c r="D161" s="485" t="s">
        <v>488</v>
      </c>
      <c r="E161" s="478"/>
      <c r="F161" s="26"/>
      <c r="G161" s="278">
        <f>+BY161</f>
        <v>0</v>
      </c>
      <c r="H161" s="27"/>
      <c r="I161" s="27"/>
      <c r="J161" s="27"/>
      <c r="K161" s="27"/>
      <c r="L161" s="27"/>
      <c r="M161" s="27"/>
      <c r="N161" s="25"/>
      <c r="O161" s="27"/>
      <c r="P161" s="27"/>
      <c r="Q161" s="27"/>
      <c r="R161" s="25"/>
      <c r="S161" s="27"/>
      <c r="T161" s="25"/>
      <c r="U161" s="25"/>
      <c r="V161" s="25"/>
      <c r="W161" s="25"/>
      <c r="X161" s="27"/>
      <c r="Y161" s="27"/>
      <c r="Z161" s="27"/>
      <c r="AA161" s="27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7"/>
      <c r="AP161" s="517"/>
      <c r="AQ161" s="215"/>
      <c r="AR161" s="25"/>
      <c r="AS161" s="25"/>
      <c r="AT161" s="28"/>
      <c r="AU161" s="25"/>
      <c r="AV161" s="215"/>
      <c r="AW161" s="25"/>
      <c r="AX161" s="25"/>
      <c r="AY161" s="25"/>
      <c r="AZ161" s="27"/>
      <c r="BA161" s="25"/>
      <c r="BB161" s="214"/>
      <c r="BC161" s="25"/>
      <c r="BD161" s="27"/>
      <c r="BE161" s="25"/>
      <c r="BF161" s="27"/>
      <c r="BG161" s="25"/>
      <c r="BH161" s="27"/>
      <c r="BI161" s="27"/>
      <c r="BJ161" s="27"/>
      <c r="BK161" s="27"/>
      <c r="BL161" s="27"/>
      <c r="BM161" s="25"/>
      <c r="BN161" s="27"/>
      <c r="BO161" s="25"/>
      <c r="BP161" s="27"/>
      <c r="BQ161" s="515">
        <f>+DATOS!C72</f>
        <v>0</v>
      </c>
      <c r="BR161" s="27"/>
      <c r="BS161" s="515">
        <f>+DATOS!F72</f>
        <v>0</v>
      </c>
      <c r="BT161" s="27"/>
      <c r="BU161" s="516">
        <f>+DATOS!I72</f>
        <v>0</v>
      </c>
      <c r="BV161" s="27"/>
      <c r="BW161" s="516">
        <f>+DATOS!L72</f>
        <v>0</v>
      </c>
      <c r="BX161" s="27"/>
      <c r="BY161" s="515">
        <f>+DATOS!O72</f>
        <v>0</v>
      </c>
      <c r="BZ161" s="27"/>
      <c r="CA161" s="27"/>
      <c r="CB161" s="27"/>
      <c r="CC161" s="25"/>
      <c r="CD161" s="27"/>
      <c r="CE161" s="27"/>
      <c r="CF161" s="25"/>
      <c r="CG161" s="25"/>
      <c r="CH161" s="25"/>
      <c r="CI161" s="25"/>
      <c r="CJ161" s="25"/>
      <c r="CK161" s="28"/>
      <c r="CL161" s="25"/>
      <c r="CM161" s="25"/>
      <c r="CN161" s="25"/>
      <c r="CO161" s="27"/>
      <c r="CP161" s="25"/>
      <c r="CQ161" s="25"/>
      <c r="CR161" s="25"/>
      <c r="CS161" s="27"/>
      <c r="CT161" s="25"/>
      <c r="CU161" s="25"/>
      <c r="CV161" s="28"/>
      <c r="CW161" s="25"/>
      <c r="CX161" s="25"/>
      <c r="CY161" s="25"/>
      <c r="CZ161" s="25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5"/>
      <c r="DP161" s="25"/>
      <c r="DQ161" s="25"/>
      <c r="DR161" s="25"/>
      <c r="DS161" s="25"/>
      <c r="DT161" s="25"/>
      <c r="DU161" s="215"/>
      <c r="DV161" s="25"/>
      <c r="DW161" s="25"/>
      <c r="DX161" s="25"/>
      <c r="DY161" s="21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8"/>
      <c r="EN161" s="28">
        <f>+F161+J161+L161+N161+T161+V161+X161+AB161+AD161+AF161+AL161+AN161+AP161+AU161+AW161+AY161+BC161+BE161+BG161+BM161+BO161+BQ161+BU161+BW161+BY161+CC161+CE161+CG161+CL161+CN161+CP161+CR161+CT161+CW161+CY161+DA161+DC161+DE161+DG161+DI161+DK161+DM161+DO161+DQ161+DS161+EE161+EG161+EI161+EK161+H161+R161+AR161+BA161+CI161+DU161+DY161</f>
        <v>0</v>
      </c>
      <c r="EO161" s="28">
        <f>+G161+K161+M161+O161+U161+W161+Y161+AC161+AE161+AG161+AM161+AO161+AQ161+AV161+AX161+AZ161+BD161+BF161+BH161+BN161+BP161+BR161+BV161+BX161+BZ161+CD161+CF161+CH161+CM161+CO161+CQ161+CS161+CU161+CX161+CZ161+DB161+DD161+DF161+DH161+DJ161+DL161+DN161+DP161+DR161+DT161+EF161+EH161+EJ161+EL161+I161+S161+AS161+BB161+CJ161</f>
        <v>0</v>
      </c>
      <c r="EP161" s="28">
        <f>+EN161-EO161</f>
        <v>0</v>
      </c>
    </row>
    <row r="162" spans="2:146">
      <c r="B162" s="9">
        <f t="shared" si="22"/>
        <v>44495</v>
      </c>
      <c r="C162" s="92"/>
      <c r="D162" s="302" t="s">
        <v>489</v>
      </c>
      <c r="E162" s="25">
        <f>+F162+J162+L162+N162+T162+V162+X162+AB162+AD162+AF162+AL162+AN162+AP162+AU162+AW162+AY162+BC162+BE162+BG162+BM162+BO162+BQ162+BW162+CC162+CE162+CG162+CL162+CN162+CP162+CR162+CT162+CW162+CY162+DA162+DC162+DE162+DG162+DI162+DK162+DM162+DO162+DQ162+DS162+EE162+EG162+EI162+EK162+R162+H162+CI162+BA162+AR162</f>
        <v>0</v>
      </c>
      <c r="F162" s="26"/>
      <c r="G162" s="27">
        <f>+CW162+CY162+DA162+DC162+DE162+DG162+DI162+DK162+DM162</f>
        <v>0</v>
      </c>
      <c r="H162" s="27"/>
      <c r="I162" s="27"/>
      <c r="J162" s="27"/>
      <c r="K162" s="27"/>
      <c r="L162" s="27"/>
      <c r="M162" s="27"/>
      <c r="N162" s="25"/>
      <c r="O162" s="27"/>
      <c r="P162" s="27"/>
      <c r="Q162" s="27"/>
      <c r="R162" s="25"/>
      <c r="S162" s="27"/>
      <c r="T162" s="25"/>
      <c r="U162" s="25"/>
      <c r="V162" s="25"/>
      <c r="W162" s="25"/>
      <c r="X162" s="27"/>
      <c r="Y162" s="27"/>
      <c r="Z162" s="27"/>
      <c r="AA162" s="27"/>
      <c r="AB162" s="25"/>
      <c r="AC162" s="25"/>
      <c r="AD162" s="25"/>
      <c r="AE162" s="25"/>
      <c r="AF162" s="25"/>
      <c r="AG162" s="527">
        <f>+DATOS!G72</f>
        <v>0</v>
      </c>
      <c r="AH162" s="25"/>
      <c r="AI162" s="527">
        <f>+DATOS!D72</f>
        <v>0</v>
      </c>
      <c r="AJ162" s="25"/>
      <c r="AK162" s="531">
        <f>+DATOS!J72+DATOS!M72+DATOS!P72</f>
        <v>0</v>
      </c>
      <c r="AL162" s="25"/>
      <c r="AM162" s="25"/>
      <c r="AN162" s="25"/>
      <c r="AO162" s="27"/>
      <c r="AP162" s="25"/>
      <c r="AQ162" s="25"/>
      <c r="AR162" s="25"/>
      <c r="AS162" s="25"/>
      <c r="AT162" s="28"/>
      <c r="AU162" s="25"/>
      <c r="AV162" s="25"/>
      <c r="AW162" s="25"/>
      <c r="AX162" s="25"/>
      <c r="AY162" s="25"/>
      <c r="AZ162" s="27"/>
      <c r="BA162" s="25"/>
      <c r="BB162" s="25"/>
      <c r="BC162" s="25"/>
      <c r="BD162" s="27"/>
      <c r="BE162" s="25"/>
      <c r="BF162" s="27"/>
      <c r="BG162" s="25"/>
      <c r="BH162" s="27"/>
      <c r="BI162" s="27"/>
      <c r="BJ162" s="27"/>
      <c r="BK162" s="27"/>
      <c r="BL162" s="27"/>
      <c r="BM162" s="25"/>
      <c r="BN162" s="27"/>
      <c r="BO162" s="25"/>
      <c r="BP162" s="27"/>
      <c r="BQ162" s="27"/>
      <c r="BR162" s="27"/>
      <c r="BS162" s="25"/>
      <c r="BT162" s="27"/>
      <c r="BU162" s="25"/>
      <c r="BV162" s="27"/>
      <c r="BW162" s="25"/>
      <c r="BX162" s="27"/>
      <c r="BY162" s="27"/>
      <c r="BZ162" s="27"/>
      <c r="CA162" s="27"/>
      <c r="CB162" s="27"/>
      <c r="CC162" s="25"/>
      <c r="CD162" s="27"/>
      <c r="CE162" s="27"/>
      <c r="CF162" s="25"/>
      <c r="CG162" s="25"/>
      <c r="CH162" s="25"/>
      <c r="CI162" s="25"/>
      <c r="CJ162" s="25"/>
      <c r="CK162" s="28"/>
      <c r="CL162" s="25"/>
      <c r="CM162" s="25"/>
      <c r="CN162" s="25"/>
      <c r="CO162" s="27"/>
      <c r="CP162" s="25"/>
      <c r="CQ162" s="25"/>
      <c r="CR162" s="25"/>
      <c r="CS162" s="27"/>
      <c r="CT162" s="25"/>
      <c r="CU162" s="25"/>
      <c r="CV162" s="28"/>
      <c r="CW162" s="25"/>
      <c r="CX162" s="25"/>
      <c r="CY162" s="25">
        <v>0</v>
      </c>
      <c r="CZ162" s="25"/>
      <c r="DA162" s="25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527">
        <f>+AG162+AI162+AK162</f>
        <v>0</v>
      </c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8"/>
      <c r="EN162" s="28">
        <f>+F162+J162+L162+N162+T162+V162+X162+AB162+AD162+AF162+AL162+AN162+AP162+AU162+AW162+AY162+BC162+BE162+BG162+BM162+BO162+BQ162+BU162+BW162+BY162+CC162+CE162+CG162+CL162+CN162+CP162+CR162+CT162+CW162+CY162+DA162+DC162+DE162+DG162+DI162+DK162+DM162+DO162+DQ162+DS162+EE162+EG162+EI162+EK162+H162+R162+AR162+BA162+CI162+DU162+DY162</f>
        <v>0</v>
      </c>
      <c r="EO162" s="28">
        <f>+G162+K162+M162+O162+U162+W162+Y162+AC162+AE162+AG162+AM162+AO162+AQ162+AV162+AX162+AZ162+BD162+BF162+BH162+BN162+BP162+BR162+BV162+BX162+BZ162+CD162+CF162+CH162+CM162+CO162+CQ162+CS162+CU162+CX162+CZ162+DB162+DD162+DF162+DH162+DJ162+DL162+DN162+DP162+DR162+DT162+EF162+EH162+EJ162+EL162+I162+S162+AS162+BB162+CJ162</f>
        <v>0</v>
      </c>
      <c r="EP162" s="28">
        <f>+EN162-EO162</f>
        <v>0</v>
      </c>
    </row>
    <row r="163" spans="2:146">
      <c r="B163" s="9">
        <f t="shared" si="22"/>
        <v>44495</v>
      </c>
      <c r="C163" s="92"/>
      <c r="D163" s="212" t="s">
        <v>147</v>
      </c>
      <c r="E163" s="478">
        <f>+F163+J163+L163+N163+T163+V163+X163+AB163+AD163+AF163+AL163+AN163+AP163+AU163+AW163+AY163+BC163+BE163+BG163+BM163+BO163+BQ163+BW163+CC163+CE163+CG163+CL163+CN163+CP163+CR163+CT163+CW163+CY163+DA163+DC163+DE163+DG163+DI163+DK163+DM163+DO163+DQ163+DS163+EE163+EG163+EI163+EK163+R163+H163+CI163+BA163+AR163</f>
        <v>0</v>
      </c>
      <c r="F163" s="26"/>
      <c r="G163" s="27">
        <f>+DS163-AX163</f>
        <v>0</v>
      </c>
      <c r="H163" s="27"/>
      <c r="I163" s="27"/>
      <c r="J163" s="27"/>
      <c r="K163" s="27"/>
      <c r="L163" s="27"/>
      <c r="M163" s="27"/>
      <c r="N163" s="25"/>
      <c r="O163" s="27"/>
      <c r="P163" s="27"/>
      <c r="Q163" s="27"/>
      <c r="R163" s="25"/>
      <c r="S163" s="27"/>
      <c r="T163" s="25"/>
      <c r="U163" s="25"/>
      <c r="V163" s="25"/>
      <c r="W163" s="25"/>
      <c r="X163" s="27"/>
      <c r="Y163" s="27"/>
      <c r="Z163" s="27"/>
      <c r="AA163" s="27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7"/>
      <c r="AP163" s="25"/>
      <c r="AQ163" s="25"/>
      <c r="AR163" s="25"/>
      <c r="AS163" s="25"/>
      <c r="AT163" s="28"/>
      <c r="AU163" s="25"/>
      <c r="AV163" s="25"/>
      <c r="AW163" s="25"/>
      <c r="AX163" s="217">
        <f>+DATOS!G24</f>
        <v>0</v>
      </c>
      <c r="AY163" s="25"/>
      <c r="AZ163" s="27"/>
      <c r="BA163" s="25"/>
      <c r="BB163" s="25"/>
      <c r="BC163" s="25"/>
      <c r="BD163" s="27"/>
      <c r="BE163" s="25"/>
      <c r="BF163" s="27"/>
      <c r="BG163" s="25"/>
      <c r="BH163" s="27"/>
      <c r="BI163" s="27"/>
      <c r="BJ163" s="27"/>
      <c r="BK163" s="27"/>
      <c r="BL163" s="27"/>
      <c r="BM163" s="25"/>
      <c r="BN163" s="27"/>
      <c r="BO163" s="25"/>
      <c r="BP163" s="27"/>
      <c r="BQ163" s="27"/>
      <c r="BR163" s="27"/>
      <c r="BS163" s="25"/>
      <c r="BT163" s="27"/>
      <c r="BU163" s="25"/>
      <c r="BV163" s="27"/>
      <c r="BW163" s="25"/>
      <c r="BX163" s="27"/>
      <c r="BY163" s="27"/>
      <c r="BZ163" s="27"/>
      <c r="CA163" s="27"/>
      <c r="CB163" s="27"/>
      <c r="CC163" s="25"/>
      <c r="CD163" s="27"/>
      <c r="CE163" s="27"/>
      <c r="CF163" s="25"/>
      <c r="CG163" s="25"/>
      <c r="CH163" s="25"/>
      <c r="CI163" s="25"/>
      <c r="CJ163" s="25"/>
      <c r="CK163" s="28"/>
      <c r="CL163" s="25"/>
      <c r="CM163" s="25"/>
      <c r="CN163" s="25"/>
      <c r="CO163" s="27"/>
      <c r="CP163" s="25"/>
      <c r="CQ163" s="25"/>
      <c r="CR163" s="25"/>
      <c r="CS163" s="27"/>
      <c r="CT163" s="25"/>
      <c r="CU163" s="25"/>
      <c r="CV163" s="28"/>
      <c r="CW163" s="25"/>
      <c r="CX163" s="25"/>
      <c r="CY163" s="25"/>
      <c r="CZ163" s="25"/>
      <c r="DA163" s="25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5"/>
      <c r="DP163" s="25"/>
      <c r="DQ163" s="25"/>
      <c r="DR163" s="25"/>
      <c r="DS163" s="218">
        <f>ROUND(+AX163/0.13,0)</f>
        <v>0</v>
      </c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8"/>
      <c r="EN163" s="28">
        <f>+F163+J163+L163+N163+T163+V163+X163+AB163+AD163+AF163+AL163+AN163+AP163+AU163+AW163+AY163+BC163+BE163+BG163+BM163+BO163+BQ163+BU163+BW163+BY163+CC163+CE163+CG163+CL163+CN163+CP163+CR163+CT163+CW163+CY163+DA163+DC163+DE163+DG163+DI163+DK163+DM163+DO163+DQ163+DS163+EE163+EG163+EI163+EK163+H163+R163+AR163+BA163+CI163+DU163+DY163</f>
        <v>0</v>
      </c>
      <c r="EO163" s="28">
        <f>+G163+K163+M163+O163+U163+W163+Y163+AC163+AE163+AG163+AM163+AO163+AQ163+AV163+AX163+AZ163+BD163+BF163+BH163+BN163+BP163+BR163+BV163+BX163+BZ163+CD163+CF163+CH163+CM163+CO163+CQ163+CS163+CU163+CX163+CZ163+DB163+DD163+DF163+DH163+DJ163+DL163+DN163+DP163+DR163+DT163+EF163+EH163+EJ163+EL163+I163+S163+AS163+BB163+CJ163</f>
        <v>0</v>
      </c>
      <c r="EP163" s="28">
        <f>+EN163-EO163</f>
        <v>0</v>
      </c>
    </row>
    <row r="164" spans="2:146">
      <c r="B164" s="9">
        <f t="shared" si="22"/>
        <v>44495</v>
      </c>
      <c r="C164" s="92"/>
      <c r="D164" s="284" t="s">
        <v>263</v>
      </c>
      <c r="E164" s="478">
        <f>+F164+J164+L164+N164+T164+V164+X164+AB164+AD164+AF164+AL164+AN164+AP164+AU164+AW164+AY164+BC164+BE164+BG164+BM164+BO164+BQ164+BW164+CC164+CE164+CG164+CL164+CN164+CP164+CR164+CT164+CW164+CY164+DA164+DC164+DE164+DG164+DI164+DK164+DM164+DO164+DQ164+DS164+EE164+EG164+EI164+EK164+R164+H164+CI164+BA164+AR164</f>
        <v>0</v>
      </c>
      <c r="F164" s="26"/>
      <c r="G164" s="283">
        <f>+DW164</f>
        <v>0</v>
      </c>
      <c r="H164" s="27"/>
      <c r="I164" s="27"/>
      <c r="J164" s="27"/>
      <c r="K164" s="27"/>
      <c r="L164" s="27"/>
      <c r="M164" s="27"/>
      <c r="N164" s="25"/>
      <c r="O164" s="27"/>
      <c r="P164" s="27"/>
      <c r="Q164" s="27"/>
      <c r="R164" s="25"/>
      <c r="S164" s="27"/>
      <c r="T164" s="25"/>
      <c r="U164" s="25"/>
      <c r="V164" s="25"/>
      <c r="W164" s="25"/>
      <c r="X164" s="27"/>
      <c r="Y164" s="27"/>
      <c r="Z164" s="27"/>
      <c r="AA164" s="27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7"/>
      <c r="AP164" s="25"/>
      <c r="AQ164" s="25"/>
      <c r="AR164" s="25"/>
      <c r="AS164" s="25"/>
      <c r="AT164" s="28"/>
      <c r="AU164" s="25"/>
      <c r="AV164" s="25"/>
      <c r="AW164" s="25"/>
      <c r="AX164" s="25"/>
      <c r="AY164" s="25"/>
      <c r="AZ164" s="27"/>
      <c r="BA164" s="25"/>
      <c r="BB164" s="25"/>
      <c r="BC164" s="25"/>
      <c r="BD164" s="27"/>
      <c r="BE164" s="25"/>
      <c r="BF164" s="27"/>
      <c r="BG164" s="25"/>
      <c r="BH164" s="27"/>
      <c r="BI164" s="27"/>
      <c r="BJ164" s="27"/>
      <c r="BK164" s="27"/>
      <c r="BL164" s="27"/>
      <c r="BM164" s="25"/>
      <c r="BN164" s="27"/>
      <c r="BO164" s="25"/>
      <c r="BP164" s="27"/>
      <c r="BQ164" s="27"/>
      <c r="BR164" s="27"/>
      <c r="BS164" s="25"/>
      <c r="BT164" s="27"/>
      <c r="BU164" s="25"/>
      <c r="BV164" s="27"/>
      <c r="BW164" s="25"/>
      <c r="BX164" s="27"/>
      <c r="BY164" s="27"/>
      <c r="BZ164" s="27"/>
      <c r="CA164" s="27"/>
      <c r="CB164" s="27"/>
      <c r="CC164" s="25"/>
      <c r="CD164" s="27"/>
      <c r="CE164" s="27"/>
      <c r="CF164" s="25"/>
      <c r="CG164" s="25"/>
      <c r="CH164" s="25"/>
      <c r="CI164" s="25"/>
      <c r="CJ164" s="25"/>
      <c r="CK164" s="28"/>
      <c r="CL164" s="25"/>
      <c r="CM164" s="25"/>
      <c r="CN164" s="25"/>
      <c r="CO164" s="27"/>
      <c r="CP164" s="25"/>
      <c r="CQ164" s="25"/>
      <c r="CR164" s="25"/>
      <c r="CS164" s="27"/>
      <c r="CT164" s="25"/>
      <c r="CU164" s="25"/>
      <c r="CV164" s="28"/>
      <c r="CW164" s="25"/>
      <c r="CX164" s="25"/>
      <c r="CY164" s="25"/>
      <c r="CZ164" s="25"/>
      <c r="DA164" s="25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5"/>
      <c r="DP164" s="25"/>
      <c r="DQ164" s="25"/>
      <c r="DR164" s="25"/>
      <c r="DS164" s="25"/>
      <c r="DT164" s="25"/>
      <c r="DU164" s="25"/>
      <c r="DV164" s="25"/>
      <c r="DW164" s="285">
        <f>+DATOS!N45</f>
        <v>0</v>
      </c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8"/>
      <c r="EN164" s="28">
        <f t="shared" si="23"/>
        <v>0</v>
      </c>
      <c r="EO164" s="28">
        <f t="shared" si="24"/>
        <v>0</v>
      </c>
      <c r="EP164" s="28"/>
    </row>
    <row r="165" spans="2:146">
      <c r="B165" s="9"/>
      <c r="C165" s="92"/>
      <c r="D165" s="138"/>
      <c r="E165" s="25"/>
      <c r="F165" s="26"/>
      <c r="G165" s="27"/>
      <c r="H165" s="27"/>
      <c r="I165" s="27"/>
      <c r="J165" s="27"/>
      <c r="K165" s="27"/>
      <c r="L165" s="27"/>
      <c r="M165" s="27"/>
      <c r="N165" s="25"/>
      <c r="O165" s="27"/>
      <c r="P165" s="27"/>
      <c r="Q165" s="27"/>
      <c r="R165" s="25"/>
      <c r="S165" s="27"/>
      <c r="T165" s="25"/>
      <c r="U165" s="25"/>
      <c r="V165" s="25"/>
      <c r="W165" s="25"/>
      <c r="X165" s="27"/>
      <c r="Y165" s="27"/>
      <c r="Z165" s="27"/>
      <c r="AA165" s="27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7"/>
      <c r="AP165" s="25"/>
      <c r="AQ165" s="25"/>
      <c r="AR165" s="25"/>
      <c r="AS165" s="25"/>
      <c r="AT165" s="28"/>
      <c r="AU165" s="25"/>
      <c r="AV165" s="25"/>
      <c r="AW165" s="25"/>
      <c r="AX165" s="25"/>
      <c r="AY165" s="25"/>
      <c r="AZ165" s="27"/>
      <c r="BA165" s="25"/>
      <c r="BB165" s="25"/>
      <c r="BC165" s="25"/>
      <c r="BD165" s="27"/>
      <c r="BE165" s="25"/>
      <c r="BF165" s="27"/>
      <c r="BG165" s="25"/>
      <c r="BH165" s="27"/>
      <c r="BI165" s="27"/>
      <c r="BJ165" s="27"/>
      <c r="BK165" s="27"/>
      <c r="BL165" s="27"/>
      <c r="BM165" s="25"/>
      <c r="BN165" s="27"/>
      <c r="BO165" s="25"/>
      <c r="BP165" s="27"/>
      <c r="BQ165" s="27"/>
      <c r="BR165" s="27"/>
      <c r="BS165" s="25"/>
      <c r="BT165" s="27"/>
      <c r="BU165" s="25"/>
      <c r="BV165" s="27"/>
      <c r="BW165" s="25"/>
      <c r="BX165" s="27"/>
      <c r="BY165" s="27"/>
      <c r="BZ165" s="27"/>
      <c r="CA165" s="27"/>
      <c r="CB165" s="27"/>
      <c r="CC165" s="25"/>
      <c r="CD165" s="27"/>
      <c r="CE165" s="27"/>
      <c r="CF165" s="25"/>
      <c r="CG165" s="25"/>
      <c r="CH165" s="25"/>
      <c r="CI165" s="25"/>
      <c r="CJ165" s="25"/>
      <c r="CK165" s="28"/>
      <c r="CL165" s="25"/>
      <c r="CM165" s="25"/>
      <c r="CN165" s="25"/>
      <c r="CO165" s="27"/>
      <c r="CP165" s="25"/>
      <c r="CQ165" s="25"/>
      <c r="CR165" s="25"/>
      <c r="CS165" s="27"/>
      <c r="CT165" s="25"/>
      <c r="CU165" s="25"/>
      <c r="CV165" s="28"/>
      <c r="CW165" s="25"/>
      <c r="CX165" s="25"/>
      <c r="CY165" s="25"/>
      <c r="CZ165" s="25"/>
      <c r="DA165" s="25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5"/>
      <c r="DP165" s="25"/>
      <c r="DQ165" s="25"/>
      <c r="DR165" s="25"/>
      <c r="DS165" s="242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8"/>
      <c r="EN165" s="28">
        <f t="shared" si="23"/>
        <v>0</v>
      </c>
      <c r="EO165" s="28">
        <f t="shared" si="24"/>
        <v>0</v>
      </c>
      <c r="EP165" s="28"/>
    </row>
    <row r="166" spans="2:146">
      <c r="B166" s="9"/>
      <c r="C166" s="92"/>
      <c r="D166" s="138"/>
      <c r="E166" s="25"/>
      <c r="F166" s="26"/>
      <c r="G166" s="27"/>
      <c r="H166" s="27"/>
      <c r="I166" s="27"/>
      <c r="J166" s="27"/>
      <c r="K166" s="27"/>
      <c r="L166" s="27"/>
      <c r="M166" s="27"/>
      <c r="N166" s="25"/>
      <c r="O166" s="27"/>
      <c r="P166" s="27"/>
      <c r="Q166" s="27"/>
      <c r="R166" s="25"/>
      <c r="S166" s="27"/>
      <c r="T166" s="25"/>
      <c r="U166" s="25"/>
      <c r="V166" s="25"/>
      <c r="W166" s="25"/>
      <c r="X166" s="27"/>
      <c r="Y166" s="27"/>
      <c r="Z166" s="27"/>
      <c r="AA166" s="27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7"/>
      <c r="AP166" s="25"/>
      <c r="AQ166" s="25"/>
      <c r="AR166" s="25"/>
      <c r="AS166" s="25"/>
      <c r="AT166" s="28"/>
      <c r="AU166" s="25"/>
      <c r="AV166" s="25"/>
      <c r="AW166" s="25"/>
      <c r="AX166" s="25"/>
      <c r="AY166" s="25"/>
      <c r="AZ166" s="27"/>
      <c r="BA166" s="25"/>
      <c r="BB166" s="25"/>
      <c r="BC166" s="25"/>
      <c r="BD166" s="27"/>
      <c r="BE166" s="25"/>
      <c r="BF166" s="27"/>
      <c r="BG166" s="25"/>
      <c r="BH166" s="27"/>
      <c r="BI166" s="27"/>
      <c r="BJ166" s="27"/>
      <c r="BK166" s="27"/>
      <c r="BL166" s="27"/>
      <c r="BM166" s="25"/>
      <c r="BN166" s="27"/>
      <c r="BO166" s="25"/>
      <c r="BP166" s="27"/>
      <c r="BQ166" s="27"/>
      <c r="BR166" s="27"/>
      <c r="BS166" s="25"/>
      <c r="BT166" s="27"/>
      <c r="BU166" s="25"/>
      <c r="BV166" s="27"/>
      <c r="BW166" s="25"/>
      <c r="BX166" s="27"/>
      <c r="BY166" s="27"/>
      <c r="BZ166" s="27"/>
      <c r="CA166" s="27"/>
      <c r="CB166" s="27"/>
      <c r="CC166" s="25"/>
      <c r="CD166" s="27"/>
      <c r="CE166" s="27"/>
      <c r="CF166" s="25"/>
      <c r="CG166" s="25"/>
      <c r="CH166" s="25"/>
      <c r="CI166" s="25"/>
      <c r="CJ166" s="25"/>
      <c r="CK166" s="28"/>
      <c r="CL166" s="25"/>
      <c r="CM166" s="25"/>
      <c r="CN166" s="25"/>
      <c r="CO166" s="27"/>
      <c r="CP166" s="25"/>
      <c r="CQ166" s="25"/>
      <c r="CR166" s="25"/>
      <c r="CS166" s="27"/>
      <c r="CT166" s="25"/>
      <c r="CU166" s="25"/>
      <c r="CV166" s="28"/>
      <c r="CW166" s="25"/>
      <c r="CX166" s="25"/>
      <c r="CY166" s="25"/>
      <c r="CZ166" s="25"/>
      <c r="DA166" s="25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5"/>
      <c r="DP166" s="25"/>
      <c r="DQ166" s="25"/>
      <c r="DR166" s="25"/>
      <c r="DS166" s="242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8"/>
      <c r="EN166" s="28">
        <f t="shared" si="23"/>
        <v>0</v>
      </c>
      <c r="EO166" s="28">
        <f t="shared" si="24"/>
        <v>0</v>
      </c>
      <c r="EP166" s="28">
        <f t="shared" si="21"/>
        <v>0</v>
      </c>
    </row>
    <row r="167" spans="2:146">
      <c r="B167" s="39"/>
      <c r="C167" s="94"/>
      <c r="D167" s="40"/>
      <c r="E167" s="41"/>
      <c r="F167" s="42"/>
      <c r="G167" s="43"/>
      <c r="H167" s="43"/>
      <c r="I167" s="43"/>
      <c r="J167" s="43"/>
      <c r="K167" s="43"/>
      <c r="L167" s="43"/>
      <c r="M167" s="43"/>
      <c r="N167" s="41"/>
      <c r="O167" s="43"/>
      <c r="P167" s="43"/>
      <c r="Q167" s="43"/>
      <c r="R167" s="41"/>
      <c r="S167" s="43"/>
      <c r="T167" s="41"/>
      <c r="U167" s="41"/>
      <c r="V167" s="41"/>
      <c r="W167" s="41"/>
      <c r="X167" s="43"/>
      <c r="Y167" s="43"/>
      <c r="Z167" s="43"/>
      <c r="AA167" s="43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3"/>
      <c r="AP167" s="41"/>
      <c r="AQ167" s="41"/>
      <c r="AR167" s="41"/>
      <c r="AS167" s="41"/>
      <c r="AT167" s="28"/>
      <c r="AU167" s="41"/>
      <c r="AV167" s="41"/>
      <c r="AW167" s="41"/>
      <c r="AX167" s="41"/>
      <c r="AY167" s="41"/>
      <c r="AZ167" s="43"/>
      <c r="BA167" s="41"/>
      <c r="BB167" s="41"/>
      <c r="BC167" s="41"/>
      <c r="BD167" s="43"/>
      <c r="BE167" s="41"/>
      <c r="BF167" s="43"/>
      <c r="BG167" s="41"/>
      <c r="BH167" s="43"/>
      <c r="BI167" s="43"/>
      <c r="BJ167" s="43"/>
      <c r="BK167" s="43"/>
      <c r="BL167" s="43"/>
      <c r="BM167" s="41"/>
      <c r="BN167" s="43"/>
      <c r="BO167" s="41"/>
      <c r="BP167" s="43"/>
      <c r="BQ167" s="43"/>
      <c r="BR167" s="43"/>
      <c r="BS167" s="41"/>
      <c r="BT167" s="43"/>
      <c r="BU167" s="41"/>
      <c r="BV167" s="43"/>
      <c r="BW167" s="41"/>
      <c r="BX167" s="43"/>
      <c r="BY167" s="43"/>
      <c r="BZ167" s="43"/>
      <c r="CA167" s="43"/>
      <c r="CB167" s="43"/>
      <c r="CC167" s="41"/>
      <c r="CD167" s="43"/>
      <c r="CE167" s="43"/>
      <c r="CF167" s="41"/>
      <c r="CG167" s="41"/>
      <c r="CH167" s="41"/>
      <c r="CI167" s="41"/>
      <c r="CJ167" s="41"/>
      <c r="CK167" s="28"/>
      <c r="CL167" s="41"/>
      <c r="CM167" s="41"/>
      <c r="CN167" s="41"/>
      <c r="CO167" s="43"/>
      <c r="CP167" s="41"/>
      <c r="CQ167" s="41"/>
      <c r="CR167" s="41"/>
      <c r="CS167" s="43"/>
      <c r="CT167" s="41"/>
      <c r="CU167" s="41"/>
      <c r="CV167" s="28"/>
      <c r="CW167" s="41"/>
      <c r="CX167" s="41"/>
      <c r="CY167" s="41"/>
      <c r="CZ167" s="41"/>
      <c r="DA167" s="41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28"/>
      <c r="EN167" s="28">
        <f t="shared" si="23"/>
        <v>0</v>
      </c>
      <c r="EO167" s="28">
        <f t="shared" si="24"/>
        <v>0</v>
      </c>
      <c r="EP167" s="28">
        <f t="shared" si="21"/>
        <v>0</v>
      </c>
    </row>
    <row r="168" spans="2:146" ht="12" customHeight="1">
      <c r="B168" s="9"/>
      <c r="C168" s="92"/>
      <c r="D168" s="138" t="s">
        <v>112</v>
      </c>
      <c r="E168" s="25">
        <f>+F168+J168+L168+N168+T168+V168+X168+AB168+AD168+AF168+AL168+AN168+AP168+AU168+AW168+AY168+BC168+BE168+BG168+BM168+BO168+BQ168+BW168+CC168+CE168+CG168+CL168+CN168+CP168+CR168+CT168+CW168+CY168+DA168+DC168+DE168+DG168+DI168+DK168+DM168+DO168+DQ168+DS168+EE168+EG168+EI168+EK168+R168+H168+CI168+BA168+AR168</f>
        <v>0</v>
      </c>
      <c r="F168" s="26"/>
      <c r="G168" s="27"/>
      <c r="H168" s="27"/>
      <c r="I168" s="27"/>
      <c r="J168" s="27"/>
      <c r="K168" s="27"/>
      <c r="L168" s="27"/>
      <c r="M168" s="27"/>
      <c r="N168" s="25"/>
      <c r="O168" s="27"/>
      <c r="P168" s="27"/>
      <c r="Q168" s="27"/>
      <c r="R168" s="25"/>
      <c r="S168" s="27"/>
      <c r="T168" s="25"/>
      <c r="U168" s="25"/>
      <c r="V168" s="25"/>
      <c r="W168" s="25"/>
      <c r="X168" s="27"/>
      <c r="Y168" s="27"/>
      <c r="Z168" s="27"/>
      <c r="AA168" s="27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7"/>
      <c r="AP168" s="25"/>
      <c r="AQ168" s="25"/>
      <c r="AR168" s="25"/>
      <c r="AS168" s="25"/>
      <c r="AT168" s="28"/>
      <c r="AU168" s="25"/>
      <c r="AV168" s="25"/>
      <c r="AW168" s="25"/>
      <c r="AX168" s="25"/>
      <c r="AY168" s="25"/>
      <c r="AZ168" s="27"/>
      <c r="BA168" s="25"/>
      <c r="BB168" s="25"/>
      <c r="BC168" s="25"/>
      <c r="BD168" s="27"/>
      <c r="BE168" s="25"/>
      <c r="BF168" s="27"/>
      <c r="BG168" s="25"/>
      <c r="BH168" s="27"/>
      <c r="BI168" s="27"/>
      <c r="BJ168" s="27"/>
      <c r="BK168" s="27"/>
      <c r="BL168" s="27"/>
      <c r="BM168" s="25"/>
      <c r="BN168" s="27"/>
      <c r="BO168" s="25"/>
      <c r="BP168" s="27"/>
      <c r="BQ168" s="27"/>
      <c r="BR168" s="27"/>
      <c r="BS168" s="25"/>
      <c r="BT168" s="27"/>
      <c r="BU168" s="25"/>
      <c r="BV168" s="27"/>
      <c r="BW168" s="25"/>
      <c r="BX168" s="27"/>
      <c r="BY168" s="27"/>
      <c r="BZ168" s="27"/>
      <c r="CA168" s="27"/>
      <c r="CB168" s="27"/>
      <c r="CC168" s="25"/>
      <c r="CD168" s="27"/>
      <c r="CE168" s="25"/>
      <c r="CF168" s="25"/>
      <c r="CG168" s="25"/>
      <c r="CH168" s="25"/>
      <c r="CI168" s="25"/>
      <c r="CJ168" s="25"/>
      <c r="CK168" s="28"/>
      <c r="CL168" s="25"/>
      <c r="CM168" s="25"/>
      <c r="CN168" s="25"/>
      <c r="CO168" s="27"/>
      <c r="CP168" s="25"/>
      <c r="CQ168" s="25"/>
      <c r="CR168" s="25"/>
      <c r="CS168" s="27"/>
      <c r="CT168" s="25"/>
      <c r="CU168" s="25"/>
      <c r="CV168" s="28"/>
      <c r="CW168" s="25"/>
      <c r="CX168" s="25"/>
      <c r="CY168" s="25"/>
      <c r="CZ168" s="25"/>
      <c r="DA168" s="25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8"/>
      <c r="EN168" s="28">
        <f t="shared" si="23"/>
        <v>0</v>
      </c>
      <c r="EO168" s="28">
        <f t="shared" si="24"/>
        <v>0</v>
      </c>
      <c r="EP168" s="28">
        <f t="shared" si="21"/>
        <v>0</v>
      </c>
    </row>
    <row r="169" spans="2:146" ht="12" customHeight="1">
      <c r="B169" s="9">
        <f>+B164+30</f>
        <v>44525</v>
      </c>
      <c r="C169" s="92"/>
      <c r="D169" s="314" t="s">
        <v>320</v>
      </c>
      <c r="E169" s="478">
        <f>+F169+J169+L169+N169+T169+V169+X169+AB169+AD169+AF169+AL169+AN169+AP169+AU169+AW169+AY169+BC169+BE169+BG169+BM169+BO169+BQ169+BW169+CC169+CE169+CG169+CL169+CN169+CP169+CR169+CT169+CW169+CY169+DA169+DC169+DE169+DG169+DI169+DK169+DM169+DO169+DQ169+DS169+EE169+EG169+EI169+EK169+R169+H169+CI169+BA169+AR169</f>
        <v>0</v>
      </c>
      <c r="F169" s="26"/>
      <c r="G169" s="316">
        <f>+AU169</f>
        <v>0</v>
      </c>
      <c r="H169" s="27"/>
      <c r="I169" s="27"/>
      <c r="J169" s="27"/>
      <c r="K169" s="27"/>
      <c r="L169" s="27"/>
      <c r="M169" s="27"/>
      <c r="N169" s="25"/>
      <c r="O169" s="27"/>
      <c r="P169" s="27"/>
      <c r="Q169" s="27"/>
      <c r="R169" s="25"/>
      <c r="S169" s="27"/>
      <c r="T169" s="25"/>
      <c r="U169" s="25"/>
      <c r="V169" s="25"/>
      <c r="W169" s="25"/>
      <c r="X169" s="27"/>
      <c r="Y169" s="27"/>
      <c r="Z169" s="27"/>
      <c r="AA169" s="27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7"/>
      <c r="AP169" s="25"/>
      <c r="AQ169" s="25"/>
      <c r="AR169" s="25"/>
      <c r="AS169" s="25"/>
      <c r="AT169" s="28"/>
      <c r="AU169" s="315">
        <f>+AV160</f>
        <v>0</v>
      </c>
      <c r="AV169" s="25"/>
      <c r="AW169" s="25"/>
      <c r="AX169" s="25"/>
      <c r="AY169" s="25"/>
      <c r="AZ169" s="27"/>
      <c r="BA169" s="25"/>
      <c r="BB169" s="25"/>
      <c r="BC169" s="25"/>
      <c r="BD169" s="27"/>
      <c r="BE169" s="25"/>
      <c r="BF169" s="27"/>
      <c r="BG169" s="25"/>
      <c r="BH169" s="27"/>
      <c r="BI169" s="27"/>
      <c r="BJ169" s="27"/>
      <c r="BK169" s="27"/>
      <c r="BL169" s="27"/>
      <c r="BM169" s="25"/>
      <c r="BN169" s="27"/>
      <c r="BO169" s="25"/>
      <c r="BP169" s="27"/>
      <c r="BQ169" s="27"/>
      <c r="BR169" s="27"/>
      <c r="BS169" s="25"/>
      <c r="BT169" s="27"/>
      <c r="BU169" s="25"/>
      <c r="BV169" s="27"/>
      <c r="BW169" s="25"/>
      <c r="BX169" s="27"/>
      <c r="BY169" s="27"/>
      <c r="BZ169" s="27"/>
      <c r="CA169" s="27"/>
      <c r="CB169" s="27"/>
      <c r="CC169" s="25"/>
      <c r="CD169" s="27"/>
      <c r="CE169" s="27"/>
      <c r="CF169" s="25"/>
      <c r="CG169" s="25"/>
      <c r="CH169" s="25"/>
      <c r="CI169" s="25"/>
      <c r="CJ169" s="25"/>
      <c r="CK169" s="28"/>
      <c r="CL169" s="25"/>
      <c r="CM169" s="25"/>
      <c r="CN169" s="25"/>
      <c r="CO169" s="27"/>
      <c r="CP169" s="25"/>
      <c r="CQ169" s="25"/>
      <c r="CR169" s="25"/>
      <c r="CS169" s="27"/>
      <c r="CT169" s="25"/>
      <c r="CU169" s="25"/>
      <c r="CV169" s="28"/>
      <c r="CW169" s="25"/>
      <c r="CX169" s="25"/>
      <c r="CY169" s="25"/>
      <c r="CZ169" s="25"/>
      <c r="DA169" s="25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8"/>
      <c r="EN169" s="28">
        <f t="shared" si="23"/>
        <v>0</v>
      </c>
      <c r="EO169" s="28">
        <f t="shared" si="24"/>
        <v>0</v>
      </c>
      <c r="EP169" s="28"/>
    </row>
    <row r="170" spans="2:146" ht="12" customHeight="1">
      <c r="B170" s="9">
        <f>+B169</f>
        <v>44525</v>
      </c>
      <c r="C170" s="92"/>
      <c r="D170" s="216" t="s">
        <v>113</v>
      </c>
      <c r="E170" s="478">
        <f>+F170+J170+L170+N170+T170+V170+X170+AB170+AD170+AF170+AL170+AN170+AP170+AU170+AW170+AY170+BC170+BE170+BG170+BM170+BO170+BQ170+BW170+CC170+CE170+CG170+CL170+CN170+CP170+CR170+CT170+CW170+CY170+DA170+DC170+DE170+DG170+DI170+DK170+DM170+DO170+DQ170+DS170+EE170+EG170+EI170+EK170+R170+H170+CI170+BA170+AR170</f>
        <v>0</v>
      </c>
      <c r="F170" s="26"/>
      <c r="G170" s="427">
        <f>+(L170+AW170+BE170+J170+BA170+BG170+BU170)</f>
        <v>0</v>
      </c>
      <c r="H170" s="27"/>
      <c r="I170" s="27"/>
      <c r="J170" s="321">
        <v>0</v>
      </c>
      <c r="K170" s="27"/>
      <c r="L170" s="321">
        <f>+DATOS!F25</f>
        <v>0</v>
      </c>
      <c r="M170" s="27"/>
      <c r="N170" s="25"/>
      <c r="O170" s="27"/>
      <c r="P170" s="27"/>
      <c r="Q170" s="27"/>
      <c r="R170" s="25"/>
      <c r="S170" s="27"/>
      <c r="T170" s="25"/>
      <c r="U170" s="25"/>
      <c r="V170" s="25"/>
      <c r="W170" s="25"/>
      <c r="X170" s="27"/>
      <c r="Y170" s="27"/>
      <c r="Z170" s="27"/>
      <c r="AA170" s="27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7"/>
      <c r="AP170" s="25"/>
      <c r="AQ170" s="25"/>
      <c r="AR170" s="25"/>
      <c r="AS170" s="25"/>
      <c r="AT170" s="28"/>
      <c r="AU170" s="25"/>
      <c r="AV170" s="25"/>
      <c r="AW170" s="435">
        <f>+AX163</f>
        <v>0</v>
      </c>
      <c r="AX170" s="25"/>
      <c r="AY170" s="25"/>
      <c r="AZ170" s="27"/>
      <c r="BA170" s="435">
        <f>+BB160</f>
        <v>0</v>
      </c>
      <c r="BB170" s="25"/>
      <c r="BC170" s="25"/>
      <c r="BD170" s="27"/>
      <c r="BE170" s="25">
        <f>+BF160</f>
        <v>0</v>
      </c>
      <c r="BF170" s="27"/>
      <c r="BG170" s="498"/>
      <c r="BH170" s="27"/>
      <c r="BI170" s="27"/>
      <c r="BJ170" s="27"/>
      <c r="BK170" s="27"/>
      <c r="BL170" s="27"/>
      <c r="BM170" s="25">
        <f>+BN160</f>
        <v>0</v>
      </c>
      <c r="BN170" s="27"/>
      <c r="BO170" s="25"/>
      <c r="BP170" s="27"/>
      <c r="BQ170" s="27"/>
      <c r="BR170" s="27"/>
      <c r="BS170" s="25"/>
      <c r="BT170" s="27"/>
      <c r="BU170" s="25">
        <f>+BV160</f>
        <v>0</v>
      </c>
      <c r="BV170" s="27"/>
      <c r="BW170" s="25"/>
      <c r="BX170" s="27"/>
      <c r="BY170" s="27"/>
      <c r="BZ170" s="27"/>
      <c r="CA170" s="27"/>
      <c r="CB170" s="27"/>
      <c r="CC170" s="25"/>
      <c r="CD170" s="27"/>
      <c r="CE170" s="27"/>
      <c r="CF170" s="25"/>
      <c r="CG170" s="25"/>
      <c r="CH170" s="25"/>
      <c r="CI170" s="25"/>
      <c r="CJ170" s="25"/>
      <c r="CK170" s="28"/>
      <c r="CL170" s="25"/>
      <c r="CM170" s="25"/>
      <c r="CN170" s="25"/>
      <c r="CO170" s="27"/>
      <c r="CP170" s="25"/>
      <c r="CQ170" s="25"/>
      <c r="CR170" s="25"/>
      <c r="CS170" s="27"/>
      <c r="CT170" s="25"/>
      <c r="CU170" s="25"/>
      <c r="CV170" s="28"/>
      <c r="CW170" s="25"/>
      <c r="CX170" s="25"/>
      <c r="CY170" s="25"/>
      <c r="CZ170" s="25"/>
      <c r="DA170" s="25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8"/>
      <c r="EN170" s="28">
        <f t="shared" si="23"/>
        <v>0</v>
      </c>
      <c r="EO170" s="28">
        <f t="shared" si="24"/>
        <v>0</v>
      </c>
      <c r="EP170" s="28">
        <f t="shared" si="21"/>
        <v>0</v>
      </c>
    </row>
    <row r="171" spans="2:146">
      <c r="B171" s="9">
        <f t="shared" ref="B171:B182" si="25">+B170</f>
        <v>44525</v>
      </c>
      <c r="C171" s="92"/>
      <c r="D171" s="210" t="s">
        <v>114</v>
      </c>
      <c r="E171" s="478">
        <f>+F171+J171+L171+N171+T171+V171+X171+AB171+AD171+AF171+AL171+AN171+AP171+AU171+AW171+AY171+BC171+BE171+BG171+BM171+BO171+BQ171+BW171+CC171+CE171+CG171+CL171+CN171+CP171+CR171+CT171+CW171+CY171+DA171+DC171+DE171+DG171+DI171+DK171+DM171+DO171+DQ171+DS171+EE171+EG171+EI171+EK171+R171+H171+CI171+BA171+AR171+DU171+DY171+EC171</f>
        <v>0</v>
      </c>
      <c r="F171" s="26"/>
      <c r="G171" s="219">
        <f>+J171+EG171+DY171+X171+CW171</f>
        <v>0</v>
      </c>
      <c r="H171" s="27"/>
      <c r="I171" s="27"/>
      <c r="J171" s="219">
        <f>+DATOS!E46</f>
        <v>0</v>
      </c>
      <c r="K171" s="27"/>
      <c r="L171" s="27"/>
      <c r="M171" s="27"/>
      <c r="N171" s="25"/>
      <c r="O171" s="27"/>
      <c r="P171" s="27"/>
      <c r="Q171" s="27"/>
      <c r="R171" s="25"/>
      <c r="S171" s="27"/>
      <c r="T171" s="25"/>
      <c r="U171" s="25"/>
      <c r="V171" s="25"/>
      <c r="W171" s="25"/>
      <c r="X171" s="219"/>
      <c r="Y171" s="27"/>
      <c r="Z171" s="27"/>
      <c r="AA171" s="27"/>
      <c r="AB171" s="25"/>
      <c r="AC171" s="25"/>
      <c r="AD171" s="25"/>
      <c r="AE171" s="25"/>
      <c r="AF171" s="25"/>
      <c r="AG171" s="25">
        <v>0</v>
      </c>
      <c r="AH171" s="25"/>
      <c r="AI171" s="25"/>
      <c r="AJ171" s="25"/>
      <c r="AK171" s="25"/>
      <c r="AL171" s="25"/>
      <c r="AM171" s="25"/>
      <c r="AN171" s="25"/>
      <c r="AO171" s="27"/>
      <c r="AP171" s="25"/>
      <c r="AQ171" s="25"/>
      <c r="AR171" s="25"/>
      <c r="AS171" s="25"/>
      <c r="AT171" s="28"/>
      <c r="AU171" s="25"/>
      <c r="AV171" s="25"/>
      <c r="AW171" s="25"/>
      <c r="AX171" s="25"/>
      <c r="AY171" s="25"/>
      <c r="AZ171" s="27"/>
      <c r="BA171" s="25"/>
      <c r="BB171" s="25"/>
      <c r="BC171" s="25"/>
      <c r="BD171" s="27"/>
      <c r="BE171" s="25"/>
      <c r="BF171" s="27"/>
      <c r="BG171" s="25"/>
      <c r="BH171" s="27"/>
      <c r="BI171" s="27"/>
      <c r="BJ171" s="27"/>
      <c r="BK171" s="27"/>
      <c r="BL171" s="27"/>
      <c r="BM171" s="25"/>
      <c r="BN171" s="27"/>
      <c r="BO171" s="25"/>
      <c r="BP171" s="27"/>
      <c r="BQ171" s="27"/>
      <c r="BR171" s="27"/>
      <c r="BS171" s="25"/>
      <c r="BT171" s="27"/>
      <c r="BU171" s="25"/>
      <c r="BV171" s="27"/>
      <c r="BW171" s="25"/>
      <c r="BX171" s="27"/>
      <c r="BY171" s="27"/>
      <c r="BZ171" s="27"/>
      <c r="CA171" s="27"/>
      <c r="CB171" s="27"/>
      <c r="CC171" s="25"/>
      <c r="CD171" s="27"/>
      <c r="CE171" s="27"/>
      <c r="CF171" s="25"/>
      <c r="CG171" s="25"/>
      <c r="CH171" s="25"/>
      <c r="CI171" s="25"/>
      <c r="CJ171" s="25"/>
      <c r="CK171" s="28"/>
      <c r="CL171" s="25"/>
      <c r="CM171" s="25"/>
      <c r="CN171" s="25"/>
      <c r="CO171" s="27"/>
      <c r="CP171" s="25"/>
      <c r="CQ171" s="25"/>
      <c r="CR171" s="25"/>
      <c r="CS171" s="27"/>
      <c r="CT171" s="25"/>
      <c r="CU171" s="25"/>
      <c r="CV171" s="28"/>
      <c r="CW171" s="418">
        <f>+DATOS!F46</f>
        <v>0</v>
      </c>
      <c r="CX171" s="25"/>
      <c r="CY171" s="25"/>
      <c r="CZ171" s="25"/>
      <c r="DA171" s="25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>
        <v>0</v>
      </c>
      <c r="EB171" s="25"/>
      <c r="EC171" s="25"/>
      <c r="ED171" s="25"/>
      <c r="EE171" s="25"/>
      <c r="EF171" s="25"/>
      <c r="EG171" s="220">
        <f>ROUND(+J171/0.19,0)-X171</f>
        <v>0</v>
      </c>
      <c r="EH171" s="25"/>
      <c r="EI171" s="25"/>
      <c r="EJ171" s="25"/>
      <c r="EK171" s="25"/>
      <c r="EL171" s="25"/>
      <c r="EM171" s="28"/>
      <c r="EN171" s="28">
        <f t="shared" si="23"/>
        <v>0</v>
      </c>
      <c r="EO171" s="28">
        <f t="shared" si="24"/>
        <v>0</v>
      </c>
      <c r="EP171" s="28">
        <f t="shared" si="21"/>
        <v>0</v>
      </c>
    </row>
    <row r="172" spans="2:146">
      <c r="B172" s="9">
        <f t="shared" si="25"/>
        <v>44525</v>
      </c>
      <c r="C172" s="92"/>
      <c r="D172" s="211" t="s">
        <v>115</v>
      </c>
      <c r="E172" s="478">
        <f>+F172+J172+L172+N172+T172+V172+X172+AB172+AD172+AF172+AL172+AN172+AP172+AU172+AW172+AY172+BC172+BE172+BG172+BM172+BO172+BQ172+BW172+CC172+CE172+CG172+CL172+CN172+CP172+CR172+CT172+CW172+CY172+DA172+DC172+DE172+DG172+DI172+DK172+DM172+DO172+DQ172+DS172+EE172+EG172+EI172+EK172+R172+H172+CI172+BA172+AR172</f>
        <v>0</v>
      </c>
      <c r="F172" s="320">
        <f>(+K172+CM172)+CO172</f>
        <v>0</v>
      </c>
      <c r="G172" s="27"/>
      <c r="H172" s="27"/>
      <c r="I172" s="27"/>
      <c r="J172" s="27"/>
      <c r="K172" s="221">
        <f>+DATOS!E25</f>
        <v>0</v>
      </c>
      <c r="L172" s="27"/>
      <c r="M172" s="27"/>
      <c r="N172" s="25"/>
      <c r="O172" s="27"/>
      <c r="P172" s="27"/>
      <c r="Q172" s="27"/>
      <c r="R172" s="25"/>
      <c r="S172" s="27"/>
      <c r="T172" s="25"/>
      <c r="U172" s="25"/>
      <c r="V172" s="25"/>
      <c r="W172" s="25"/>
      <c r="X172" s="27"/>
      <c r="Y172" s="27"/>
      <c r="Z172" s="27"/>
      <c r="AA172" s="27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7"/>
      <c r="AP172" s="25"/>
      <c r="AQ172" s="25"/>
      <c r="AR172" s="25"/>
      <c r="AS172" s="25"/>
      <c r="AT172" s="28"/>
      <c r="AU172" s="25"/>
      <c r="AV172" s="25"/>
      <c r="AW172" s="25"/>
      <c r="AX172" s="25"/>
      <c r="AY172" s="25"/>
      <c r="AZ172" s="27"/>
      <c r="BA172" s="25"/>
      <c r="BB172" s="25"/>
      <c r="BC172" s="25"/>
      <c r="BD172" s="27"/>
      <c r="BE172" s="25"/>
      <c r="BF172" s="27"/>
      <c r="BG172" s="25"/>
      <c r="BH172" s="27"/>
      <c r="BI172" s="27"/>
      <c r="BJ172" s="27"/>
      <c r="BK172" s="27"/>
      <c r="BL172" s="27"/>
      <c r="BM172" s="25"/>
      <c r="BN172" s="27"/>
      <c r="BO172" s="25"/>
      <c r="BP172" s="27"/>
      <c r="BQ172" s="27"/>
      <c r="BR172" s="27"/>
      <c r="BS172" s="25"/>
      <c r="BT172" s="27"/>
      <c r="BU172" s="25"/>
      <c r="BV172" s="27"/>
      <c r="BW172" s="25"/>
      <c r="BX172" s="27"/>
      <c r="BY172" s="27"/>
      <c r="BZ172" s="27"/>
      <c r="CA172" s="27"/>
      <c r="CB172" s="27"/>
      <c r="CC172" s="25"/>
      <c r="CD172" s="27"/>
      <c r="CE172" s="27"/>
      <c r="CF172" s="25"/>
      <c r="CG172" s="25"/>
      <c r="CH172" s="25"/>
      <c r="CI172" s="25"/>
      <c r="CJ172" s="25"/>
      <c r="CK172" s="28"/>
      <c r="CL172" s="25"/>
      <c r="CM172" s="320">
        <f>ROUND(+K172/0.19,0)</f>
        <v>0</v>
      </c>
      <c r="CN172" s="25"/>
      <c r="CO172" s="221">
        <f>+DATOS!D25</f>
        <v>0</v>
      </c>
      <c r="CP172" s="25"/>
      <c r="CQ172" s="25"/>
      <c r="CR172" s="25"/>
      <c r="CS172" s="27"/>
      <c r="CT172" s="25"/>
      <c r="CU172" s="25"/>
      <c r="CV172" s="28"/>
      <c r="CW172" s="25"/>
      <c r="CX172" s="25"/>
      <c r="CY172" s="25"/>
      <c r="CZ172" s="25"/>
      <c r="DA172" s="25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8"/>
      <c r="EN172" s="28">
        <f t="shared" si="23"/>
        <v>0</v>
      </c>
      <c r="EO172" s="28">
        <f t="shared" si="24"/>
        <v>0</v>
      </c>
      <c r="EP172" s="28">
        <f t="shared" si="21"/>
        <v>0</v>
      </c>
    </row>
    <row r="173" spans="2:146">
      <c r="B173" s="9">
        <f t="shared" si="25"/>
        <v>44525</v>
      </c>
      <c r="C173" s="92"/>
      <c r="D173" s="138" t="s">
        <v>179</v>
      </c>
      <c r="E173" s="25">
        <f>+F173+J173+L173+N173+T173+V173+X173+AB173+AD173+AF173+AL173+AN173+AP173+AU173+AW173+AY173+BC173+BE173+BG173+BM173+BO173+BQ173+BW173+CC173+CE173+CG173+CL173+CN173+CP173+CR173+CT173+CW173+CY173+DA173+DC173+DE173+DG173+DI173+DK173+DM173+DO173+DQ173+DS173+EE173+EG173+EI173+EK173+R173+H173+CI173+BA173+AR173</f>
        <v>0</v>
      </c>
      <c r="F173" s="27"/>
      <c r="G173" s="27">
        <f>+CW173+CY173+DA173+DC173+DE173+DG173+DI173+DK173+DM173</f>
        <v>0</v>
      </c>
      <c r="H173" s="27"/>
      <c r="I173" s="27"/>
      <c r="J173" s="27"/>
      <c r="K173" s="27"/>
      <c r="L173" s="27"/>
      <c r="M173" s="27"/>
      <c r="N173" s="25"/>
      <c r="O173" s="27"/>
      <c r="P173" s="27"/>
      <c r="Q173" s="27"/>
      <c r="R173" s="25"/>
      <c r="S173" s="27"/>
      <c r="T173" s="25"/>
      <c r="U173" s="25"/>
      <c r="V173" s="25"/>
      <c r="W173" s="25"/>
      <c r="X173" s="27"/>
      <c r="Y173" s="27"/>
      <c r="Z173" s="27"/>
      <c r="AA173" s="27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7"/>
      <c r="AP173" s="25"/>
      <c r="AQ173" s="25"/>
      <c r="AR173" s="25"/>
      <c r="AS173" s="25"/>
      <c r="AT173" s="28"/>
      <c r="AU173" s="25"/>
      <c r="AV173" s="25"/>
      <c r="AW173" s="25"/>
      <c r="AX173" s="25"/>
      <c r="AY173" s="25"/>
      <c r="AZ173" s="27"/>
      <c r="BA173" s="25"/>
      <c r="BB173" s="25"/>
      <c r="BC173" s="25"/>
      <c r="BD173" s="27"/>
      <c r="BE173" s="25"/>
      <c r="BF173" s="27"/>
      <c r="BG173" s="25"/>
      <c r="BH173" s="27"/>
      <c r="BI173" s="27"/>
      <c r="BJ173" s="27"/>
      <c r="BK173" s="27"/>
      <c r="BL173" s="27"/>
      <c r="BM173" s="25"/>
      <c r="BN173" s="27"/>
      <c r="BO173" s="25"/>
      <c r="BP173" s="27"/>
      <c r="BQ173" s="27"/>
      <c r="BR173" s="27"/>
      <c r="BS173" s="25"/>
      <c r="BT173" s="27"/>
      <c r="BU173" s="25"/>
      <c r="BV173" s="27"/>
      <c r="BW173" s="25"/>
      <c r="BX173" s="27"/>
      <c r="BY173" s="27"/>
      <c r="BZ173" s="27"/>
      <c r="CA173" s="27"/>
      <c r="CB173" s="27"/>
      <c r="CC173" s="25"/>
      <c r="CD173" s="27"/>
      <c r="CE173" s="27"/>
      <c r="CF173" s="25"/>
      <c r="CG173" s="25"/>
      <c r="CH173" s="25"/>
      <c r="CI173" s="25"/>
      <c r="CJ173" s="25"/>
      <c r="CK173" s="28"/>
      <c r="CL173" s="25"/>
      <c r="CM173" s="25"/>
      <c r="CN173" s="25"/>
      <c r="CO173" s="27"/>
      <c r="CP173" s="25"/>
      <c r="CQ173" s="25"/>
      <c r="CR173" s="25"/>
      <c r="CS173" s="27"/>
      <c r="CT173" s="25"/>
      <c r="CU173" s="25"/>
      <c r="CV173" s="28"/>
      <c r="CW173" s="25">
        <v>0</v>
      </c>
      <c r="CX173" s="25"/>
      <c r="CY173" s="25"/>
      <c r="CZ173" s="25"/>
      <c r="DA173" s="25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>
        <v>0</v>
      </c>
      <c r="EH173" s="25"/>
      <c r="EI173" s="25"/>
      <c r="EJ173" s="25"/>
      <c r="EK173" s="25"/>
      <c r="EL173" s="25"/>
      <c r="EM173" s="28"/>
      <c r="EN173" s="28">
        <f t="shared" si="23"/>
        <v>0</v>
      </c>
      <c r="EO173" s="28">
        <f t="shared" si="24"/>
        <v>0</v>
      </c>
      <c r="EP173" s="28">
        <f t="shared" si="21"/>
        <v>0</v>
      </c>
    </row>
    <row r="174" spans="2:146">
      <c r="B174" s="9">
        <f t="shared" si="25"/>
        <v>44525</v>
      </c>
      <c r="C174" s="92"/>
      <c r="D174" s="434"/>
      <c r="E174" s="25">
        <f>+F174+J174+L174+N174+T174+V174+X174+AB174+AD174+AF174+AL174+AN174+AP174+AU174+AW174+AY174+BC174+BE174+BG174+BM174+BO174+BQ174+BW174+CC174+CE174+CG174+CL174+CN174+CP174+CR174+CT174+CW174+CY174+DA174+DC174+DE174+DG174+DI174+DK174+DM174+DO174+DQ174+DS174+EE174+EG174+EI174+EK174+R174+H174+CI174+BA174+AR174+DU174</f>
        <v>0</v>
      </c>
      <c r="F174" s="26"/>
      <c r="G174" s="286">
        <f>+DU174</f>
        <v>0</v>
      </c>
      <c r="H174" s="27"/>
      <c r="I174" s="27"/>
      <c r="J174" s="27"/>
      <c r="K174" s="27"/>
      <c r="L174" s="27"/>
      <c r="M174" s="27"/>
      <c r="N174" s="25"/>
      <c r="O174" s="27"/>
      <c r="P174" s="27"/>
      <c r="Q174" s="27"/>
      <c r="R174" s="25"/>
      <c r="S174" s="27"/>
      <c r="T174" s="25"/>
      <c r="U174" s="25"/>
      <c r="V174" s="25"/>
      <c r="W174" s="25"/>
      <c r="X174" s="27"/>
      <c r="Y174" s="27"/>
      <c r="Z174" s="27"/>
      <c r="AA174" s="27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7"/>
      <c r="AP174" s="25"/>
      <c r="AQ174" s="25"/>
      <c r="AR174" s="25"/>
      <c r="AS174" s="25"/>
      <c r="AT174" s="28"/>
      <c r="AU174" s="25"/>
      <c r="AV174" s="25"/>
      <c r="AW174" s="25"/>
      <c r="AX174" s="25"/>
      <c r="AY174" s="25"/>
      <c r="AZ174" s="27"/>
      <c r="BA174" s="25"/>
      <c r="BB174" s="25"/>
      <c r="BC174" s="25"/>
      <c r="BD174" s="27"/>
      <c r="BE174" s="25"/>
      <c r="BF174" s="27"/>
      <c r="BG174" s="25"/>
      <c r="BH174" s="27"/>
      <c r="BI174" s="27"/>
      <c r="BJ174" s="27"/>
      <c r="BK174" s="27"/>
      <c r="BL174" s="27"/>
      <c r="BM174" s="25"/>
      <c r="BN174" s="27"/>
      <c r="BO174" s="25"/>
      <c r="BP174" s="27"/>
      <c r="BQ174" s="27"/>
      <c r="BR174" s="27"/>
      <c r="BS174" s="25"/>
      <c r="BT174" s="27"/>
      <c r="BU174" s="25"/>
      <c r="BV174" s="27"/>
      <c r="BW174" s="25"/>
      <c r="BX174" s="27"/>
      <c r="BY174" s="27"/>
      <c r="BZ174" s="27"/>
      <c r="CA174" s="27"/>
      <c r="CB174" s="27"/>
      <c r="CC174" s="25"/>
      <c r="CD174" s="27"/>
      <c r="CE174" s="27"/>
      <c r="CF174" s="25"/>
      <c r="CG174" s="25"/>
      <c r="CH174" s="25"/>
      <c r="CI174" s="25"/>
      <c r="CJ174" s="25"/>
      <c r="CK174" s="28"/>
      <c r="CL174" s="25"/>
      <c r="CM174" s="26"/>
      <c r="CN174" s="25"/>
      <c r="CO174" s="27"/>
      <c r="CP174" s="25"/>
      <c r="CQ174" s="25"/>
      <c r="CR174" s="25"/>
      <c r="CS174" s="27"/>
      <c r="CT174" s="25"/>
      <c r="CU174" s="25"/>
      <c r="CV174" s="28"/>
      <c r="CW174" s="25"/>
      <c r="CX174" s="25"/>
      <c r="CY174" s="25"/>
      <c r="CZ174" s="25"/>
      <c r="DA174" s="25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5"/>
      <c r="DP174" s="25"/>
      <c r="DQ174" s="25"/>
      <c r="DR174" s="25"/>
      <c r="DS174" s="25"/>
      <c r="DT174" s="25"/>
      <c r="DU174" s="215"/>
      <c r="DV174" s="25"/>
      <c r="DW174" s="25"/>
      <c r="DX174" s="25"/>
      <c r="DY174" s="215"/>
      <c r="DZ174" s="25"/>
      <c r="EA174" s="25"/>
      <c r="EB174" s="25"/>
      <c r="EC174" s="25"/>
      <c r="ED174" s="25"/>
      <c r="EE174" s="25"/>
      <c r="EF174" s="25"/>
      <c r="EG174" s="27"/>
      <c r="EH174" s="25"/>
      <c r="EI174" s="25"/>
      <c r="EJ174" s="25"/>
      <c r="EK174" s="25"/>
      <c r="EL174" s="25">
        <f>+J174</f>
        <v>0</v>
      </c>
      <c r="EM174" s="28"/>
      <c r="EN174" s="28">
        <f t="shared" si="23"/>
        <v>0</v>
      </c>
      <c r="EO174" s="28">
        <f t="shared" si="24"/>
        <v>0</v>
      </c>
      <c r="EP174" s="28">
        <f>+EN174-EO174</f>
        <v>0</v>
      </c>
    </row>
    <row r="175" spans="2:146">
      <c r="B175" s="9">
        <f t="shared" si="25"/>
        <v>44525</v>
      </c>
      <c r="C175" s="92"/>
      <c r="D175" s="212" t="s">
        <v>147</v>
      </c>
      <c r="E175" s="25">
        <f>+F175+J175+L175+N175+T175+V175+X175+AB175+AD175+AF175+AL175+AN175+AP175+AU175+AW175+AY175+BC175+BE175+BG175+BM175+BO175+BQ175+BW175+CC175+CE175+CG175+CL175+CN175+CP175+CR175+CT175+CW175+CY175+DA175+DC175+DE175+DG175+DI175+DK175+DM175+DO175+DQ175+DS175+EE175+EG175+EI175+EK175+R175+H175+CI175+BA175+AR175</f>
        <v>0</v>
      </c>
      <c r="F175" s="26"/>
      <c r="G175" s="27">
        <f>+DS175-AX175</f>
        <v>0</v>
      </c>
      <c r="H175" s="27"/>
      <c r="I175" s="27"/>
      <c r="J175" s="27"/>
      <c r="K175" s="27"/>
      <c r="L175" s="27"/>
      <c r="M175" s="27"/>
      <c r="N175" s="25"/>
      <c r="O175" s="27"/>
      <c r="P175" s="27"/>
      <c r="Q175" s="27"/>
      <c r="R175" s="25"/>
      <c r="S175" s="27"/>
      <c r="T175" s="25"/>
      <c r="U175" s="25"/>
      <c r="V175" s="25"/>
      <c r="W175" s="25"/>
      <c r="X175" s="27"/>
      <c r="Y175" s="27"/>
      <c r="Z175" s="27"/>
      <c r="AA175" s="27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7"/>
      <c r="AP175" s="25"/>
      <c r="AQ175" s="25"/>
      <c r="AR175" s="25"/>
      <c r="AS175" s="25"/>
      <c r="AT175" s="28"/>
      <c r="AU175" s="25"/>
      <c r="AV175" s="25"/>
      <c r="AW175" s="25"/>
      <c r="AX175" s="217">
        <f>+DATOS!G25</f>
        <v>0</v>
      </c>
      <c r="AY175" s="25"/>
      <c r="AZ175" s="27"/>
      <c r="BA175" s="25"/>
      <c r="BB175" s="25"/>
      <c r="BC175" s="25"/>
      <c r="BD175" s="27"/>
      <c r="BE175" s="25"/>
      <c r="BF175" s="27"/>
      <c r="BG175" s="25"/>
      <c r="BH175" s="27"/>
      <c r="BI175" s="27"/>
      <c r="BJ175" s="27"/>
      <c r="BK175" s="27"/>
      <c r="BL175" s="27"/>
      <c r="BM175" s="25"/>
      <c r="BN175" s="27"/>
      <c r="BO175" s="25"/>
      <c r="BP175" s="27"/>
      <c r="BQ175" s="27"/>
      <c r="BR175" s="27"/>
      <c r="BS175" s="25"/>
      <c r="BT175" s="27"/>
      <c r="BU175" s="25"/>
      <c r="BV175" s="27"/>
      <c r="BW175" s="25"/>
      <c r="BX175" s="27"/>
      <c r="BY175" s="27"/>
      <c r="BZ175" s="27"/>
      <c r="CA175" s="27"/>
      <c r="CB175" s="27"/>
      <c r="CC175" s="25"/>
      <c r="CD175" s="27"/>
      <c r="CE175" s="27"/>
      <c r="CF175" s="25"/>
      <c r="CG175" s="25"/>
      <c r="CH175" s="25"/>
      <c r="CI175" s="25"/>
      <c r="CJ175" s="25"/>
      <c r="CK175" s="28"/>
      <c r="CL175" s="25"/>
      <c r="CM175" s="25"/>
      <c r="CN175" s="25"/>
      <c r="CO175" s="27"/>
      <c r="CP175" s="25"/>
      <c r="CQ175" s="25"/>
      <c r="CR175" s="25"/>
      <c r="CS175" s="27"/>
      <c r="CT175" s="25"/>
      <c r="CU175" s="25"/>
      <c r="CV175" s="28"/>
      <c r="CW175" s="25"/>
      <c r="CX175" s="25"/>
      <c r="CY175" s="25"/>
      <c r="CZ175" s="25"/>
      <c r="DA175" s="25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5"/>
      <c r="DP175" s="25"/>
      <c r="DQ175" s="25"/>
      <c r="DR175" s="25"/>
      <c r="DS175" s="218">
        <f>ROUND(+AX175/0.13,0)</f>
        <v>0</v>
      </c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8"/>
      <c r="EN175" s="28">
        <f t="shared" si="23"/>
        <v>0</v>
      </c>
      <c r="EO175" s="28">
        <f t="shared" si="24"/>
        <v>0</v>
      </c>
      <c r="EP175" s="28">
        <f t="shared" si="21"/>
        <v>0</v>
      </c>
    </row>
    <row r="176" spans="2:146">
      <c r="B176" s="9">
        <f t="shared" si="25"/>
        <v>44525</v>
      </c>
      <c r="C176" s="92"/>
      <c r="D176" s="1139" t="s">
        <v>921</v>
      </c>
      <c r="E176" s="25">
        <f>+F176+J176+L176+N176+T176+V176+X176+AB176+AD176+AF176+AL176+AN176+AP176+AU176+AW176+AY176+BC176+BE176+BG176+BM176+BO176+BQ176+BW176+CC176+CE176+CG176+CL176+CN176+CP176+CR176+CT176+CW176+CY176+DA176+DC176+DE176+DG176+DI176+DK176+DM176+DO176+DQ176+DS176+EE176+EG176+EI176+EK176+R176+H176+CI176+BA176+AR176</f>
        <v>0</v>
      </c>
      <c r="F176" s="26"/>
      <c r="G176" s="27">
        <f>+CW176+CY176+DA176+DC176+DE176+DG176+DI176+DK176+DM176</f>
        <v>0</v>
      </c>
      <c r="H176" s="27"/>
      <c r="I176" s="27"/>
      <c r="J176" s="1140"/>
      <c r="K176" s="27"/>
      <c r="L176" s="27"/>
      <c r="M176" s="27"/>
      <c r="N176" s="25"/>
      <c r="O176" s="27"/>
      <c r="P176" s="27"/>
      <c r="Q176" s="27"/>
      <c r="R176" s="25"/>
      <c r="S176" s="27"/>
      <c r="T176" s="25"/>
      <c r="U176" s="25"/>
      <c r="V176" s="25"/>
      <c r="W176" s="25"/>
      <c r="X176" s="27"/>
      <c r="Y176" s="27"/>
      <c r="Z176" s="27"/>
      <c r="AA176" s="27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7"/>
      <c r="AP176" s="25"/>
      <c r="AQ176" s="25"/>
      <c r="AR176" s="25"/>
      <c r="AS176" s="25"/>
      <c r="AT176" s="28"/>
      <c r="AU176" s="25"/>
      <c r="AV176" s="25"/>
      <c r="AW176" s="25"/>
      <c r="AX176" s="25"/>
      <c r="AY176" s="25"/>
      <c r="AZ176" s="27"/>
      <c r="BA176" s="25"/>
      <c r="BB176" s="25"/>
      <c r="BC176" s="25"/>
      <c r="BD176" s="27"/>
      <c r="BE176" s="25"/>
      <c r="BF176" s="27"/>
      <c r="BG176" s="25"/>
      <c r="BH176" s="27"/>
      <c r="BI176" s="27"/>
      <c r="BJ176" s="27"/>
      <c r="BK176" s="27"/>
      <c r="BL176" s="27"/>
      <c r="BM176" s="25"/>
      <c r="BN176" s="27"/>
      <c r="BO176" s="25"/>
      <c r="BP176" s="27"/>
      <c r="BQ176" s="27"/>
      <c r="BR176" s="27"/>
      <c r="BS176" s="25"/>
      <c r="BT176" s="27"/>
      <c r="BU176" s="25"/>
      <c r="BV176" s="27"/>
      <c r="BW176" s="25"/>
      <c r="BX176" s="27"/>
      <c r="BY176" s="27"/>
      <c r="BZ176" s="27"/>
      <c r="CA176" s="27"/>
      <c r="CB176" s="27"/>
      <c r="CC176" s="25"/>
      <c r="CD176" s="27"/>
      <c r="CE176" s="27"/>
      <c r="CF176" s="25"/>
      <c r="CG176" s="25"/>
      <c r="CH176" s="25"/>
      <c r="CI176" s="25"/>
      <c r="CJ176" s="25"/>
      <c r="CK176" s="28"/>
      <c r="CL176" s="25"/>
      <c r="CM176" s="25"/>
      <c r="CN176" s="25"/>
      <c r="CO176" s="27"/>
      <c r="CP176" s="25"/>
      <c r="CQ176" s="25"/>
      <c r="CR176" s="25"/>
      <c r="CS176" s="27"/>
      <c r="CT176" s="25"/>
      <c r="CU176" s="25"/>
      <c r="CV176" s="28"/>
      <c r="CW176" s="25"/>
      <c r="CX176" s="25"/>
      <c r="CY176" s="25">
        <v>0</v>
      </c>
      <c r="CZ176" s="25"/>
      <c r="DA176" s="25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>
        <f>+J176</f>
        <v>0</v>
      </c>
      <c r="EM176" s="28"/>
      <c r="EN176" s="28">
        <f t="shared" si="23"/>
        <v>0</v>
      </c>
      <c r="EO176" s="28">
        <f t="shared" si="24"/>
        <v>0</v>
      </c>
      <c r="EP176" s="28">
        <f t="shared" si="21"/>
        <v>0</v>
      </c>
    </row>
    <row r="177" spans="2:146">
      <c r="B177" s="9">
        <f t="shared" si="25"/>
        <v>44525</v>
      </c>
      <c r="C177" s="92"/>
      <c r="D177" s="213" t="s">
        <v>195</v>
      </c>
      <c r="E177" s="478">
        <f>+F177+J177+L177+N177+T177+V177+X177+AB177+AD177+AF177+AL177+AN177+AP177+AU177+AW177+AY177+BC177+BE177+BG177+BM177+BO177+BQ177+BW177+CC177+CE177+CG177+CL177+CN177+CP177+CR177+CT177+CW177+CY177+DA177+DC177+DE177+DG177+DI177+DK177+DM177+DO177+DQ177+DS177+EE177+EG177+EI177+EK177+R177+H177+CI177+BA177+AR177+DU177</f>
        <v>0</v>
      </c>
      <c r="F177" s="26"/>
      <c r="G177" s="286">
        <f>+DU177-BB177-AV177-AQ177+DY177</f>
        <v>0</v>
      </c>
      <c r="H177" s="27"/>
      <c r="I177" s="27"/>
      <c r="J177" s="27"/>
      <c r="K177" s="27"/>
      <c r="L177" s="27"/>
      <c r="M177" s="27"/>
      <c r="N177" s="25"/>
      <c r="O177" s="27"/>
      <c r="P177" s="27"/>
      <c r="Q177" s="27"/>
      <c r="R177" s="25"/>
      <c r="S177" s="27"/>
      <c r="T177" s="25"/>
      <c r="U177" s="25"/>
      <c r="V177" s="25"/>
      <c r="W177" s="25"/>
      <c r="X177" s="27"/>
      <c r="Y177" s="27"/>
      <c r="Z177" s="27"/>
      <c r="AA177" s="27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7"/>
      <c r="AP177" s="213"/>
      <c r="AQ177" s="215">
        <f>+DATOS!K46</f>
        <v>0</v>
      </c>
      <c r="AR177" s="25"/>
      <c r="AS177" s="25"/>
      <c r="AT177" s="28"/>
      <c r="AU177" s="25"/>
      <c r="AV177" s="215">
        <f>+DATOS!J46+DATOS!M46</f>
        <v>0</v>
      </c>
      <c r="AW177" s="25"/>
      <c r="AX177" s="25"/>
      <c r="AY177" s="25"/>
      <c r="AZ177" s="27"/>
      <c r="BA177" s="25"/>
      <c r="BB177" s="214">
        <f>+DATOS!I46</f>
        <v>0</v>
      </c>
      <c r="BC177" s="25"/>
      <c r="BD177" s="27"/>
      <c r="BE177" s="25"/>
      <c r="BF177" s="27"/>
      <c r="BG177" s="25"/>
      <c r="BH177" s="27"/>
      <c r="BI177" s="27"/>
      <c r="BJ177" s="27"/>
      <c r="BK177" s="27"/>
      <c r="BL177" s="27"/>
      <c r="BM177" s="25"/>
      <c r="BN177" s="27"/>
      <c r="BO177" s="25"/>
      <c r="BP177" s="27"/>
      <c r="BQ177" s="27"/>
      <c r="BR177" s="27"/>
      <c r="BS177" s="25"/>
      <c r="BT177" s="27"/>
      <c r="BU177" s="25"/>
      <c r="BV177" s="27"/>
      <c r="BW177" s="25"/>
      <c r="BX177" s="27"/>
      <c r="BY177" s="27"/>
      <c r="BZ177" s="27"/>
      <c r="CA177" s="27"/>
      <c r="CB177" s="27"/>
      <c r="CC177" s="25"/>
      <c r="CD177" s="27"/>
      <c r="CE177" s="27"/>
      <c r="CF177" s="25"/>
      <c r="CG177" s="25"/>
      <c r="CH177" s="25"/>
      <c r="CI177" s="25"/>
      <c r="CJ177" s="25"/>
      <c r="CK177" s="28"/>
      <c r="CL177" s="25"/>
      <c r="CM177" s="25"/>
      <c r="CN177" s="25"/>
      <c r="CO177" s="27"/>
      <c r="CP177" s="25"/>
      <c r="CQ177" s="25"/>
      <c r="CR177" s="25"/>
      <c r="CS177" s="27"/>
      <c r="CT177" s="25"/>
      <c r="CU177" s="25"/>
      <c r="CV177" s="28"/>
      <c r="CW177" s="25"/>
      <c r="CX177" s="25"/>
      <c r="CY177" s="25"/>
      <c r="CZ177" s="25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5"/>
      <c r="DP177" s="25"/>
      <c r="DQ177" s="25"/>
      <c r="DR177" s="25"/>
      <c r="DS177" s="25"/>
      <c r="DT177" s="25"/>
      <c r="DU177" s="215">
        <f>+DATOS!G46</f>
        <v>0</v>
      </c>
      <c r="DV177" s="25"/>
      <c r="DW177" s="25"/>
      <c r="DX177" s="25"/>
      <c r="DY177" s="215">
        <f>+DATOS!M46</f>
        <v>0</v>
      </c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8"/>
      <c r="EN177" s="28">
        <f>+F177+J177+L177+N177+T177+V177+X177+AB177+AD177+AF177+AL177+AN177+AP177+AU177+AW177+AY177+BC177+BE177+BG177+BM177+BO177+BQ177+BU177+BW177+BY177+CC177+CE177+CG177+CL177+CN177+CP177+CR177+CT177+CW177+CY177+DA177+DC177+DE177+DG177+DI177+DK177+DM177+DO177+DQ177+DS177+EE177+EG177+EI177+EK177+H177+R177+AR177+BA177+CI177+DU177+DY177</f>
        <v>0</v>
      </c>
      <c r="EO177" s="28">
        <f t="shared" si="24"/>
        <v>0</v>
      </c>
      <c r="EP177" s="28">
        <f t="shared" si="21"/>
        <v>0</v>
      </c>
    </row>
    <row r="178" spans="2:146">
      <c r="B178" s="9">
        <f t="shared" si="25"/>
        <v>44525</v>
      </c>
      <c r="C178" s="92"/>
      <c r="D178" s="485" t="s">
        <v>488</v>
      </c>
      <c r="E178" s="478"/>
      <c r="F178" s="26"/>
      <c r="G178" s="278">
        <f>+BY178</f>
        <v>0</v>
      </c>
      <c r="H178" s="27"/>
      <c r="I178" s="27"/>
      <c r="J178" s="27"/>
      <c r="K178" s="27"/>
      <c r="L178" s="27"/>
      <c r="M178" s="27"/>
      <c r="N178" s="25"/>
      <c r="O178" s="27"/>
      <c r="P178" s="27"/>
      <c r="Q178" s="27"/>
      <c r="R178" s="25"/>
      <c r="S178" s="27"/>
      <c r="T178" s="25"/>
      <c r="U178" s="25"/>
      <c r="V178" s="25"/>
      <c r="W178" s="25"/>
      <c r="X178" s="27"/>
      <c r="Y178" s="27"/>
      <c r="Z178" s="27"/>
      <c r="AA178" s="27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7"/>
      <c r="AP178" s="517"/>
      <c r="AQ178" s="215"/>
      <c r="AR178" s="25"/>
      <c r="AS178" s="25"/>
      <c r="AT178" s="28"/>
      <c r="AU178" s="25"/>
      <c r="AV178" s="215"/>
      <c r="AW178" s="25"/>
      <c r="AX178" s="25"/>
      <c r="AY178" s="25"/>
      <c r="AZ178" s="27"/>
      <c r="BA178" s="25"/>
      <c r="BB178" s="214"/>
      <c r="BC178" s="25"/>
      <c r="BD178" s="27"/>
      <c r="BE178" s="25"/>
      <c r="BF178" s="27"/>
      <c r="BG178" s="25"/>
      <c r="BH178" s="27"/>
      <c r="BI178" s="27"/>
      <c r="BJ178" s="27"/>
      <c r="BK178" s="27"/>
      <c r="BL178" s="27"/>
      <c r="BM178" s="25"/>
      <c r="BN178" s="27"/>
      <c r="BO178" s="25"/>
      <c r="BP178" s="27"/>
      <c r="BQ178" s="515">
        <f>+DATOS!C73</f>
        <v>0</v>
      </c>
      <c r="BR178" s="27"/>
      <c r="BS178" s="515">
        <f>+DATOS!F73</f>
        <v>0</v>
      </c>
      <c r="BT178" s="27"/>
      <c r="BU178" s="516">
        <f>+DATOS!I73</f>
        <v>0</v>
      </c>
      <c r="BV178" s="27"/>
      <c r="BW178" s="516">
        <f>+DATOS!L73</f>
        <v>0</v>
      </c>
      <c r="BX178" s="27"/>
      <c r="BY178" s="515">
        <f>+DATOS!O73</f>
        <v>0</v>
      </c>
      <c r="BZ178" s="27"/>
      <c r="CA178" s="27"/>
      <c r="CB178" s="27"/>
      <c r="CC178" s="25"/>
      <c r="CD178" s="27"/>
      <c r="CE178" s="27"/>
      <c r="CF178" s="25"/>
      <c r="CG178" s="25"/>
      <c r="CH178" s="25"/>
      <c r="CI178" s="25"/>
      <c r="CJ178" s="25"/>
      <c r="CK178" s="28"/>
      <c r="CL178" s="25"/>
      <c r="CM178" s="25"/>
      <c r="CN178" s="25"/>
      <c r="CO178" s="27"/>
      <c r="CP178" s="25"/>
      <c r="CQ178" s="25"/>
      <c r="CR178" s="25"/>
      <c r="CS178" s="27"/>
      <c r="CT178" s="25"/>
      <c r="CU178" s="25"/>
      <c r="CV178" s="28"/>
      <c r="CW178" s="25"/>
      <c r="CX178" s="25"/>
      <c r="CY178" s="25"/>
      <c r="CZ178" s="25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5"/>
      <c r="DP178" s="25"/>
      <c r="DQ178" s="25"/>
      <c r="DR178" s="25"/>
      <c r="DS178" s="25"/>
      <c r="DT178" s="25"/>
      <c r="DU178" s="215"/>
      <c r="DV178" s="25"/>
      <c r="DW178" s="25"/>
      <c r="DX178" s="25"/>
      <c r="DY178" s="21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8"/>
      <c r="EN178" s="28">
        <f>+F178+J178+L178+N178+T178+V178+X178+AB178+AD178+AF178+AL178+AN178+AP178+AU178+AW178+AY178+BC178+BE178+BG178+BM178+BO178+BQ178+BU178+BW178+BY178+CC178+CE178+CG178+CL178+CN178+CP178+CR178+CT178+CW178+CY178+DA178+DC178+DE178+DG178+DI178+DK178+DM178+DO178+DQ178+DS178+EE178+EG178+EI178+EK178+H178+R178+AR178+BA178+CI178+DU178+DY178</f>
        <v>0</v>
      </c>
      <c r="EO178" s="28">
        <f>+G178+K178+M178+O178+U178+W178+Y178+AC178+AE178+AG178+AM178+AO178+AQ178+AV178+AX178+AZ178+BD178+BF178+BH178+BN178+BP178+BR178+BV178+BX178+BZ178+CD178+CF178+CH178+CM178+CO178+CQ178+CS178+CU178+CX178+CZ178+DB178+DD178+DF178+DH178+DJ178+DL178+DN178+DP178+DR178+DT178+EF178+EH178+EJ178+EL178+I178+S178+AS178+BB178+CJ178</f>
        <v>0</v>
      </c>
      <c r="EP178" s="28">
        <f>+EN178-EO178</f>
        <v>0</v>
      </c>
    </row>
    <row r="179" spans="2:146">
      <c r="B179" s="9">
        <f t="shared" si="25"/>
        <v>44525</v>
      </c>
      <c r="C179" s="92"/>
      <c r="D179" s="302" t="s">
        <v>489</v>
      </c>
      <c r="E179" s="478"/>
      <c r="F179" s="26"/>
      <c r="G179" s="286"/>
      <c r="H179" s="27"/>
      <c r="I179" s="27"/>
      <c r="J179" s="27"/>
      <c r="K179" s="27"/>
      <c r="L179" s="27"/>
      <c r="M179" s="27"/>
      <c r="N179" s="25"/>
      <c r="O179" s="27"/>
      <c r="P179" s="27"/>
      <c r="Q179" s="27"/>
      <c r="R179" s="25"/>
      <c r="S179" s="27"/>
      <c r="T179" s="25"/>
      <c r="U179" s="25"/>
      <c r="V179" s="25"/>
      <c r="W179" s="25"/>
      <c r="X179" s="27"/>
      <c r="Y179" s="27"/>
      <c r="Z179" s="27"/>
      <c r="AA179" s="27"/>
      <c r="AB179" s="25"/>
      <c r="AC179" s="25"/>
      <c r="AD179" s="25"/>
      <c r="AE179" s="25"/>
      <c r="AF179" s="25"/>
      <c r="AG179" s="527">
        <f>+DATOS!G73</f>
        <v>0</v>
      </c>
      <c r="AH179" s="25"/>
      <c r="AI179" s="527">
        <f>+DATOS!D73</f>
        <v>0</v>
      </c>
      <c r="AJ179" s="25"/>
      <c r="AK179" s="531">
        <f>+DATOS!J73+DATOS!M73+DATOS!P73</f>
        <v>0</v>
      </c>
      <c r="AL179" s="25"/>
      <c r="AM179" s="25"/>
      <c r="AN179" s="25"/>
      <c r="AO179" s="27"/>
      <c r="AP179" s="517"/>
      <c r="AQ179" s="215"/>
      <c r="AR179" s="25"/>
      <c r="AS179" s="25"/>
      <c r="AT179" s="28"/>
      <c r="AU179" s="25"/>
      <c r="AV179" s="215"/>
      <c r="AW179" s="25"/>
      <c r="AX179" s="25"/>
      <c r="AY179" s="25"/>
      <c r="AZ179" s="27"/>
      <c r="BA179" s="25"/>
      <c r="BB179" s="214"/>
      <c r="BC179" s="25"/>
      <c r="BD179" s="27"/>
      <c r="BE179" s="25"/>
      <c r="BF179" s="27"/>
      <c r="BG179" s="25"/>
      <c r="BH179" s="27"/>
      <c r="BI179" s="27"/>
      <c r="BJ179" s="27"/>
      <c r="BK179" s="27"/>
      <c r="BL179" s="27"/>
      <c r="BM179" s="25"/>
      <c r="BN179" s="27"/>
      <c r="BO179" s="25"/>
      <c r="BP179" s="27"/>
      <c r="BQ179" s="27"/>
      <c r="BR179" s="27"/>
      <c r="BS179" s="25"/>
      <c r="BT179" s="27"/>
      <c r="BU179" s="25"/>
      <c r="BV179" s="27"/>
      <c r="BW179" s="25"/>
      <c r="BX179" s="27"/>
      <c r="BY179" s="27"/>
      <c r="BZ179" s="27"/>
      <c r="CA179" s="27"/>
      <c r="CB179" s="27"/>
      <c r="CC179" s="25"/>
      <c r="CD179" s="27"/>
      <c r="CE179" s="27"/>
      <c r="CF179" s="25"/>
      <c r="CG179" s="25"/>
      <c r="CH179" s="25"/>
      <c r="CI179" s="25"/>
      <c r="CJ179" s="25"/>
      <c r="CK179" s="28"/>
      <c r="CL179" s="25"/>
      <c r="CM179" s="25"/>
      <c r="CN179" s="25"/>
      <c r="CO179" s="27"/>
      <c r="CP179" s="25"/>
      <c r="CQ179" s="25"/>
      <c r="CR179" s="25"/>
      <c r="CS179" s="27"/>
      <c r="CT179" s="25"/>
      <c r="CU179" s="25"/>
      <c r="CV179" s="28"/>
      <c r="CW179" s="25"/>
      <c r="CX179" s="25"/>
      <c r="CY179" s="25"/>
      <c r="CZ179" s="25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5"/>
      <c r="DP179" s="25"/>
      <c r="DQ179" s="25"/>
      <c r="DR179" s="25"/>
      <c r="DS179" s="25"/>
      <c r="DT179" s="25"/>
      <c r="DU179" s="215"/>
      <c r="DV179" s="25"/>
      <c r="DW179" s="25"/>
      <c r="DX179" s="25"/>
      <c r="DY179" s="215"/>
      <c r="DZ179" s="25"/>
      <c r="EA179" s="527">
        <f>+AG179+AI179+AK179</f>
        <v>0</v>
      </c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8"/>
      <c r="EN179" s="28">
        <f>+F179+J179+L179+N179+T179+V179+X179+AB179+AD179+AF179+AL179+AN179+AP179+AU179+AW179+AY179+BC179+BE179+BG179+BM179+BO179+BQ179+BU179+BW179+BY179+CC179+CE179+CG179+CL179+CN179+CP179+CR179+CT179+CW179+CY179+DA179+DC179+DE179+DG179+DI179+DK179+DM179+DO179+DQ179+DS179+EE179+EG179+EI179+EK179+H179+R179+AR179+BA179+CI179+DU179+DY179</f>
        <v>0</v>
      </c>
      <c r="EO179" s="28">
        <f>+G179+K179+M179+O179+U179+W179+Y179+AC179+AE179+AG179+AM179+AO179+AQ179+AV179+AX179+AZ179+BD179+BF179+BH179+BN179+BP179+BR179+BV179+BX179+BZ179+CD179+CF179+CH179+CM179+CO179+CQ179+CS179+CU179+CX179+CZ179+DB179+DD179+DF179+DH179+DJ179+DL179+DN179+DP179+DR179+DT179+EF179+EH179+EJ179+EL179+I179+S179+AS179+BB179+CJ179</f>
        <v>0</v>
      </c>
      <c r="EP179" s="28">
        <f>+EN179-EO179</f>
        <v>0</v>
      </c>
    </row>
    <row r="180" spans="2:146">
      <c r="B180" s="9">
        <f t="shared" si="25"/>
        <v>44525</v>
      </c>
      <c r="C180" s="92"/>
      <c r="D180" s="213"/>
      <c r="E180" s="478"/>
      <c r="F180" s="26"/>
      <c r="G180" s="286"/>
      <c r="H180" s="27"/>
      <c r="I180" s="27"/>
      <c r="J180" s="27"/>
      <c r="K180" s="27"/>
      <c r="L180" s="27"/>
      <c r="M180" s="27"/>
      <c r="N180" s="25"/>
      <c r="O180" s="27"/>
      <c r="P180" s="27"/>
      <c r="Q180" s="27"/>
      <c r="R180" s="25"/>
      <c r="S180" s="27"/>
      <c r="T180" s="25"/>
      <c r="U180" s="25"/>
      <c r="V180" s="25"/>
      <c r="W180" s="25"/>
      <c r="X180" s="27"/>
      <c r="Y180" s="27"/>
      <c r="Z180" s="27"/>
      <c r="AA180" s="27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7"/>
      <c r="AP180" s="517"/>
      <c r="AQ180" s="215"/>
      <c r="AR180" s="25"/>
      <c r="AS180" s="25"/>
      <c r="AT180" s="28"/>
      <c r="AU180" s="25"/>
      <c r="AV180" s="215"/>
      <c r="AW180" s="25"/>
      <c r="AX180" s="25"/>
      <c r="AY180" s="25"/>
      <c r="AZ180" s="27"/>
      <c r="BA180" s="25"/>
      <c r="BB180" s="214"/>
      <c r="BC180" s="25"/>
      <c r="BD180" s="27"/>
      <c r="BE180" s="25"/>
      <c r="BF180" s="27"/>
      <c r="BG180" s="25"/>
      <c r="BH180" s="27"/>
      <c r="BI180" s="27"/>
      <c r="BJ180" s="27"/>
      <c r="BK180" s="27"/>
      <c r="BL180" s="27"/>
      <c r="BM180" s="25"/>
      <c r="BN180" s="27"/>
      <c r="BO180" s="25"/>
      <c r="BP180" s="27"/>
      <c r="BQ180" s="27"/>
      <c r="BR180" s="27"/>
      <c r="BS180" s="25"/>
      <c r="BT180" s="27"/>
      <c r="BU180" s="25"/>
      <c r="BV180" s="27"/>
      <c r="BW180" s="25"/>
      <c r="BX180" s="27"/>
      <c r="BY180" s="27"/>
      <c r="BZ180" s="27"/>
      <c r="CA180" s="27"/>
      <c r="CB180" s="27"/>
      <c r="CC180" s="25"/>
      <c r="CD180" s="27"/>
      <c r="CE180" s="27"/>
      <c r="CF180" s="25"/>
      <c r="CG180" s="25"/>
      <c r="CH180" s="25"/>
      <c r="CI180" s="25"/>
      <c r="CJ180" s="25"/>
      <c r="CK180" s="28"/>
      <c r="CL180" s="25"/>
      <c r="CM180" s="25"/>
      <c r="CN180" s="25"/>
      <c r="CO180" s="27"/>
      <c r="CP180" s="25"/>
      <c r="CQ180" s="25"/>
      <c r="CR180" s="25"/>
      <c r="CS180" s="27"/>
      <c r="CT180" s="25"/>
      <c r="CU180" s="25"/>
      <c r="CV180" s="28"/>
      <c r="CW180" s="25"/>
      <c r="CX180" s="25"/>
      <c r="CY180" s="25"/>
      <c r="CZ180" s="25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5"/>
      <c r="DP180" s="25"/>
      <c r="DQ180" s="25"/>
      <c r="DR180" s="25"/>
      <c r="DS180" s="25"/>
      <c r="DT180" s="25"/>
      <c r="DU180" s="215"/>
      <c r="DV180" s="25"/>
      <c r="DW180" s="25"/>
      <c r="DX180" s="25"/>
      <c r="DY180" s="21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8"/>
      <c r="EN180" s="28">
        <f>+F180+J180+L180+N180+T180+V180+X180+AB180+AD180+AF180+AL180+AN180+AP180+AU180+AW180+AY180+BC180+BE180+BG180+BM180+BO180+BQ180+BU180+BW180+BY180+CC180+CE180+CG180+CL180+CN180+CP180+CR180+CT180+CW180+CY180+DA180+DC180+DE180+DG180+DI180+DK180+DM180+DO180+DQ180+DS180+EE180+EG180+EI180+EK180+H180+R180+AR180+BA180+CI180+DU180+DY180</f>
        <v>0</v>
      </c>
      <c r="EO180" s="28">
        <f>+G180+K180+M180+O180+U180+W180+Y180+AC180+AE180+AG180+AM180+AO180+AQ180+AV180+AX180+AZ180+BD180+BF180+BH180+BN180+BP180+BR180+BV180+BX180+BZ180+CD180+CF180+CH180+CM180+CO180+CQ180+CS180+CU180+CX180+CZ180+DB180+DD180+DF180+DH180+DJ180+DL180+DN180+DP180+DR180+DT180+EF180+EH180+EJ180+EL180+I180+S180+AS180+BB180+CJ180</f>
        <v>0</v>
      </c>
      <c r="EP180" s="28">
        <f>+EN180-EO180</f>
        <v>0</v>
      </c>
    </row>
    <row r="181" spans="2:146">
      <c r="B181" s="9">
        <f t="shared" si="25"/>
        <v>44525</v>
      </c>
      <c r="C181" s="92"/>
      <c r="D181" s="284" t="s">
        <v>263</v>
      </c>
      <c r="E181" s="478">
        <f>+F181+J181+L181+N181+T181+V181+X181+AB181+AD181+AF181+AL181+AN181+AP181+AU181+AW181+AY181+BC181+BE181+BG181+BM181+BO181+BQ181+BW181+CC181+CE181+CG181+CL181+CN181+CP181+CR181+CT181+CW181+CY181+DA181+DC181+DE181+DG181+DI181+DK181+DM181+DO181+DQ181+DS181+EE181+EG181+EI181+EK181+R181+H181+CI181+BA181+AR181</f>
        <v>0</v>
      </c>
      <c r="F181" s="26"/>
      <c r="G181" s="283">
        <f>+DW181</f>
        <v>0</v>
      </c>
      <c r="H181" s="27"/>
      <c r="I181" s="27"/>
      <c r="J181" s="27"/>
      <c r="K181" s="27"/>
      <c r="L181" s="27"/>
      <c r="M181" s="27"/>
      <c r="N181" s="25"/>
      <c r="O181" s="27"/>
      <c r="P181" s="27"/>
      <c r="Q181" s="27"/>
      <c r="R181" s="25"/>
      <c r="S181" s="27"/>
      <c r="T181" s="25"/>
      <c r="U181" s="25"/>
      <c r="V181" s="25"/>
      <c r="W181" s="25"/>
      <c r="X181" s="27"/>
      <c r="Y181" s="27"/>
      <c r="Z181" s="27"/>
      <c r="AA181" s="27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7"/>
      <c r="AP181" s="25"/>
      <c r="AQ181" s="25"/>
      <c r="AR181" s="25"/>
      <c r="AS181" s="25"/>
      <c r="AT181" s="28"/>
      <c r="AU181" s="25"/>
      <c r="AV181" s="25"/>
      <c r="AW181" s="25"/>
      <c r="AX181" s="25"/>
      <c r="AY181" s="25"/>
      <c r="AZ181" s="27"/>
      <c r="BA181" s="25"/>
      <c r="BB181" s="25"/>
      <c r="BC181" s="25"/>
      <c r="BD181" s="27"/>
      <c r="BE181" s="25"/>
      <c r="BF181" s="27"/>
      <c r="BG181" s="25"/>
      <c r="BH181" s="27"/>
      <c r="BI181" s="27"/>
      <c r="BJ181" s="27"/>
      <c r="BK181" s="27"/>
      <c r="BL181" s="27"/>
      <c r="BM181" s="25"/>
      <c r="BN181" s="27"/>
      <c r="BO181" s="25"/>
      <c r="BP181" s="27"/>
      <c r="BQ181" s="27"/>
      <c r="BR181" s="27"/>
      <c r="BS181" s="25"/>
      <c r="BT181" s="27"/>
      <c r="BU181" s="25"/>
      <c r="BV181" s="27"/>
      <c r="BW181" s="25"/>
      <c r="BX181" s="27"/>
      <c r="BY181" s="27"/>
      <c r="BZ181" s="27"/>
      <c r="CA181" s="27"/>
      <c r="CB181" s="27"/>
      <c r="CC181" s="25"/>
      <c r="CD181" s="27"/>
      <c r="CE181" s="27"/>
      <c r="CF181" s="25"/>
      <c r="CG181" s="25"/>
      <c r="CH181" s="25"/>
      <c r="CI181" s="25"/>
      <c r="CJ181" s="25"/>
      <c r="CK181" s="28"/>
      <c r="CL181" s="25"/>
      <c r="CM181" s="25"/>
      <c r="CN181" s="25"/>
      <c r="CO181" s="27"/>
      <c r="CP181" s="25"/>
      <c r="CQ181" s="25"/>
      <c r="CR181" s="25"/>
      <c r="CS181" s="27"/>
      <c r="CT181" s="25"/>
      <c r="CU181" s="25"/>
      <c r="CV181" s="28"/>
      <c r="CW181" s="25"/>
      <c r="CX181" s="25"/>
      <c r="CY181" s="25"/>
      <c r="CZ181" s="25"/>
      <c r="DA181" s="25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5"/>
      <c r="DP181" s="25"/>
      <c r="DQ181" s="25"/>
      <c r="DR181" s="25"/>
      <c r="DS181" s="25"/>
      <c r="DT181" s="25"/>
      <c r="DU181" s="25"/>
      <c r="DV181" s="25"/>
      <c r="DW181" s="285">
        <f>+DATOS!N46</f>
        <v>0</v>
      </c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8"/>
      <c r="EN181" s="28">
        <f t="shared" si="23"/>
        <v>0</v>
      </c>
      <c r="EO181" s="28">
        <f t="shared" si="24"/>
        <v>0</v>
      </c>
      <c r="EP181" s="28"/>
    </row>
    <row r="182" spans="2:146">
      <c r="B182" s="9">
        <f t="shared" si="25"/>
        <v>44525</v>
      </c>
      <c r="C182" s="92"/>
      <c r="D182" s="277" t="s">
        <v>446</v>
      </c>
      <c r="E182" s="478">
        <f>+F182+J182+L182+N182+T182+V182+X182+AB182+AD182+AF182+AL182+AN182+AP182+AU182+AW182+AY182+BC182+BE182+BG182+BM182+BO182+BQ182+BW182+CC182+CE182+CG182+CL182+CN182+CP182+CR182+CT182+CW182+CY182+DA182+DC182+DE182+DG182+DI182+DK182+DM182+DO182+DQ182+DS182+EE182+EG182+EI182+EK182+R182+H182+CI182+BA182+AR182+DU182+BI182</f>
        <v>0</v>
      </c>
      <c r="F182" s="26"/>
      <c r="G182" s="27"/>
      <c r="H182" s="27"/>
      <c r="I182" s="27"/>
      <c r="J182" s="477"/>
      <c r="K182" s="27"/>
      <c r="L182" s="27"/>
      <c r="M182" s="27"/>
      <c r="N182" s="25"/>
      <c r="O182" s="27"/>
      <c r="P182" s="27"/>
      <c r="Q182" s="27"/>
      <c r="R182" s="25"/>
      <c r="S182" s="27"/>
      <c r="T182" s="25"/>
      <c r="U182" s="25"/>
      <c r="V182" s="25"/>
      <c r="W182" s="25"/>
      <c r="X182" s="27"/>
      <c r="Y182" s="27"/>
      <c r="Z182" s="27"/>
      <c r="AA182" s="27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7"/>
      <c r="AP182" s="25"/>
      <c r="AQ182" s="25"/>
      <c r="AR182" s="25"/>
      <c r="AS182" s="25"/>
      <c r="AT182" s="28"/>
      <c r="AU182" s="25"/>
      <c r="AV182" s="25"/>
      <c r="AW182" s="25"/>
      <c r="AX182" s="25"/>
      <c r="AY182" s="25"/>
      <c r="AZ182" s="27"/>
      <c r="BA182" s="25"/>
      <c r="BB182" s="25"/>
      <c r="BC182" s="25"/>
      <c r="BD182" s="27"/>
      <c r="BE182" s="25"/>
      <c r="BF182" s="25"/>
      <c r="BG182" s="25"/>
      <c r="BH182" s="27"/>
      <c r="BI182" s="27"/>
      <c r="BJ182" s="27"/>
      <c r="BK182" s="27"/>
      <c r="BL182" s="27"/>
      <c r="BM182" s="25"/>
      <c r="BN182" s="27"/>
      <c r="BO182" s="25"/>
      <c r="BP182" s="27"/>
      <c r="BQ182" s="27"/>
      <c r="BR182" s="27"/>
      <c r="BS182" s="25"/>
      <c r="BT182" s="27"/>
      <c r="BU182" s="25"/>
      <c r="BV182" s="27"/>
      <c r="BW182" s="25"/>
      <c r="BX182" s="27"/>
      <c r="BY182" s="27"/>
      <c r="BZ182" s="27"/>
      <c r="CA182" s="27"/>
      <c r="CB182" s="27"/>
      <c r="CC182" s="25"/>
      <c r="CD182" s="27"/>
      <c r="CE182" s="27"/>
      <c r="CF182" s="25"/>
      <c r="CG182" s="25"/>
      <c r="CH182" s="25"/>
      <c r="CI182" s="25"/>
      <c r="CJ182" s="25"/>
      <c r="CK182" s="28"/>
      <c r="CL182" s="25"/>
      <c r="CM182" s="25"/>
      <c r="CN182" s="25"/>
      <c r="CO182" s="27"/>
      <c r="CP182" s="25"/>
      <c r="CQ182" s="25"/>
      <c r="CR182" s="25"/>
      <c r="CS182" s="27"/>
      <c r="CT182" s="25"/>
      <c r="CU182" s="25"/>
      <c r="CV182" s="28"/>
      <c r="CW182" s="25"/>
      <c r="CX182" s="25"/>
      <c r="CY182" s="25"/>
      <c r="CZ182" s="25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478">
        <f>+J182</f>
        <v>0</v>
      </c>
      <c r="EM182" s="28"/>
      <c r="EN182" s="28">
        <f t="shared" si="23"/>
        <v>0</v>
      </c>
      <c r="EO182" s="28">
        <f t="shared" si="24"/>
        <v>0</v>
      </c>
      <c r="EP182" s="28">
        <f t="shared" si="21"/>
        <v>0</v>
      </c>
    </row>
    <row r="183" spans="2:146">
      <c r="B183" s="9"/>
      <c r="C183" s="92"/>
      <c r="D183" s="277"/>
      <c r="E183" s="25">
        <f>+F183+J183+L183+N183+T183+V183+X183+AB183+AD183+AF183+AL183+AN183+AP183+AU183+AW183+AY183+BC183+BE183+BG183+BM183+BO183+BQ183+BW183+CC183+CE183+CG183+CL183+CN183+CP183+CR183+CT183+CW183+CY183+DA183+DC183+DE183+DG183+DI183+DK183+DM183+DO183+DQ183+DS183+EE183+EG183+EI183+EK183+R183+H183+CI183+BA183+AR183+DU183+BI183</f>
        <v>0</v>
      </c>
      <c r="F183" s="26"/>
      <c r="G183" s="27">
        <v>0</v>
      </c>
      <c r="H183" s="27"/>
      <c r="I183" s="27"/>
      <c r="J183" s="27"/>
      <c r="K183" s="27"/>
      <c r="L183" s="27"/>
      <c r="M183" s="27"/>
      <c r="N183" s="25"/>
      <c r="O183" s="27"/>
      <c r="P183" s="27"/>
      <c r="Q183" s="27"/>
      <c r="R183" s="25"/>
      <c r="S183" s="27"/>
      <c r="T183" s="25"/>
      <c r="U183" s="25"/>
      <c r="V183" s="25"/>
      <c r="W183" s="25"/>
      <c r="X183" s="27"/>
      <c r="Y183" s="27"/>
      <c r="Z183" s="27"/>
      <c r="AA183" s="27"/>
      <c r="AB183" s="25"/>
      <c r="AC183" s="25"/>
      <c r="AD183" s="25"/>
      <c r="AE183" s="25"/>
      <c r="AF183" s="25"/>
      <c r="AG183" s="25"/>
      <c r="AH183" s="25"/>
      <c r="AI183" s="25"/>
      <c r="AJ183" s="25"/>
      <c r="AK183" s="281"/>
      <c r="AL183" s="25"/>
      <c r="AM183" s="25"/>
      <c r="AN183" s="25"/>
      <c r="AO183" s="27"/>
      <c r="AP183" s="25"/>
      <c r="AQ183" s="25"/>
      <c r="AR183" s="25"/>
      <c r="AS183" s="25"/>
      <c r="AT183" s="28"/>
      <c r="AU183" s="25"/>
      <c r="AV183" s="25"/>
      <c r="AW183" s="25"/>
      <c r="AX183" s="25"/>
      <c r="AY183" s="25"/>
      <c r="AZ183" s="27"/>
      <c r="BA183" s="25"/>
      <c r="BB183" s="25"/>
      <c r="BC183" s="25"/>
      <c r="BD183" s="27"/>
      <c r="BE183" s="25"/>
      <c r="BF183" s="25"/>
      <c r="BG183" s="25"/>
      <c r="BH183" s="27"/>
      <c r="BI183" s="27"/>
      <c r="BJ183" s="27"/>
      <c r="BK183" s="27"/>
      <c r="BL183" s="27"/>
      <c r="BM183" s="25"/>
      <c r="BN183" s="27"/>
      <c r="BO183" s="25"/>
      <c r="BP183" s="27"/>
      <c r="BQ183" s="27"/>
      <c r="BR183" s="27"/>
      <c r="BS183" s="25"/>
      <c r="BT183" s="27"/>
      <c r="BU183" s="25"/>
      <c r="BV183" s="27"/>
      <c r="BW183" s="25"/>
      <c r="BX183" s="27"/>
      <c r="BY183" s="27"/>
      <c r="BZ183" s="27"/>
      <c r="CA183" s="27"/>
      <c r="CB183" s="27"/>
      <c r="CC183" s="25"/>
      <c r="CD183" s="27"/>
      <c r="CE183" s="27"/>
      <c r="CF183" s="25"/>
      <c r="CG183" s="25"/>
      <c r="CH183" s="25"/>
      <c r="CI183" s="25"/>
      <c r="CJ183" s="25"/>
      <c r="CK183" s="28"/>
      <c r="CL183" s="25"/>
      <c r="CM183" s="25"/>
      <c r="CN183" s="25"/>
      <c r="CO183" s="27"/>
      <c r="CP183" s="25"/>
      <c r="CQ183" s="25"/>
      <c r="CR183" s="25"/>
      <c r="CS183" s="27"/>
      <c r="CT183" s="25"/>
      <c r="CU183" s="25"/>
      <c r="CV183" s="28"/>
      <c r="CW183" s="25"/>
      <c r="CX183" s="25"/>
      <c r="CY183" s="25"/>
      <c r="CZ183" s="25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8"/>
      <c r="EN183" s="28">
        <f t="shared" si="23"/>
        <v>0</v>
      </c>
      <c r="EO183" s="28">
        <f t="shared" si="24"/>
        <v>0</v>
      </c>
      <c r="EP183" s="28"/>
    </row>
    <row r="184" spans="2:146">
      <c r="B184" s="9"/>
      <c r="C184" s="92"/>
      <c r="D184" s="276"/>
      <c r="E184" s="25">
        <f>+F184+J184+L184+N184+T184+V184+X184+AB184+AD184+AF184+AL184+AN184+AP184+AU184+AW184+AY184+BC184+BE184+BG184+BM184+BO184+BQ184+BW184+CC184+CE184+CG184+CL184+CN184+CP184+CR184+CT184+CW184+CY184+DA184+DC184+DE184+DG184+DI184+DK184+DM184+DO184+DQ184+DS184+EE184+EG184+EI184+EK184+R184+H184+CI184+BA184+AR184+DU184</f>
        <v>0</v>
      </c>
      <c r="F184" s="26"/>
      <c r="G184" s="27">
        <f>+BG184</f>
        <v>0</v>
      </c>
      <c r="H184" s="27"/>
      <c r="I184" s="27"/>
      <c r="J184" s="27"/>
      <c r="K184" s="27"/>
      <c r="L184" s="27"/>
      <c r="M184" s="27"/>
      <c r="N184" s="25"/>
      <c r="O184" s="27"/>
      <c r="P184" s="27"/>
      <c r="Q184" s="27"/>
      <c r="R184" s="25"/>
      <c r="S184" s="27"/>
      <c r="T184" s="25"/>
      <c r="U184" s="25"/>
      <c r="V184" s="25"/>
      <c r="W184" s="25"/>
      <c r="X184" s="27"/>
      <c r="Y184" s="27"/>
      <c r="Z184" s="27"/>
      <c r="AA184" s="27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7"/>
      <c r="AP184" s="25"/>
      <c r="AQ184" s="25"/>
      <c r="AR184" s="25"/>
      <c r="AS184" s="25"/>
      <c r="AT184" s="28"/>
      <c r="AU184" s="25"/>
      <c r="AV184" s="25"/>
      <c r="AW184" s="25"/>
      <c r="AX184" s="25"/>
      <c r="AY184" s="25"/>
      <c r="AZ184" s="27"/>
      <c r="BA184" s="25"/>
      <c r="BB184" s="25"/>
      <c r="BC184" s="25"/>
      <c r="BD184" s="27"/>
      <c r="BE184" s="25"/>
      <c r="BF184" s="27"/>
      <c r="BG184" s="25"/>
      <c r="BH184" s="27"/>
      <c r="BI184" s="27"/>
      <c r="BJ184" s="27"/>
      <c r="BK184" s="27"/>
      <c r="BL184" s="27"/>
      <c r="BM184" s="25"/>
      <c r="BN184" s="27"/>
      <c r="BO184" s="25"/>
      <c r="BP184" s="27"/>
      <c r="BQ184" s="27"/>
      <c r="BR184" s="27"/>
      <c r="BS184" s="25"/>
      <c r="BT184" s="27"/>
      <c r="BU184" s="25"/>
      <c r="BV184" s="27"/>
      <c r="BW184" s="25"/>
      <c r="BX184" s="27"/>
      <c r="BY184" s="27"/>
      <c r="BZ184" s="27"/>
      <c r="CA184" s="27"/>
      <c r="CB184" s="27"/>
      <c r="CC184" s="25"/>
      <c r="CD184" s="27"/>
      <c r="CE184" s="27"/>
      <c r="CF184" s="25"/>
      <c r="CG184" s="25"/>
      <c r="CH184" s="25"/>
      <c r="CI184" s="25"/>
      <c r="CJ184" s="25"/>
      <c r="CK184" s="28"/>
      <c r="CL184" s="25"/>
      <c r="CM184" s="25"/>
      <c r="CN184" s="25"/>
      <c r="CO184" s="27"/>
      <c r="CP184" s="25"/>
      <c r="CQ184" s="25"/>
      <c r="CR184" s="25"/>
      <c r="CS184" s="27"/>
      <c r="CT184" s="25"/>
      <c r="CU184" s="25"/>
      <c r="CV184" s="28"/>
      <c r="CW184" s="25"/>
      <c r="CX184" s="25"/>
      <c r="CY184" s="25"/>
      <c r="CZ184" s="25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8"/>
      <c r="EN184" s="28">
        <f t="shared" si="23"/>
        <v>0</v>
      </c>
      <c r="EO184" s="28">
        <f t="shared" si="24"/>
        <v>0</v>
      </c>
      <c r="EP184" s="28">
        <f t="shared" si="21"/>
        <v>0</v>
      </c>
    </row>
    <row r="185" spans="2:146">
      <c r="B185" s="9"/>
      <c r="C185" s="92"/>
      <c r="D185" s="138"/>
      <c r="E185" s="25">
        <f>+F185+J185+L185+N185+T185+V185+X185+AB185+AD185+AF185+AL185+AN185+AP185+AU185+AW185+AY185+BC185+BE185+BG185+BM185+BO185+BQ185+BW185+CC185+CE185+CG185+CL185+CN185+CP185+CR185+CT185+CW185+CY185+DA185+DC185+DE185+DG185+DI185+DK185+DM185+DO185+DQ185+DS185+EE185+EG185+EI185+EK185+R185+H185+CI185+BA185+AR185+DU185</f>
        <v>0</v>
      </c>
      <c r="F185" s="26"/>
      <c r="G185" s="27"/>
      <c r="H185" s="27"/>
      <c r="I185" s="27"/>
      <c r="J185" s="27"/>
      <c r="K185" s="27"/>
      <c r="L185" s="27"/>
      <c r="M185" s="27"/>
      <c r="N185" s="25"/>
      <c r="O185" s="27"/>
      <c r="P185" s="27"/>
      <c r="Q185" s="27"/>
      <c r="R185" s="25"/>
      <c r="S185" s="27"/>
      <c r="T185" s="25"/>
      <c r="U185" s="25"/>
      <c r="V185" s="25"/>
      <c r="W185" s="25"/>
      <c r="X185" s="27"/>
      <c r="Y185" s="27"/>
      <c r="Z185" s="27"/>
      <c r="AA185" s="27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7"/>
      <c r="AP185" s="25"/>
      <c r="AQ185" s="25"/>
      <c r="AR185" s="25"/>
      <c r="AS185" s="25"/>
      <c r="AT185" s="28"/>
      <c r="AU185" s="25"/>
      <c r="AV185" s="25"/>
      <c r="AW185" s="25"/>
      <c r="AX185" s="25"/>
      <c r="AY185" s="25"/>
      <c r="AZ185" s="27"/>
      <c r="BA185" s="25"/>
      <c r="BB185" s="25"/>
      <c r="BC185" s="25"/>
      <c r="BD185" s="27"/>
      <c r="BE185" s="25"/>
      <c r="BF185" s="25"/>
      <c r="BG185" s="25"/>
      <c r="BH185" s="27"/>
      <c r="BI185" s="27"/>
      <c r="BJ185" s="27"/>
      <c r="BK185" s="27"/>
      <c r="BL185" s="27"/>
      <c r="BM185" s="25"/>
      <c r="BN185" s="27"/>
      <c r="BO185" s="25"/>
      <c r="BP185" s="27"/>
      <c r="BQ185" s="27"/>
      <c r="BR185" s="27"/>
      <c r="BS185" s="25"/>
      <c r="BT185" s="27"/>
      <c r="BU185" s="25"/>
      <c r="BV185" s="27"/>
      <c r="BW185" s="25"/>
      <c r="BX185" s="27"/>
      <c r="BY185" s="27"/>
      <c r="BZ185" s="27"/>
      <c r="CA185" s="27"/>
      <c r="CB185" s="27"/>
      <c r="CC185" s="25"/>
      <c r="CD185" s="27"/>
      <c r="CE185" s="27"/>
      <c r="CF185" s="25"/>
      <c r="CG185" s="25"/>
      <c r="CH185" s="25"/>
      <c r="CI185" s="25"/>
      <c r="CJ185" s="25"/>
      <c r="CK185" s="28"/>
      <c r="CL185" s="25"/>
      <c r="CM185" s="25"/>
      <c r="CN185" s="25"/>
      <c r="CO185" s="27"/>
      <c r="CP185" s="25"/>
      <c r="CQ185" s="25"/>
      <c r="CR185" s="25"/>
      <c r="CS185" s="27"/>
      <c r="CT185" s="25"/>
      <c r="CU185" s="25"/>
      <c r="CV185" s="28"/>
      <c r="CW185" s="25"/>
      <c r="CX185" s="25"/>
      <c r="CY185" s="25"/>
      <c r="CZ185" s="25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8"/>
      <c r="EN185" s="28">
        <f t="shared" si="23"/>
        <v>0</v>
      </c>
      <c r="EO185" s="28">
        <f t="shared" si="24"/>
        <v>0</v>
      </c>
      <c r="EP185" s="28">
        <f t="shared" si="21"/>
        <v>0</v>
      </c>
    </row>
    <row r="186" spans="2:146">
      <c r="B186" s="9"/>
      <c r="C186" s="92"/>
      <c r="D186" s="138"/>
      <c r="E186" s="25">
        <f>+F186+J186+L186+N186+T186+V186+X186+AB186+AD186+AF186+AL186+AN186+AP186+AU186+AW186+AY186+BC186+BE186+BG186+BM186+BO186+BQ186+BW186+CC186+CE186+CG186+CL186+CN186+CP186+CR186+CT186+CW186+CY186+DA186+DC186+DE186+DG186+DI186+DK186+DM186+DO186+DQ186+DS186+EE186+EG186+EI186+EK186+R186+H186+CI186+BA186+AR186+DU186</f>
        <v>0</v>
      </c>
      <c r="F186" s="26"/>
      <c r="G186" s="27">
        <f>+DS186</f>
        <v>0</v>
      </c>
      <c r="H186" s="27"/>
      <c r="I186" s="27"/>
      <c r="J186" s="27"/>
      <c r="K186" s="27"/>
      <c r="L186" s="27"/>
      <c r="M186" s="27"/>
      <c r="N186" s="25"/>
      <c r="O186" s="27"/>
      <c r="P186" s="27"/>
      <c r="Q186" s="27"/>
      <c r="R186" s="25"/>
      <c r="S186" s="27"/>
      <c r="T186" s="25"/>
      <c r="U186" s="25"/>
      <c r="V186" s="25"/>
      <c r="W186" s="25"/>
      <c r="X186" s="27"/>
      <c r="Y186" s="27"/>
      <c r="Z186" s="27"/>
      <c r="AA186" s="27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7"/>
      <c r="AP186" s="25"/>
      <c r="AQ186" s="25"/>
      <c r="AR186" s="25"/>
      <c r="AS186" s="25"/>
      <c r="AT186" s="28"/>
      <c r="AU186" s="25"/>
      <c r="AV186" s="25"/>
      <c r="AW186" s="25"/>
      <c r="AX186" s="25"/>
      <c r="AY186" s="25"/>
      <c r="AZ186" s="27"/>
      <c r="BA186" s="25"/>
      <c r="BB186" s="25"/>
      <c r="BC186" s="25"/>
      <c r="BD186" s="27"/>
      <c r="BE186" s="25"/>
      <c r="BF186" s="27"/>
      <c r="BG186" s="25"/>
      <c r="BH186" s="27"/>
      <c r="BI186" s="27"/>
      <c r="BJ186" s="27"/>
      <c r="BK186" s="27"/>
      <c r="BL186" s="27"/>
      <c r="BM186" s="25"/>
      <c r="BN186" s="27"/>
      <c r="BO186" s="25"/>
      <c r="BP186" s="27"/>
      <c r="BQ186" s="27"/>
      <c r="BR186" s="27"/>
      <c r="BS186" s="25"/>
      <c r="BT186" s="27"/>
      <c r="BU186" s="25"/>
      <c r="BV186" s="27"/>
      <c r="BW186" s="25"/>
      <c r="BX186" s="27"/>
      <c r="BY186" s="27"/>
      <c r="BZ186" s="27"/>
      <c r="CA186" s="27"/>
      <c r="CB186" s="27"/>
      <c r="CC186" s="25"/>
      <c r="CD186" s="27"/>
      <c r="CE186" s="27"/>
      <c r="CF186" s="25"/>
      <c r="CG186" s="25"/>
      <c r="CH186" s="25"/>
      <c r="CI186" s="25"/>
      <c r="CJ186" s="25"/>
      <c r="CK186" s="28"/>
      <c r="CL186" s="25"/>
      <c r="CM186" s="25"/>
      <c r="CN186" s="25"/>
      <c r="CO186" s="27"/>
      <c r="CP186" s="25"/>
      <c r="CQ186" s="25"/>
      <c r="CR186" s="25"/>
      <c r="CS186" s="27"/>
      <c r="CT186" s="25"/>
      <c r="CU186" s="25"/>
      <c r="CV186" s="28"/>
      <c r="CW186" s="25"/>
      <c r="CX186" s="25"/>
      <c r="CY186" s="25"/>
      <c r="CZ186" s="25"/>
      <c r="DA186" s="25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5"/>
      <c r="DP186" s="25"/>
      <c r="DQ186" s="25"/>
      <c r="DR186" s="25"/>
      <c r="DS186" s="242">
        <f>+DS164</f>
        <v>0</v>
      </c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8"/>
      <c r="EN186" s="28">
        <f t="shared" si="23"/>
        <v>0</v>
      </c>
      <c r="EO186" s="28">
        <f t="shared" si="24"/>
        <v>0</v>
      </c>
      <c r="EP186" s="28">
        <f t="shared" si="21"/>
        <v>0</v>
      </c>
    </row>
    <row r="187" spans="2:146">
      <c r="B187" s="39"/>
      <c r="C187" s="94"/>
      <c r="D187" s="40"/>
      <c r="E187" s="41"/>
      <c r="F187" s="42"/>
      <c r="G187" s="43"/>
      <c r="H187" s="43"/>
      <c r="I187" s="43"/>
      <c r="J187" s="43"/>
      <c r="K187" s="43"/>
      <c r="L187" s="43"/>
      <c r="M187" s="43"/>
      <c r="N187" s="41"/>
      <c r="O187" s="43"/>
      <c r="P187" s="43"/>
      <c r="Q187" s="43"/>
      <c r="R187" s="41"/>
      <c r="S187" s="43"/>
      <c r="T187" s="41"/>
      <c r="U187" s="41"/>
      <c r="V187" s="41"/>
      <c r="W187" s="41"/>
      <c r="X187" s="43"/>
      <c r="Y187" s="43"/>
      <c r="Z187" s="43"/>
      <c r="AA187" s="43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3"/>
      <c r="AP187" s="41"/>
      <c r="AQ187" s="41"/>
      <c r="AR187" s="41"/>
      <c r="AS187" s="41"/>
      <c r="AT187" s="28"/>
      <c r="AU187" s="41"/>
      <c r="AV187" s="41"/>
      <c r="AW187" s="41"/>
      <c r="AX187" s="41"/>
      <c r="AY187" s="41"/>
      <c r="AZ187" s="43"/>
      <c r="BA187" s="41"/>
      <c r="BB187" s="41"/>
      <c r="BC187" s="41"/>
      <c r="BD187" s="43"/>
      <c r="BE187" s="41"/>
      <c r="BF187" s="43"/>
      <c r="BG187" s="41"/>
      <c r="BH187" s="43"/>
      <c r="BI187" s="43"/>
      <c r="BJ187" s="43"/>
      <c r="BK187" s="43"/>
      <c r="BL187" s="43"/>
      <c r="BM187" s="41"/>
      <c r="BN187" s="43"/>
      <c r="BO187" s="41"/>
      <c r="BP187" s="43"/>
      <c r="BQ187" s="43"/>
      <c r="BR187" s="43"/>
      <c r="BS187" s="41"/>
      <c r="BT187" s="43"/>
      <c r="BU187" s="41"/>
      <c r="BV187" s="43"/>
      <c r="BW187" s="41"/>
      <c r="BX187" s="43"/>
      <c r="BY187" s="43"/>
      <c r="BZ187" s="43"/>
      <c r="CA187" s="43"/>
      <c r="CB187" s="43"/>
      <c r="CC187" s="41"/>
      <c r="CD187" s="43"/>
      <c r="CE187" s="43"/>
      <c r="CF187" s="41"/>
      <c r="CG187" s="41"/>
      <c r="CH187" s="41"/>
      <c r="CI187" s="41"/>
      <c r="CJ187" s="41"/>
      <c r="CK187" s="28"/>
      <c r="CL187" s="41"/>
      <c r="CM187" s="41"/>
      <c r="CN187" s="41"/>
      <c r="CO187" s="43"/>
      <c r="CP187" s="41"/>
      <c r="CQ187" s="41"/>
      <c r="CR187" s="41"/>
      <c r="CS187" s="43"/>
      <c r="CT187" s="41"/>
      <c r="CU187" s="41"/>
      <c r="CV187" s="28"/>
      <c r="CW187" s="41"/>
      <c r="CX187" s="41"/>
      <c r="CY187" s="41"/>
      <c r="CZ187" s="41"/>
      <c r="DA187" s="41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1"/>
      <c r="DP187" s="41"/>
      <c r="DQ187" s="41"/>
      <c r="DR187" s="41"/>
      <c r="DS187" s="41"/>
      <c r="DT187" s="41"/>
      <c r="DU187" s="41"/>
      <c r="DV187" s="41"/>
      <c r="DW187" s="41"/>
      <c r="DX187" s="41"/>
      <c r="DY187" s="41"/>
      <c r="DZ187" s="41"/>
      <c r="EA187" s="41"/>
      <c r="EB187" s="41"/>
      <c r="EC187" s="41"/>
      <c r="ED187" s="41"/>
      <c r="EE187" s="41"/>
      <c r="EF187" s="41"/>
      <c r="EG187" s="41"/>
      <c r="EH187" s="41"/>
      <c r="EI187" s="41"/>
      <c r="EJ187" s="41"/>
      <c r="EK187" s="41"/>
      <c r="EL187" s="41"/>
      <c r="EM187" s="28"/>
      <c r="EN187" s="28">
        <f t="shared" si="23"/>
        <v>0</v>
      </c>
      <c r="EO187" s="28">
        <f t="shared" si="24"/>
        <v>0</v>
      </c>
      <c r="EP187" s="28">
        <f t="shared" si="21"/>
        <v>0</v>
      </c>
    </row>
    <row r="188" spans="2:146">
      <c r="B188" s="9">
        <f>+B175+30</f>
        <v>44555</v>
      </c>
      <c r="C188" s="92"/>
      <c r="D188" s="138" t="s">
        <v>112</v>
      </c>
      <c r="E188" s="25">
        <f t="shared" ref="E188:E195" si="26">+F188+J188+L188+N188+T188+V188+X188+AB188+AD188+AF188+AL188+AN188+AP188+AU188+AW188+AY188+BC188+BE188+BG188+BM188+BO188+BQ188+BW188+CC188+CE188+CG188+CL188+CN188+CP188+CR188+CT188+CW188+CY188+DA188+DC188+DE188+DG188+DI188+DK188+DM188+DO188+DQ188+DS188+EE188+EG188+EI188+EK188+R188+H188+CI188+BA188+AR188</f>
        <v>0</v>
      </c>
      <c r="F188" s="26"/>
      <c r="G188" s="27"/>
      <c r="H188" s="27"/>
      <c r="I188" s="27"/>
      <c r="J188" s="27"/>
      <c r="K188" s="27"/>
      <c r="L188" s="27"/>
      <c r="M188" s="27"/>
      <c r="N188" s="25"/>
      <c r="O188" s="27"/>
      <c r="P188" s="27"/>
      <c r="Q188" s="27"/>
      <c r="R188" s="25"/>
      <c r="S188" s="27"/>
      <c r="T188" s="25"/>
      <c r="U188" s="25"/>
      <c r="V188" s="25"/>
      <c r="W188" s="25"/>
      <c r="X188" s="27"/>
      <c r="Y188" s="27"/>
      <c r="Z188" s="27"/>
      <c r="AA188" s="27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7"/>
      <c r="AP188" s="25"/>
      <c r="AQ188" s="25"/>
      <c r="AR188" s="25"/>
      <c r="AS188" s="25"/>
      <c r="AT188" s="28"/>
      <c r="AU188" s="25"/>
      <c r="AV188" s="25"/>
      <c r="AW188" s="25"/>
      <c r="AX188" s="25"/>
      <c r="AY188" s="25"/>
      <c r="AZ188" s="27"/>
      <c r="BA188" s="25"/>
      <c r="BB188" s="25"/>
      <c r="BC188" s="25"/>
      <c r="BD188" s="27"/>
      <c r="BE188" s="25"/>
      <c r="BF188" s="27"/>
      <c r="BG188" s="25"/>
      <c r="BH188" s="27"/>
      <c r="BI188" s="27"/>
      <c r="BJ188" s="27"/>
      <c r="BK188" s="27"/>
      <c r="BL188" s="27"/>
      <c r="BM188" s="25"/>
      <c r="BN188" s="27"/>
      <c r="BO188" s="25"/>
      <c r="BP188" s="27"/>
      <c r="BQ188" s="27"/>
      <c r="BR188" s="27"/>
      <c r="BS188" s="25"/>
      <c r="BT188" s="27"/>
      <c r="BU188" s="25"/>
      <c r="BV188" s="27"/>
      <c r="BW188" s="25"/>
      <c r="BX188" s="27"/>
      <c r="BY188" s="27"/>
      <c r="BZ188" s="27"/>
      <c r="CA188" s="27"/>
      <c r="CB188" s="27"/>
      <c r="CC188" s="25"/>
      <c r="CD188" s="27"/>
      <c r="CE188" s="25"/>
      <c r="CF188" s="25"/>
      <c r="CG188" s="25"/>
      <c r="CH188" s="25"/>
      <c r="CI188" s="25"/>
      <c r="CJ188" s="25"/>
      <c r="CK188" s="28"/>
      <c r="CL188" s="25"/>
      <c r="CM188" s="25"/>
      <c r="CN188" s="25"/>
      <c r="CO188" s="27"/>
      <c r="CP188" s="25"/>
      <c r="CQ188" s="25"/>
      <c r="CR188" s="25"/>
      <c r="CS188" s="27"/>
      <c r="CT188" s="25"/>
      <c r="CU188" s="25"/>
      <c r="CV188" s="28"/>
      <c r="CW188" s="25"/>
      <c r="CX188" s="25"/>
      <c r="CY188" s="25"/>
      <c r="CZ188" s="25"/>
      <c r="DA188" s="25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8"/>
      <c r="EN188" s="28">
        <f t="shared" si="23"/>
        <v>0</v>
      </c>
      <c r="EO188" s="28">
        <f t="shared" si="24"/>
        <v>0</v>
      </c>
      <c r="EP188" s="28">
        <f t="shared" si="21"/>
        <v>0</v>
      </c>
    </row>
    <row r="189" spans="2:146">
      <c r="B189" s="9">
        <f>+B188</f>
        <v>44555</v>
      </c>
      <c r="C189" s="92"/>
      <c r="D189" s="314" t="s">
        <v>320</v>
      </c>
      <c r="E189" s="478">
        <f>+F189+J189+L189+N189+T189+V189+X189+AB189+AD189+AF189+AL189+AN189+AP189+AU189+AW189+AY189+BC189+BE189+BG189+BM189+BO189+BQ189+BW189+CC189+CE189+CG189+CL189+CN189+CP189+CR189+CT189+CW189+CY189+DA189+DC189+DE189+DG189+DI189+DK189+DM189+DO189+DQ189+DS189+EE189+EG189+EI189+EK189+R189+H189+CI189+BA189+AR189</f>
        <v>0</v>
      </c>
      <c r="F189" s="26"/>
      <c r="G189" s="316">
        <f>+AU189</f>
        <v>0</v>
      </c>
      <c r="H189" s="27"/>
      <c r="I189" s="27"/>
      <c r="J189" s="27"/>
      <c r="K189" s="27"/>
      <c r="L189" s="27"/>
      <c r="M189" s="27"/>
      <c r="N189" s="25"/>
      <c r="O189" s="27"/>
      <c r="P189" s="27"/>
      <c r="Q189" s="27"/>
      <c r="R189" s="25"/>
      <c r="S189" s="27"/>
      <c r="T189" s="25"/>
      <c r="U189" s="25"/>
      <c r="V189" s="25"/>
      <c r="W189" s="25"/>
      <c r="X189" s="27"/>
      <c r="Y189" s="27"/>
      <c r="Z189" s="27"/>
      <c r="AA189" s="27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7"/>
      <c r="AP189" s="25"/>
      <c r="AQ189" s="25"/>
      <c r="AR189" s="25"/>
      <c r="AS189" s="25"/>
      <c r="AT189" s="28"/>
      <c r="AU189" s="315">
        <f>+AV177</f>
        <v>0</v>
      </c>
      <c r="AV189" s="25"/>
      <c r="AW189" s="25"/>
      <c r="AX189" s="25"/>
      <c r="AY189" s="25"/>
      <c r="AZ189" s="27"/>
      <c r="BA189" s="25"/>
      <c r="BB189" s="25"/>
      <c r="BC189" s="25"/>
      <c r="BD189" s="27"/>
      <c r="BE189" s="25"/>
      <c r="BF189" s="27"/>
      <c r="BG189" s="25"/>
      <c r="BH189" s="27"/>
      <c r="BI189" s="27"/>
      <c r="BJ189" s="27"/>
      <c r="BK189" s="27"/>
      <c r="BL189" s="27"/>
      <c r="BM189" s="25"/>
      <c r="BN189" s="27"/>
      <c r="BO189" s="25"/>
      <c r="BP189" s="27"/>
      <c r="BQ189" s="27"/>
      <c r="BR189" s="27"/>
      <c r="BS189" s="25"/>
      <c r="BT189" s="27"/>
      <c r="BU189" s="25"/>
      <c r="BV189" s="27"/>
      <c r="BW189" s="25"/>
      <c r="BX189" s="27"/>
      <c r="BY189" s="27"/>
      <c r="BZ189" s="27"/>
      <c r="CA189" s="27"/>
      <c r="CB189" s="27"/>
      <c r="CC189" s="25"/>
      <c r="CD189" s="27"/>
      <c r="CE189" s="27"/>
      <c r="CF189" s="25"/>
      <c r="CG189" s="25"/>
      <c r="CH189" s="25"/>
      <c r="CI189" s="25"/>
      <c r="CJ189" s="25"/>
      <c r="CK189" s="28"/>
      <c r="CL189" s="25"/>
      <c r="CM189" s="25"/>
      <c r="CN189" s="25"/>
      <c r="CO189" s="27"/>
      <c r="CP189" s="25"/>
      <c r="CQ189" s="25"/>
      <c r="CR189" s="25"/>
      <c r="CS189" s="27"/>
      <c r="CT189" s="25"/>
      <c r="CU189" s="25"/>
      <c r="CV189" s="28"/>
      <c r="CW189" s="25"/>
      <c r="CX189" s="25"/>
      <c r="CY189" s="25"/>
      <c r="CZ189" s="25"/>
      <c r="DA189" s="25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8"/>
      <c r="EN189" s="28">
        <f t="shared" si="23"/>
        <v>0</v>
      </c>
      <c r="EO189" s="28">
        <f t="shared" si="24"/>
        <v>0</v>
      </c>
      <c r="EP189" s="28"/>
    </row>
    <row r="190" spans="2:146">
      <c r="B190" s="9">
        <f>+B188</f>
        <v>44555</v>
      </c>
      <c r="C190" s="92"/>
      <c r="D190" s="216" t="s">
        <v>113</v>
      </c>
      <c r="E190" s="478">
        <f>+F190+J190+L190+N190+T190+V190+X190+AB190+AD190+AF190+AL190+AN190+AP190+AU190+AW190+AY190+BC190+BE190+BG190+BM190+BO190+BQ190+BW190+CC190+CE190+CG190+CL190+CN190+CP190+CR190+CT190+CW190+CY190+DA190+DC190+DE190+DG190+DI190+DK190+DM190+DO190+DQ190+DS190+EE190+EG190+EI190+EK190+R190+H190+CI190+BA190+AR190</f>
        <v>0</v>
      </c>
      <c r="F190" s="26"/>
      <c r="G190" s="427">
        <f>+(L190+AW190+BE190+J190+BA190)</f>
        <v>0</v>
      </c>
      <c r="H190" s="27">
        <v>0</v>
      </c>
      <c r="I190" s="27"/>
      <c r="J190" s="321">
        <v>0</v>
      </c>
      <c r="K190" s="27"/>
      <c r="L190" s="321">
        <f>+DATOS!F26</f>
        <v>0</v>
      </c>
      <c r="M190" s="27"/>
      <c r="N190" s="25"/>
      <c r="O190" s="27"/>
      <c r="P190" s="27"/>
      <c r="Q190" s="27"/>
      <c r="R190" s="25"/>
      <c r="S190" s="27"/>
      <c r="T190" s="25"/>
      <c r="U190" s="25"/>
      <c r="V190" s="25"/>
      <c r="W190" s="25"/>
      <c r="X190" s="27"/>
      <c r="Y190" s="27"/>
      <c r="Z190" s="27"/>
      <c r="AA190" s="27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7"/>
      <c r="AP190" s="25"/>
      <c r="AQ190" s="25"/>
      <c r="AR190" s="25"/>
      <c r="AS190" s="25"/>
      <c r="AT190" s="28"/>
      <c r="AU190" s="25"/>
      <c r="AV190" s="25"/>
      <c r="AW190" s="435">
        <f>+AX175</f>
        <v>0</v>
      </c>
      <c r="AX190" s="25"/>
      <c r="AY190" s="25"/>
      <c r="AZ190" s="27"/>
      <c r="BA190" s="435">
        <f>+BB177</f>
        <v>0</v>
      </c>
      <c r="BB190" s="25"/>
      <c r="BC190" s="25"/>
      <c r="BD190" s="27"/>
      <c r="BE190" s="25"/>
      <c r="BF190" s="27"/>
      <c r="BG190" s="25"/>
      <c r="BH190" s="27"/>
      <c r="BI190" s="27"/>
      <c r="BJ190" s="27"/>
      <c r="BK190" s="27"/>
      <c r="BL190" s="27"/>
      <c r="BM190" s="25">
        <f>+BN177</f>
        <v>0</v>
      </c>
      <c r="BN190" s="27"/>
      <c r="BO190" s="25"/>
      <c r="BP190" s="27"/>
      <c r="BQ190" s="27"/>
      <c r="BR190" s="27"/>
      <c r="BS190" s="25"/>
      <c r="BT190" s="27"/>
      <c r="BU190" s="25"/>
      <c r="BV190" s="27"/>
      <c r="BW190" s="25"/>
      <c r="BX190" s="27"/>
      <c r="BY190" s="27"/>
      <c r="BZ190" s="27"/>
      <c r="CA190" s="27"/>
      <c r="CB190" s="27"/>
      <c r="CC190" s="25"/>
      <c r="CD190" s="27"/>
      <c r="CE190" s="27"/>
      <c r="CF190" s="25"/>
      <c r="CG190" s="25"/>
      <c r="CH190" s="25"/>
      <c r="CI190" s="25"/>
      <c r="CJ190" s="25"/>
      <c r="CK190" s="28"/>
      <c r="CL190" s="25"/>
      <c r="CM190" s="25"/>
      <c r="CN190" s="25"/>
      <c r="CO190" s="27"/>
      <c r="CP190" s="25"/>
      <c r="CQ190" s="25"/>
      <c r="CR190" s="25"/>
      <c r="CS190" s="27"/>
      <c r="CT190" s="25"/>
      <c r="CU190" s="25"/>
      <c r="CV190" s="28"/>
      <c r="CW190" s="25"/>
      <c r="CX190" s="25"/>
      <c r="CY190" s="25"/>
      <c r="CZ190" s="25"/>
      <c r="DA190" s="25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8"/>
      <c r="EN190" s="28">
        <f t="shared" si="23"/>
        <v>0</v>
      </c>
      <c r="EO190" s="28">
        <f t="shared" si="24"/>
        <v>0</v>
      </c>
      <c r="EP190" s="28">
        <f t="shared" si="21"/>
        <v>0</v>
      </c>
    </row>
    <row r="191" spans="2:146">
      <c r="B191" s="9">
        <f>+B190</f>
        <v>44555</v>
      </c>
      <c r="C191" s="92"/>
      <c r="D191" s="210" t="s">
        <v>114</v>
      </c>
      <c r="E191" s="478">
        <f t="shared" si="26"/>
        <v>0</v>
      </c>
      <c r="F191" s="26"/>
      <c r="G191" s="219">
        <f>+J191+EG191+DY191+X191+CW191</f>
        <v>0</v>
      </c>
      <c r="H191" s="27"/>
      <c r="I191" s="27"/>
      <c r="J191" s="219">
        <f>+DATOS!E47</f>
        <v>0</v>
      </c>
      <c r="K191" s="27"/>
      <c r="L191" s="27"/>
      <c r="M191" s="27"/>
      <c r="N191" s="25"/>
      <c r="O191" s="27"/>
      <c r="P191" s="27"/>
      <c r="Q191" s="27"/>
      <c r="R191" s="25"/>
      <c r="S191" s="27"/>
      <c r="T191" s="25"/>
      <c r="U191" s="25"/>
      <c r="V191" s="25"/>
      <c r="W191" s="25"/>
      <c r="X191" s="219"/>
      <c r="Y191" s="27"/>
      <c r="Z191" s="27"/>
      <c r="AA191" s="27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7"/>
      <c r="AP191" s="25"/>
      <c r="AQ191" s="25"/>
      <c r="AR191" s="25"/>
      <c r="AS191" s="25"/>
      <c r="AT191" s="28"/>
      <c r="AU191" s="25"/>
      <c r="AV191" s="25"/>
      <c r="AW191" s="25"/>
      <c r="AX191" s="25"/>
      <c r="AY191" s="25"/>
      <c r="AZ191" s="27"/>
      <c r="BA191" s="25"/>
      <c r="BB191" s="25"/>
      <c r="BC191" s="25"/>
      <c r="BD191" s="27"/>
      <c r="BE191" s="25"/>
      <c r="BF191" s="27"/>
      <c r="BG191" s="25"/>
      <c r="BH191" s="27"/>
      <c r="BI191" s="27"/>
      <c r="BJ191" s="27"/>
      <c r="BK191" s="27"/>
      <c r="BL191" s="27"/>
      <c r="BM191" s="25"/>
      <c r="BN191" s="27"/>
      <c r="BO191" s="25"/>
      <c r="BP191" s="27"/>
      <c r="BQ191" s="27"/>
      <c r="BR191" s="27"/>
      <c r="BS191" s="25"/>
      <c r="BT191" s="27"/>
      <c r="BU191" s="25"/>
      <c r="BV191" s="27"/>
      <c r="BW191" s="25"/>
      <c r="BX191" s="27"/>
      <c r="BY191" s="27"/>
      <c r="BZ191" s="27"/>
      <c r="CA191" s="27"/>
      <c r="CB191" s="27"/>
      <c r="CC191" s="25"/>
      <c r="CD191" s="27"/>
      <c r="CE191" s="27"/>
      <c r="CF191" s="25"/>
      <c r="CG191" s="25"/>
      <c r="CH191" s="25"/>
      <c r="CI191" s="25"/>
      <c r="CJ191" s="25"/>
      <c r="CK191" s="28"/>
      <c r="CL191" s="25"/>
      <c r="CM191" s="25"/>
      <c r="CN191" s="25"/>
      <c r="CO191" s="27"/>
      <c r="CP191" s="25"/>
      <c r="CQ191" s="25"/>
      <c r="CR191" s="25"/>
      <c r="CS191" s="27"/>
      <c r="CT191" s="25"/>
      <c r="CU191" s="25"/>
      <c r="CV191" s="28"/>
      <c r="CW191" s="418">
        <f>+DATOS!F47</f>
        <v>0</v>
      </c>
      <c r="CX191" s="25"/>
      <c r="CY191" s="25"/>
      <c r="CZ191" s="25"/>
      <c r="DA191" s="25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20">
        <f>ROUND(+J191/0.19,0)-X191</f>
        <v>0</v>
      </c>
      <c r="EH191" s="25"/>
      <c r="EI191" s="25"/>
      <c r="EJ191" s="25"/>
      <c r="EK191" s="25"/>
      <c r="EL191" s="25"/>
      <c r="EM191" s="28"/>
      <c r="EN191" s="28">
        <f t="shared" si="23"/>
        <v>0</v>
      </c>
      <c r="EO191" s="28">
        <f t="shared" si="24"/>
        <v>0</v>
      </c>
      <c r="EP191" s="28">
        <f t="shared" si="21"/>
        <v>0</v>
      </c>
    </row>
    <row r="192" spans="2:146">
      <c r="B192" s="9">
        <f>+B191</f>
        <v>44555</v>
      </c>
      <c r="C192" s="92"/>
      <c r="D192" s="211" t="s">
        <v>115</v>
      </c>
      <c r="E192" s="478">
        <f t="shared" si="26"/>
        <v>0</v>
      </c>
      <c r="F192" s="320">
        <f>(+K192+CM192)+CO192</f>
        <v>0</v>
      </c>
      <c r="G192" s="27"/>
      <c r="H192" s="27"/>
      <c r="I192" s="27"/>
      <c r="J192" s="27"/>
      <c r="K192" s="221">
        <f>+DATOS!E26</f>
        <v>0</v>
      </c>
      <c r="L192" s="27"/>
      <c r="M192" s="27"/>
      <c r="N192" s="25"/>
      <c r="O192" s="27"/>
      <c r="P192" s="27"/>
      <c r="Q192" s="27"/>
      <c r="R192" s="25"/>
      <c r="S192" s="27"/>
      <c r="T192" s="25"/>
      <c r="U192" s="25"/>
      <c r="V192" s="25"/>
      <c r="W192" s="25"/>
      <c r="X192" s="27"/>
      <c r="Y192" s="27"/>
      <c r="Z192" s="27"/>
      <c r="AA192" s="27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7"/>
      <c r="AP192" s="25"/>
      <c r="AQ192" s="25"/>
      <c r="AR192" s="25"/>
      <c r="AS192" s="25"/>
      <c r="AT192" s="28"/>
      <c r="AU192" s="25"/>
      <c r="AV192" s="25"/>
      <c r="AW192" s="25"/>
      <c r="AX192" s="25"/>
      <c r="AY192" s="25"/>
      <c r="AZ192" s="27"/>
      <c r="BA192" s="25"/>
      <c r="BB192" s="25"/>
      <c r="BC192" s="25"/>
      <c r="BD192" s="27"/>
      <c r="BE192" s="25"/>
      <c r="BF192" s="27"/>
      <c r="BG192" s="25"/>
      <c r="BH192" s="27"/>
      <c r="BI192" s="27"/>
      <c r="BJ192" s="27"/>
      <c r="BK192" s="27"/>
      <c r="BL192" s="27"/>
      <c r="BM192" s="25"/>
      <c r="BN192" s="27"/>
      <c r="BO192" s="25"/>
      <c r="BP192" s="27"/>
      <c r="BQ192" s="27"/>
      <c r="BR192" s="27"/>
      <c r="BS192" s="25"/>
      <c r="BT192" s="27"/>
      <c r="BU192" s="25"/>
      <c r="BV192" s="27"/>
      <c r="BW192" s="25"/>
      <c r="BX192" s="27"/>
      <c r="BY192" s="27"/>
      <c r="BZ192" s="27"/>
      <c r="CA192" s="27"/>
      <c r="CB192" s="27"/>
      <c r="CC192" s="25"/>
      <c r="CD192" s="27"/>
      <c r="CE192" s="27"/>
      <c r="CF192" s="25"/>
      <c r="CG192" s="25"/>
      <c r="CH192" s="25"/>
      <c r="CI192" s="25"/>
      <c r="CJ192" s="25"/>
      <c r="CK192" s="28"/>
      <c r="CL192" s="25"/>
      <c r="CM192" s="320">
        <f>ROUND(+K192/0.19,0)</f>
        <v>0</v>
      </c>
      <c r="CN192" s="25"/>
      <c r="CO192" s="221">
        <f>+DATOS!D26</f>
        <v>0</v>
      </c>
      <c r="CP192" s="25"/>
      <c r="CQ192" s="25"/>
      <c r="CR192" s="25"/>
      <c r="CS192" s="27"/>
      <c r="CT192" s="25"/>
      <c r="CU192" s="25"/>
      <c r="CV192" s="28"/>
      <c r="CW192" s="25"/>
      <c r="CX192" s="25"/>
      <c r="CY192" s="25"/>
      <c r="CZ192" s="25"/>
      <c r="DA192" s="25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8"/>
      <c r="EN192" s="28">
        <f t="shared" si="23"/>
        <v>0</v>
      </c>
      <c r="EO192" s="28">
        <f t="shared" si="24"/>
        <v>0</v>
      </c>
      <c r="EP192" s="28">
        <f t="shared" si="21"/>
        <v>0</v>
      </c>
    </row>
    <row r="193" spans="2:146">
      <c r="B193" s="9">
        <f>+B192</f>
        <v>44555</v>
      </c>
      <c r="C193" s="92"/>
      <c r="D193" s="138" t="s">
        <v>172</v>
      </c>
      <c r="E193" s="25">
        <f t="shared" si="26"/>
        <v>0</v>
      </c>
      <c r="F193" s="27"/>
      <c r="G193" s="27"/>
      <c r="H193" s="27"/>
      <c r="I193" s="27"/>
      <c r="J193" s="27"/>
      <c r="K193" s="27"/>
      <c r="L193" s="27"/>
      <c r="M193" s="27"/>
      <c r="N193" s="25"/>
      <c r="O193" s="27"/>
      <c r="P193" s="27"/>
      <c r="Q193" s="27"/>
      <c r="R193" s="25"/>
      <c r="S193" s="27"/>
      <c r="T193" s="25"/>
      <c r="U193" s="25"/>
      <c r="V193" s="25"/>
      <c r="W193" s="25"/>
      <c r="X193" s="27"/>
      <c r="Y193" s="27"/>
      <c r="Z193" s="27"/>
      <c r="AA193" s="27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7"/>
      <c r="AP193" s="25"/>
      <c r="AQ193" s="25"/>
      <c r="AR193" s="25"/>
      <c r="AS193" s="25"/>
      <c r="AT193" s="28"/>
      <c r="AU193" s="25"/>
      <c r="AV193" s="25"/>
      <c r="AW193" s="25"/>
      <c r="AX193" s="25"/>
      <c r="AY193" s="25"/>
      <c r="AZ193" s="27"/>
      <c r="BA193" s="25"/>
      <c r="BB193" s="25"/>
      <c r="BC193" s="25"/>
      <c r="BD193" s="27"/>
      <c r="BE193" s="25"/>
      <c r="BF193" s="27"/>
      <c r="BG193" s="25"/>
      <c r="BH193" s="27"/>
      <c r="BI193" s="27"/>
      <c r="BJ193" s="27"/>
      <c r="BK193" s="27"/>
      <c r="BL193" s="27"/>
      <c r="BM193" s="25"/>
      <c r="BN193" s="27"/>
      <c r="BO193" s="25"/>
      <c r="BP193" s="27"/>
      <c r="BQ193" s="27"/>
      <c r="BR193" s="27"/>
      <c r="BS193" s="25"/>
      <c r="BT193" s="27"/>
      <c r="BU193" s="25"/>
      <c r="BV193" s="27"/>
      <c r="BW193" s="25"/>
      <c r="BX193" s="27"/>
      <c r="BY193" s="27"/>
      <c r="BZ193" s="27"/>
      <c r="CA193" s="27"/>
      <c r="CB193" s="27"/>
      <c r="CC193" s="25"/>
      <c r="CD193" s="27"/>
      <c r="CE193" s="27"/>
      <c r="CF193" s="25"/>
      <c r="CG193" s="25"/>
      <c r="CH193" s="25"/>
      <c r="CI193" s="25"/>
      <c r="CJ193" s="25"/>
      <c r="CK193" s="28"/>
      <c r="CL193" s="25"/>
      <c r="CM193" s="25"/>
      <c r="CN193" s="25"/>
      <c r="CO193" s="27"/>
      <c r="CP193" s="25"/>
      <c r="CQ193" s="25"/>
      <c r="CR193" s="25"/>
      <c r="CS193" s="27"/>
      <c r="CT193" s="25"/>
      <c r="CU193" s="25"/>
      <c r="CV193" s="28"/>
      <c r="CW193" s="25"/>
      <c r="CX193" s="25"/>
      <c r="CY193" s="25"/>
      <c r="CZ193" s="25"/>
      <c r="DA193" s="25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8"/>
      <c r="EN193" s="28">
        <f t="shared" si="23"/>
        <v>0</v>
      </c>
      <c r="EO193" s="28">
        <f t="shared" si="24"/>
        <v>0</v>
      </c>
      <c r="EP193" s="28">
        <f t="shared" si="21"/>
        <v>0</v>
      </c>
    </row>
    <row r="194" spans="2:146">
      <c r="B194" s="9">
        <f>+B193</f>
        <v>44555</v>
      </c>
      <c r="C194" s="92"/>
      <c r="D194" s="138" t="s">
        <v>171</v>
      </c>
      <c r="E194" s="25">
        <f t="shared" si="26"/>
        <v>0</v>
      </c>
      <c r="F194" s="26"/>
      <c r="G194" s="27">
        <v>0</v>
      </c>
      <c r="H194" s="27"/>
      <c r="I194" s="27"/>
      <c r="J194" s="27"/>
      <c r="K194" s="27"/>
      <c r="L194" s="27"/>
      <c r="M194" s="27"/>
      <c r="N194" s="25"/>
      <c r="O194" s="27"/>
      <c r="P194" s="27"/>
      <c r="Q194" s="27"/>
      <c r="R194" s="25"/>
      <c r="S194" s="27"/>
      <c r="T194" s="25"/>
      <c r="U194" s="25"/>
      <c r="V194" s="25"/>
      <c r="W194" s="25"/>
      <c r="X194" s="25"/>
      <c r="Y194" s="27"/>
      <c r="Z194" s="27"/>
      <c r="AA194" s="27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7"/>
      <c r="AP194" s="25"/>
      <c r="AQ194" s="25"/>
      <c r="AR194" s="25"/>
      <c r="AS194" s="25"/>
      <c r="AT194" s="28"/>
      <c r="AU194" s="25"/>
      <c r="AV194" s="25"/>
      <c r="AW194" s="25"/>
      <c r="AX194" s="25"/>
      <c r="AY194" s="25"/>
      <c r="AZ194" s="27"/>
      <c r="BA194" s="25"/>
      <c r="BB194" s="25"/>
      <c r="BC194" s="25"/>
      <c r="BD194" s="27"/>
      <c r="BE194" s="25"/>
      <c r="BF194" s="27"/>
      <c r="BG194" s="25"/>
      <c r="BH194" s="27"/>
      <c r="BI194" s="27"/>
      <c r="BJ194" s="27"/>
      <c r="BK194" s="27"/>
      <c r="BL194" s="27"/>
      <c r="BM194" s="25"/>
      <c r="BN194" s="27"/>
      <c r="BO194" s="25"/>
      <c r="BP194" s="27"/>
      <c r="BQ194" s="27"/>
      <c r="BR194" s="27"/>
      <c r="BS194" s="25"/>
      <c r="BT194" s="27"/>
      <c r="BU194" s="25"/>
      <c r="BV194" s="27"/>
      <c r="BW194" s="25"/>
      <c r="BX194" s="27"/>
      <c r="BY194" s="27"/>
      <c r="BZ194" s="27"/>
      <c r="CA194" s="27"/>
      <c r="CB194" s="27"/>
      <c r="CC194" s="25"/>
      <c r="CD194" s="27"/>
      <c r="CE194" s="27"/>
      <c r="CF194" s="25"/>
      <c r="CG194" s="25"/>
      <c r="CH194" s="25"/>
      <c r="CI194" s="25"/>
      <c r="CJ194" s="25"/>
      <c r="CK194" s="28"/>
      <c r="CL194" s="25"/>
      <c r="CM194" s="25"/>
      <c r="CN194" s="25"/>
      <c r="CO194" s="27"/>
      <c r="CP194" s="25"/>
      <c r="CQ194" s="25"/>
      <c r="CR194" s="25"/>
      <c r="CS194" s="27"/>
      <c r="CT194" s="25"/>
      <c r="CU194" s="25"/>
      <c r="CV194" s="28"/>
      <c r="CW194" s="25"/>
      <c r="CX194" s="25"/>
      <c r="CY194" s="25"/>
      <c r="CZ194" s="25"/>
      <c r="DA194" s="25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>
        <f>+X194</f>
        <v>0</v>
      </c>
      <c r="EE194" s="25"/>
      <c r="EF194" s="25"/>
      <c r="EG194" s="27"/>
      <c r="EH194" s="25"/>
      <c r="EI194" s="25"/>
      <c r="EJ194" s="25"/>
      <c r="EK194" s="25"/>
      <c r="EL194" s="25"/>
      <c r="EM194" s="28"/>
      <c r="EN194" s="28">
        <f t="shared" si="23"/>
        <v>0</v>
      </c>
      <c r="EO194" s="28">
        <f t="shared" si="24"/>
        <v>0</v>
      </c>
      <c r="EP194" s="28">
        <f t="shared" si="21"/>
        <v>0</v>
      </c>
    </row>
    <row r="195" spans="2:146">
      <c r="B195" s="9">
        <f>+B194</f>
        <v>44555</v>
      </c>
      <c r="C195" s="92"/>
      <c r="D195" s="212" t="s">
        <v>147</v>
      </c>
      <c r="E195" s="25">
        <f t="shared" si="26"/>
        <v>0</v>
      </c>
      <c r="F195" s="26"/>
      <c r="G195" s="27">
        <f>+DS195-AX195</f>
        <v>0</v>
      </c>
      <c r="H195" s="27"/>
      <c r="I195" s="27"/>
      <c r="J195" s="27"/>
      <c r="K195" s="27"/>
      <c r="L195" s="27"/>
      <c r="M195" s="27"/>
      <c r="N195" s="25"/>
      <c r="O195" s="27"/>
      <c r="P195" s="27"/>
      <c r="Q195" s="27"/>
      <c r="R195" s="25"/>
      <c r="S195" s="27"/>
      <c r="T195" s="25"/>
      <c r="U195" s="25"/>
      <c r="V195" s="25"/>
      <c r="W195" s="25"/>
      <c r="X195" s="27"/>
      <c r="Y195" s="27"/>
      <c r="Z195" s="27"/>
      <c r="AA195" s="27"/>
      <c r="AB195" s="25"/>
      <c r="AC195" s="25"/>
      <c r="AD195" s="25"/>
      <c r="AE195" s="25"/>
      <c r="AF195" s="25"/>
      <c r="AG195" s="25">
        <v>0</v>
      </c>
      <c r="AH195" s="25"/>
      <c r="AI195" s="25"/>
      <c r="AJ195" s="25"/>
      <c r="AK195" s="25"/>
      <c r="AL195" s="25"/>
      <c r="AM195" s="25"/>
      <c r="AN195" s="25"/>
      <c r="AO195" s="27"/>
      <c r="AP195" s="25"/>
      <c r="AQ195" s="25"/>
      <c r="AR195" s="25"/>
      <c r="AS195" s="25"/>
      <c r="AT195" s="28"/>
      <c r="AU195" s="25"/>
      <c r="AV195" s="25"/>
      <c r="AW195" s="25"/>
      <c r="AX195" s="217">
        <f>+DATOS!G26</f>
        <v>0</v>
      </c>
      <c r="AY195" s="25"/>
      <c r="AZ195" s="27"/>
      <c r="BA195" s="25"/>
      <c r="BB195" s="25"/>
      <c r="BC195" s="25"/>
      <c r="BD195" s="27"/>
      <c r="BE195" s="25"/>
      <c r="BF195" s="27"/>
      <c r="BG195" s="25"/>
      <c r="BH195" s="27"/>
      <c r="BI195" s="27"/>
      <c r="BJ195" s="27"/>
      <c r="BK195" s="27"/>
      <c r="BL195" s="27"/>
      <c r="BM195" s="25"/>
      <c r="BN195" s="27"/>
      <c r="BO195" s="25"/>
      <c r="BP195" s="27"/>
      <c r="BQ195" s="27"/>
      <c r="BR195" s="27"/>
      <c r="BS195" s="25"/>
      <c r="BT195" s="27"/>
      <c r="BU195" s="25"/>
      <c r="BV195" s="27"/>
      <c r="BW195" s="25"/>
      <c r="BX195" s="27"/>
      <c r="BY195" s="27"/>
      <c r="BZ195" s="27"/>
      <c r="CA195" s="27"/>
      <c r="CB195" s="27"/>
      <c r="CC195" s="25"/>
      <c r="CD195" s="27"/>
      <c r="CE195" s="27"/>
      <c r="CF195" s="25"/>
      <c r="CG195" s="25"/>
      <c r="CH195" s="25"/>
      <c r="CI195" s="25"/>
      <c r="CJ195" s="25"/>
      <c r="CK195" s="28"/>
      <c r="CL195" s="25"/>
      <c r="CM195" s="25"/>
      <c r="CN195" s="25"/>
      <c r="CO195" s="27"/>
      <c r="CP195" s="25"/>
      <c r="CQ195" s="25"/>
      <c r="CR195" s="25"/>
      <c r="CS195" s="27"/>
      <c r="CT195" s="25"/>
      <c r="CU195" s="25"/>
      <c r="CV195" s="28"/>
      <c r="CW195" s="25"/>
      <c r="CX195" s="25"/>
      <c r="CY195" s="25"/>
      <c r="CZ195" s="25"/>
      <c r="DA195" s="25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5"/>
      <c r="DP195" s="25"/>
      <c r="DQ195" s="25"/>
      <c r="DR195" s="25"/>
      <c r="DS195" s="218">
        <f>ROUND(+AX195/0.13,0)</f>
        <v>0</v>
      </c>
      <c r="DT195" s="25"/>
      <c r="DU195" s="25"/>
      <c r="DV195" s="25"/>
      <c r="DW195" s="25"/>
      <c r="DX195" s="25"/>
      <c r="DY195" s="25"/>
      <c r="DZ195" s="25"/>
      <c r="EA195" s="25">
        <v>0</v>
      </c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8"/>
      <c r="EN195" s="28">
        <f t="shared" si="23"/>
        <v>0</v>
      </c>
      <c r="EO195" s="28">
        <f t="shared" si="24"/>
        <v>0</v>
      </c>
      <c r="EP195" s="28">
        <f t="shared" si="21"/>
        <v>0</v>
      </c>
    </row>
    <row r="196" spans="2:146">
      <c r="B196" s="9">
        <f>+B194</f>
        <v>44555</v>
      </c>
      <c r="C196" s="92"/>
      <c r="D196" s="434"/>
      <c r="E196" s="25">
        <f>+F196+J196+L196+N196+T196+V196+X196+AB196+AD196+AF196+AL196+AN196+AP196+AU196+AW196+AY196+BC196+BE196+BG196+BM196+BO196+BQ196+BW196+CC196+CE196+CG196+CL196+CN196+CP196+CR196+CT196+CW196+CY196+DA196+DC196+DE196+DG196+DI196+DK196+DM196+DO196+DQ196+DS196+EE196+EG196+EI196+EK196+R196+H196+CI196+BA196+AR196+DU196</f>
        <v>0</v>
      </c>
      <c r="F196" s="26"/>
      <c r="G196" s="286">
        <f>+DU196</f>
        <v>0</v>
      </c>
      <c r="H196" s="27"/>
      <c r="I196" s="27"/>
      <c r="J196" s="27"/>
      <c r="K196" s="27"/>
      <c r="L196" s="27"/>
      <c r="M196" s="27"/>
      <c r="N196" s="25"/>
      <c r="O196" s="27"/>
      <c r="P196" s="27"/>
      <c r="Q196" s="27"/>
      <c r="R196" s="25"/>
      <c r="S196" s="27"/>
      <c r="T196" s="25"/>
      <c r="U196" s="25"/>
      <c r="V196" s="25"/>
      <c r="W196" s="25"/>
      <c r="X196" s="27"/>
      <c r="Y196" s="27"/>
      <c r="Z196" s="27"/>
      <c r="AA196" s="27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7"/>
      <c r="AP196" s="25"/>
      <c r="AQ196" s="25"/>
      <c r="AR196" s="25"/>
      <c r="AS196" s="25"/>
      <c r="AT196" s="28"/>
      <c r="AU196" s="25"/>
      <c r="AV196" s="25"/>
      <c r="AW196" s="25"/>
      <c r="AX196" s="25"/>
      <c r="AY196" s="25"/>
      <c r="AZ196" s="27"/>
      <c r="BA196" s="25"/>
      <c r="BB196" s="25"/>
      <c r="BC196" s="25"/>
      <c r="BD196" s="27"/>
      <c r="BE196" s="25"/>
      <c r="BF196" s="27"/>
      <c r="BG196" s="25"/>
      <c r="BH196" s="27"/>
      <c r="BI196" s="27"/>
      <c r="BJ196" s="27"/>
      <c r="BK196" s="27"/>
      <c r="BL196" s="27"/>
      <c r="BM196" s="25"/>
      <c r="BN196" s="27">
        <f>+Z196</f>
        <v>0</v>
      </c>
      <c r="BO196" s="25"/>
      <c r="BP196" s="27"/>
      <c r="BQ196" s="27"/>
      <c r="BR196" s="27"/>
      <c r="BS196" s="25"/>
      <c r="BT196" s="27"/>
      <c r="BU196" s="25"/>
      <c r="BV196" s="27"/>
      <c r="BW196" s="25"/>
      <c r="BX196" s="27"/>
      <c r="BY196" s="27"/>
      <c r="BZ196" s="27"/>
      <c r="CA196" s="27"/>
      <c r="CB196" s="27"/>
      <c r="CC196" s="25"/>
      <c r="CD196" s="27"/>
      <c r="CE196" s="27"/>
      <c r="CF196" s="25"/>
      <c r="CG196" s="25"/>
      <c r="CH196" s="25"/>
      <c r="CI196" s="25"/>
      <c r="CJ196" s="25"/>
      <c r="CK196" s="28"/>
      <c r="CL196" s="25"/>
      <c r="CM196" s="26"/>
      <c r="CN196" s="25"/>
      <c r="CO196" s="27"/>
      <c r="CP196" s="25"/>
      <c r="CQ196" s="25"/>
      <c r="CR196" s="25"/>
      <c r="CS196" s="27"/>
      <c r="CT196" s="25"/>
      <c r="CU196" s="25"/>
      <c r="CV196" s="28"/>
      <c r="CW196" s="25"/>
      <c r="CX196" s="25"/>
      <c r="CY196" s="25"/>
      <c r="CZ196" s="25"/>
      <c r="DA196" s="25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5"/>
      <c r="DP196" s="25"/>
      <c r="DQ196" s="25"/>
      <c r="DR196" s="25"/>
      <c r="DS196" s="25"/>
      <c r="DT196" s="25"/>
      <c r="DU196" s="215"/>
      <c r="DV196" s="25"/>
      <c r="DW196" s="25"/>
      <c r="DX196" s="25"/>
      <c r="DY196" s="215"/>
      <c r="DZ196" s="25"/>
      <c r="EA196" s="25"/>
      <c r="EB196" s="25"/>
      <c r="EC196" s="25"/>
      <c r="ED196" s="25"/>
      <c r="EE196" s="25"/>
      <c r="EF196" s="25"/>
      <c r="EG196" s="27"/>
      <c r="EH196" s="25"/>
      <c r="EI196" s="25"/>
      <c r="EJ196" s="25"/>
      <c r="EK196" s="25"/>
      <c r="EL196" s="25">
        <f>+J196</f>
        <v>0</v>
      </c>
      <c r="EM196" s="28"/>
      <c r="EN196" s="28">
        <f t="shared" si="23"/>
        <v>0</v>
      </c>
      <c r="EO196" s="28">
        <f t="shared" si="24"/>
        <v>0</v>
      </c>
      <c r="EP196" s="28">
        <f t="shared" si="21"/>
        <v>0</v>
      </c>
    </row>
    <row r="197" spans="2:146">
      <c r="B197" s="9">
        <f>+B196</f>
        <v>44555</v>
      </c>
      <c r="C197" s="92"/>
      <c r="D197" s="138" t="s">
        <v>171</v>
      </c>
      <c r="E197" s="25">
        <f>+F197+J197+L197+N197+T197+V197+X197+AB197+AD197+AF197+AL197+AN197+AP197+AU197+AW197+AY197+BC197+BE197+BG197+BM197+BO197+BQ197+BW197+CC197+CE197+CG197+CL197+CN197+CP197+CR197+CT197+CW197+CY197+DA197+DC197+DE197+DG197+DI197+DK197+DM197+DO197+DQ197+DS197+EE197+EG197+EI197+EK197+R197+H197+CI197+BA197+AR197</f>
        <v>0</v>
      </c>
      <c r="F197" s="26"/>
      <c r="G197" s="27">
        <f>+CW197+CY197+DA197+DC197+DE197+DG197+DI197+DK197+DM197</f>
        <v>0</v>
      </c>
      <c r="H197" s="27"/>
      <c r="I197" s="27"/>
      <c r="J197" s="27"/>
      <c r="K197" s="27"/>
      <c r="L197" s="27"/>
      <c r="M197" s="27"/>
      <c r="N197" s="25"/>
      <c r="O197" s="27"/>
      <c r="P197" s="27"/>
      <c r="Q197" s="27"/>
      <c r="R197" s="25"/>
      <c r="S197" s="27"/>
      <c r="T197" s="25"/>
      <c r="U197" s="25"/>
      <c r="V197" s="25"/>
      <c r="W197" s="25"/>
      <c r="X197" s="27"/>
      <c r="Y197" s="27"/>
      <c r="Z197" s="27"/>
      <c r="AA197" s="27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7"/>
      <c r="AP197" s="25"/>
      <c r="AQ197" s="25"/>
      <c r="AR197" s="25"/>
      <c r="AS197" s="25"/>
      <c r="AT197" s="28"/>
      <c r="AU197" s="25"/>
      <c r="AV197" s="25"/>
      <c r="AW197" s="25"/>
      <c r="AX197" s="25"/>
      <c r="AY197" s="25"/>
      <c r="AZ197" s="27"/>
      <c r="BA197" s="25"/>
      <c r="BB197" s="25"/>
      <c r="BC197" s="25"/>
      <c r="BD197" s="27"/>
      <c r="BE197" s="25"/>
      <c r="BF197" s="27"/>
      <c r="BG197" s="25"/>
      <c r="BH197" s="27"/>
      <c r="BI197" s="27"/>
      <c r="BJ197" s="27"/>
      <c r="BK197" s="27"/>
      <c r="BL197" s="27"/>
      <c r="BM197" s="25"/>
      <c r="BN197" s="27"/>
      <c r="BO197" s="25"/>
      <c r="BP197" s="27"/>
      <c r="BQ197" s="27"/>
      <c r="BR197" s="27"/>
      <c r="BS197" s="25"/>
      <c r="BT197" s="27"/>
      <c r="BU197" s="25"/>
      <c r="BV197" s="27"/>
      <c r="BW197" s="25"/>
      <c r="BX197" s="27"/>
      <c r="BY197" s="27"/>
      <c r="BZ197" s="27"/>
      <c r="CA197" s="27"/>
      <c r="CB197" s="27"/>
      <c r="CC197" s="25"/>
      <c r="CD197" s="27"/>
      <c r="CE197" s="27"/>
      <c r="CF197" s="25"/>
      <c r="CG197" s="25"/>
      <c r="CH197" s="25"/>
      <c r="CI197" s="25"/>
      <c r="CJ197" s="25"/>
      <c r="CK197" s="28"/>
      <c r="CL197" s="25"/>
      <c r="CM197" s="25"/>
      <c r="CN197" s="25"/>
      <c r="CO197" s="27"/>
      <c r="CP197" s="25"/>
      <c r="CQ197" s="25"/>
      <c r="CR197" s="25"/>
      <c r="CS197" s="27"/>
      <c r="CT197" s="25"/>
      <c r="CU197" s="25"/>
      <c r="CV197" s="28"/>
      <c r="CW197" s="25">
        <v>0</v>
      </c>
      <c r="CX197" s="25"/>
      <c r="CY197" s="25"/>
      <c r="CZ197" s="25"/>
      <c r="DA197" s="25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8"/>
      <c r="EN197" s="28">
        <f t="shared" si="23"/>
        <v>0</v>
      </c>
      <c r="EO197" s="28">
        <f t="shared" si="24"/>
        <v>0</v>
      </c>
      <c r="EP197" s="28">
        <f t="shared" si="21"/>
        <v>0</v>
      </c>
    </row>
    <row r="198" spans="2:146">
      <c r="B198" s="9">
        <f>+B197</f>
        <v>44555</v>
      </c>
      <c r="C198" s="92"/>
      <c r="D198" s="284" t="s">
        <v>263</v>
      </c>
      <c r="E198" s="478">
        <f>+F198+J198+L198+N198+T198+V198+X198+AB198+AD198+AF198+AL198+AN198+AP198+AU198+AW198+AY198+BC198+BE198+BG198+BM198+BO198+BQ198+BW198+CC198+CE198+CG198+CL198+CN198+CP198+CR198+CT198+CW198+CY198+DA198+DC198+DE198+DG198+DI198+DK198+DM198+DO198+DQ198+DS198+EE198+EG198+EI198+EK198+R198+H198+CI198+BA198+AR198</f>
        <v>0</v>
      </c>
      <c r="F198" s="26"/>
      <c r="G198" s="283">
        <f>+DW198</f>
        <v>0</v>
      </c>
      <c r="H198" s="27"/>
      <c r="I198" s="27"/>
      <c r="J198" s="27"/>
      <c r="K198" s="27"/>
      <c r="L198" s="27"/>
      <c r="M198" s="27"/>
      <c r="N198" s="25"/>
      <c r="O198" s="27"/>
      <c r="P198" s="27"/>
      <c r="Q198" s="27"/>
      <c r="R198" s="25"/>
      <c r="S198" s="27"/>
      <c r="T198" s="25"/>
      <c r="U198" s="25"/>
      <c r="V198" s="25"/>
      <c r="W198" s="25"/>
      <c r="X198" s="27"/>
      <c r="Y198" s="27"/>
      <c r="Z198" s="27"/>
      <c r="AA198" s="27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7"/>
      <c r="AP198" s="25"/>
      <c r="AQ198" s="25"/>
      <c r="AR198" s="25"/>
      <c r="AS198" s="25"/>
      <c r="AT198" s="28"/>
      <c r="AU198" s="25"/>
      <c r="AV198" s="25"/>
      <c r="AW198" s="25"/>
      <c r="AX198" s="25"/>
      <c r="AY198" s="25"/>
      <c r="AZ198" s="27"/>
      <c r="BA198" s="25"/>
      <c r="BB198" s="25"/>
      <c r="BC198" s="25"/>
      <c r="BD198" s="27"/>
      <c r="BE198" s="25"/>
      <c r="BF198" s="27"/>
      <c r="BG198" s="25"/>
      <c r="BH198" s="27"/>
      <c r="BI198" s="27"/>
      <c r="BJ198" s="27"/>
      <c r="BK198" s="27"/>
      <c r="BL198" s="27"/>
      <c r="BM198" s="25"/>
      <c r="BN198" s="27"/>
      <c r="BO198" s="25"/>
      <c r="BP198" s="27"/>
      <c r="BQ198" s="27"/>
      <c r="BR198" s="27"/>
      <c r="BS198" s="25"/>
      <c r="BT198" s="27"/>
      <c r="BU198" s="25"/>
      <c r="BV198" s="27"/>
      <c r="BW198" s="25"/>
      <c r="BX198" s="27"/>
      <c r="BY198" s="27"/>
      <c r="BZ198" s="27"/>
      <c r="CA198" s="27"/>
      <c r="CB198" s="27"/>
      <c r="CC198" s="25"/>
      <c r="CD198" s="27"/>
      <c r="CE198" s="27"/>
      <c r="CF198" s="25"/>
      <c r="CG198" s="25"/>
      <c r="CH198" s="25"/>
      <c r="CI198" s="25"/>
      <c r="CJ198" s="25"/>
      <c r="CK198" s="28"/>
      <c r="CL198" s="25"/>
      <c r="CM198" s="25"/>
      <c r="CN198" s="25"/>
      <c r="CO198" s="27"/>
      <c r="CP198" s="25"/>
      <c r="CQ198" s="25"/>
      <c r="CR198" s="25"/>
      <c r="CS198" s="27"/>
      <c r="CT198" s="25"/>
      <c r="CU198" s="25"/>
      <c r="CV198" s="28"/>
      <c r="CW198" s="25"/>
      <c r="CX198" s="25"/>
      <c r="CY198" s="25"/>
      <c r="CZ198" s="25"/>
      <c r="DA198" s="25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5"/>
      <c r="DP198" s="25"/>
      <c r="DQ198" s="25"/>
      <c r="DR198" s="25"/>
      <c r="DS198" s="25"/>
      <c r="DT198" s="25"/>
      <c r="DU198" s="25"/>
      <c r="DV198" s="25"/>
      <c r="DW198" s="285">
        <f>+DATOS!N47</f>
        <v>0</v>
      </c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8"/>
      <c r="EN198" s="28">
        <f>+F198+J198+L198+N198+T198+V198+X198+AB198+AD198+AF198+AL198+AN198+AP198+AU198+AW198+AY198+BC198+BE198+BG198+BM198+BO198+BQ198+BU198+BW198+BY198+CC198+CE198+CG198+CL198+CN198+CP198+CR198+CT198+CW198+CY198+DA198+DC198+DE198+DG198+DI198+DK198+DM198+DO198+DQ198+DS198+EE198+EG198+EI198+EK198+H198+R198+AR198+BA198+CI198</f>
        <v>0</v>
      </c>
      <c r="EO198" s="28">
        <f>+G198+K198+M198+O198+U198+W198+Y198+AC198+AE198+AG198+AM198+AO198+AQ198+AV198+AX198+AZ198+BD198+BF198+BH198+BN198+BP198+BR198+BV198+BX198+BZ198+CD198+CF198+CH198+CM198+CO198+CQ198+CS198+CU198+CX198+CZ198+DB198+DD198+DF198+DH198+DJ198+DL198+DN198+DP198+DR198+DT198+EF198+EH198+EJ198+EL198+I198+S198+AS198+BB198+CJ198</f>
        <v>0</v>
      </c>
      <c r="EP198" s="28"/>
    </row>
    <row r="199" spans="2:146">
      <c r="B199" s="9">
        <f>+B198</f>
        <v>44555</v>
      </c>
      <c r="C199" s="92"/>
      <c r="D199" s="213" t="s">
        <v>195</v>
      </c>
      <c r="E199" s="478">
        <f>+F199+J199+L199+N199+T199+V199+X199+AB199+AD199+AF199+AL199+AN199+AP199+AU199+AW199+AY199+BC199+BE199+BG199+BM199+BO199+BQ199+BW199+CC199+CE199+CG199+CL199+CN199+CP199+CR199+CT199+CW199+CY199+DA199+DC199+DE199+DG199+DI199+DK199+DM199+DO199+DQ199+DS199+EE199+EG199+EI199+EK199+R199+H199+CI199+BA199+AR199+DU199</f>
        <v>0</v>
      </c>
      <c r="F199" s="26"/>
      <c r="G199" s="286">
        <f>+DU199-BB199-AV199-AQ199+DY199</f>
        <v>0</v>
      </c>
      <c r="H199" s="27"/>
      <c r="I199" s="27"/>
      <c r="J199" s="27"/>
      <c r="K199" s="27"/>
      <c r="L199" s="27"/>
      <c r="M199" s="27"/>
      <c r="N199" s="25"/>
      <c r="O199" s="27"/>
      <c r="P199" s="27"/>
      <c r="Q199" s="27"/>
      <c r="R199" s="25"/>
      <c r="S199" s="27"/>
      <c r="T199" s="25"/>
      <c r="U199" s="25"/>
      <c r="V199" s="25"/>
      <c r="W199" s="25"/>
      <c r="X199" s="27"/>
      <c r="Y199" s="27"/>
      <c r="Z199" s="27"/>
      <c r="AA199" s="27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7"/>
      <c r="AP199" s="213"/>
      <c r="AQ199" s="215">
        <f>+DATOS!K47</f>
        <v>0</v>
      </c>
      <c r="AR199" s="25"/>
      <c r="AS199" s="25"/>
      <c r="AT199" s="28"/>
      <c r="AU199" s="25"/>
      <c r="AV199" s="215">
        <f>+DATOS!J47+DATOS!M47</f>
        <v>0</v>
      </c>
      <c r="AW199" s="25"/>
      <c r="AX199" s="25"/>
      <c r="AY199" s="25"/>
      <c r="AZ199" s="27"/>
      <c r="BA199" s="25"/>
      <c r="BB199" s="214">
        <f>+DATOS!I47</f>
        <v>0</v>
      </c>
      <c r="BC199" s="25"/>
      <c r="BD199" s="27"/>
      <c r="BE199" s="25"/>
      <c r="BF199" s="27"/>
      <c r="BG199" s="25"/>
      <c r="BH199" s="27"/>
      <c r="BI199" s="27"/>
      <c r="BJ199" s="27"/>
      <c r="BK199" s="27"/>
      <c r="BL199" s="27"/>
      <c r="BM199" s="25"/>
      <c r="BN199" s="27"/>
      <c r="BO199" s="25"/>
      <c r="BP199" s="27"/>
      <c r="BQ199" s="27"/>
      <c r="BR199" s="27"/>
      <c r="BS199" s="25"/>
      <c r="BT199" s="27"/>
      <c r="BU199" s="25"/>
      <c r="BV199" s="27"/>
      <c r="BW199" s="25"/>
      <c r="BX199" s="27"/>
      <c r="BY199" s="27"/>
      <c r="BZ199" s="27"/>
      <c r="CA199" s="27"/>
      <c r="CB199" s="27"/>
      <c r="CC199" s="25"/>
      <c r="CD199" s="27"/>
      <c r="CE199" s="27"/>
      <c r="CF199" s="25"/>
      <c r="CG199" s="25"/>
      <c r="CH199" s="25"/>
      <c r="CI199" s="25"/>
      <c r="CJ199" s="25"/>
      <c r="CK199" s="28"/>
      <c r="CL199" s="25"/>
      <c r="CM199" s="25"/>
      <c r="CN199" s="25"/>
      <c r="CO199" s="27"/>
      <c r="CP199" s="25"/>
      <c r="CQ199" s="25"/>
      <c r="CR199" s="25"/>
      <c r="CS199" s="27"/>
      <c r="CT199" s="25"/>
      <c r="CU199" s="25"/>
      <c r="CV199" s="28"/>
      <c r="CW199" s="25"/>
      <c r="CX199" s="25"/>
      <c r="CY199" s="25"/>
      <c r="CZ199" s="25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5"/>
      <c r="DP199" s="25"/>
      <c r="DQ199" s="25"/>
      <c r="DR199" s="25"/>
      <c r="DS199" s="25"/>
      <c r="DT199" s="25"/>
      <c r="DU199" s="215">
        <f>+DATOS!G47</f>
        <v>0</v>
      </c>
      <c r="DV199" s="25"/>
      <c r="DW199" s="25"/>
      <c r="DX199" s="25"/>
      <c r="DY199" s="215">
        <f>+DATOS!M47</f>
        <v>0</v>
      </c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8"/>
      <c r="EN199" s="28">
        <f>+F199+J199+L199+N199+T199+V199+X199+AB199+AD199+AF199+AL199+AN199+AP199+AU199+AW199+AY199+BC199+BE199+BG199+BM199+BO199+BQ199+BU199+BW199+BY199+CC199+CE199+CG199+CL199+CN199+CP199+CR199+CT199+CW199+CY199+DA199+DC199+DE199+DG199+DI199+DK199+DM199+DO199+DQ199+DS199+EE199+EG199+EI199+EK199+H199+R199+AR199+BA199+CI199+DU199+DY199</f>
        <v>0</v>
      </c>
      <c r="EO199" s="28">
        <f t="shared" si="24"/>
        <v>0</v>
      </c>
      <c r="EP199" s="28">
        <f t="shared" si="21"/>
        <v>0</v>
      </c>
    </row>
    <row r="200" spans="2:146">
      <c r="B200" s="9">
        <f>+B197</f>
        <v>44555</v>
      </c>
      <c r="C200" s="92"/>
      <c r="D200" s="485" t="s">
        <v>488</v>
      </c>
      <c r="E200" s="25"/>
      <c r="F200" s="26"/>
      <c r="G200" s="278">
        <f>+BY200</f>
        <v>0</v>
      </c>
      <c r="H200" s="27"/>
      <c r="I200" s="27"/>
      <c r="J200" s="27"/>
      <c r="K200" s="27"/>
      <c r="L200" s="27"/>
      <c r="M200" s="27"/>
      <c r="N200" s="25"/>
      <c r="O200" s="27"/>
      <c r="P200" s="27"/>
      <c r="Q200" s="27"/>
      <c r="R200" s="25"/>
      <c r="S200" s="27"/>
      <c r="T200" s="25"/>
      <c r="U200" s="25"/>
      <c r="V200" s="25"/>
      <c r="W200" s="25"/>
      <c r="X200" s="27"/>
      <c r="Y200" s="27"/>
      <c r="Z200" s="27"/>
      <c r="AA200" s="27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7"/>
      <c r="AP200" s="25"/>
      <c r="AQ200" s="25"/>
      <c r="AR200" s="25"/>
      <c r="AS200" s="25"/>
      <c r="AT200" s="28"/>
      <c r="AU200" s="25"/>
      <c r="AV200" s="25"/>
      <c r="AW200" s="25"/>
      <c r="AX200" s="25"/>
      <c r="AY200" s="25"/>
      <c r="AZ200" s="27"/>
      <c r="BA200" s="25"/>
      <c r="BB200" s="25"/>
      <c r="BC200" s="25"/>
      <c r="BD200" s="27"/>
      <c r="BE200" s="25"/>
      <c r="BF200" s="25"/>
      <c r="BG200" s="25"/>
      <c r="BH200" s="27"/>
      <c r="BI200" s="27"/>
      <c r="BJ200" s="27"/>
      <c r="BK200" s="27"/>
      <c r="BL200" s="27"/>
      <c r="BM200" s="25"/>
      <c r="BN200" s="27"/>
      <c r="BO200" s="25"/>
      <c r="BP200" s="27"/>
      <c r="BQ200" s="515">
        <f>+DATOS!C74</f>
        <v>0</v>
      </c>
      <c r="BR200" s="27"/>
      <c r="BS200" s="515">
        <f>+DATOS!F74</f>
        <v>0</v>
      </c>
      <c r="BT200" s="27"/>
      <c r="BU200" s="516">
        <f>+DATOS!I74</f>
        <v>0</v>
      </c>
      <c r="BV200" s="27"/>
      <c r="BW200" s="516">
        <f>+DATOS!L74</f>
        <v>0</v>
      </c>
      <c r="BX200" s="27"/>
      <c r="BY200" s="515">
        <f>+DATOS!O74</f>
        <v>0</v>
      </c>
      <c r="BZ200" s="27"/>
      <c r="CA200" s="27"/>
      <c r="CB200" s="27"/>
      <c r="CC200" s="25"/>
      <c r="CD200" s="27"/>
      <c r="CE200" s="27"/>
      <c r="CF200" s="25"/>
      <c r="CG200" s="25"/>
      <c r="CH200" s="25"/>
      <c r="CI200" s="25"/>
      <c r="CJ200" s="25"/>
      <c r="CK200" s="28"/>
      <c r="CL200" s="25"/>
      <c r="CM200" s="25"/>
      <c r="CN200" s="25"/>
      <c r="CO200" s="27"/>
      <c r="CP200" s="25"/>
      <c r="CQ200" s="25"/>
      <c r="CR200" s="25"/>
      <c r="CS200" s="27"/>
      <c r="CT200" s="25"/>
      <c r="CU200" s="25"/>
      <c r="CV200" s="28"/>
      <c r="CW200" s="25"/>
      <c r="CX200" s="25"/>
      <c r="CY200" s="25"/>
      <c r="CZ200" s="25"/>
      <c r="DA200" s="25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5"/>
      <c r="DP200" s="25"/>
      <c r="DQ200" s="25"/>
      <c r="DR200" s="25"/>
      <c r="DS200" s="242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8"/>
      <c r="EN200" s="28">
        <f t="shared" si="23"/>
        <v>0</v>
      </c>
      <c r="EO200" s="28">
        <f t="shared" si="24"/>
        <v>0</v>
      </c>
      <c r="EP200" s="28">
        <f t="shared" si="21"/>
        <v>0</v>
      </c>
    </row>
    <row r="201" spans="2:146">
      <c r="B201" s="9">
        <f>+B198</f>
        <v>44555</v>
      </c>
      <c r="C201" s="92"/>
      <c r="D201" s="302" t="s">
        <v>489</v>
      </c>
      <c r="E201" s="25">
        <f>+F201+J201+L201+N201+T201+V201+X201+AB201+AD201+AF201+AL201+AN201+AP201+AU201+AW201+AY201+BC201+BE201+BG201+BM201+BO201+BQ201+BW201+CC201+CE201+CG201+CL201+CN201+CP201+CR201+CT201+CW201+CY201+DA201+DC201+DE201+DG201+DI201+DK201+DM201+DO201+DQ201+DS201+EE201+EG201+EI201+EK201+R201+H201+CI201+BA201+AR201+DU201</f>
        <v>0</v>
      </c>
      <c r="F201" s="26"/>
      <c r="G201" s="27">
        <f>+BG201</f>
        <v>0</v>
      </c>
      <c r="H201" s="27"/>
      <c r="I201" s="27"/>
      <c r="J201" s="27"/>
      <c r="K201" s="27"/>
      <c r="L201" s="27"/>
      <c r="M201" s="27"/>
      <c r="N201" s="25"/>
      <c r="O201" s="27"/>
      <c r="P201" s="27"/>
      <c r="Q201" s="27"/>
      <c r="R201" s="25"/>
      <c r="S201" s="27"/>
      <c r="T201" s="25"/>
      <c r="U201" s="25"/>
      <c r="V201" s="25"/>
      <c r="W201" s="25"/>
      <c r="X201" s="27"/>
      <c r="Y201" s="27"/>
      <c r="Z201" s="27"/>
      <c r="AA201" s="27"/>
      <c r="AB201" s="25"/>
      <c r="AC201" s="25"/>
      <c r="AD201" s="25"/>
      <c r="AE201" s="25"/>
      <c r="AF201" s="25"/>
      <c r="AG201" s="527">
        <f>+DATOS!G74</f>
        <v>0</v>
      </c>
      <c r="AH201" s="25"/>
      <c r="AI201" s="527">
        <f>+DATOS!D74</f>
        <v>0</v>
      </c>
      <c r="AJ201" s="25"/>
      <c r="AK201" s="531">
        <f>+DATOS!J74+DATOS!M74+DATOS!P74</f>
        <v>0</v>
      </c>
      <c r="AL201" s="25"/>
      <c r="AM201" s="25"/>
      <c r="AN201" s="25"/>
      <c r="AO201" s="27"/>
      <c r="AP201" s="25"/>
      <c r="AQ201" s="25"/>
      <c r="AR201" s="25"/>
      <c r="AS201" s="25"/>
      <c r="AT201" s="28"/>
      <c r="AU201" s="25"/>
      <c r="AV201" s="25"/>
      <c r="AW201" s="25"/>
      <c r="AX201" s="25"/>
      <c r="AY201" s="25"/>
      <c r="AZ201" s="27"/>
      <c r="BA201" s="25"/>
      <c r="BB201" s="25"/>
      <c r="BC201" s="25"/>
      <c r="BD201" s="27"/>
      <c r="BE201" s="25"/>
      <c r="BF201" s="27"/>
      <c r="BG201" s="25"/>
      <c r="BH201" s="27"/>
      <c r="BI201" s="27"/>
      <c r="BJ201" s="27"/>
      <c r="BK201" s="27"/>
      <c r="BL201" s="27"/>
      <c r="BM201" s="25"/>
      <c r="BN201" s="27"/>
      <c r="BO201" s="25"/>
      <c r="BP201" s="27"/>
      <c r="BQ201" s="27"/>
      <c r="BR201" s="27"/>
      <c r="BS201" s="25"/>
      <c r="BT201" s="27"/>
      <c r="BU201" s="25"/>
      <c r="BV201" s="27"/>
      <c r="BW201" s="25"/>
      <c r="BX201" s="27"/>
      <c r="BY201" s="27"/>
      <c r="BZ201" s="27"/>
      <c r="CA201" s="27"/>
      <c r="CB201" s="27"/>
      <c r="CC201" s="25"/>
      <c r="CD201" s="27"/>
      <c r="CE201" s="27"/>
      <c r="CF201" s="25"/>
      <c r="CG201" s="25"/>
      <c r="CH201" s="25"/>
      <c r="CI201" s="25"/>
      <c r="CJ201" s="25"/>
      <c r="CK201" s="28"/>
      <c r="CL201" s="25"/>
      <c r="CM201" s="25"/>
      <c r="CN201" s="25"/>
      <c r="CO201" s="27"/>
      <c r="CP201" s="25"/>
      <c r="CQ201" s="25"/>
      <c r="CR201" s="25"/>
      <c r="CS201" s="27"/>
      <c r="CT201" s="25"/>
      <c r="CU201" s="25"/>
      <c r="CV201" s="28"/>
      <c r="CW201" s="25"/>
      <c r="CX201" s="25"/>
      <c r="CY201" s="25"/>
      <c r="CZ201" s="25"/>
      <c r="DA201" s="25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5"/>
      <c r="DP201" s="25"/>
      <c r="DQ201" s="25"/>
      <c r="DR201" s="25"/>
      <c r="DS201" s="242"/>
      <c r="DT201" s="25"/>
      <c r="DU201" s="25"/>
      <c r="DV201" s="25"/>
      <c r="DW201" s="25"/>
      <c r="DX201" s="25"/>
      <c r="DY201" s="25"/>
      <c r="DZ201" s="25"/>
      <c r="EA201" s="527">
        <f>+AG201+AI201+AK201</f>
        <v>0</v>
      </c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8"/>
      <c r="EN201" s="28">
        <f t="shared" si="23"/>
        <v>0</v>
      </c>
      <c r="EO201" s="28">
        <f t="shared" si="24"/>
        <v>0</v>
      </c>
      <c r="EP201" s="28">
        <f t="shared" si="21"/>
        <v>0</v>
      </c>
    </row>
    <row r="202" spans="2:146">
      <c r="B202" s="9">
        <f>+B199</f>
        <v>44555</v>
      </c>
      <c r="C202" s="92"/>
      <c r="D202" s="138" t="s">
        <v>323</v>
      </c>
      <c r="E202" s="478">
        <f>+F202+J202+L202+N202+T202+V202+X202+AB202+AD202+AF202+AL202+AN202+AP202+AU202+AW202+AY202+BC202+BE202+BG202+BM202+BO202+BQ202+BW202+CC202+CE202+CG202+CL202+CN202+CP202+CR202+CT202+CW202+CY202+DA202+DC202+DE202+DG202+DI202+DK202+DM202+DO202+DQ202+DS202+EE202+EG202+EI202+EK202+R202+H202+CI202+BA202+AR202+DU202</f>
        <v>0</v>
      </c>
      <c r="F202" s="26"/>
      <c r="G202" s="478"/>
      <c r="H202" s="27"/>
      <c r="I202" s="27"/>
      <c r="J202" s="27"/>
      <c r="K202" s="27"/>
      <c r="L202" s="27"/>
      <c r="M202" s="27"/>
      <c r="N202" s="478"/>
      <c r="O202" s="27"/>
      <c r="P202" s="27"/>
      <c r="Q202" s="27"/>
      <c r="R202" s="25"/>
      <c r="S202" s="27"/>
      <c r="T202" s="25"/>
      <c r="U202" s="25"/>
      <c r="V202" s="25"/>
      <c r="W202" s="25"/>
      <c r="X202" s="27"/>
      <c r="Y202" s="27"/>
      <c r="Z202" s="27"/>
      <c r="AA202" s="27"/>
      <c r="AB202" s="25"/>
      <c r="AC202" s="242"/>
      <c r="AD202" s="25"/>
      <c r="AE202" s="25"/>
      <c r="AF202" s="25"/>
      <c r="AG202" s="25"/>
      <c r="AH202" s="25"/>
      <c r="AI202" s="25"/>
      <c r="AJ202" s="25"/>
      <c r="AK202" s="25"/>
      <c r="AL202" s="477">
        <v>0</v>
      </c>
      <c r="AM202" s="25"/>
      <c r="AN202" s="25"/>
      <c r="AO202" s="27"/>
      <c r="AP202" s="25"/>
      <c r="AQ202" s="25"/>
      <c r="AR202" s="25"/>
      <c r="AS202" s="25"/>
      <c r="AT202" s="28"/>
      <c r="AU202" s="25"/>
      <c r="AV202" s="25"/>
      <c r="AW202" s="25"/>
      <c r="AX202" s="25"/>
      <c r="AY202" s="25"/>
      <c r="AZ202" s="27"/>
      <c r="BA202" s="25"/>
      <c r="BB202" s="25"/>
      <c r="BC202" s="25"/>
      <c r="BD202" s="27"/>
      <c r="BE202" s="25"/>
      <c r="BF202" s="27"/>
      <c r="BG202" s="25"/>
      <c r="BH202" s="27"/>
      <c r="BI202" s="27"/>
      <c r="BJ202" s="27"/>
      <c r="BK202" s="27"/>
      <c r="BL202" s="27"/>
      <c r="BM202" s="25"/>
      <c r="BN202" s="27"/>
      <c r="BO202" s="25"/>
      <c r="BP202" s="27"/>
      <c r="BQ202" s="27"/>
      <c r="BR202" s="27"/>
      <c r="BS202" s="25"/>
      <c r="BT202" s="27"/>
      <c r="BU202" s="25"/>
      <c r="BV202" s="27"/>
      <c r="BW202" s="27"/>
      <c r="BX202" s="27"/>
      <c r="BY202" s="27"/>
      <c r="BZ202" s="27"/>
      <c r="CA202" s="27"/>
      <c r="CB202" s="27"/>
      <c r="CC202" s="25"/>
      <c r="CD202" s="27"/>
      <c r="CE202" s="27"/>
      <c r="CF202" s="25"/>
      <c r="CG202" s="25"/>
      <c r="CH202" s="25"/>
      <c r="CI202" s="25"/>
      <c r="CJ202" s="25"/>
      <c r="CK202" s="28"/>
      <c r="CL202" s="25"/>
      <c r="CM202" s="25"/>
      <c r="CN202" s="25"/>
      <c r="CO202" s="27"/>
      <c r="CP202" s="25"/>
      <c r="CQ202" s="25"/>
      <c r="CR202" s="25"/>
      <c r="CS202" s="27"/>
      <c r="CT202" s="25"/>
      <c r="CU202" s="25"/>
      <c r="CV202" s="28"/>
      <c r="CW202" s="25"/>
      <c r="CX202" s="25"/>
      <c r="CY202" s="25"/>
      <c r="CZ202" s="25"/>
      <c r="DA202" s="25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5"/>
      <c r="DP202" s="25"/>
      <c r="DQ202" s="25"/>
      <c r="DR202" s="25"/>
      <c r="DS202" s="242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8"/>
      <c r="EN202" s="28">
        <f t="shared" si="23"/>
        <v>0</v>
      </c>
      <c r="EO202" s="28">
        <f t="shared" si="24"/>
        <v>0</v>
      </c>
      <c r="EP202" s="28">
        <f>+EN202-EO202</f>
        <v>0</v>
      </c>
    </row>
    <row r="203" spans="2:146">
      <c r="B203" s="9">
        <f>+B202</f>
        <v>44555</v>
      </c>
      <c r="C203" s="92"/>
      <c r="D203" s="277" t="s">
        <v>446</v>
      </c>
      <c r="E203" s="478">
        <f>+F203+J203+L203+N203+T203+V203+X203+AB203+AD203+AF203+AL203+AN203+AP203+AU203+AW203+AY203+BC203+BE203+BG203+BM203+BO203+BQ203+BW203+CC203+CE203+CG203+CL203+CN203+CP203+CR203+CT203+CW203+CY203+DA203+DC203+DE203+DG203+DI203+DK203+DM203+DO203+DQ203+DS203+EE203+EG203+EI203+EK203+R203+H203+CI203+BA203+AR203+DU203+BI203</f>
        <v>0</v>
      </c>
      <c r="F203" s="26"/>
      <c r="G203" s="27"/>
      <c r="H203" s="27"/>
      <c r="I203" s="27"/>
      <c r="J203" s="477"/>
      <c r="K203" s="27"/>
      <c r="L203" s="27"/>
      <c r="M203" s="27"/>
      <c r="N203" s="25"/>
      <c r="O203" s="27"/>
      <c r="P203" s="27"/>
      <c r="Q203" s="27"/>
      <c r="R203" s="25"/>
      <c r="S203" s="27"/>
      <c r="T203" s="25"/>
      <c r="U203" s="25"/>
      <c r="V203" s="25"/>
      <c r="W203" s="25"/>
      <c r="X203" s="27"/>
      <c r="Y203" s="27"/>
      <c r="Z203" s="27"/>
      <c r="AA203" s="27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7"/>
      <c r="AP203" s="25"/>
      <c r="AQ203" s="25"/>
      <c r="AR203" s="25"/>
      <c r="AS203" s="25"/>
      <c r="AT203" s="28"/>
      <c r="AU203" s="25"/>
      <c r="AV203" s="25"/>
      <c r="AW203" s="25"/>
      <c r="AX203" s="25"/>
      <c r="AY203" s="25"/>
      <c r="AZ203" s="27"/>
      <c r="BA203" s="25"/>
      <c r="BB203" s="25"/>
      <c r="BC203" s="25"/>
      <c r="BD203" s="27"/>
      <c r="BE203" s="25"/>
      <c r="BF203" s="25"/>
      <c r="BG203" s="25"/>
      <c r="BH203" s="27"/>
      <c r="BI203" s="27"/>
      <c r="BJ203" s="27"/>
      <c r="BK203" s="27"/>
      <c r="BL203" s="27"/>
      <c r="BM203" s="25"/>
      <c r="BN203" s="27"/>
      <c r="BO203" s="25"/>
      <c r="BP203" s="27"/>
      <c r="BQ203" s="27"/>
      <c r="BR203" s="27"/>
      <c r="BS203" s="25"/>
      <c r="BT203" s="27"/>
      <c r="BU203" s="25"/>
      <c r="BV203" s="27"/>
      <c r="BW203" s="25"/>
      <c r="BX203" s="27"/>
      <c r="BY203" s="27"/>
      <c r="BZ203" s="27"/>
      <c r="CA203" s="27"/>
      <c r="CB203" s="27"/>
      <c r="CC203" s="25"/>
      <c r="CD203" s="27"/>
      <c r="CE203" s="27"/>
      <c r="CF203" s="25"/>
      <c r="CG203" s="25"/>
      <c r="CH203" s="25"/>
      <c r="CI203" s="25"/>
      <c r="CJ203" s="25"/>
      <c r="CK203" s="28"/>
      <c r="CL203" s="25"/>
      <c r="CM203" s="25"/>
      <c r="CN203" s="25"/>
      <c r="CO203" s="27"/>
      <c r="CP203" s="25"/>
      <c r="CQ203" s="25"/>
      <c r="CR203" s="25"/>
      <c r="CS203" s="27"/>
      <c r="CT203" s="25"/>
      <c r="CU203" s="25"/>
      <c r="CV203" s="28"/>
      <c r="CW203" s="25"/>
      <c r="CX203" s="25"/>
      <c r="CY203" s="25"/>
      <c r="CZ203" s="25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478">
        <f>+J203</f>
        <v>0</v>
      </c>
      <c r="EM203" s="28"/>
      <c r="EN203" s="28">
        <f>+F203+J203+L203+N203+T203+V203+X203+AB203+AD203+AF203+AL203+AN203+AP203+AU203+AW203+AY203+BC203+BE203+BG203+BM203+BO203+BQ203+BU203+BW203+BY203+CC203+CE203+CG203+CL203+CN203+CP203+CR203+CT203+CW203+CY203+DA203+DC203+DE203+DG203+DI203+DK203+DM203+DO203+DQ203+DS203+EE203+EG203+EI203+EK203+H203+R203+AR203+BA203+CI203</f>
        <v>0</v>
      </c>
      <c r="EO203" s="28">
        <f>+G203+K203+M203+O203+U203+W203+Y203+AC203+AE203+AG203+AM203+AO203+AQ203+AV203+AX203+AZ203+BD203+BF203+BH203+BN203+BP203+BR203+BV203+BX203+BZ203+CD203+CF203+CH203+CM203+CO203+CQ203+CS203+CU203+CX203+CZ203+DB203+DD203+DF203+DH203+DJ203+DL203+DN203+DP203+DR203+DT203+EF203+EH203+EJ203+EL203+I203+S203+AS203+BB203+CJ203</f>
        <v>0</v>
      </c>
      <c r="EP203" s="28">
        <f>+EN203-EO203</f>
        <v>0</v>
      </c>
    </row>
    <row r="204" spans="2:146">
      <c r="B204" s="9"/>
      <c r="C204" s="92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  <c r="BN204" s="138"/>
      <c r="BO204" s="138"/>
      <c r="BP204" s="138"/>
      <c r="BQ204" s="138"/>
      <c r="BR204" s="138"/>
      <c r="BS204" s="138"/>
      <c r="BT204" s="138"/>
      <c r="BU204" s="138"/>
      <c r="BV204" s="138"/>
      <c r="BW204" s="138"/>
      <c r="BX204" s="138"/>
      <c r="BY204" s="138"/>
      <c r="BZ204" s="138"/>
      <c r="CA204" s="138"/>
      <c r="CB204" s="138"/>
      <c r="CC204" s="138"/>
      <c r="CD204" s="138"/>
      <c r="CE204" s="138"/>
      <c r="CF204" s="138"/>
      <c r="CG204" s="138"/>
      <c r="CH204" s="138"/>
      <c r="CI204" s="138"/>
      <c r="CJ204" s="138"/>
      <c r="CK204" s="138"/>
      <c r="CL204" s="138"/>
      <c r="CM204" s="138"/>
      <c r="CN204" s="138"/>
      <c r="CO204" s="138"/>
      <c r="CP204" s="138"/>
      <c r="CQ204" s="138"/>
      <c r="CR204" s="138"/>
      <c r="CS204" s="138"/>
      <c r="CT204" s="138"/>
      <c r="CU204" s="138"/>
      <c r="CV204" s="138"/>
      <c r="CW204" s="138"/>
      <c r="CX204" s="138"/>
      <c r="CY204" s="138"/>
      <c r="CZ204" s="138"/>
      <c r="DA204" s="138"/>
      <c r="DB204" s="138"/>
      <c r="DC204" s="138"/>
      <c r="DD204" s="138"/>
      <c r="DE204" s="138"/>
      <c r="DF204" s="138"/>
      <c r="DG204" s="138"/>
      <c r="DH204" s="138"/>
      <c r="DI204" s="138"/>
      <c r="DJ204" s="138"/>
      <c r="DK204" s="138"/>
      <c r="DL204" s="138"/>
      <c r="DM204" s="138"/>
      <c r="DN204" s="138"/>
      <c r="DO204" s="138"/>
      <c r="DP204" s="138"/>
      <c r="DQ204" s="138"/>
      <c r="DR204" s="138"/>
      <c r="DS204" s="138"/>
      <c r="DT204" s="138"/>
      <c r="DU204" s="138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8"/>
      <c r="EN204" s="28">
        <f t="shared" si="23"/>
        <v>0</v>
      </c>
      <c r="EO204" s="28">
        <f t="shared" si="24"/>
        <v>0</v>
      </c>
      <c r="EP204" s="28">
        <f t="shared" si="21"/>
        <v>0</v>
      </c>
    </row>
    <row r="205" spans="2:146">
      <c r="B205" s="94"/>
      <c r="C205" s="94"/>
      <c r="D205" s="40"/>
      <c r="E205" s="41"/>
      <c r="F205" s="42"/>
      <c r="G205" s="43"/>
      <c r="H205" s="43"/>
      <c r="I205" s="43"/>
      <c r="J205" s="43"/>
      <c r="K205" s="43"/>
      <c r="L205" s="43"/>
      <c r="M205" s="43"/>
      <c r="N205" s="41"/>
      <c r="O205" s="43"/>
      <c r="P205" s="43"/>
      <c r="Q205" s="43"/>
      <c r="R205" s="41"/>
      <c r="S205" s="43"/>
      <c r="T205" s="41"/>
      <c r="U205" s="41"/>
      <c r="V205" s="41"/>
      <c r="W205" s="41"/>
      <c r="X205" s="43"/>
      <c r="Y205" s="43"/>
      <c r="Z205" s="43"/>
      <c r="AA205" s="43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3"/>
      <c r="AP205" s="41"/>
      <c r="AQ205" s="41"/>
      <c r="AR205" s="41"/>
      <c r="AS205" s="41"/>
      <c r="AT205" s="28"/>
      <c r="AU205" s="41"/>
      <c r="AV205" s="41"/>
      <c r="AW205" s="41"/>
      <c r="AX205" s="41"/>
      <c r="AY205" s="41"/>
      <c r="AZ205" s="43"/>
      <c r="BA205" s="41"/>
      <c r="BB205" s="41"/>
      <c r="BC205" s="41"/>
      <c r="BD205" s="43"/>
      <c r="BE205" s="41"/>
      <c r="BF205" s="43"/>
      <c r="BG205" s="41"/>
      <c r="BH205" s="43"/>
      <c r="BI205" s="43"/>
      <c r="BJ205" s="43"/>
      <c r="BK205" s="43"/>
      <c r="BL205" s="43"/>
      <c r="BM205" s="41"/>
      <c r="BN205" s="43"/>
      <c r="BO205" s="41"/>
      <c r="BP205" s="43"/>
      <c r="BQ205" s="43"/>
      <c r="BR205" s="43"/>
      <c r="BS205" s="41"/>
      <c r="BT205" s="43"/>
      <c r="BU205" s="41"/>
      <c r="BV205" s="43"/>
      <c r="BW205" s="41"/>
      <c r="BX205" s="43"/>
      <c r="BY205" s="43"/>
      <c r="BZ205" s="43"/>
      <c r="CA205" s="43"/>
      <c r="CB205" s="43"/>
      <c r="CC205" s="41"/>
      <c r="CD205" s="43"/>
      <c r="CE205" s="43"/>
      <c r="CF205" s="41"/>
      <c r="CG205" s="41"/>
      <c r="CH205" s="41"/>
      <c r="CI205" s="41"/>
      <c r="CJ205" s="41"/>
      <c r="CK205" s="28"/>
      <c r="CL205" s="41"/>
      <c r="CM205" s="41"/>
      <c r="CN205" s="41"/>
      <c r="CO205" s="43"/>
      <c r="CP205" s="41"/>
      <c r="CQ205" s="41"/>
      <c r="CR205" s="41"/>
      <c r="CS205" s="43"/>
      <c r="CT205" s="41"/>
      <c r="CU205" s="41"/>
      <c r="CV205" s="28"/>
      <c r="CW205" s="41"/>
      <c r="CX205" s="41"/>
      <c r="CY205" s="41"/>
      <c r="CZ205" s="41"/>
      <c r="DA205" s="41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  <c r="EA205" s="41"/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28"/>
      <c r="EN205" s="28">
        <f t="shared" si="23"/>
        <v>0</v>
      </c>
      <c r="EO205" s="28">
        <f t="shared" si="24"/>
        <v>0</v>
      </c>
      <c r="EP205" s="28">
        <f t="shared" si="21"/>
        <v>0</v>
      </c>
    </row>
    <row r="206" spans="2:146">
      <c r="B206" s="9"/>
      <c r="C206" s="91"/>
      <c r="D206" s="46" t="s">
        <v>98</v>
      </c>
      <c r="E206" s="25"/>
      <c r="F206" s="26"/>
      <c r="G206" s="27"/>
      <c r="H206" s="27"/>
      <c r="I206" s="27"/>
      <c r="J206" s="27"/>
      <c r="K206" s="27"/>
      <c r="L206" s="27"/>
      <c r="M206" s="27"/>
      <c r="N206" s="25"/>
      <c r="O206" s="27"/>
      <c r="P206" s="27"/>
      <c r="Q206" s="27"/>
      <c r="R206" s="25"/>
      <c r="S206" s="27"/>
      <c r="T206" s="25"/>
      <c r="U206" s="25"/>
      <c r="V206" s="25"/>
      <c r="W206" s="25"/>
      <c r="X206" s="27"/>
      <c r="Y206" s="27"/>
      <c r="Z206" s="27"/>
      <c r="AA206" s="27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7"/>
      <c r="AP206" s="25"/>
      <c r="AQ206" s="25"/>
      <c r="AR206" s="25"/>
      <c r="AS206" s="25"/>
      <c r="AT206" s="28"/>
      <c r="AU206" s="25"/>
      <c r="AV206" s="25"/>
      <c r="AW206" s="25"/>
      <c r="AX206" s="25"/>
      <c r="AY206" s="25"/>
      <c r="AZ206" s="27"/>
      <c r="BA206" s="25"/>
      <c r="BB206" s="25"/>
      <c r="BC206" s="25"/>
      <c r="BD206" s="27"/>
      <c r="BE206" s="25"/>
      <c r="BF206" s="27"/>
      <c r="BG206" s="25"/>
      <c r="BH206" s="27"/>
      <c r="BI206" s="27"/>
      <c r="BJ206" s="27"/>
      <c r="BK206" s="27"/>
      <c r="BL206" s="27"/>
      <c r="BM206" s="25"/>
      <c r="BN206" s="27"/>
      <c r="BO206" s="25"/>
      <c r="BP206" s="27"/>
      <c r="BQ206" s="27"/>
      <c r="BR206" s="27"/>
      <c r="BS206" s="25"/>
      <c r="BT206" s="27"/>
      <c r="BU206" s="25"/>
      <c r="BV206" s="27"/>
      <c r="BW206" s="25"/>
      <c r="BX206" s="27"/>
      <c r="BY206" s="27"/>
      <c r="BZ206" s="27"/>
      <c r="CA206" s="27"/>
      <c r="CB206" s="27"/>
      <c r="CC206" s="25"/>
      <c r="CD206" s="27"/>
      <c r="CE206" s="27"/>
      <c r="CF206" s="25"/>
      <c r="CG206" s="25"/>
      <c r="CH206" s="25"/>
      <c r="CI206" s="25"/>
      <c r="CJ206" s="25"/>
      <c r="CK206" s="28"/>
      <c r="CL206" s="25"/>
      <c r="CM206" s="25"/>
      <c r="CN206" s="25"/>
      <c r="CO206" s="27"/>
      <c r="CP206" s="25"/>
      <c r="CQ206" s="25"/>
      <c r="CR206" s="25"/>
      <c r="CS206" s="27"/>
      <c r="CT206" s="25"/>
      <c r="CU206" s="25"/>
      <c r="CV206" s="28"/>
      <c r="CW206" s="25"/>
      <c r="CX206" s="25"/>
      <c r="CY206" s="25"/>
      <c r="CZ206" s="25"/>
      <c r="DA206" s="25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8"/>
      <c r="EN206" s="28">
        <f t="shared" si="23"/>
        <v>0</v>
      </c>
      <c r="EO206" s="28">
        <f t="shared" si="24"/>
        <v>0</v>
      </c>
      <c r="EP206" s="28">
        <f t="shared" si="21"/>
        <v>0</v>
      </c>
    </row>
    <row r="207" spans="2:146">
      <c r="B207" s="9">
        <f>+B201</f>
        <v>44555</v>
      </c>
      <c r="C207" s="92"/>
      <c r="D207" s="6" t="s">
        <v>116</v>
      </c>
      <c r="E207" s="481">
        <f t="shared" ref="E207:E212" si="27">+F207+J207+L207+N207+T207+V207+X207+AB207+AD207+AF207+AL207+AN207+AP207+AU207+AW207+AY207+BC207+BE207+BG207+BM207+BO207+BQ207+BW207+CC207+CE207+CG207+CL207+CN207+CP207+CR207+CT207+CW207+CY207+DA207+DC207+DE207+DG207+DI207+DK207+DM207+DO207+DQ207+DS207+EE207+EG207+EI207+EK207+R207+H207+CI207+BA207+AR207</f>
        <v>0</v>
      </c>
      <c r="F207" s="26"/>
      <c r="G207" s="27">
        <f>+AL207</f>
        <v>0</v>
      </c>
      <c r="H207" s="27"/>
      <c r="I207" s="27"/>
      <c r="J207" s="27"/>
      <c r="K207" s="27"/>
      <c r="L207" s="321">
        <f>+DATOS!F27</f>
        <v>0</v>
      </c>
      <c r="M207" s="27"/>
      <c r="N207" s="25"/>
      <c r="O207" s="27"/>
      <c r="P207" s="27"/>
      <c r="Q207" s="27"/>
      <c r="R207" s="25"/>
      <c r="S207" s="27"/>
      <c r="T207" s="25"/>
      <c r="U207" s="25"/>
      <c r="V207" s="25"/>
      <c r="W207" s="25"/>
      <c r="X207" s="27"/>
      <c r="Y207" s="27"/>
      <c r="Z207" s="27"/>
      <c r="AA207" s="27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7"/>
      <c r="AP207" s="25"/>
      <c r="AQ207" s="25"/>
      <c r="AR207" s="25"/>
      <c r="AS207" s="25"/>
      <c r="AT207" s="28"/>
      <c r="AU207" s="25"/>
      <c r="AV207" s="25"/>
      <c r="AW207" s="25"/>
      <c r="AX207" s="25"/>
      <c r="AY207" s="25"/>
      <c r="AZ207" s="482">
        <f>+L207</f>
        <v>0</v>
      </c>
      <c r="BA207" s="25"/>
      <c r="BB207" s="25"/>
      <c r="BC207" s="25"/>
      <c r="BD207" s="27"/>
      <c r="BE207" s="25"/>
      <c r="BF207" s="27"/>
      <c r="BG207" s="25"/>
      <c r="BH207" s="27"/>
      <c r="BI207" s="27"/>
      <c r="BJ207" s="27"/>
      <c r="BK207" s="27"/>
      <c r="BL207" s="27"/>
      <c r="BM207" s="25"/>
      <c r="BN207" s="27"/>
      <c r="BO207" s="25"/>
      <c r="BP207" s="27"/>
      <c r="BQ207" s="27"/>
      <c r="BR207" s="27"/>
      <c r="BS207" s="25"/>
      <c r="BT207" s="27"/>
      <c r="BU207" s="25"/>
      <c r="BV207" s="27"/>
      <c r="BW207" s="25"/>
      <c r="BX207" s="27"/>
      <c r="BY207" s="27"/>
      <c r="BZ207" s="27"/>
      <c r="CA207" s="27"/>
      <c r="CB207" s="27"/>
      <c r="CC207" s="25"/>
      <c r="CD207" s="27"/>
      <c r="CE207" s="27"/>
      <c r="CF207" s="25"/>
      <c r="CG207" s="25"/>
      <c r="CH207" s="25"/>
      <c r="CI207" s="25"/>
      <c r="CJ207" s="25"/>
      <c r="CK207" s="28"/>
      <c r="CL207" s="25"/>
      <c r="CM207" s="25"/>
      <c r="CN207" s="25"/>
      <c r="CO207" s="27"/>
      <c r="CP207" s="25"/>
      <c r="CQ207" s="25"/>
      <c r="CR207" s="25"/>
      <c r="CS207" s="27"/>
      <c r="CT207" s="25"/>
      <c r="CU207" s="25"/>
      <c r="CV207" s="28"/>
      <c r="CW207" s="25"/>
      <c r="CX207" s="25"/>
      <c r="CY207" s="25"/>
      <c r="CZ207" s="25"/>
      <c r="DA207" s="25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8"/>
      <c r="EN207" s="28">
        <f t="shared" si="23"/>
        <v>0</v>
      </c>
      <c r="EO207" s="28">
        <f t="shared" si="24"/>
        <v>0</v>
      </c>
      <c r="EP207" s="28">
        <f t="shared" si="21"/>
        <v>0</v>
      </c>
    </row>
    <row r="208" spans="2:146">
      <c r="B208" s="9">
        <f>+B207</f>
        <v>44555</v>
      </c>
      <c r="C208" s="92"/>
      <c r="D208" s="5" t="s">
        <v>119</v>
      </c>
      <c r="E208" s="481">
        <f t="shared" si="27"/>
        <v>0</v>
      </c>
      <c r="F208" s="26"/>
      <c r="G208" s="27"/>
      <c r="H208" s="27"/>
      <c r="I208" s="27"/>
      <c r="J208" s="27"/>
      <c r="K208" s="27"/>
      <c r="L208" s="477">
        <f>+PPM!F28</f>
        <v>0</v>
      </c>
      <c r="M208" s="27"/>
      <c r="N208" s="25"/>
      <c r="O208" s="27"/>
      <c r="P208" s="27"/>
      <c r="Q208" s="27"/>
      <c r="R208" s="25"/>
      <c r="S208" s="27"/>
      <c r="T208" s="25"/>
      <c r="U208" s="25"/>
      <c r="V208" s="25"/>
      <c r="W208" s="25"/>
      <c r="X208" s="27"/>
      <c r="Y208" s="27"/>
      <c r="Z208" s="27"/>
      <c r="AA208" s="27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7"/>
      <c r="AP208" s="25"/>
      <c r="AQ208" s="25"/>
      <c r="AR208" s="25"/>
      <c r="AS208" s="25"/>
      <c r="AT208" s="28"/>
      <c r="AU208" s="25"/>
      <c r="AV208" s="25"/>
      <c r="AW208" s="25"/>
      <c r="AX208" s="25"/>
      <c r="AY208" s="25"/>
      <c r="AZ208" s="27"/>
      <c r="BA208" s="25"/>
      <c r="BB208" s="25"/>
      <c r="BC208" s="25"/>
      <c r="BD208" s="27"/>
      <c r="BE208" s="25"/>
      <c r="BF208" s="27"/>
      <c r="BG208" s="25"/>
      <c r="BH208" s="27"/>
      <c r="BI208" s="27"/>
      <c r="BJ208" s="27"/>
      <c r="BK208" s="27"/>
      <c r="BL208" s="27"/>
      <c r="BM208" s="25"/>
      <c r="BN208" s="27"/>
      <c r="BO208" s="25"/>
      <c r="BP208" s="27"/>
      <c r="BQ208" s="27"/>
      <c r="BR208" s="27"/>
      <c r="BS208" s="25"/>
      <c r="BT208" s="27"/>
      <c r="BU208" s="25"/>
      <c r="BV208" s="27"/>
      <c r="BW208" s="25"/>
      <c r="BX208" s="27"/>
      <c r="BY208" s="27"/>
      <c r="BZ208" s="27"/>
      <c r="CA208" s="27"/>
      <c r="CB208" s="27"/>
      <c r="CC208" s="25"/>
      <c r="CD208" s="27"/>
      <c r="CE208" s="27"/>
      <c r="CF208" s="25"/>
      <c r="CG208" s="25"/>
      <c r="CH208" s="25"/>
      <c r="CI208" s="25"/>
      <c r="CJ208" s="25"/>
      <c r="CK208" s="28"/>
      <c r="CL208" s="25"/>
      <c r="CM208" s="25"/>
      <c r="CN208" s="25"/>
      <c r="CO208" s="27"/>
      <c r="CP208" s="25"/>
      <c r="CQ208" s="25"/>
      <c r="CR208" s="25"/>
      <c r="CS208" s="27"/>
      <c r="CT208" s="25"/>
      <c r="CU208" s="25"/>
      <c r="CV208" s="28"/>
      <c r="CW208" s="25"/>
      <c r="CX208" s="25"/>
      <c r="CY208" s="25"/>
      <c r="CZ208" s="25"/>
      <c r="DA208" s="25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478">
        <f>+PPM!F28</f>
        <v>0</v>
      </c>
      <c r="EM208" s="28"/>
      <c r="EN208" s="28">
        <f t="shared" si="23"/>
        <v>0</v>
      </c>
      <c r="EO208" s="28">
        <f t="shared" si="24"/>
        <v>0</v>
      </c>
      <c r="EP208" s="28">
        <f t="shared" ref="EP208:EP216" si="28">+EN208-EO208</f>
        <v>0</v>
      </c>
    </row>
    <row r="209" spans="2:147">
      <c r="B209" s="9">
        <f>+B208</f>
        <v>44555</v>
      </c>
      <c r="C209" s="92"/>
      <c r="D209" s="5" t="s">
        <v>120</v>
      </c>
      <c r="E209" s="481">
        <f t="shared" si="27"/>
        <v>0</v>
      </c>
      <c r="F209" s="26"/>
      <c r="G209" s="27"/>
      <c r="H209" s="27"/>
      <c r="I209" s="27"/>
      <c r="J209" s="27"/>
      <c r="K209" s="27"/>
      <c r="L209" s="27"/>
      <c r="M209" s="27"/>
      <c r="N209" s="25"/>
      <c r="O209" s="27"/>
      <c r="P209" s="27"/>
      <c r="Q209" s="27"/>
      <c r="R209" s="25"/>
      <c r="S209" s="27"/>
      <c r="T209" s="25"/>
      <c r="U209" s="25"/>
      <c r="V209" s="25"/>
      <c r="W209" s="25"/>
      <c r="X209" s="27"/>
      <c r="Y209" s="27"/>
      <c r="Z209" s="27"/>
      <c r="AA209" s="27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7"/>
      <c r="AP209" s="25"/>
      <c r="AQ209" s="25"/>
      <c r="AR209" s="25"/>
      <c r="AS209" s="25"/>
      <c r="AT209" s="28"/>
      <c r="AU209" s="25"/>
      <c r="AV209" s="25"/>
      <c r="AW209" s="25"/>
      <c r="AX209" s="25"/>
      <c r="AY209" s="25"/>
      <c r="AZ209" s="27"/>
      <c r="BA209" s="25"/>
      <c r="BB209" s="25"/>
      <c r="BC209" s="25"/>
      <c r="BD209" s="27"/>
      <c r="BE209" s="25"/>
      <c r="BF209" s="27"/>
      <c r="BG209" s="25"/>
      <c r="BH209" s="27"/>
      <c r="BI209" s="27"/>
      <c r="BJ209" s="27"/>
      <c r="BK209" s="27"/>
      <c r="BL209" s="27"/>
      <c r="BM209" s="25"/>
      <c r="BN209" s="27"/>
      <c r="BO209" s="25"/>
      <c r="BP209" s="27"/>
      <c r="BQ209" s="27"/>
      <c r="BR209" s="27"/>
      <c r="BS209" s="25"/>
      <c r="BT209" s="27"/>
      <c r="BU209" s="25"/>
      <c r="BV209" s="27"/>
      <c r="BW209" s="25"/>
      <c r="BX209" s="27"/>
      <c r="BY209" s="27"/>
      <c r="BZ209" s="27"/>
      <c r="CA209" s="27"/>
      <c r="CB209" s="27"/>
      <c r="CC209" s="25"/>
      <c r="CD209" s="27"/>
      <c r="CE209" s="27"/>
      <c r="CF209" s="477"/>
      <c r="CG209" s="25"/>
      <c r="CH209" s="25"/>
      <c r="CI209" s="25"/>
      <c r="CJ209" s="25"/>
      <c r="CK209" s="28"/>
      <c r="CL209" s="25"/>
      <c r="CM209" s="25"/>
      <c r="CN209" s="25"/>
      <c r="CO209" s="27"/>
      <c r="CP209" s="25"/>
      <c r="CQ209" s="25"/>
      <c r="CR209" s="25"/>
      <c r="CS209" s="27"/>
      <c r="CT209" s="25"/>
      <c r="CU209" s="25"/>
      <c r="CV209" s="28"/>
      <c r="CW209" s="25"/>
      <c r="CX209" s="25"/>
      <c r="CY209" s="25"/>
      <c r="CZ209" s="25"/>
      <c r="DA209" s="25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478">
        <f>+CF209</f>
        <v>0</v>
      </c>
      <c r="EL209" s="25"/>
      <c r="EM209" s="28"/>
      <c r="EN209" s="28">
        <f t="shared" si="23"/>
        <v>0</v>
      </c>
      <c r="EO209" s="28">
        <f t="shared" si="24"/>
        <v>0</v>
      </c>
      <c r="EP209" s="28">
        <f t="shared" si="28"/>
        <v>0</v>
      </c>
    </row>
    <row r="210" spans="2:147">
      <c r="B210" s="9">
        <f>+B209</f>
        <v>44555</v>
      </c>
      <c r="C210" s="92"/>
      <c r="D210" s="488" t="s">
        <v>456</v>
      </c>
      <c r="E210" s="189">
        <f t="shared" si="27"/>
        <v>0</v>
      </c>
      <c r="F210" s="303"/>
      <c r="G210" s="477">
        <v>0</v>
      </c>
      <c r="H210" s="477">
        <v>0</v>
      </c>
      <c r="I210" s="27"/>
      <c r="J210" s="27"/>
      <c r="K210" s="27"/>
      <c r="L210" s="27"/>
      <c r="M210" s="27"/>
      <c r="N210" s="25"/>
      <c r="O210" s="27"/>
      <c r="P210" s="27"/>
      <c r="Q210" s="27"/>
      <c r="R210" s="25"/>
      <c r="S210" s="27"/>
      <c r="T210" s="25"/>
      <c r="U210" s="25"/>
      <c r="V210" s="25"/>
      <c r="W210" s="25"/>
      <c r="X210" s="27"/>
      <c r="Y210" s="27"/>
      <c r="Z210" s="27"/>
      <c r="AA210" s="27"/>
      <c r="AB210" s="24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7"/>
      <c r="AP210" s="25"/>
      <c r="AQ210" s="25"/>
      <c r="AR210" s="25"/>
      <c r="AS210" s="25"/>
      <c r="AT210" s="28"/>
      <c r="AU210" s="25"/>
      <c r="AV210" s="25"/>
      <c r="AW210" s="25"/>
      <c r="AX210" s="25"/>
      <c r="AY210" s="25"/>
      <c r="AZ210" s="27"/>
      <c r="BA210" s="25"/>
      <c r="BB210" s="25"/>
      <c r="BC210" s="25"/>
      <c r="BD210" s="27"/>
      <c r="BE210" s="25"/>
      <c r="BF210" s="27"/>
      <c r="BG210" s="25"/>
      <c r="BH210" s="27"/>
      <c r="BI210" s="27"/>
      <c r="BJ210" s="27"/>
      <c r="BK210" s="27"/>
      <c r="BL210" s="27"/>
      <c r="BM210" s="25"/>
      <c r="BN210" s="27"/>
      <c r="BO210" s="25"/>
      <c r="BP210" s="221">
        <f>+AB210</f>
        <v>0</v>
      </c>
      <c r="BQ210" s="27"/>
      <c r="BR210" s="27"/>
      <c r="BS210" s="25"/>
      <c r="BT210" s="27"/>
      <c r="BU210" s="25"/>
      <c r="BV210" s="27"/>
      <c r="BW210" s="25"/>
      <c r="BX210" s="27"/>
      <c r="BY210" s="27"/>
      <c r="BZ210" s="27"/>
      <c r="CA210" s="27"/>
      <c r="CB210" s="27"/>
      <c r="CC210" s="25"/>
      <c r="CD210" s="27"/>
      <c r="CE210" s="27"/>
      <c r="CF210" s="25"/>
      <c r="CG210" s="25"/>
      <c r="CH210" s="25"/>
      <c r="CI210" s="25"/>
      <c r="CJ210" s="25"/>
      <c r="CK210" s="28"/>
      <c r="CL210" s="25"/>
      <c r="CM210" s="25"/>
      <c r="CN210" s="25"/>
      <c r="CO210" s="27"/>
      <c r="CP210" s="25"/>
      <c r="CQ210" s="25"/>
      <c r="CR210" s="25"/>
      <c r="CS210" s="27"/>
      <c r="CT210" s="25"/>
      <c r="CU210" s="25"/>
      <c r="CV210" s="28"/>
      <c r="CW210" s="25"/>
      <c r="CX210" s="25"/>
      <c r="CY210" s="25"/>
      <c r="CZ210" s="25"/>
      <c r="DA210" s="25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303"/>
      <c r="EE210" s="25"/>
      <c r="EF210" s="25"/>
      <c r="EG210" s="25"/>
      <c r="EH210" s="25"/>
      <c r="EI210" s="25"/>
      <c r="EJ210" s="25"/>
      <c r="EK210" s="27">
        <f>ROUND(+(92064)*0%,0)</f>
        <v>0</v>
      </c>
      <c r="EL210" s="25"/>
      <c r="EM210" s="28"/>
      <c r="EN210" s="28">
        <f t="shared" si="23"/>
        <v>0</v>
      </c>
      <c r="EO210" s="28">
        <f t="shared" si="24"/>
        <v>0</v>
      </c>
      <c r="EP210" s="28">
        <f t="shared" si="28"/>
        <v>0</v>
      </c>
    </row>
    <row r="211" spans="2:147">
      <c r="B211" s="9">
        <f>+B209</f>
        <v>44555</v>
      </c>
      <c r="C211" s="92"/>
      <c r="D211" s="505" t="s">
        <v>319</v>
      </c>
      <c r="E211" s="25">
        <f t="shared" si="27"/>
        <v>0</v>
      </c>
      <c r="F211" s="26"/>
      <c r="G211" s="27"/>
      <c r="H211" s="27"/>
      <c r="I211" s="27"/>
      <c r="J211" s="27"/>
      <c r="K211" s="27"/>
      <c r="L211" s="27"/>
      <c r="M211" s="27"/>
      <c r="N211" s="25"/>
      <c r="O211" s="27"/>
      <c r="P211" s="27"/>
      <c r="Q211" s="27"/>
      <c r="R211" s="189"/>
      <c r="S211" s="247">
        <v>0</v>
      </c>
      <c r="T211" s="189"/>
      <c r="U211" s="189"/>
      <c r="V211" s="25"/>
      <c r="W211" s="25"/>
      <c r="X211" s="27"/>
      <c r="Y211" s="219">
        <f>+N211</f>
        <v>0</v>
      </c>
      <c r="Z211" s="219"/>
      <c r="AA211" s="219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7"/>
      <c r="AP211" s="25"/>
      <c r="AQ211" s="25"/>
      <c r="AR211" s="25"/>
      <c r="AS211" s="25"/>
      <c r="AT211" s="28"/>
      <c r="AU211" s="25"/>
      <c r="AV211" s="25"/>
      <c r="AW211" s="25"/>
      <c r="AX211" s="25"/>
      <c r="AY211" s="25"/>
      <c r="AZ211" s="27"/>
      <c r="BA211" s="25"/>
      <c r="BB211" s="25"/>
      <c r="BC211" s="25"/>
      <c r="BD211" s="27"/>
      <c r="BE211" s="25"/>
      <c r="BF211" s="27"/>
      <c r="BG211" s="25"/>
      <c r="BH211" s="27"/>
      <c r="BI211" s="27"/>
      <c r="BJ211" s="27"/>
      <c r="BK211" s="27"/>
      <c r="BL211" s="27"/>
      <c r="BM211" s="25"/>
      <c r="BN211" s="27"/>
      <c r="BO211" s="25"/>
      <c r="BP211" s="27"/>
      <c r="BQ211" s="27"/>
      <c r="BR211" s="27"/>
      <c r="BS211" s="25"/>
      <c r="BT211" s="27"/>
      <c r="BU211" s="25"/>
      <c r="BV211" s="27"/>
      <c r="BW211" s="25"/>
      <c r="BX211" s="27"/>
      <c r="BY211" s="27"/>
      <c r="BZ211" s="27"/>
      <c r="CA211" s="27"/>
      <c r="CB211" s="27"/>
      <c r="CC211" s="25"/>
      <c r="CD211" s="27"/>
      <c r="CE211" s="27"/>
      <c r="CF211" s="25"/>
      <c r="CG211" s="25"/>
      <c r="CH211" s="25"/>
      <c r="CI211" s="25"/>
      <c r="CJ211" s="25"/>
      <c r="CK211" s="28"/>
      <c r="CL211" s="25"/>
      <c r="CM211" s="25"/>
      <c r="CN211" s="25"/>
      <c r="CO211" s="27"/>
      <c r="CP211" s="25"/>
      <c r="CQ211" s="25"/>
      <c r="CR211" s="25"/>
      <c r="CS211" s="27"/>
      <c r="CT211" s="25"/>
      <c r="CU211" s="25"/>
      <c r="CV211" s="28"/>
      <c r="CW211" s="25"/>
      <c r="CX211" s="25"/>
      <c r="CY211" s="25"/>
      <c r="CZ211" s="25"/>
      <c r="DA211" s="25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189">
        <f>+R211+T211-U211</f>
        <v>0</v>
      </c>
      <c r="EE211" s="25"/>
      <c r="EF211" s="25"/>
      <c r="EG211" s="25"/>
      <c r="EH211" s="25"/>
      <c r="EI211" s="30"/>
      <c r="EJ211" s="25"/>
      <c r="EK211" s="25"/>
      <c r="EL211" s="25"/>
      <c r="EM211" s="28"/>
      <c r="EN211" s="28">
        <f t="shared" si="23"/>
        <v>0</v>
      </c>
      <c r="EO211" s="28">
        <f t="shared" si="24"/>
        <v>0</v>
      </c>
      <c r="EP211" s="28">
        <f t="shared" si="28"/>
        <v>0</v>
      </c>
    </row>
    <row r="212" spans="2:147">
      <c r="B212" s="9">
        <f>+B210</f>
        <v>44555</v>
      </c>
      <c r="C212" s="92"/>
      <c r="D212" s="483" t="s">
        <v>220</v>
      </c>
      <c r="E212" s="478">
        <f t="shared" si="27"/>
        <v>0</v>
      </c>
      <c r="F212" s="26"/>
      <c r="G212" s="27"/>
      <c r="H212" s="27"/>
      <c r="I212" s="27"/>
      <c r="J212" s="27"/>
      <c r="K212" s="27"/>
      <c r="L212" s="27"/>
      <c r="M212" s="27"/>
      <c r="N212" s="241"/>
      <c r="O212" s="27"/>
      <c r="P212" s="27"/>
      <c r="Q212" s="27"/>
      <c r="R212" s="25"/>
      <c r="S212" s="27"/>
      <c r="T212" s="25"/>
      <c r="U212" s="25"/>
      <c r="V212" s="25"/>
      <c r="W212" s="25"/>
      <c r="X212" s="27">
        <f>+EI236</f>
        <v>0</v>
      </c>
      <c r="Y212" s="27"/>
      <c r="Z212" s="477">
        <v>0</v>
      </c>
      <c r="AA212" s="477">
        <v>0</v>
      </c>
      <c r="AB212" s="478">
        <v>0</v>
      </c>
      <c r="AC212" s="25">
        <v>0</v>
      </c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7"/>
      <c r="AP212" s="25"/>
      <c r="AQ212" s="25"/>
      <c r="AR212" s="25"/>
      <c r="AS212" s="25"/>
      <c r="AT212" s="28"/>
      <c r="AU212" s="25"/>
      <c r="AV212" s="25"/>
      <c r="AW212" s="25"/>
      <c r="AX212" s="25"/>
      <c r="AY212" s="25"/>
      <c r="AZ212" s="27"/>
      <c r="BA212" s="25"/>
      <c r="BB212" s="25"/>
      <c r="BC212" s="25"/>
      <c r="BD212" s="27"/>
      <c r="BE212" s="25"/>
      <c r="BF212" s="27"/>
      <c r="BG212" s="25"/>
      <c r="BH212" s="27"/>
      <c r="BI212" s="27"/>
      <c r="BJ212" s="27"/>
      <c r="BK212" s="27"/>
      <c r="BL212" s="27"/>
      <c r="BM212" s="25"/>
      <c r="BN212" s="240"/>
      <c r="BO212" s="25"/>
      <c r="BP212" s="27"/>
      <c r="BQ212" s="27"/>
      <c r="BR212" s="27"/>
      <c r="BS212" s="25"/>
      <c r="BT212" s="27"/>
      <c r="BU212" s="25"/>
      <c r="BV212" s="27"/>
      <c r="BW212" s="25"/>
      <c r="BX212" s="27"/>
      <c r="BY212" s="27"/>
      <c r="BZ212" s="27"/>
      <c r="CA212" s="27"/>
      <c r="CB212" s="27"/>
      <c r="CC212" s="25"/>
      <c r="CD212" s="27"/>
      <c r="CE212" s="27"/>
      <c r="CF212" s="25"/>
      <c r="CG212" s="25"/>
      <c r="CH212" s="25"/>
      <c r="CI212" s="25"/>
      <c r="CJ212" s="25"/>
      <c r="CK212" s="28"/>
      <c r="CL212" s="25"/>
      <c r="CM212" s="25"/>
      <c r="CN212" s="25"/>
      <c r="CO212" s="27"/>
      <c r="CP212" s="25"/>
      <c r="CQ212" s="25"/>
      <c r="CR212" s="25"/>
      <c r="CS212" s="27"/>
      <c r="CT212" s="25"/>
      <c r="CU212" s="25"/>
      <c r="CV212" s="28"/>
      <c r="CW212" s="25"/>
      <c r="CX212" s="25"/>
      <c r="CY212" s="25"/>
      <c r="CZ212" s="25"/>
      <c r="DA212" s="25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484">
        <v>0</v>
      </c>
      <c r="EJ212" s="25"/>
      <c r="EK212" s="25"/>
      <c r="EL212" s="478">
        <f>+Z212+AB212</f>
        <v>0</v>
      </c>
      <c r="EM212" s="28"/>
      <c r="EN212" s="28">
        <f t="shared" si="23"/>
        <v>0</v>
      </c>
      <c r="EO212" s="28">
        <f t="shared" si="24"/>
        <v>0</v>
      </c>
      <c r="EP212" s="28">
        <f t="shared" si="28"/>
        <v>0</v>
      </c>
    </row>
    <row r="213" spans="2:147">
      <c r="B213" s="678">
        <f t="shared" ref="B213:B223" si="29">+B211</f>
        <v>44555</v>
      </c>
      <c r="C213" s="679"/>
      <c r="D213" s="680" t="s">
        <v>247</v>
      </c>
      <c r="E213" s="681"/>
      <c r="F213" s="682"/>
      <c r="G213" s="683"/>
      <c r="H213" s="683"/>
      <c r="I213" s="683">
        <f>+F213</f>
        <v>0</v>
      </c>
      <c r="J213" s="683"/>
      <c r="K213" s="683"/>
      <c r="L213" s="683"/>
      <c r="M213" s="683"/>
      <c r="N213" s="681"/>
      <c r="O213" s="683"/>
      <c r="P213" s="683"/>
      <c r="Q213" s="683"/>
      <c r="R213" s="681"/>
      <c r="S213" s="683"/>
      <c r="T213" s="681"/>
      <c r="U213" s="681"/>
      <c r="V213" s="681"/>
      <c r="W213" s="681"/>
      <c r="X213" s="683"/>
      <c r="Y213" s="683"/>
      <c r="Z213" s="683"/>
      <c r="AA213" s="683"/>
      <c r="AB213" s="681"/>
      <c r="AC213" s="681"/>
      <c r="AD213" s="681"/>
      <c r="AE213" s="681"/>
      <c r="AF213" s="681"/>
      <c r="AG213" s="681"/>
      <c r="AH213" s="681"/>
      <c r="AI213" s="681"/>
      <c r="AJ213" s="681"/>
      <c r="AK213" s="681"/>
      <c r="AL213" s="681"/>
      <c r="AM213" s="681"/>
      <c r="AN213" s="681"/>
      <c r="AO213" s="683"/>
      <c r="AP213" s="681"/>
      <c r="AQ213" s="681"/>
      <c r="AR213" s="681"/>
      <c r="AS213" s="681"/>
      <c r="AT213" s="684"/>
      <c r="AU213" s="681"/>
      <c r="AV213" s="681"/>
      <c r="AW213" s="681"/>
      <c r="AX213" s="681"/>
      <c r="AY213" s="681"/>
      <c r="AZ213" s="683"/>
      <c r="BA213" s="681"/>
      <c r="BB213" s="681"/>
      <c r="BC213" s="681"/>
      <c r="BD213" s="683"/>
      <c r="BE213" s="681"/>
      <c r="BF213" s="683"/>
      <c r="BG213" s="681"/>
      <c r="BH213" s="683"/>
      <c r="BI213" s="683"/>
      <c r="BJ213" s="683"/>
      <c r="BK213" s="683"/>
      <c r="BL213" s="683"/>
      <c r="BM213" s="681"/>
      <c r="BN213" s="685"/>
      <c r="BO213" s="681"/>
      <c r="BP213" s="683"/>
      <c r="BQ213" s="683"/>
      <c r="BR213" s="683"/>
      <c r="BS213" s="681"/>
      <c r="BT213" s="683"/>
      <c r="BU213" s="681"/>
      <c r="BV213" s="683"/>
      <c r="BW213" s="681"/>
      <c r="BX213" s="683"/>
      <c r="BY213" s="683"/>
      <c r="BZ213" s="683"/>
      <c r="CA213" s="683"/>
      <c r="CB213" s="683"/>
      <c r="CC213" s="681"/>
      <c r="CD213" s="683"/>
      <c r="CE213" s="683"/>
      <c r="CF213" s="681"/>
      <c r="CG213" s="681"/>
      <c r="CH213" s="681"/>
      <c r="CI213" s="681"/>
      <c r="CJ213" s="681"/>
      <c r="CK213" s="684"/>
      <c r="CL213" s="681"/>
      <c r="CM213" s="681"/>
      <c r="CN213" s="681"/>
      <c r="CO213" s="683"/>
      <c r="CP213" s="681"/>
      <c r="CQ213" s="681"/>
      <c r="CR213" s="681"/>
      <c r="CS213" s="683"/>
      <c r="CT213" s="681"/>
      <c r="CU213" s="681"/>
      <c r="CV213" s="684"/>
      <c r="CW213" s="681"/>
      <c r="CX213" s="681"/>
      <c r="CY213" s="681"/>
      <c r="CZ213" s="681"/>
      <c r="DA213" s="681"/>
      <c r="DB213" s="683"/>
      <c r="DC213" s="683"/>
      <c r="DD213" s="683"/>
      <c r="DE213" s="683"/>
      <c r="DF213" s="683"/>
      <c r="DG213" s="683"/>
      <c r="DH213" s="683"/>
      <c r="DI213" s="683"/>
      <c r="DJ213" s="683"/>
      <c r="DK213" s="683"/>
      <c r="DL213" s="683"/>
      <c r="DM213" s="683"/>
      <c r="DN213" s="683"/>
      <c r="DO213" s="681"/>
      <c r="DP213" s="681"/>
      <c r="DQ213" s="681"/>
      <c r="DR213" s="681"/>
      <c r="DS213" s="683"/>
      <c r="DT213" s="681"/>
      <c r="DU213" s="681"/>
      <c r="DV213" s="681"/>
      <c r="DW213" s="681"/>
      <c r="DX213" s="681"/>
      <c r="DY213" s="681"/>
      <c r="DZ213" s="681"/>
      <c r="EA213" s="681"/>
      <c r="EB213" s="681"/>
      <c r="EC213" s="681">
        <f>+EH213</f>
        <v>0</v>
      </c>
      <c r="ED213" s="681"/>
      <c r="EE213" s="681"/>
      <c r="EF213" s="681"/>
      <c r="EG213" s="681"/>
      <c r="EH213" s="681">
        <v>0</v>
      </c>
      <c r="EI213" s="686"/>
      <c r="EJ213" s="681"/>
      <c r="EK213" s="681"/>
      <c r="EL213" s="681"/>
      <c r="EM213" s="684"/>
      <c r="EN213" s="684">
        <f t="shared" si="23"/>
        <v>0</v>
      </c>
      <c r="EO213" s="684">
        <f t="shared" si="24"/>
        <v>0</v>
      </c>
      <c r="EP213" s="684">
        <f t="shared" si="28"/>
        <v>0</v>
      </c>
      <c r="EQ213" s="687"/>
    </row>
    <row r="214" spans="2:147" ht="17.25" customHeight="1">
      <c r="B214" s="9">
        <f t="shared" si="29"/>
        <v>44555</v>
      </c>
      <c r="C214" s="92"/>
      <c r="D214" s="1422" t="s">
        <v>1097</v>
      </c>
      <c r="E214" s="478">
        <f>+F214+J214+L214+N214+T214+V214+X214+AB214+AD214+AF214+AL214+AN214+AP214+AU214+AW214+AY214+BC214+BE214+BG214+BM214+BO214+BQ214+BW214+CC214+CE214+CG214+CL214+CN214+CP214+CR214+CT214+CW214+CY214+DA214+DC214+DE214+DG214+DI214+DK214+DM214+DO214+DQ214+DS214+EE214+EG214+EI214+EK214+R214+H214+CI214+BA214+AR214</f>
        <v>0</v>
      </c>
      <c r="F214" s="26"/>
      <c r="G214" s="27"/>
      <c r="H214" s="27"/>
      <c r="I214" s="27"/>
      <c r="J214" s="27"/>
      <c r="K214" s="27"/>
      <c r="L214" s="27"/>
      <c r="M214" s="27"/>
      <c r="N214" s="25"/>
      <c r="O214" s="27"/>
      <c r="P214" s="27"/>
      <c r="Q214" s="27"/>
      <c r="R214" s="25"/>
      <c r="S214" s="27"/>
      <c r="T214" s="25"/>
      <c r="U214" s="25"/>
      <c r="V214" s="25"/>
      <c r="W214" s="25"/>
      <c r="X214" s="27"/>
      <c r="Y214" s="27"/>
      <c r="Z214" s="361">
        <v>0</v>
      </c>
      <c r="AA214" s="361">
        <v>0</v>
      </c>
      <c r="AB214" s="25"/>
      <c r="AC214" s="25"/>
      <c r="AD214" s="478">
        <v>0</v>
      </c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7"/>
      <c r="AP214" s="25"/>
      <c r="AQ214" s="25"/>
      <c r="AR214" s="25"/>
      <c r="AS214" s="25"/>
      <c r="AT214" s="28"/>
      <c r="AU214" s="25"/>
      <c r="AV214" s="25"/>
      <c r="AW214" s="25"/>
      <c r="AX214" s="25"/>
      <c r="AY214" s="25"/>
      <c r="AZ214" s="27"/>
      <c r="BA214" s="25"/>
      <c r="BB214" s="25"/>
      <c r="BC214" s="25"/>
      <c r="BD214" s="27"/>
      <c r="BE214" s="25"/>
      <c r="BF214" s="27">
        <v>0</v>
      </c>
      <c r="BG214" s="25"/>
      <c r="BH214" s="27"/>
      <c r="BI214" s="27"/>
      <c r="BJ214" s="27"/>
      <c r="BK214" s="27"/>
      <c r="BL214" s="27"/>
      <c r="BM214" s="25"/>
      <c r="BN214" s="246"/>
      <c r="BO214" s="25"/>
      <c r="BP214" s="27"/>
      <c r="BQ214" s="27"/>
      <c r="BR214" s="27"/>
      <c r="BS214" s="25"/>
      <c r="BT214" s="27"/>
      <c r="BU214" s="25"/>
      <c r="BV214" s="27"/>
      <c r="BW214" s="25"/>
      <c r="BX214" s="27"/>
      <c r="BY214" s="27"/>
      <c r="BZ214" s="27"/>
      <c r="CA214" s="27"/>
      <c r="CB214" s="27"/>
      <c r="CC214" s="25"/>
      <c r="CD214" s="27"/>
      <c r="CE214" s="27"/>
      <c r="CF214" s="25"/>
      <c r="CG214" s="25"/>
      <c r="CH214" s="25"/>
      <c r="CI214" s="25"/>
      <c r="CJ214" s="25"/>
      <c r="CK214" s="28"/>
      <c r="CL214" s="25"/>
      <c r="CM214" s="25"/>
      <c r="CN214" s="25"/>
      <c r="CO214" s="27"/>
      <c r="CP214" s="25"/>
      <c r="CQ214" s="25"/>
      <c r="CR214" s="25"/>
      <c r="CS214" s="27"/>
      <c r="CT214" s="25"/>
      <c r="CU214" s="25"/>
      <c r="CV214" s="28"/>
      <c r="CW214" s="25"/>
      <c r="CX214" s="25"/>
      <c r="CY214" s="25"/>
      <c r="CZ214" s="25"/>
      <c r="DA214" s="25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189">
        <v>0</v>
      </c>
      <c r="EJ214" s="25"/>
      <c r="EK214" s="25">
        <f>+BF214</f>
        <v>0</v>
      </c>
      <c r="EL214" s="481">
        <v>0</v>
      </c>
      <c r="EM214" s="28"/>
      <c r="EN214" s="28">
        <f t="shared" si="23"/>
        <v>0</v>
      </c>
      <c r="EO214" s="28">
        <f t="shared" si="24"/>
        <v>0</v>
      </c>
      <c r="EP214" s="28">
        <f t="shared" si="28"/>
        <v>0</v>
      </c>
    </row>
    <row r="215" spans="2:147" ht="15.75">
      <c r="B215" s="9">
        <f t="shared" si="29"/>
        <v>44555</v>
      </c>
      <c r="C215" s="92"/>
      <c r="D215" s="1100" t="s">
        <v>900</v>
      </c>
      <c r="E215" s="25">
        <f>+F215+J215+L215+N215+T215+V215+X215+AB215+AD215+AF215+AL215+AN215+AP215+AU215+AW215+AY215+BC215+BE215+BG215+BM215+BO215+BQ215+BW215+CC215+CE215+CG215+CL215+CN215+CP215+CR215+CT215+CW215+CY215+DA215+DC215+DE215+DG215+DI215+DK215+DM215+DO215+DQ215+DS215+EE215+EG215+EI215+EK215+R215+H215+CI215+BA215+AR215+DU215+DY215</f>
        <v>0</v>
      </c>
      <c r="F215" s="1101"/>
      <c r="G215" s="27"/>
      <c r="H215" s="27"/>
      <c r="I215" s="27"/>
      <c r="J215" s="27"/>
      <c r="K215" s="27"/>
      <c r="L215" s="27"/>
      <c r="M215" s="27"/>
      <c r="N215" s="25"/>
      <c r="O215" s="27"/>
      <c r="P215" s="27"/>
      <c r="Q215" s="27"/>
      <c r="R215" s="25">
        <v>0</v>
      </c>
      <c r="S215" s="1101"/>
      <c r="T215" s="25"/>
      <c r="U215" s="25"/>
      <c r="V215" s="25"/>
      <c r="W215" s="25"/>
      <c r="X215" s="360"/>
      <c r="Y215" s="309"/>
      <c r="Z215" s="27">
        <v>0</v>
      </c>
      <c r="AA215" s="1101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>
        <v>0</v>
      </c>
      <c r="AO215" s="27"/>
      <c r="AP215" s="25"/>
      <c r="AQ215" s="25"/>
      <c r="AR215" s="25"/>
      <c r="AS215" s="25"/>
      <c r="AT215" s="28"/>
      <c r="AU215" s="25"/>
      <c r="AV215" s="25"/>
      <c r="AW215" s="25"/>
      <c r="AX215" s="25"/>
      <c r="AY215" s="25"/>
      <c r="AZ215" s="27"/>
      <c r="BA215" s="25"/>
      <c r="BB215" s="25"/>
      <c r="BC215" s="25"/>
      <c r="BD215" s="27"/>
      <c r="BE215" s="25"/>
      <c r="BF215" s="27"/>
      <c r="BG215" s="25"/>
      <c r="BH215" s="27"/>
      <c r="BI215" s="27"/>
      <c r="BJ215" s="27"/>
      <c r="BK215" s="1101"/>
      <c r="BL215" s="27"/>
      <c r="BM215" s="25"/>
      <c r="BN215" s="246"/>
      <c r="BO215" s="25"/>
      <c r="BP215" s="27"/>
      <c r="BQ215" s="27"/>
      <c r="BR215" s="27"/>
      <c r="BS215" s="25"/>
      <c r="BT215" s="27"/>
      <c r="BU215" s="25"/>
      <c r="BV215" s="27"/>
      <c r="BW215" s="25"/>
      <c r="BX215" s="27"/>
      <c r="BY215" s="27"/>
      <c r="BZ215" s="27"/>
      <c r="CA215" s="27"/>
      <c r="CB215" s="27"/>
      <c r="CC215" s="25"/>
      <c r="CD215" s="27"/>
      <c r="CE215" s="27"/>
      <c r="CF215" s="25"/>
      <c r="CG215" s="25"/>
      <c r="CH215" s="25"/>
      <c r="CI215" s="25"/>
      <c r="CJ215" s="25"/>
      <c r="CK215" s="28"/>
      <c r="CL215" s="25"/>
      <c r="CM215" s="25"/>
      <c r="CN215" s="25"/>
      <c r="CO215" s="477"/>
      <c r="CP215" s="25"/>
      <c r="CQ215" s="1101"/>
      <c r="CR215" s="25"/>
      <c r="CS215" s="27"/>
      <c r="CT215" s="25"/>
      <c r="CU215" s="25"/>
      <c r="CV215" s="28"/>
      <c r="CW215" s="25"/>
      <c r="CX215" s="25"/>
      <c r="CY215" s="25"/>
      <c r="CZ215" s="25"/>
      <c r="DA215" s="25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309">
        <v>0</v>
      </c>
      <c r="EJ215" s="25"/>
      <c r="EK215" s="25"/>
      <c r="EL215" s="309">
        <f>Z215+R215+AN215</f>
        <v>0</v>
      </c>
      <c r="EM215" s="28"/>
      <c r="EN215" s="28">
        <f t="shared" si="23"/>
        <v>0</v>
      </c>
      <c r="EO215" s="28">
        <f t="shared" si="24"/>
        <v>0</v>
      </c>
      <c r="EP215" s="28">
        <f t="shared" si="28"/>
        <v>0</v>
      </c>
    </row>
    <row r="216" spans="2:147">
      <c r="B216" s="9">
        <f t="shared" si="29"/>
        <v>44555</v>
      </c>
      <c r="C216" s="92"/>
      <c r="D216" s="483" t="s">
        <v>968</v>
      </c>
      <c r="E216" s="25">
        <f>+F216+J216+L216+N216+T216+V216+X216+AB216+AD216+AF216+AL216+AN216+AP216+AU216+AW216+AY216+BC216+BE216+BG216+BM216+BO216+BQ216+BW216+CC216+CE216+CG216+CL216+CN216+CP216+CR216+CT216+CW216+CY216+DA216+DC216+DE216+DG216+DI216+DK216+DM216+DO216+DQ216+DS216+EE216+EG216+EI216+EK216+R216+H216+CI216+BA216+AR216+DU216+DY216</f>
        <v>0</v>
      </c>
      <c r="F216" s="26"/>
      <c r="G216" s="25"/>
      <c r="H216" s="27"/>
      <c r="I216" s="27"/>
      <c r="J216" s="27"/>
      <c r="K216" s="27"/>
      <c r="L216" s="27"/>
      <c r="M216" s="27"/>
      <c r="N216" s="25"/>
      <c r="O216" s="27"/>
      <c r="P216" s="27"/>
      <c r="Q216" s="27"/>
      <c r="R216" s="25"/>
      <c r="S216" s="27"/>
      <c r="T216" s="25"/>
      <c r="U216" s="25"/>
      <c r="V216" s="25"/>
      <c r="W216" s="25"/>
      <c r="X216" s="27"/>
      <c r="Y216" s="27"/>
      <c r="Z216" s="27"/>
      <c r="AA216" s="27"/>
      <c r="AB216" s="362"/>
      <c r="AC216" s="362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8"/>
      <c r="AU216" s="25"/>
      <c r="AV216" s="25"/>
      <c r="AW216" s="25"/>
      <c r="AX216" s="25"/>
      <c r="AY216" s="25"/>
      <c r="AZ216" s="27"/>
      <c r="BA216" s="25"/>
      <c r="BB216" s="25"/>
      <c r="BC216" s="25"/>
      <c r="BD216" s="247"/>
      <c r="BE216" s="25"/>
      <c r="BF216" s="27"/>
      <c r="BG216" s="25"/>
      <c r="BH216" s="27"/>
      <c r="BI216" s="27"/>
      <c r="BJ216" s="27"/>
      <c r="BK216" s="27"/>
      <c r="BL216" s="27"/>
      <c r="BM216" s="25"/>
      <c r="BN216" s="246"/>
      <c r="BO216" s="25"/>
      <c r="BP216" s="27"/>
      <c r="BQ216" s="27"/>
      <c r="BR216" s="27"/>
      <c r="BS216" s="25"/>
      <c r="BT216" s="27"/>
      <c r="BU216" s="25"/>
      <c r="BV216" s="27"/>
      <c r="BW216" s="25"/>
      <c r="BX216" s="27"/>
      <c r="BY216" s="27"/>
      <c r="BZ216" s="27"/>
      <c r="CA216" s="27"/>
      <c r="CB216" s="27"/>
      <c r="CC216" s="25"/>
      <c r="CD216" s="27"/>
      <c r="CE216" s="27"/>
      <c r="CF216" s="25"/>
      <c r="CG216" s="25"/>
      <c r="CH216" s="25"/>
      <c r="CI216" s="25"/>
      <c r="CJ216" s="25"/>
      <c r="CK216" s="28"/>
      <c r="CL216" s="25"/>
      <c r="CM216" s="25"/>
      <c r="CN216" s="25"/>
      <c r="CO216" s="27"/>
      <c r="CP216" s="25"/>
      <c r="CQ216" s="25"/>
      <c r="CR216" s="25"/>
      <c r="CS216" s="27"/>
      <c r="CT216" s="25"/>
      <c r="CU216" s="25"/>
      <c r="CV216" s="28"/>
      <c r="CW216" s="25"/>
      <c r="CX216" s="25"/>
      <c r="CY216" s="27"/>
      <c r="CZ216" s="25"/>
      <c r="DA216" s="478">
        <v>0</v>
      </c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363">
        <f>+AC216</f>
        <v>0</v>
      </c>
      <c r="EJ216" s="25"/>
      <c r="EK216" s="25"/>
      <c r="EL216" s="363">
        <f>+AB216</f>
        <v>0</v>
      </c>
      <c r="EM216" s="28"/>
      <c r="EN216" s="28">
        <f t="shared" si="23"/>
        <v>0</v>
      </c>
      <c r="EO216" s="28">
        <f t="shared" si="24"/>
        <v>0</v>
      </c>
      <c r="EP216" s="28">
        <f t="shared" si="28"/>
        <v>0</v>
      </c>
    </row>
    <row r="217" spans="2:147">
      <c r="B217" s="9">
        <f>+B216</f>
        <v>44555</v>
      </c>
      <c r="C217" s="92"/>
      <c r="D217" s="1449" t="s">
        <v>214</v>
      </c>
      <c r="E217" s="1450"/>
      <c r="F217" s="26"/>
      <c r="G217" s="826">
        <v>0</v>
      </c>
      <c r="H217" s="27"/>
      <c r="I217" s="27"/>
      <c r="J217" s="27"/>
      <c r="K217" s="27"/>
      <c r="L217" s="27"/>
      <c r="M217" s="27"/>
      <c r="N217" s="826">
        <v>0</v>
      </c>
      <c r="O217" s="27"/>
      <c r="P217" s="27"/>
      <c r="Q217" s="27"/>
      <c r="R217" s="25"/>
      <c r="S217" s="27"/>
      <c r="T217" s="25"/>
      <c r="U217" s="25"/>
      <c r="V217" s="25"/>
      <c r="W217" s="25"/>
      <c r="X217" s="310"/>
      <c r="Y217" s="312">
        <f>+N217</f>
        <v>0</v>
      </c>
      <c r="Z217" s="27">
        <v>0</v>
      </c>
      <c r="AA217" s="27"/>
      <c r="AB217" s="25"/>
      <c r="AC217" s="25"/>
      <c r="AD217" s="311"/>
      <c r="AE217" s="311"/>
      <c r="AF217" s="25"/>
      <c r="AG217" s="25"/>
      <c r="AH217" s="25"/>
      <c r="AI217" s="25"/>
      <c r="AJ217" s="25"/>
      <c r="AK217" s="25"/>
      <c r="AL217" s="25"/>
      <c r="AM217" s="25"/>
      <c r="AN217" s="25"/>
      <c r="AO217" s="27"/>
      <c r="AP217" s="25"/>
      <c r="AQ217" s="25"/>
      <c r="AR217" s="25"/>
      <c r="AS217" s="25"/>
      <c r="AT217" s="28"/>
      <c r="AU217" s="25"/>
      <c r="AV217" s="25"/>
      <c r="AW217" s="25"/>
      <c r="AX217" s="25"/>
      <c r="AY217" s="25"/>
      <c r="AZ217" s="27"/>
      <c r="BA217" s="25"/>
      <c r="BB217" s="25"/>
      <c r="BC217" s="25"/>
      <c r="BD217" s="247"/>
      <c r="BE217" s="25"/>
      <c r="BF217" s="27">
        <f>+EI217</f>
        <v>0</v>
      </c>
      <c r="BG217" s="25"/>
      <c r="BH217" s="27"/>
      <c r="BI217" s="27"/>
      <c r="BJ217" s="27"/>
      <c r="BK217" s="27"/>
      <c r="BL217" s="27"/>
      <c r="BM217" s="25"/>
      <c r="BN217" s="246"/>
      <c r="BO217" s="25"/>
      <c r="BP217" s="477">
        <v>0</v>
      </c>
      <c r="BQ217" s="27"/>
      <c r="BR217" s="313"/>
      <c r="BS217" s="25"/>
      <c r="BT217" s="27"/>
      <c r="BU217" s="25"/>
      <c r="BV217" s="27"/>
      <c r="BW217" s="25"/>
      <c r="BX217" s="27"/>
      <c r="BY217" s="27"/>
      <c r="BZ217" s="27"/>
      <c r="CA217" s="27"/>
      <c r="CB217" s="27"/>
      <c r="CC217" s="25"/>
      <c r="CD217" s="27"/>
      <c r="CE217" s="27"/>
      <c r="CF217" s="25"/>
      <c r="CG217" s="25"/>
      <c r="CH217" s="25"/>
      <c r="CI217" s="25"/>
      <c r="CJ217" s="25"/>
      <c r="CK217" s="28"/>
      <c r="CL217" s="25"/>
      <c r="CM217" s="25"/>
      <c r="CN217" s="25"/>
      <c r="CO217" s="27"/>
      <c r="CP217" s="25"/>
      <c r="CQ217" s="25"/>
      <c r="CR217" s="25"/>
      <c r="CS217" s="27"/>
      <c r="CT217" s="25"/>
      <c r="CU217" s="25"/>
      <c r="CV217" s="28"/>
      <c r="CW217" s="25"/>
      <c r="CX217" s="27">
        <v>0</v>
      </c>
      <c r="CY217" s="25"/>
      <c r="CZ217" s="25"/>
      <c r="DA217" s="25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478">
        <v>0</v>
      </c>
      <c r="EF217" s="25"/>
      <c r="EG217" s="25"/>
      <c r="EH217" s="25"/>
      <c r="EI217" s="364">
        <v>0</v>
      </c>
      <c r="EJ217" s="25"/>
      <c r="EK217" s="25"/>
      <c r="EL217" s="364">
        <f>+AD217</f>
        <v>0</v>
      </c>
      <c r="EM217" s="28"/>
      <c r="EN217" s="28">
        <f t="shared" si="23"/>
        <v>0</v>
      </c>
      <c r="EO217" s="28">
        <f t="shared" si="24"/>
        <v>0</v>
      </c>
      <c r="EP217" s="28">
        <f t="shared" ref="EP217:EP227" si="30">+EN217-EO217</f>
        <v>0</v>
      </c>
    </row>
    <row r="218" spans="2:147" ht="17.25" customHeight="1">
      <c r="B218" s="9">
        <f>+B217</f>
        <v>44555</v>
      </c>
      <c r="C218" s="92"/>
      <c r="D218" s="1431" t="s">
        <v>1100</v>
      </c>
      <c r="E218" s="1430"/>
      <c r="F218" s="26"/>
      <c r="G218" s="826">
        <f>+BY218</f>
        <v>0</v>
      </c>
      <c r="H218" s="27"/>
      <c r="I218" s="27"/>
      <c r="J218" s="27"/>
      <c r="K218" s="27"/>
      <c r="L218" s="27"/>
      <c r="M218" s="27"/>
      <c r="N218" s="826"/>
      <c r="O218" s="27"/>
      <c r="P218" s="27"/>
      <c r="Q218" s="27"/>
      <c r="R218" s="25"/>
      <c r="S218" s="27"/>
      <c r="T218" s="25"/>
      <c r="U218" s="25"/>
      <c r="V218" s="25"/>
      <c r="W218" s="25"/>
      <c r="X218" s="310"/>
      <c r="Y218" s="312"/>
      <c r="Z218" s="27"/>
      <c r="AA218" s="27"/>
      <c r="AB218" s="25"/>
      <c r="AC218" s="25"/>
      <c r="AD218" s="311"/>
      <c r="AE218" s="311"/>
      <c r="AF218" s="25"/>
      <c r="AG218" s="25"/>
      <c r="AH218" s="25"/>
      <c r="AI218" s="25"/>
      <c r="AJ218" s="25"/>
      <c r="AK218" s="25"/>
      <c r="AL218" s="25"/>
      <c r="AM218" s="25"/>
      <c r="AN218" s="25"/>
      <c r="AO218" s="27"/>
      <c r="AP218" s="25"/>
      <c r="AQ218" s="25"/>
      <c r="AR218" s="25"/>
      <c r="AS218" s="25"/>
      <c r="AT218" s="28"/>
      <c r="AU218" s="25"/>
      <c r="AV218" s="25"/>
      <c r="AW218" s="25"/>
      <c r="AX218" s="25"/>
      <c r="AY218" s="25"/>
      <c r="AZ218" s="27"/>
      <c r="BA218" s="25"/>
      <c r="BB218" s="25"/>
      <c r="BC218" s="25"/>
      <c r="BD218" s="247"/>
      <c r="BE218" s="25"/>
      <c r="BF218" s="27"/>
      <c r="BG218" s="25"/>
      <c r="BH218" s="27"/>
      <c r="BI218" s="27"/>
      <c r="BJ218" s="27"/>
      <c r="BK218" s="27"/>
      <c r="BL218" s="27"/>
      <c r="BM218" s="25"/>
      <c r="BN218" s="246"/>
      <c r="BO218" s="25"/>
      <c r="BP218" s="477"/>
      <c r="BQ218" s="27"/>
      <c r="BR218" s="313"/>
      <c r="BS218" s="25"/>
      <c r="BT218" s="27"/>
      <c r="BU218" s="25"/>
      <c r="BV218" s="27"/>
      <c r="BW218" s="25"/>
      <c r="BX218" s="27"/>
      <c r="BY218" s="27">
        <v>0</v>
      </c>
      <c r="BZ218" s="27"/>
      <c r="CA218" s="27"/>
      <c r="CB218" s="27"/>
      <c r="CC218" s="25"/>
      <c r="CD218" s="27"/>
      <c r="CE218" s="27"/>
      <c r="CF218" s="25"/>
      <c r="CG218" s="25"/>
      <c r="CH218" s="25"/>
      <c r="CI218" s="25"/>
      <c r="CJ218" s="25"/>
      <c r="CK218" s="28"/>
      <c r="CL218" s="25"/>
      <c r="CM218" s="25"/>
      <c r="CN218" s="25"/>
      <c r="CO218" s="27"/>
      <c r="CP218" s="25"/>
      <c r="CQ218" s="25"/>
      <c r="CR218" s="25"/>
      <c r="CS218" s="27"/>
      <c r="CT218" s="25"/>
      <c r="CU218" s="25"/>
      <c r="CV218" s="28"/>
      <c r="CW218" s="25"/>
      <c r="CX218" s="27"/>
      <c r="CY218" s="25"/>
      <c r="CZ218" s="25"/>
      <c r="DA218" s="25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478"/>
      <c r="EF218" s="25"/>
      <c r="EG218" s="25"/>
      <c r="EH218" s="25"/>
      <c r="EI218" s="364"/>
      <c r="EJ218" s="25"/>
      <c r="EK218" s="25"/>
      <c r="EL218" s="364"/>
      <c r="EM218" s="28"/>
      <c r="EN218" s="28"/>
      <c r="EO218" s="28"/>
      <c r="EP218" s="28"/>
    </row>
    <row r="219" spans="2:147">
      <c r="B219" s="9">
        <f>+B217</f>
        <v>44555</v>
      </c>
      <c r="C219" s="92"/>
      <c r="D219" s="487" t="s">
        <v>457</v>
      </c>
      <c r="E219" s="25"/>
      <c r="F219" s="364"/>
      <c r="G219" s="25"/>
      <c r="H219" s="27"/>
      <c r="I219" s="27"/>
      <c r="J219" s="27"/>
      <c r="K219" s="27"/>
      <c r="L219" s="27"/>
      <c r="M219" s="27"/>
      <c r="N219" s="25"/>
      <c r="O219" s="27"/>
      <c r="P219" s="27"/>
      <c r="Q219" s="27"/>
      <c r="R219" s="25"/>
      <c r="S219" s="27"/>
      <c r="T219" s="25"/>
      <c r="U219" s="25"/>
      <c r="V219" s="25"/>
      <c r="W219" s="25"/>
      <c r="X219" s="27"/>
      <c r="Y219" s="27"/>
      <c r="Z219" s="27"/>
      <c r="AA219" s="27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7"/>
      <c r="AP219" s="25"/>
      <c r="AQ219" s="25"/>
      <c r="AR219" s="25"/>
      <c r="AS219" s="25"/>
      <c r="AT219" s="28"/>
      <c r="AU219" s="25"/>
      <c r="AV219" s="25"/>
      <c r="AW219" s="25"/>
      <c r="AX219" s="25"/>
      <c r="AY219" s="25"/>
      <c r="AZ219" s="27"/>
      <c r="BA219" s="25"/>
      <c r="BB219" s="25"/>
      <c r="BC219" s="25"/>
      <c r="BD219" s="247"/>
      <c r="BE219" s="25"/>
      <c r="BF219" s="27"/>
      <c r="BG219" s="25"/>
      <c r="BH219" s="27"/>
      <c r="BI219" s="27"/>
      <c r="BJ219" s="27"/>
      <c r="BK219" s="27"/>
      <c r="BL219" s="27"/>
      <c r="BM219" s="25"/>
      <c r="BN219" s="246"/>
      <c r="BO219" s="25"/>
      <c r="BP219" s="27"/>
      <c r="BQ219" s="27"/>
      <c r="BR219" s="27"/>
      <c r="BS219" s="25"/>
      <c r="BT219" s="313"/>
      <c r="BU219" s="25"/>
      <c r="BV219" s="313"/>
      <c r="BW219" s="25"/>
      <c r="BX219" s="27"/>
      <c r="BY219" s="27"/>
      <c r="BZ219" s="27"/>
      <c r="CA219" s="27"/>
      <c r="CB219" s="27"/>
      <c r="CC219" s="25"/>
      <c r="CD219" s="27"/>
      <c r="CE219" s="27"/>
      <c r="CF219" s="25"/>
      <c r="CG219" s="25"/>
      <c r="CH219" s="25"/>
      <c r="CI219" s="25"/>
      <c r="CJ219" s="25"/>
      <c r="CK219" s="28"/>
      <c r="CL219" s="25"/>
      <c r="CM219" s="25"/>
      <c r="CN219" s="25"/>
      <c r="CO219" s="27"/>
      <c r="CP219" s="25"/>
      <c r="CQ219" s="25"/>
      <c r="CR219" s="25"/>
      <c r="CS219" s="27"/>
      <c r="CT219" s="25"/>
      <c r="CU219" s="25"/>
      <c r="CV219" s="28"/>
      <c r="CW219" s="25"/>
      <c r="CX219" s="25"/>
      <c r="CY219" s="478">
        <v>0</v>
      </c>
      <c r="CZ219" s="25"/>
      <c r="DA219" s="25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478">
        <v>0</v>
      </c>
      <c r="EE219" s="25"/>
      <c r="EF219" s="25"/>
      <c r="EG219" s="25"/>
      <c r="EH219" s="364"/>
      <c r="EI219" s="364"/>
      <c r="EJ219" s="25"/>
      <c r="EK219" s="25"/>
      <c r="EL219" s="25"/>
      <c r="EM219" s="28"/>
      <c r="EN219" s="28">
        <f t="shared" si="23"/>
        <v>0</v>
      </c>
      <c r="EO219" s="28">
        <f t="shared" si="24"/>
        <v>0</v>
      </c>
      <c r="EP219" s="28">
        <f t="shared" si="30"/>
        <v>0</v>
      </c>
    </row>
    <row r="220" spans="2:147">
      <c r="B220" s="9">
        <f>+B219</f>
        <v>44555</v>
      </c>
      <c r="C220" s="92"/>
      <c r="D220" s="487" t="s">
        <v>455</v>
      </c>
      <c r="E220" s="25"/>
      <c r="F220" s="26"/>
      <c r="G220" s="477">
        <f>+BK220</f>
        <v>0</v>
      </c>
      <c r="H220" s="27"/>
      <c r="I220" s="27"/>
      <c r="J220" s="27"/>
      <c r="K220" s="27"/>
      <c r="L220" s="27"/>
      <c r="M220" s="27"/>
      <c r="N220" s="25"/>
      <c r="O220" s="27"/>
      <c r="P220" s="27"/>
      <c r="Q220" s="27"/>
      <c r="R220" s="25"/>
      <c r="S220" s="27"/>
      <c r="T220" s="478">
        <v>0</v>
      </c>
      <c r="U220" s="25"/>
      <c r="V220" s="25"/>
      <c r="W220" s="25"/>
      <c r="X220" s="27"/>
      <c r="Y220" s="27"/>
      <c r="Z220" s="310"/>
      <c r="AA220" s="27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7"/>
      <c r="AP220" s="25"/>
      <c r="AQ220" s="25"/>
      <c r="AR220" s="25"/>
      <c r="AS220" s="25"/>
      <c r="AT220" s="28"/>
      <c r="AU220" s="25"/>
      <c r="AV220" s="25">
        <v>0</v>
      </c>
      <c r="AW220" s="25"/>
      <c r="AX220" s="25"/>
      <c r="AY220" s="25"/>
      <c r="AZ220" s="27"/>
      <c r="BA220" s="25"/>
      <c r="BB220" s="25"/>
      <c r="BC220" s="25">
        <v>0</v>
      </c>
      <c r="BD220" s="247"/>
      <c r="BE220" s="25"/>
      <c r="BF220" s="27"/>
      <c r="BG220" s="25"/>
      <c r="BH220" s="27"/>
      <c r="BI220" s="27"/>
      <c r="BJ220" s="27"/>
      <c r="BK220" s="27">
        <v>0</v>
      </c>
      <c r="BL220" s="27"/>
      <c r="BM220" s="25"/>
      <c r="BN220" s="246"/>
      <c r="BO220" s="25"/>
      <c r="BP220" s="27"/>
      <c r="BQ220" s="27"/>
      <c r="BR220" s="27"/>
      <c r="BS220" s="25"/>
      <c r="BT220" s="312"/>
      <c r="BU220" s="25"/>
      <c r="BV220" s="312"/>
      <c r="BW220" s="25"/>
      <c r="BX220" s="27"/>
      <c r="BY220" s="27"/>
      <c r="BZ220" s="27"/>
      <c r="CA220" s="27"/>
      <c r="CB220" s="27"/>
      <c r="CC220" s="25"/>
      <c r="CD220" s="27"/>
      <c r="CE220" s="27"/>
      <c r="CF220" s="25"/>
      <c r="CG220" s="25"/>
      <c r="CH220" s="25"/>
      <c r="CI220" s="25"/>
      <c r="CJ220" s="25"/>
      <c r="CK220" s="28"/>
      <c r="CL220" s="25"/>
      <c r="CM220" s="25"/>
      <c r="CN220" s="25"/>
      <c r="CO220" s="27"/>
      <c r="CP220" s="25"/>
      <c r="CQ220" s="25"/>
      <c r="CR220" s="25"/>
      <c r="CS220" s="27"/>
      <c r="CT220" s="25"/>
      <c r="CU220" s="25"/>
      <c r="CV220" s="28"/>
      <c r="CW220" s="25"/>
      <c r="CX220" s="25"/>
      <c r="CY220" s="25"/>
      <c r="CZ220" s="25"/>
      <c r="DA220" s="25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40"/>
      <c r="EJ220" s="25"/>
      <c r="EK220" s="25"/>
      <c r="EL220" s="25"/>
      <c r="EM220" s="28"/>
      <c r="EN220" s="28">
        <f t="shared" si="23"/>
        <v>0</v>
      </c>
      <c r="EO220" s="28">
        <f t="shared" si="24"/>
        <v>0</v>
      </c>
      <c r="EP220" s="28">
        <f t="shared" si="30"/>
        <v>0</v>
      </c>
    </row>
    <row r="221" spans="2:147">
      <c r="B221" s="9">
        <f>+B215</f>
        <v>44555</v>
      </c>
      <c r="C221" s="92"/>
      <c r="D221" s="483" t="s">
        <v>985</v>
      </c>
      <c r="E221" s="25"/>
      <c r="F221" s="26">
        <f>+AQ221</f>
        <v>0</v>
      </c>
      <c r="G221" s="25">
        <v>0</v>
      </c>
      <c r="H221" s="27"/>
      <c r="I221" s="27"/>
      <c r="J221" s="27"/>
      <c r="K221" s="27"/>
      <c r="L221" s="27"/>
      <c r="M221" s="27"/>
      <c r="N221" s="25"/>
      <c r="O221" s="27"/>
      <c r="P221" s="27"/>
      <c r="Q221" s="27"/>
      <c r="R221" s="25"/>
      <c r="S221" s="27"/>
      <c r="T221" s="25"/>
      <c r="U221" s="25"/>
      <c r="V221" s="25"/>
      <c r="W221" s="25"/>
      <c r="X221" s="27"/>
      <c r="Y221" s="27"/>
      <c r="Z221" s="27"/>
      <c r="AA221" s="27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7"/>
      <c r="AP221" s="25"/>
      <c r="AQ221" s="25">
        <v>0</v>
      </c>
      <c r="AR221" s="25"/>
      <c r="AS221" s="25"/>
      <c r="AT221" s="28"/>
      <c r="AU221" s="25"/>
      <c r="AV221" s="25"/>
      <c r="AW221" s="25"/>
      <c r="AX221" s="25"/>
      <c r="AY221" s="25"/>
      <c r="AZ221" s="27"/>
      <c r="BA221" s="25"/>
      <c r="BB221" s="25"/>
      <c r="BC221" s="25"/>
      <c r="BD221" s="27"/>
      <c r="BE221" s="478">
        <v>0</v>
      </c>
      <c r="BF221" s="27"/>
      <c r="BG221" s="25"/>
      <c r="BH221" s="27"/>
      <c r="BI221" s="27"/>
      <c r="BJ221" s="27"/>
      <c r="BK221" s="27"/>
      <c r="BL221" s="27"/>
      <c r="BM221" s="25"/>
      <c r="BN221" s="246"/>
      <c r="BO221" s="25"/>
      <c r="BP221" s="27"/>
      <c r="BQ221" s="27"/>
      <c r="BR221" s="27"/>
      <c r="BS221" s="25">
        <v>0</v>
      </c>
      <c r="BT221" s="27"/>
      <c r="BU221" s="25"/>
      <c r="BV221" s="27"/>
      <c r="BW221" s="25"/>
      <c r="BX221" s="27"/>
      <c r="BY221" s="27"/>
      <c r="BZ221" s="27"/>
      <c r="CA221" s="27"/>
      <c r="CB221" s="27"/>
      <c r="CC221" s="25"/>
      <c r="CD221" s="27"/>
      <c r="CE221" s="27"/>
      <c r="CF221" s="25"/>
      <c r="CG221" s="25"/>
      <c r="CH221" s="25"/>
      <c r="CI221" s="25"/>
      <c r="CJ221" s="25"/>
      <c r="CK221" s="28"/>
      <c r="CL221" s="25"/>
      <c r="CM221" s="25"/>
      <c r="CN221" s="25"/>
      <c r="CO221" s="27"/>
      <c r="CP221" s="25"/>
      <c r="CQ221" s="25"/>
      <c r="CR221" s="25"/>
      <c r="CS221" s="27"/>
      <c r="CT221" s="25"/>
      <c r="CU221" s="25"/>
      <c r="CV221" s="28"/>
      <c r="CW221" s="245"/>
      <c r="CX221" s="25"/>
      <c r="CY221" s="25"/>
      <c r="CZ221" s="25"/>
      <c r="DA221" s="25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>
        <v>0</v>
      </c>
      <c r="EI221" s="240"/>
      <c r="EJ221" s="25"/>
      <c r="EK221" s="25"/>
      <c r="EL221" s="25"/>
      <c r="EM221" s="28"/>
      <c r="EN221" s="28">
        <f t="shared" si="23"/>
        <v>0</v>
      </c>
      <c r="EO221" s="28">
        <f t="shared" si="24"/>
        <v>0</v>
      </c>
      <c r="EP221" s="28">
        <f t="shared" si="30"/>
        <v>0</v>
      </c>
    </row>
    <row r="222" spans="2:147">
      <c r="B222" s="9">
        <f>+B216</f>
        <v>44555</v>
      </c>
      <c r="C222" s="92"/>
      <c r="D222" s="487" t="s">
        <v>451</v>
      </c>
      <c r="E222" s="25">
        <f t="shared" ref="E222:E228" si="31">+F222+J222+L222+N222+T222+V222+X222+AB222+AD222+AF222+AL222+AN222+AP222+AU222+AW222+AY222+BC222+BE222+BG222+BM222+BO222+BQ222+BW222+CC222+CE222+CG222+CL222+CN222+CP222+CR222+CT222+CW222+CY222+DA222+DC222+DE222+DG222+DI222+DK222+DM222+DO222+DQ222+DS222+EE222+EG222+EI222+EK222+R222+H222+CI222+BA222+AR222</f>
        <v>0</v>
      </c>
      <c r="F222" s="486">
        <v>0</v>
      </c>
      <c r="G222" s="25">
        <v>0</v>
      </c>
      <c r="H222" s="27"/>
      <c r="I222" s="27"/>
      <c r="J222" s="27"/>
      <c r="K222" s="27"/>
      <c r="L222" s="27"/>
      <c r="M222" s="27"/>
      <c r="N222" s="25"/>
      <c r="O222" s="27"/>
      <c r="P222" s="27"/>
      <c r="Q222" s="27"/>
      <c r="R222" s="25"/>
      <c r="S222" s="27"/>
      <c r="T222" s="25">
        <v>0</v>
      </c>
      <c r="U222" s="25">
        <v>0</v>
      </c>
      <c r="V222" s="25"/>
      <c r="W222" s="25">
        <v>0</v>
      </c>
      <c r="X222" s="27"/>
      <c r="Y222" s="27"/>
      <c r="Z222" s="27"/>
      <c r="AA222" s="27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7"/>
      <c r="AP222" s="25"/>
      <c r="AQ222" s="25"/>
      <c r="AR222" s="25"/>
      <c r="AS222" s="25"/>
      <c r="AT222" s="28"/>
      <c r="AU222" s="25"/>
      <c r="AV222" s="25"/>
      <c r="AW222" s="25"/>
      <c r="AX222" s="25"/>
      <c r="AY222" s="25"/>
      <c r="AZ222" s="27"/>
      <c r="BA222" s="25"/>
      <c r="BB222" s="25"/>
      <c r="BC222" s="25"/>
      <c r="BD222" s="27"/>
      <c r="BE222" s="25">
        <v>0</v>
      </c>
      <c r="BF222" s="477">
        <v>0</v>
      </c>
      <c r="BG222" s="25">
        <v>0</v>
      </c>
      <c r="BH222" s="27">
        <v>0</v>
      </c>
      <c r="BI222" s="27"/>
      <c r="BJ222" s="27"/>
      <c r="BK222" s="27"/>
      <c r="BL222" s="27"/>
      <c r="BM222" s="25"/>
      <c r="BN222" s="246"/>
      <c r="BO222" s="25"/>
      <c r="BP222" s="27"/>
      <c r="BQ222" s="27"/>
      <c r="BR222" s="27"/>
      <c r="BS222" s="25"/>
      <c r="BT222" s="27"/>
      <c r="BU222" s="25"/>
      <c r="BV222" s="27"/>
      <c r="BW222" s="25"/>
      <c r="BX222" s="27"/>
      <c r="BY222" s="27"/>
      <c r="BZ222" s="27"/>
      <c r="CA222" s="27"/>
      <c r="CB222" s="27"/>
      <c r="CC222" s="25"/>
      <c r="CD222" s="27"/>
      <c r="CE222" s="27"/>
      <c r="CF222" s="25"/>
      <c r="CG222" s="25"/>
      <c r="CH222" s="25"/>
      <c r="CI222" s="25"/>
      <c r="CJ222" s="25"/>
      <c r="CK222" s="28"/>
      <c r="CL222" s="25"/>
      <c r="CM222" s="25"/>
      <c r="CN222" s="25"/>
      <c r="CO222" s="27"/>
      <c r="CP222" s="25"/>
      <c r="CQ222" s="25"/>
      <c r="CR222" s="25"/>
      <c r="CS222" s="27"/>
      <c r="CT222" s="25"/>
      <c r="CU222" s="25"/>
      <c r="CV222" s="28"/>
      <c r="CW222" s="25"/>
      <c r="CX222" s="25"/>
      <c r="CY222" s="25"/>
      <c r="CZ222" s="25"/>
      <c r="DA222" s="25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>
        <v>0</v>
      </c>
      <c r="DZ222" s="25"/>
      <c r="EA222" s="25"/>
      <c r="EB222" s="25"/>
      <c r="EC222" s="25"/>
      <c r="ED222" s="25"/>
      <c r="EE222" s="25"/>
      <c r="EF222" s="25"/>
      <c r="EG222" s="25"/>
      <c r="EH222" s="25"/>
      <c r="EI222" s="240"/>
      <c r="EJ222" s="25"/>
      <c r="EK222" s="25"/>
      <c r="EL222" s="25">
        <v>0</v>
      </c>
      <c r="EM222" s="28"/>
      <c r="EN222" s="28">
        <f t="shared" si="23"/>
        <v>0</v>
      </c>
      <c r="EO222" s="28">
        <f t="shared" si="24"/>
        <v>0</v>
      </c>
      <c r="EP222" s="28">
        <f t="shared" si="30"/>
        <v>0</v>
      </c>
    </row>
    <row r="223" spans="2:147">
      <c r="B223" s="9">
        <f t="shared" si="29"/>
        <v>44555</v>
      </c>
      <c r="C223" s="92"/>
      <c r="D223" s="488" t="s">
        <v>454</v>
      </c>
      <c r="E223" s="25">
        <f t="shared" si="31"/>
        <v>0</v>
      </c>
      <c r="F223" s="26"/>
      <c r="G223" s="28">
        <f>+AL223</f>
        <v>0</v>
      </c>
      <c r="H223" s="25"/>
      <c r="I223" s="27"/>
      <c r="J223" s="27"/>
      <c r="K223" s="27"/>
      <c r="L223" s="27"/>
      <c r="M223" s="27"/>
      <c r="N223" s="25"/>
      <c r="O223" s="27"/>
      <c r="P223" s="27"/>
      <c r="Q223" s="27"/>
      <c r="R223" s="25"/>
      <c r="S223" s="27"/>
      <c r="T223" s="25"/>
      <c r="U223" s="25"/>
      <c r="V223" s="25"/>
      <c r="W223" s="25"/>
      <c r="X223" s="27"/>
      <c r="Y223" s="27"/>
      <c r="Z223" s="27"/>
      <c r="AA223" s="27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>
        <v>0</v>
      </c>
      <c r="AM223" s="25">
        <v>0</v>
      </c>
      <c r="AN223" s="25"/>
      <c r="AO223" s="27"/>
      <c r="AP223" s="25"/>
      <c r="AQ223" s="25"/>
      <c r="AR223" s="25"/>
      <c r="AS223" s="25"/>
      <c r="AT223" s="28"/>
      <c r="AU223" s="25"/>
      <c r="AV223" s="25"/>
      <c r="AW223" s="25"/>
      <c r="AX223" s="25"/>
      <c r="AY223" s="25"/>
      <c r="AZ223" s="27"/>
      <c r="BA223" s="25"/>
      <c r="BB223" s="25"/>
      <c r="BC223" s="25"/>
      <c r="BD223" s="27"/>
      <c r="BE223" s="25">
        <v>0</v>
      </c>
      <c r="BF223" s="27"/>
      <c r="BG223" s="25"/>
      <c r="BH223" s="27"/>
      <c r="BI223" s="27"/>
      <c r="BJ223" s="27"/>
      <c r="BK223" s="27"/>
      <c r="BL223" s="27"/>
      <c r="BM223" s="25"/>
      <c r="BN223" s="27"/>
      <c r="BO223" s="25"/>
      <c r="BP223" s="27"/>
      <c r="BQ223" s="27"/>
      <c r="BR223" s="27"/>
      <c r="BS223" s="25"/>
      <c r="BT223" s="27"/>
      <c r="BU223" s="25"/>
      <c r="BV223" s="27"/>
      <c r="BW223" s="25"/>
      <c r="BX223" s="27"/>
      <c r="BY223" s="27"/>
      <c r="BZ223" s="27"/>
      <c r="CA223" s="27"/>
      <c r="CB223" s="27"/>
      <c r="CC223" s="25"/>
      <c r="CD223" s="27"/>
      <c r="CE223" s="27"/>
      <c r="CF223" s="25"/>
      <c r="CG223" s="25"/>
      <c r="CH223" s="25"/>
      <c r="CI223" s="25"/>
      <c r="CJ223" s="25"/>
      <c r="CK223" s="28"/>
      <c r="CL223" s="25"/>
      <c r="CM223" s="25"/>
      <c r="CN223" s="25"/>
      <c r="CO223" s="27"/>
      <c r="CP223" s="25"/>
      <c r="CQ223" s="25"/>
      <c r="CR223" s="25"/>
      <c r="CS223" s="27"/>
      <c r="CT223" s="25"/>
      <c r="CU223" s="25"/>
      <c r="CV223" s="28"/>
      <c r="CW223" s="25"/>
      <c r="CX223" s="25"/>
      <c r="CY223" s="25"/>
      <c r="CZ223" s="25"/>
      <c r="DA223" s="25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>
        <v>0</v>
      </c>
      <c r="EB223" s="25"/>
      <c r="EC223" s="219"/>
      <c r="ED223" s="25"/>
      <c r="EE223" s="25"/>
      <c r="EF223" s="25"/>
      <c r="EG223" s="25"/>
      <c r="EH223" s="25"/>
      <c r="EI223" s="30"/>
      <c r="EJ223" s="25"/>
      <c r="EK223" s="25"/>
      <c r="EL223" s="25"/>
      <c r="EM223" s="28"/>
      <c r="EN223" s="28">
        <f t="shared" si="23"/>
        <v>0</v>
      </c>
      <c r="EO223" s="28">
        <f t="shared" si="24"/>
        <v>0</v>
      </c>
      <c r="EP223" s="28">
        <f t="shared" si="30"/>
        <v>0</v>
      </c>
    </row>
    <row r="224" spans="2:147">
      <c r="B224" s="9">
        <f>+B223</f>
        <v>44555</v>
      </c>
      <c r="C224" s="92"/>
      <c r="D224" s="487" t="s">
        <v>464</v>
      </c>
      <c r="E224" s="25">
        <f t="shared" si="31"/>
        <v>0</v>
      </c>
      <c r="F224" s="25"/>
      <c r="G224" s="477">
        <f>+AP224</f>
        <v>0</v>
      </c>
      <c r="H224" s="27"/>
      <c r="I224" s="27"/>
      <c r="J224" s="27"/>
      <c r="K224" s="27"/>
      <c r="L224" s="27"/>
      <c r="M224" s="27"/>
      <c r="N224" s="25"/>
      <c r="O224" s="25"/>
      <c r="P224" s="25"/>
      <c r="Q224" s="25"/>
      <c r="R224" s="25"/>
      <c r="S224" s="25"/>
      <c r="T224" s="27"/>
      <c r="U224" s="25"/>
      <c r="V224" s="25"/>
      <c r="W224" s="25"/>
      <c r="X224" s="27"/>
      <c r="Y224" s="27"/>
      <c r="Z224" s="27"/>
      <c r="AA224" s="27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7"/>
      <c r="AP224" s="25">
        <v>0</v>
      </c>
      <c r="AQ224" s="25"/>
      <c r="AR224" s="25"/>
      <c r="AS224" s="25"/>
      <c r="AT224" s="28"/>
      <c r="AU224" s="25"/>
      <c r="AV224" s="25"/>
      <c r="AW224" s="25"/>
      <c r="AX224" s="25"/>
      <c r="AY224" s="25"/>
      <c r="AZ224" s="27"/>
      <c r="BA224" s="25"/>
      <c r="BB224" s="25"/>
      <c r="BC224" s="25"/>
      <c r="BD224" s="27"/>
      <c r="BE224" s="478">
        <v>0</v>
      </c>
      <c r="BF224" s="27"/>
      <c r="BG224" s="25"/>
      <c r="BH224" s="27"/>
      <c r="BI224" s="27"/>
      <c r="BJ224" s="27"/>
      <c r="BK224" s="27"/>
      <c r="BL224" s="27">
        <v>0</v>
      </c>
      <c r="BM224" s="25"/>
      <c r="BN224" s="27"/>
      <c r="BO224" s="25"/>
      <c r="BP224" s="27"/>
      <c r="BQ224" s="27"/>
      <c r="BR224" s="27"/>
      <c r="BS224" s="25"/>
      <c r="BT224" s="27"/>
      <c r="BU224" s="25"/>
      <c r="BV224" s="27"/>
      <c r="BW224" s="25"/>
      <c r="BX224" s="27"/>
      <c r="BY224" s="27"/>
      <c r="BZ224" s="25"/>
      <c r="CA224" s="27"/>
      <c r="CB224" s="27"/>
      <c r="CC224" s="25"/>
      <c r="CD224" s="27"/>
      <c r="CE224" s="27"/>
      <c r="CF224" s="25"/>
      <c r="CG224" s="25"/>
      <c r="CH224" s="25"/>
      <c r="CI224" s="25"/>
      <c r="CJ224" s="25"/>
      <c r="CK224" s="28"/>
      <c r="CL224" s="25"/>
      <c r="CM224" s="25"/>
      <c r="CN224" s="25"/>
      <c r="CO224" s="27"/>
      <c r="CP224" s="25"/>
      <c r="CQ224" s="25"/>
      <c r="CR224" s="25"/>
      <c r="CS224" s="27"/>
      <c r="CT224" s="25"/>
      <c r="CU224" s="25"/>
      <c r="CV224" s="28"/>
      <c r="CW224" s="25"/>
      <c r="CX224" s="25"/>
      <c r="CY224" s="25"/>
      <c r="CZ224" s="25"/>
      <c r="DA224" s="25"/>
      <c r="DB224" s="820"/>
      <c r="DC224" s="820">
        <v>0</v>
      </c>
      <c r="DD224" s="27">
        <v>0</v>
      </c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7"/>
      <c r="EM224" s="28"/>
      <c r="EN224" s="28">
        <f t="shared" si="23"/>
        <v>0</v>
      </c>
      <c r="EO224" s="28">
        <f t="shared" si="24"/>
        <v>0</v>
      </c>
      <c r="EP224" s="28">
        <f t="shared" si="30"/>
        <v>0</v>
      </c>
    </row>
    <row r="225" spans="2:146" ht="12.75" customHeight="1">
      <c r="B225" s="9">
        <f>+B224</f>
        <v>44555</v>
      </c>
      <c r="C225" s="92"/>
      <c r="D225" s="483" t="s">
        <v>463</v>
      </c>
      <c r="E225" s="25">
        <f t="shared" si="31"/>
        <v>0</v>
      </c>
      <c r="F225" s="26">
        <f>+I225</f>
        <v>0</v>
      </c>
      <c r="G225" s="27">
        <f>+BQ225</f>
        <v>0</v>
      </c>
      <c r="H225" s="27"/>
      <c r="I225" s="27"/>
      <c r="J225" s="27"/>
      <c r="K225" s="27"/>
      <c r="L225" s="27"/>
      <c r="M225" s="27"/>
      <c r="N225" s="25"/>
      <c r="O225" s="27"/>
      <c r="P225" s="27"/>
      <c r="Q225" s="27"/>
      <c r="R225" s="478"/>
      <c r="S225" s="27"/>
      <c r="T225" s="25"/>
      <c r="U225" s="478"/>
      <c r="V225" s="25"/>
      <c r="W225" s="25"/>
      <c r="X225" s="27"/>
      <c r="Y225" s="27"/>
      <c r="Z225" s="27"/>
      <c r="AA225" s="27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7"/>
      <c r="AP225" s="25"/>
      <c r="AQ225" s="25"/>
      <c r="AR225" s="25"/>
      <c r="AS225" s="25"/>
      <c r="AT225" s="28"/>
      <c r="AU225" s="25"/>
      <c r="AV225" s="25"/>
      <c r="AW225" s="25"/>
      <c r="AX225" s="25"/>
      <c r="AY225" s="25"/>
      <c r="AZ225" s="27"/>
      <c r="BA225" s="25"/>
      <c r="BB225" s="25"/>
      <c r="BC225" s="25"/>
      <c r="BD225" s="27"/>
      <c r="BE225" s="25"/>
      <c r="BF225" s="681"/>
      <c r="BG225" s="25"/>
      <c r="BH225" s="27"/>
      <c r="BI225" s="27"/>
      <c r="BJ225" s="27"/>
      <c r="BK225" s="27"/>
      <c r="BL225" s="27">
        <v>0</v>
      </c>
      <c r="BM225" s="25"/>
      <c r="BN225" s="27"/>
      <c r="BO225" s="25"/>
      <c r="BP225" s="27"/>
      <c r="BQ225" s="27">
        <v>0</v>
      </c>
      <c r="BR225" s="27"/>
      <c r="BS225" s="25"/>
      <c r="BT225" s="27"/>
      <c r="BU225" s="25"/>
      <c r="BV225" s="27"/>
      <c r="BW225" s="25"/>
      <c r="BX225" s="27"/>
      <c r="BY225" s="27"/>
      <c r="BZ225" s="27"/>
      <c r="CA225" s="27"/>
      <c r="CB225" s="27"/>
      <c r="CC225" s="25"/>
      <c r="CD225" s="27"/>
      <c r="CE225" s="27"/>
      <c r="CF225" s="25"/>
      <c r="CG225" s="25"/>
      <c r="CH225" s="25"/>
      <c r="CI225" s="25"/>
      <c r="CJ225" s="25"/>
      <c r="CK225" s="28"/>
      <c r="CL225" s="25"/>
      <c r="CM225" s="25"/>
      <c r="CN225" s="25"/>
      <c r="CO225" s="27"/>
      <c r="CP225" s="25"/>
      <c r="CQ225" s="25"/>
      <c r="CR225" s="25"/>
      <c r="CS225" s="27"/>
      <c r="CT225" s="25"/>
      <c r="CU225" s="25"/>
      <c r="CV225" s="28"/>
      <c r="CW225" s="25"/>
      <c r="CX225" s="25"/>
      <c r="CY225" s="25"/>
      <c r="CZ225" s="25"/>
      <c r="DA225" s="25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683">
        <f>+BF225</f>
        <v>0</v>
      </c>
      <c r="EJ225" s="25"/>
      <c r="EK225" s="25"/>
      <c r="EL225" s="25"/>
      <c r="EM225" s="28"/>
      <c r="EN225" s="28">
        <f t="shared" ref="EN225:EO227" si="32">+F225+J225+L225+N225+T225+V225+X225+AB225+AD225+AF225+AL225+AN225+AP225+AU225+AW225+AY225+BC225+BE225+BG225+BM225+BO225+BQ225+BU225+BW225+BY225+CC225+CE225+CG225+CL225+CN225+CP225+CR225+CT225+CW225+CY225+DA225+DC225+DE225+DG225+DI225+DK225+DM225+DO225+DQ225+DS225+EE225+EG225+EI225+EK225+H225+R225+AR225+BA225+CI225</f>
        <v>0</v>
      </c>
      <c r="EO225" s="28">
        <f t="shared" si="32"/>
        <v>0</v>
      </c>
      <c r="EP225" s="28">
        <f t="shared" si="30"/>
        <v>0</v>
      </c>
    </row>
    <row r="226" spans="2:146" ht="12.75" customHeight="1">
      <c r="B226" s="9">
        <f>+B225</f>
        <v>44555</v>
      </c>
      <c r="C226" s="92"/>
      <c r="D226" s="5" t="s">
        <v>231</v>
      </c>
      <c r="E226" s="25">
        <f t="shared" si="31"/>
        <v>0</v>
      </c>
      <c r="F226" s="27"/>
      <c r="G226" s="25">
        <f>+J226+BI226</f>
        <v>0</v>
      </c>
      <c r="H226" s="27"/>
      <c r="I226" s="27">
        <v>0</v>
      </c>
      <c r="J226" s="27">
        <v>0</v>
      </c>
      <c r="K226" s="27"/>
      <c r="L226" s="27"/>
      <c r="M226" s="27"/>
      <c r="N226" s="25"/>
      <c r="O226" s="27">
        <v>0</v>
      </c>
      <c r="P226" s="27"/>
      <c r="Q226" s="27"/>
      <c r="R226" s="25"/>
      <c r="S226" s="27"/>
      <c r="T226" s="25"/>
      <c r="U226" s="25"/>
      <c r="V226" s="25"/>
      <c r="W226" s="25"/>
      <c r="X226" s="27"/>
      <c r="Y226" s="27"/>
      <c r="Z226" s="27"/>
      <c r="AA226" s="27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7"/>
      <c r="AP226" s="25"/>
      <c r="AQ226" s="25"/>
      <c r="AR226" s="25"/>
      <c r="AS226" s="25"/>
      <c r="AT226" s="28"/>
      <c r="AU226" s="25"/>
      <c r="AV226" s="25">
        <f>+H226</f>
        <v>0</v>
      </c>
      <c r="AW226" s="25"/>
      <c r="AX226" s="25"/>
      <c r="AY226" s="25"/>
      <c r="AZ226" s="27"/>
      <c r="BA226" s="25"/>
      <c r="BB226" s="25"/>
      <c r="BC226" s="25"/>
      <c r="BD226" s="27">
        <v>0</v>
      </c>
      <c r="BE226" s="25"/>
      <c r="BF226" s="27"/>
      <c r="BG226" s="25"/>
      <c r="BH226" s="27"/>
      <c r="BI226" s="27">
        <v>0</v>
      </c>
      <c r="BJ226" s="27"/>
      <c r="BK226" s="27"/>
      <c r="BL226" s="27"/>
      <c r="BM226" s="25"/>
      <c r="BN226" s="27"/>
      <c r="BO226" s="25"/>
      <c r="BP226" s="27"/>
      <c r="BQ226" s="27"/>
      <c r="BR226" s="27"/>
      <c r="BS226" s="25"/>
      <c r="BT226" s="27"/>
      <c r="BU226" s="25"/>
      <c r="BV226" s="27"/>
      <c r="BW226" s="25"/>
      <c r="BX226" s="27"/>
      <c r="BY226" s="27"/>
      <c r="BZ226" s="27"/>
      <c r="CA226" s="27"/>
      <c r="CB226" s="27"/>
      <c r="CC226" s="25"/>
      <c r="CD226" s="27"/>
      <c r="CE226" s="27"/>
      <c r="CF226" s="25"/>
      <c r="CG226" s="25"/>
      <c r="CH226" s="25"/>
      <c r="CI226" s="25"/>
      <c r="CJ226" s="25"/>
      <c r="CK226" s="28"/>
      <c r="CL226" s="25">
        <v>0</v>
      </c>
      <c r="CM226" s="25"/>
      <c r="CN226" s="25"/>
      <c r="CO226" s="27"/>
      <c r="CP226" s="25"/>
      <c r="CQ226" s="25"/>
      <c r="CR226" s="25"/>
      <c r="CS226" s="27"/>
      <c r="CT226" s="25"/>
      <c r="CU226" s="25"/>
      <c r="CV226" s="28"/>
      <c r="CW226" s="25"/>
      <c r="CX226" s="25"/>
      <c r="CY226" s="25"/>
      <c r="CZ226" s="25"/>
      <c r="DA226" s="25">
        <v>0</v>
      </c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8"/>
      <c r="EN226" s="28">
        <f t="shared" si="32"/>
        <v>0</v>
      </c>
      <c r="EO226" s="28">
        <f t="shared" si="32"/>
        <v>0</v>
      </c>
      <c r="EP226" s="28">
        <f t="shared" si="30"/>
        <v>0</v>
      </c>
    </row>
    <row r="227" spans="2:146">
      <c r="B227" s="9">
        <f>+B226</f>
        <v>44555</v>
      </c>
      <c r="C227" s="92"/>
      <c r="D227" s="439" t="s">
        <v>123</v>
      </c>
      <c r="E227" s="25">
        <f t="shared" si="31"/>
        <v>0</v>
      </c>
      <c r="F227" s="26"/>
      <c r="G227" s="820">
        <v>0</v>
      </c>
      <c r="H227" s="27"/>
      <c r="I227" s="27"/>
      <c r="J227" s="27"/>
      <c r="K227" s="27"/>
      <c r="L227" s="27"/>
      <c r="M227" s="27"/>
      <c r="N227" s="25"/>
      <c r="O227" s="27"/>
      <c r="P227" s="27"/>
      <c r="Q227" s="27"/>
      <c r="R227" s="25"/>
      <c r="S227" s="27"/>
      <c r="T227" s="25">
        <v>0</v>
      </c>
      <c r="U227" s="25"/>
      <c r="V227" s="25"/>
      <c r="W227" s="25"/>
      <c r="X227" s="27"/>
      <c r="Y227" s="27"/>
      <c r="Z227" s="27"/>
      <c r="AA227" s="27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7"/>
      <c r="AP227" s="25"/>
      <c r="AQ227" s="25"/>
      <c r="AR227" s="25"/>
      <c r="AS227" s="25"/>
      <c r="AT227" s="28"/>
      <c r="AU227" s="25"/>
      <c r="AV227" s="25"/>
      <c r="AW227" s="25"/>
      <c r="AX227" s="25"/>
      <c r="AY227" s="25"/>
      <c r="AZ227" s="27"/>
      <c r="BA227" s="25"/>
      <c r="BB227" s="25"/>
      <c r="BC227" s="25"/>
      <c r="BD227" s="27"/>
      <c r="BE227" s="25"/>
      <c r="BF227" s="27"/>
      <c r="BG227" s="25"/>
      <c r="BH227" s="25"/>
      <c r="BI227" s="25"/>
      <c r="BJ227" s="25"/>
      <c r="BK227" s="25"/>
      <c r="BL227" s="25"/>
      <c r="BM227" s="25"/>
      <c r="BN227" s="27"/>
      <c r="BO227" s="25"/>
      <c r="BP227" s="1369"/>
      <c r="BQ227" s="27"/>
      <c r="BR227" s="27"/>
      <c r="BS227" s="25"/>
      <c r="BT227" s="27"/>
      <c r="BU227" s="25"/>
      <c r="BV227" s="27"/>
      <c r="BW227" s="25"/>
      <c r="BX227" s="27"/>
      <c r="BY227" s="27"/>
      <c r="BZ227" s="27"/>
      <c r="CA227" s="27"/>
      <c r="CB227" s="27"/>
      <c r="CC227" s="25"/>
      <c r="CD227" s="27"/>
      <c r="CE227" s="27"/>
      <c r="CF227" s="25"/>
      <c r="CG227" s="25"/>
      <c r="CH227" s="25"/>
      <c r="CI227" s="25"/>
      <c r="CJ227" s="25"/>
      <c r="CK227" s="28"/>
      <c r="CL227" s="25"/>
      <c r="CM227" s="25"/>
      <c r="CN227" s="25"/>
      <c r="CO227" s="27"/>
      <c r="CP227" s="25"/>
      <c r="CQ227" s="25"/>
      <c r="CR227" s="25"/>
      <c r="CS227" s="27"/>
      <c r="CT227" s="25"/>
      <c r="CU227" s="25"/>
      <c r="CV227" s="28"/>
      <c r="CW227" s="25"/>
      <c r="CX227" s="25"/>
      <c r="CY227" s="25"/>
      <c r="CZ227" s="25"/>
      <c r="DA227" s="25"/>
      <c r="DB227" s="27"/>
      <c r="DC227" s="820">
        <v>0</v>
      </c>
      <c r="DD227" s="25">
        <v>0</v>
      </c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440">
        <f>+BP227</f>
        <v>0</v>
      </c>
      <c r="EF227" s="25"/>
      <c r="EG227" s="25"/>
      <c r="EH227" s="25"/>
      <c r="EI227" s="25"/>
      <c r="EJ227" s="25"/>
      <c r="EK227" s="25"/>
      <c r="EL227" s="25"/>
      <c r="EM227" s="28"/>
      <c r="EN227" s="28">
        <f t="shared" si="32"/>
        <v>0</v>
      </c>
      <c r="EO227" s="28">
        <f t="shared" si="32"/>
        <v>0</v>
      </c>
      <c r="EP227" s="28">
        <f t="shared" si="30"/>
        <v>0</v>
      </c>
    </row>
    <row r="228" spans="2:146">
      <c r="D228" s="6"/>
      <c r="E228" s="25">
        <f t="shared" si="31"/>
        <v>0</v>
      </c>
      <c r="F228" s="191">
        <f t="shared" ref="F228:AS228" si="33">SUM(F8:F227)</f>
        <v>0</v>
      </c>
      <c r="G228" s="30">
        <f t="shared" si="33"/>
        <v>0</v>
      </c>
      <c r="H228" s="191">
        <f t="shared" si="33"/>
        <v>0</v>
      </c>
      <c r="I228" s="30">
        <f t="shared" si="33"/>
        <v>0</v>
      </c>
      <c r="J228" s="191">
        <f t="shared" si="33"/>
        <v>0</v>
      </c>
      <c r="K228" s="30">
        <f t="shared" si="33"/>
        <v>0</v>
      </c>
      <c r="L228" s="191">
        <f t="shared" si="33"/>
        <v>0</v>
      </c>
      <c r="M228" s="30">
        <f t="shared" si="33"/>
        <v>0</v>
      </c>
      <c r="N228" s="191">
        <f t="shared" si="33"/>
        <v>0</v>
      </c>
      <c r="O228" s="30">
        <f t="shared" si="33"/>
        <v>0</v>
      </c>
      <c r="P228" s="191">
        <f t="shared" si="33"/>
        <v>0</v>
      </c>
      <c r="Q228" s="30">
        <f t="shared" si="33"/>
        <v>0</v>
      </c>
      <c r="R228" s="30">
        <f t="shared" si="33"/>
        <v>0</v>
      </c>
      <c r="S228" s="30">
        <f t="shared" si="33"/>
        <v>0</v>
      </c>
      <c r="T228" s="30">
        <f t="shared" si="33"/>
        <v>0</v>
      </c>
      <c r="U228" s="30">
        <f t="shared" si="33"/>
        <v>0</v>
      </c>
      <c r="V228" s="30">
        <f t="shared" si="33"/>
        <v>0</v>
      </c>
      <c r="W228" s="30">
        <f t="shared" si="33"/>
        <v>0</v>
      </c>
      <c r="X228" s="30">
        <f t="shared" si="33"/>
        <v>0</v>
      </c>
      <c r="Y228" s="30">
        <f t="shared" si="33"/>
        <v>0</v>
      </c>
      <c r="Z228" s="30">
        <f t="shared" si="33"/>
        <v>0</v>
      </c>
      <c r="AA228" s="30">
        <f t="shared" si="33"/>
        <v>0</v>
      </c>
      <c r="AB228" s="30">
        <f t="shared" si="33"/>
        <v>0</v>
      </c>
      <c r="AC228" s="30">
        <f t="shared" si="33"/>
        <v>0</v>
      </c>
      <c r="AD228" s="30">
        <f t="shared" si="33"/>
        <v>0</v>
      </c>
      <c r="AE228" s="30">
        <f t="shared" si="33"/>
        <v>0</v>
      </c>
      <c r="AF228" s="30">
        <f t="shared" si="33"/>
        <v>0</v>
      </c>
      <c r="AG228" s="30">
        <f t="shared" si="33"/>
        <v>0</v>
      </c>
      <c r="AH228" s="30">
        <f t="shared" si="33"/>
        <v>0</v>
      </c>
      <c r="AI228" s="30">
        <f t="shared" si="33"/>
        <v>0</v>
      </c>
      <c r="AJ228" s="30">
        <f t="shared" si="33"/>
        <v>0</v>
      </c>
      <c r="AK228" s="30">
        <f t="shared" si="33"/>
        <v>0</v>
      </c>
      <c r="AL228" s="30">
        <f t="shared" si="33"/>
        <v>0</v>
      </c>
      <c r="AM228" s="30">
        <f t="shared" si="33"/>
        <v>0</v>
      </c>
      <c r="AN228" s="30">
        <f t="shared" si="33"/>
        <v>0</v>
      </c>
      <c r="AO228" s="30">
        <f t="shared" si="33"/>
        <v>0</v>
      </c>
      <c r="AP228" s="30">
        <f t="shared" si="33"/>
        <v>0</v>
      </c>
      <c r="AQ228" s="30">
        <f t="shared" si="33"/>
        <v>0</v>
      </c>
      <c r="AR228" s="30">
        <f t="shared" si="33"/>
        <v>0</v>
      </c>
      <c r="AS228" s="30">
        <f t="shared" si="33"/>
        <v>0</v>
      </c>
      <c r="AT228" s="28"/>
      <c r="AU228" s="30">
        <f t="shared" ref="AU228:CJ228" si="34">SUM(AU8:AU227)</f>
        <v>0</v>
      </c>
      <c r="AV228" s="30">
        <f t="shared" si="34"/>
        <v>0</v>
      </c>
      <c r="AW228" s="191">
        <f t="shared" si="34"/>
        <v>0</v>
      </c>
      <c r="AX228" s="30">
        <f t="shared" si="34"/>
        <v>0</v>
      </c>
      <c r="AY228" s="191">
        <f t="shared" si="34"/>
        <v>0</v>
      </c>
      <c r="AZ228" s="30">
        <f t="shared" si="34"/>
        <v>0</v>
      </c>
      <c r="BA228" s="30">
        <f t="shared" si="34"/>
        <v>0</v>
      </c>
      <c r="BB228" s="30">
        <f t="shared" si="34"/>
        <v>0</v>
      </c>
      <c r="BC228" s="30">
        <f t="shared" si="34"/>
        <v>0</v>
      </c>
      <c r="BD228" s="30">
        <f t="shared" si="34"/>
        <v>0</v>
      </c>
      <c r="BE228" s="30">
        <f t="shared" si="34"/>
        <v>0</v>
      </c>
      <c r="BF228" s="30">
        <f t="shared" si="34"/>
        <v>0</v>
      </c>
      <c r="BG228" s="191">
        <f t="shared" si="34"/>
        <v>0</v>
      </c>
      <c r="BH228" s="30">
        <f t="shared" si="34"/>
        <v>0</v>
      </c>
      <c r="BI228" s="191">
        <f t="shared" si="34"/>
        <v>0</v>
      </c>
      <c r="BJ228" s="30">
        <f t="shared" si="34"/>
        <v>0</v>
      </c>
      <c r="BK228" s="191">
        <f t="shared" si="34"/>
        <v>0</v>
      </c>
      <c r="BL228" s="30">
        <f t="shared" si="34"/>
        <v>0</v>
      </c>
      <c r="BM228" s="30">
        <f t="shared" si="34"/>
        <v>0</v>
      </c>
      <c r="BN228" s="30">
        <f t="shared" si="34"/>
        <v>0</v>
      </c>
      <c r="BO228" s="30">
        <f t="shared" si="34"/>
        <v>0</v>
      </c>
      <c r="BP228" s="30">
        <f t="shared" si="34"/>
        <v>0</v>
      </c>
      <c r="BQ228" s="30">
        <f t="shared" si="34"/>
        <v>0</v>
      </c>
      <c r="BR228" s="30">
        <f t="shared" si="34"/>
        <v>0</v>
      </c>
      <c r="BS228" s="30">
        <f t="shared" si="34"/>
        <v>0</v>
      </c>
      <c r="BT228" s="30">
        <f t="shared" si="34"/>
        <v>0</v>
      </c>
      <c r="BU228" s="30">
        <f t="shared" si="34"/>
        <v>0</v>
      </c>
      <c r="BV228" s="30">
        <f t="shared" si="34"/>
        <v>0</v>
      </c>
      <c r="BW228" s="30">
        <f t="shared" si="34"/>
        <v>0</v>
      </c>
      <c r="BX228" s="30">
        <f t="shared" si="34"/>
        <v>0</v>
      </c>
      <c r="BY228" s="30">
        <f t="shared" si="34"/>
        <v>0</v>
      </c>
      <c r="BZ228" s="30">
        <f t="shared" si="34"/>
        <v>0</v>
      </c>
      <c r="CA228" s="30">
        <f t="shared" si="34"/>
        <v>0</v>
      </c>
      <c r="CB228" s="30">
        <f t="shared" si="34"/>
        <v>0</v>
      </c>
      <c r="CC228" s="30">
        <f t="shared" si="34"/>
        <v>0</v>
      </c>
      <c r="CD228" s="30">
        <f t="shared" si="34"/>
        <v>0</v>
      </c>
      <c r="CE228" s="30">
        <f t="shared" si="34"/>
        <v>0</v>
      </c>
      <c r="CF228" s="30">
        <f t="shared" si="34"/>
        <v>0</v>
      </c>
      <c r="CG228" s="30">
        <f t="shared" si="34"/>
        <v>0</v>
      </c>
      <c r="CH228" s="30">
        <f t="shared" si="34"/>
        <v>0</v>
      </c>
      <c r="CI228" s="30">
        <f t="shared" si="34"/>
        <v>0</v>
      </c>
      <c r="CJ228" s="30">
        <f t="shared" si="34"/>
        <v>0</v>
      </c>
      <c r="CK228" s="28"/>
      <c r="CL228" s="30">
        <f t="shared" ref="CL228:CU228" si="35">SUM(CL8:CL227)</f>
        <v>0</v>
      </c>
      <c r="CM228" s="30">
        <f t="shared" si="35"/>
        <v>0</v>
      </c>
      <c r="CN228" s="30">
        <f t="shared" si="35"/>
        <v>0</v>
      </c>
      <c r="CO228" s="30">
        <f t="shared" si="35"/>
        <v>0</v>
      </c>
      <c r="CP228" s="30">
        <f t="shared" si="35"/>
        <v>0</v>
      </c>
      <c r="CQ228" s="30">
        <f t="shared" si="35"/>
        <v>0</v>
      </c>
      <c r="CR228" s="30">
        <f t="shared" si="35"/>
        <v>0</v>
      </c>
      <c r="CS228" s="30">
        <f t="shared" si="35"/>
        <v>0</v>
      </c>
      <c r="CT228" s="30">
        <f t="shared" si="35"/>
        <v>0</v>
      </c>
      <c r="CU228" s="30">
        <f t="shared" si="35"/>
        <v>0</v>
      </c>
      <c r="CV228" s="28"/>
      <c r="CW228" s="30">
        <f t="shared" ref="CW228:DT228" si="36">SUM(CW8:CW227)</f>
        <v>0</v>
      </c>
      <c r="CX228" s="30">
        <f t="shared" si="36"/>
        <v>0</v>
      </c>
      <c r="CY228" s="30">
        <f t="shared" si="36"/>
        <v>0</v>
      </c>
      <c r="CZ228" s="30">
        <f t="shared" si="36"/>
        <v>0</v>
      </c>
      <c r="DA228" s="30">
        <f t="shared" si="36"/>
        <v>0</v>
      </c>
      <c r="DB228" s="30">
        <f t="shared" si="36"/>
        <v>0</v>
      </c>
      <c r="DC228" s="30">
        <f t="shared" si="36"/>
        <v>0</v>
      </c>
      <c r="DD228" s="30">
        <f t="shared" si="36"/>
        <v>0</v>
      </c>
      <c r="DE228" s="30">
        <f t="shared" si="36"/>
        <v>0</v>
      </c>
      <c r="DF228" s="30">
        <f t="shared" si="36"/>
        <v>0</v>
      </c>
      <c r="DG228" s="30">
        <f t="shared" si="36"/>
        <v>0</v>
      </c>
      <c r="DH228" s="30">
        <f t="shared" si="36"/>
        <v>0</v>
      </c>
      <c r="DI228" s="30">
        <f t="shared" si="36"/>
        <v>0</v>
      </c>
      <c r="DJ228" s="30">
        <f t="shared" si="36"/>
        <v>0</v>
      </c>
      <c r="DK228" s="30">
        <f t="shared" si="36"/>
        <v>0</v>
      </c>
      <c r="DL228" s="30">
        <f t="shared" si="36"/>
        <v>0</v>
      </c>
      <c r="DM228" s="30">
        <f t="shared" si="36"/>
        <v>0</v>
      </c>
      <c r="DN228" s="30">
        <f t="shared" si="36"/>
        <v>0</v>
      </c>
      <c r="DO228" s="30">
        <f t="shared" si="36"/>
        <v>0</v>
      </c>
      <c r="DP228" s="30">
        <f t="shared" si="36"/>
        <v>0</v>
      </c>
      <c r="DQ228" s="30">
        <f t="shared" si="36"/>
        <v>0</v>
      </c>
      <c r="DR228" s="30">
        <f t="shared" si="36"/>
        <v>0</v>
      </c>
      <c r="DS228" s="191">
        <f t="shared" si="36"/>
        <v>0</v>
      </c>
      <c r="DT228" s="30">
        <f t="shared" si="36"/>
        <v>0</v>
      </c>
      <c r="DU228" s="191">
        <f t="shared" ref="DU228:ED228" si="37">SUM(DU8:DU227)</f>
        <v>0</v>
      </c>
      <c r="DV228" s="30">
        <f t="shared" si="37"/>
        <v>0</v>
      </c>
      <c r="DW228" s="191">
        <f>SUM(DW8:DW227)</f>
        <v>0</v>
      </c>
      <c r="DX228" s="30">
        <f>SUM(DX8:DX227)</f>
        <v>0</v>
      </c>
      <c r="DY228" s="191">
        <f t="shared" si="37"/>
        <v>0</v>
      </c>
      <c r="DZ228" s="30">
        <f t="shared" si="37"/>
        <v>0</v>
      </c>
      <c r="EA228" s="191">
        <f>SUM(EA8:EA227)</f>
        <v>0</v>
      </c>
      <c r="EB228" s="30">
        <f>SUM(EB8:EB227)</f>
        <v>0</v>
      </c>
      <c r="EC228" s="191">
        <f t="shared" si="37"/>
        <v>0</v>
      </c>
      <c r="ED228" s="30">
        <f t="shared" si="37"/>
        <v>0</v>
      </c>
      <c r="EE228" s="30">
        <f t="shared" ref="EE228:EL228" si="38">SUM(EE8:EE227)</f>
        <v>0</v>
      </c>
      <c r="EF228" s="30">
        <f t="shared" si="38"/>
        <v>0</v>
      </c>
      <c r="EG228" s="191">
        <f t="shared" si="38"/>
        <v>0</v>
      </c>
      <c r="EH228" s="30">
        <f t="shared" si="38"/>
        <v>0</v>
      </c>
      <c r="EI228" s="30">
        <f t="shared" si="38"/>
        <v>0</v>
      </c>
      <c r="EJ228" s="30">
        <f t="shared" si="38"/>
        <v>0</v>
      </c>
      <c r="EK228" s="191">
        <f t="shared" si="38"/>
        <v>0</v>
      </c>
      <c r="EL228" s="30">
        <f t="shared" si="38"/>
        <v>0</v>
      </c>
      <c r="EM228" s="28"/>
      <c r="EN228" s="28"/>
      <c r="EO228" s="28"/>
      <c r="EP228" s="28"/>
    </row>
    <row r="229" spans="2:146" s="4" customFormat="1">
      <c r="C229" s="95"/>
      <c r="D229" s="7" t="s">
        <v>7</v>
      </c>
      <c r="E229" s="31"/>
      <c r="F229" s="29">
        <f>IF(F228&gt;=G228,+F228-G228,0)</f>
        <v>0</v>
      </c>
      <c r="G229" s="32">
        <f>IF(F229&gt;0,0,G228-F228)</f>
        <v>0</v>
      </c>
      <c r="H229" s="29">
        <f>IF(H228&gt;=I228,+H228-I228,0)</f>
        <v>0</v>
      </c>
      <c r="I229" s="32">
        <f>IF(H229&gt;0,0,I228-H228)</f>
        <v>0</v>
      </c>
      <c r="J229" s="29">
        <f>IF(J228&gt;=K228,+J228-K228,0)</f>
        <v>0</v>
      </c>
      <c r="K229" s="32">
        <f>IF(J229&gt;0,0,K228-J228)</f>
        <v>0</v>
      </c>
      <c r="L229" s="29">
        <f>IF(L228&gt;=M228,+L228-M228,0)</f>
        <v>0</v>
      </c>
      <c r="M229" s="32">
        <f>IF(L229&gt;0,0,M228-L228)</f>
        <v>0</v>
      </c>
      <c r="N229" s="29">
        <f>IF(N228&gt;=O228,+N228-O228,0)</f>
        <v>0</v>
      </c>
      <c r="O229" s="32">
        <f>IF(N229&gt;0,0,O228-N228)</f>
        <v>0</v>
      </c>
      <c r="P229" s="29">
        <f>IF(P228&gt;=Q228,+P228-Q228,0)</f>
        <v>0</v>
      </c>
      <c r="Q229" s="32">
        <f>IF(P229&gt;0,0,Q228-P228)</f>
        <v>0</v>
      </c>
      <c r="R229" s="29">
        <f>IF(R228&gt;=S228,+R228-S228,0)</f>
        <v>0</v>
      </c>
      <c r="S229" s="32">
        <f>IF(R229&gt;0,0,S228-R228)</f>
        <v>0</v>
      </c>
      <c r="T229" s="29">
        <f>IF(T228&gt;=U228,+T228-U228,0)</f>
        <v>0</v>
      </c>
      <c r="U229" s="33">
        <f>IF(T229&gt;0,0,U228-T228)</f>
        <v>0</v>
      </c>
      <c r="V229" s="29">
        <f>IF(V228&gt;=W228,+V228-W228,0)</f>
        <v>0</v>
      </c>
      <c r="W229" s="33">
        <f>IF(V229&gt;0,0,W228-V228)</f>
        <v>0</v>
      </c>
      <c r="X229" s="29">
        <f>IF(X228&gt;=Y228,+X228-Y228,0)</f>
        <v>0</v>
      </c>
      <c r="Y229" s="32">
        <f>IF(X229&gt;0,0,Y228-X228)</f>
        <v>0</v>
      </c>
      <c r="Z229" s="29">
        <f>IF(Z228&gt;=AA228,+Z228-AA228,0)</f>
        <v>0</v>
      </c>
      <c r="AA229" s="32">
        <f>IF(Z229&gt;0,0,AA228-Z228)</f>
        <v>0</v>
      </c>
      <c r="AB229" s="29">
        <f>IF(AB228&gt;=AC228,+AB228-AC228,0)</f>
        <v>0</v>
      </c>
      <c r="AC229" s="29">
        <f>IF(AC228&gt;=AB228,+AC228-AB228,0)</f>
        <v>0</v>
      </c>
      <c r="AD229" s="29">
        <f>IF(AD228&gt;=AE228,+AD228-AE228,0)</f>
        <v>0</v>
      </c>
      <c r="AE229" s="32">
        <f>IF(AD229&gt;0,0,AE228-AD228)</f>
        <v>0</v>
      </c>
      <c r="AF229" s="29">
        <f>IF(AF228&gt;=AG228,+AF228-AG228,0)</f>
        <v>0</v>
      </c>
      <c r="AG229" s="32">
        <f>IF(AF229&gt;0,0,AG228-AF228)</f>
        <v>0</v>
      </c>
      <c r="AH229" s="29">
        <f>IF(AH228&gt;=AI228,+AH228-AI228,0)</f>
        <v>0</v>
      </c>
      <c r="AI229" s="32">
        <f>IF(AH229&gt;0,0,AI228-AH228)</f>
        <v>0</v>
      </c>
      <c r="AJ229" s="29">
        <f>IF(AJ228&gt;=AK228,+AJ228-AK228,0)</f>
        <v>0</v>
      </c>
      <c r="AK229" s="32">
        <f>IF(AJ229&gt;0,0,AK228-AJ228)</f>
        <v>0</v>
      </c>
      <c r="AL229" s="29">
        <f>IF(AL228&gt;=AM228,+AL228-AM228,0)</f>
        <v>0</v>
      </c>
      <c r="AM229" s="32">
        <f>IF(AL229&gt;0,0,AM228-AL228)</f>
        <v>0</v>
      </c>
      <c r="AN229" s="29">
        <f>IF(AN228&gt;=AO228,+AN228-AO228,0)</f>
        <v>0</v>
      </c>
      <c r="AO229" s="32">
        <f>IF(AN229&gt;0,0,AO228-AN228)</f>
        <v>0</v>
      </c>
      <c r="AP229" s="29">
        <f>IF(AP228&gt;=AQ228,+AP228-AQ228,0)</f>
        <v>0</v>
      </c>
      <c r="AQ229" s="33">
        <f>IF(AP229&gt;0,0,AQ228-AP228)</f>
        <v>0</v>
      </c>
      <c r="AR229" s="29">
        <f>IF(AR228&gt;=AS228,+AR228-AS228,0)</f>
        <v>0</v>
      </c>
      <c r="AS229" s="33">
        <f>IF(AR229&gt;0,0,AS228-AR228)</f>
        <v>0</v>
      </c>
      <c r="AT229" s="1"/>
      <c r="AU229" s="29">
        <f>IF(AU228&gt;=AV228,+AU228-AV228,0)</f>
        <v>0</v>
      </c>
      <c r="AV229" s="33">
        <f>IF(AU229&gt;0,0,AV228-AU228)</f>
        <v>0</v>
      </c>
      <c r="AW229" s="29">
        <f>IF(AW228&gt;=AX228,+AW228-AX228,0)</f>
        <v>0</v>
      </c>
      <c r="AX229" s="29">
        <f>IF(AW229&gt;0,0,AX228-AW228)</f>
        <v>0</v>
      </c>
      <c r="AY229" s="29">
        <f>IF(AY228&gt;=AZ228,+AY228-AZ228,0)</f>
        <v>0</v>
      </c>
      <c r="AZ229" s="29">
        <f>IF(AY229&gt;0,0,AZ228-AY228)</f>
        <v>0</v>
      </c>
      <c r="BA229" s="29">
        <f>IF(BA228&gt;=BB228,+BA228-BB228,0)</f>
        <v>0</v>
      </c>
      <c r="BB229" s="29">
        <f>IF(BA229&gt;0,0,BB228-BA228)</f>
        <v>0</v>
      </c>
      <c r="BC229" s="29">
        <f>IF(BC228&gt;=BD228,+BC228-BD228,0)</f>
        <v>0</v>
      </c>
      <c r="BD229" s="29">
        <f>IF(BC229&gt;0,0,BD228-BC228)</f>
        <v>0</v>
      </c>
      <c r="BE229" s="29">
        <f>IF(BE228&gt;=BF228,+BE228-BF228,0)</f>
        <v>0</v>
      </c>
      <c r="BF229" s="29">
        <f>IF(BE229&gt;0,0,BF228-BE228)</f>
        <v>0</v>
      </c>
      <c r="BG229" s="29">
        <f>IF(BG228&gt;=BH228,+BG228-BH228,0)</f>
        <v>0</v>
      </c>
      <c r="BH229" s="29">
        <f>IF(BG229&gt;0,0,BH228-BG228)</f>
        <v>0</v>
      </c>
      <c r="BI229" s="29">
        <f>IF(BI228&gt;=BJ228,+BI228-BJ228,0)</f>
        <v>0</v>
      </c>
      <c r="BJ229" s="275">
        <f>IF(BI229&gt;0,0,BJ228-BI228)</f>
        <v>0</v>
      </c>
      <c r="BK229" s="29">
        <f>IF(BK228&gt;=BL228,+BK228-BL228,0)</f>
        <v>0</v>
      </c>
      <c r="BL229" s="275">
        <f>IF(BK229&gt;0,0,BL228-BK228)</f>
        <v>0</v>
      </c>
      <c r="BM229" s="29">
        <f>IF(BM228&gt;=BN228,+BM228-BN228,0)</f>
        <v>0</v>
      </c>
      <c r="BN229" s="29">
        <f>IF(BM229&gt;0,0,BN228-BM228)</f>
        <v>0</v>
      </c>
      <c r="BO229" s="29">
        <f>IF(BO228&gt;=BP228,+BO228-BP228,0)</f>
        <v>0</v>
      </c>
      <c r="BP229" s="29">
        <f>IF(BO229&gt;0,0,BP228-BO228)</f>
        <v>0</v>
      </c>
      <c r="BQ229" s="29">
        <f>IF(BQ228&gt;=BR228,+BQ228-BR228,0)</f>
        <v>0</v>
      </c>
      <c r="BR229" s="29">
        <f>IF(BQ229&gt;0,0,BR228-BQ228)</f>
        <v>0</v>
      </c>
      <c r="BS229" s="29">
        <f>IF(BS228&gt;=BT228,+BS228-BT228,0)</f>
        <v>0</v>
      </c>
      <c r="BT229" s="29">
        <f>IF(BS229&gt;0,0,BT228-BS228)</f>
        <v>0</v>
      </c>
      <c r="BU229" s="29">
        <f>IF(BU228&gt;=BV228,+BU228-BV228,0)</f>
        <v>0</v>
      </c>
      <c r="BV229" s="29">
        <f>IF(BU229&gt;0,0,BV228-BU228)</f>
        <v>0</v>
      </c>
      <c r="BW229" s="29">
        <f>IF(BW228&gt;=BX228,+BW228-BX228,0)</f>
        <v>0</v>
      </c>
      <c r="BX229" s="29">
        <f>IF(BW229&gt;0,0,BX228-BW228)</f>
        <v>0</v>
      </c>
      <c r="BY229" s="29">
        <f>IF(BY228&gt;=BZ228,+BY228-BZ228,0)</f>
        <v>0</v>
      </c>
      <c r="BZ229" s="29">
        <f>IF(BY229&gt;0,0,BZ228-BY228)</f>
        <v>0</v>
      </c>
      <c r="CA229" s="29">
        <f>IF(CA228&gt;=CB228,+CA228-CB228,0)</f>
        <v>0</v>
      </c>
      <c r="CB229" s="29">
        <f>IF(CA229&gt;0,0,CB228-CA228)</f>
        <v>0</v>
      </c>
      <c r="CC229" s="29">
        <f>IF(CC228&gt;=CD228,+CC228-CD228,0)</f>
        <v>0</v>
      </c>
      <c r="CD229" s="29">
        <f>IF(CC229&gt;0,0,CD228-CC228)</f>
        <v>0</v>
      </c>
      <c r="CE229" s="29">
        <f>IF(CE228&gt;=CF228,+CE228-CF228,0)</f>
        <v>0</v>
      </c>
      <c r="CF229" s="29">
        <f>IF(CE229&gt;0,0,CF228-CE228)</f>
        <v>0</v>
      </c>
      <c r="CG229" s="29">
        <f>IF(CG228&gt;=CH228,+CG228-CH228,0)</f>
        <v>0</v>
      </c>
      <c r="CH229" s="29">
        <f>IF(CG229&gt;0,0,CH228-CG228)</f>
        <v>0</v>
      </c>
      <c r="CI229" s="29">
        <f>IF(CI228&gt;=CJ228,+CI228-CJ228,0)</f>
        <v>0</v>
      </c>
      <c r="CJ229" s="29">
        <f>IF(CI229&gt;0,0,CJ228-CI228)</f>
        <v>0</v>
      </c>
      <c r="CK229" s="1"/>
      <c r="CL229" s="29">
        <f>IF(CL228&gt;=CM228,+CL228-CM228,0)</f>
        <v>0</v>
      </c>
      <c r="CM229" s="29">
        <f>IF(CL229&gt;0,0,CM228-CL228)</f>
        <v>0</v>
      </c>
      <c r="CN229" s="29">
        <f>IF(CN228&gt;=CO228,+CN228-CO228,0)</f>
        <v>0</v>
      </c>
      <c r="CO229" s="29">
        <f>IF(CN229&gt;0,0,CO228-CN228)</f>
        <v>0</v>
      </c>
      <c r="CP229" s="29">
        <f>IF(CP228&gt;=CQ228,+CP228-CQ228,0)</f>
        <v>0</v>
      </c>
      <c r="CQ229" s="29">
        <f>IF(CP229&gt;0,0,CQ228-CP228)</f>
        <v>0</v>
      </c>
      <c r="CR229" s="29">
        <f>IF(CR228&gt;=CS228,+CR228-CS228,0)</f>
        <v>0</v>
      </c>
      <c r="CS229" s="29">
        <f>IF(CR229&gt;0,0,CS228-CR228)</f>
        <v>0</v>
      </c>
      <c r="CT229" s="29">
        <f>IF(CT228&gt;=CU228,+CT228-CU228,0)</f>
        <v>0</v>
      </c>
      <c r="CU229" s="29">
        <f>IF(CT229&gt;0,0,CU228-CT228)</f>
        <v>0</v>
      </c>
      <c r="CV229" s="1"/>
      <c r="CW229" s="29">
        <f>IF(CW228&gt;=CX228,+CW228-CX228,0)</f>
        <v>0</v>
      </c>
      <c r="CX229" s="29">
        <f>IF(CW229&gt;0,0,CX228-CW228)</f>
        <v>0</v>
      </c>
      <c r="CY229" s="29">
        <f>IF(CY228&gt;=CZ228,+CY228-CZ228,0)</f>
        <v>0</v>
      </c>
      <c r="CZ229" s="29">
        <f>IF(CY229&gt;0,0,CZ228-CY228)</f>
        <v>0</v>
      </c>
      <c r="DA229" s="29">
        <f>IF(DA228&gt;=DB228,+DA228-DB228,0)</f>
        <v>0</v>
      </c>
      <c r="DB229" s="29">
        <f>IF(DA229&gt;0,0,DB228-DA228)</f>
        <v>0</v>
      </c>
      <c r="DC229" s="29">
        <f>IF(DC228&gt;=DD228,+DC228-DD228,0)</f>
        <v>0</v>
      </c>
      <c r="DD229" s="29">
        <f>IF(DC229&gt;0,0,DD228-DC228)</f>
        <v>0</v>
      </c>
      <c r="DE229" s="29">
        <f>IF(DE228&gt;=DF228,+DE228-DF228,0)</f>
        <v>0</v>
      </c>
      <c r="DF229" s="29">
        <f>IF(DE229&gt;0,0,DF228-DE228)</f>
        <v>0</v>
      </c>
      <c r="DG229" s="29">
        <f>IF(DG228&gt;=DH228,+DG228-DH228,0)</f>
        <v>0</v>
      </c>
      <c r="DH229" s="29">
        <f>IF(DG229&gt;0,0,DH228-DG228)</f>
        <v>0</v>
      </c>
      <c r="DI229" s="29">
        <f>IF(DI228&gt;=DJ228,+DI228-DJ228,0)</f>
        <v>0</v>
      </c>
      <c r="DJ229" s="29">
        <f>IF(DI229&gt;0,0,DJ228-DI228)</f>
        <v>0</v>
      </c>
      <c r="DK229" s="29">
        <f>IF(DK228&gt;=DL228,+DK228-DL228,0)</f>
        <v>0</v>
      </c>
      <c r="DL229" s="29">
        <f>IF(DK229&gt;0,0,DL228-DK228)</f>
        <v>0</v>
      </c>
      <c r="DM229" s="29">
        <f>IF(DM228&gt;=DN228,+DM228-DN228,0)</f>
        <v>0</v>
      </c>
      <c r="DN229" s="29">
        <f>IF(DM229&gt;0,0,DN228-DM228)</f>
        <v>0</v>
      </c>
      <c r="DO229" s="29">
        <f>IF(DO228&gt;=DP228,+DO228-DP228,0)</f>
        <v>0</v>
      </c>
      <c r="DP229" s="29">
        <f>IF(DO229&gt;0,0,DP228-DO228)</f>
        <v>0</v>
      </c>
      <c r="DQ229" s="29">
        <f>IF(DQ228&gt;=DR228,+DQ228-DR228,0)</f>
        <v>0</v>
      </c>
      <c r="DR229" s="29">
        <f>IF(DQ229&gt;0,0,DR228-DQ228)</f>
        <v>0</v>
      </c>
      <c r="DS229" s="29">
        <f>IF(DS228&gt;=DT228,+DS228-DT228,0)</f>
        <v>0</v>
      </c>
      <c r="DT229" s="29">
        <f>IF(DS229&gt;0,0,DT228-DS228)</f>
        <v>0</v>
      </c>
      <c r="DU229" s="29">
        <f>IF(DU228&gt;=DV228,+DU228-DV228,0)</f>
        <v>0</v>
      </c>
      <c r="DV229" s="29">
        <f>IF(DU229&gt;0,0,DV228-DU228)</f>
        <v>0</v>
      </c>
      <c r="DW229" s="29">
        <f>IF(DW228&gt;=DX228,+DW228-DX228,0)</f>
        <v>0</v>
      </c>
      <c r="DX229" s="29">
        <f>IF(DW229&gt;0,0,DX228-DW228)</f>
        <v>0</v>
      </c>
      <c r="DY229" s="29">
        <f>IF(DY228&gt;=DZ228,+DY228-DZ228,0)</f>
        <v>0</v>
      </c>
      <c r="DZ229" s="29">
        <f>IF(DY229&gt;0,0,DZ228-DY228)</f>
        <v>0</v>
      </c>
      <c r="EA229" s="29">
        <f>IF(EA228&gt;=EB228,+EA228-EB228,0)</f>
        <v>0</v>
      </c>
      <c r="EB229" s="29">
        <f>IF(EA229&gt;0,0,EB228-EA228)</f>
        <v>0</v>
      </c>
      <c r="EC229" s="29">
        <f>IF(EC228&gt;=ED228,+EC228-ED228,0)</f>
        <v>0</v>
      </c>
      <c r="ED229" s="29">
        <f>IF(EC229&gt;0,0,ED228-EC228)</f>
        <v>0</v>
      </c>
      <c r="EE229" s="29">
        <f>IF(EE228&gt;=EF228,+EE228-EF228,0)</f>
        <v>0</v>
      </c>
      <c r="EF229" s="29">
        <f>IF(EE229&gt;0,0,EF228-EE228)</f>
        <v>0</v>
      </c>
      <c r="EG229" s="29">
        <f>IF(EG228&gt;=EH228,+EG228-EH228,0)</f>
        <v>0</v>
      </c>
      <c r="EH229" s="29">
        <f>IF(EG229&gt;0,0,EH228-EG228)</f>
        <v>0</v>
      </c>
      <c r="EI229" s="29">
        <f>IF(EI228&gt;=EJ228,+EI228-EJ228,0)</f>
        <v>0</v>
      </c>
      <c r="EJ229" s="29">
        <f>IF(EI229&gt;0,0,EJ228-EI228)</f>
        <v>0</v>
      </c>
      <c r="EK229" s="29">
        <f>IF(EK228&gt;=EL228,+EK228-EL228,0)</f>
        <v>0</v>
      </c>
      <c r="EL229" s="29">
        <f>IF(EK229&gt;0,0,EL228-EK228)</f>
        <v>0</v>
      </c>
      <c r="EM229" s="1"/>
      <c r="EN229" s="1"/>
      <c r="EO229" s="1"/>
      <c r="EP229" s="1">
        <f>SUM(EP41:EP226)</f>
        <v>0</v>
      </c>
    </row>
    <row r="230" spans="2:146"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>
        <v>0</v>
      </c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>
        <v>0</v>
      </c>
      <c r="BC230" s="28"/>
      <c r="BD230" s="28"/>
      <c r="BE230" s="28"/>
      <c r="BF230" s="28"/>
      <c r="BG230" s="28">
        <f>+'BT IMPRESION'!H58+'BT IMPRESION'!H56</f>
        <v>-45172244</v>
      </c>
      <c r="BH230" s="28"/>
      <c r="BI230" s="28"/>
      <c r="BJ230" s="28"/>
      <c r="BK230" s="28"/>
      <c r="BL230" s="28"/>
      <c r="BM230" s="28"/>
      <c r="BN230" s="28" t="s">
        <v>325</v>
      </c>
      <c r="BO230" s="28">
        <f>+'BT - 2022 (2)'!G62</f>
        <v>-2456331</v>
      </c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</row>
    <row r="231" spans="2:146">
      <c r="D231" s="8" t="s">
        <v>8</v>
      </c>
      <c r="E231" s="28">
        <f>+F228+H228+J228+L228+N228+R228+T228+V228+X228+AB228+AD228+AF228+AL228+AN228+AP228+AR228+AU228+AW228+AY228+BA228+BC228+BE228+BG228+BM228+BO228+BQ228+BW228+CC228+CE228+CG228+CI228+CL228+CN228+CP228+CR228+CT228+CW228+CY228+DA228+DC228+DE228+DG228+DI228+DK228+DM228+DO228+DQ228+DS228+EE228+EG228+EI228+EK228+DU228+DY228+EC228+Z228+DW228+EA228</f>
        <v>0</v>
      </c>
      <c r="F231" s="28">
        <f>+F230+G229</f>
        <v>0</v>
      </c>
      <c r="G231" s="28">
        <f>+F231+G229</f>
        <v>0</v>
      </c>
      <c r="H231" s="28"/>
      <c r="I231" s="28"/>
      <c r="J231" s="28">
        <f>+J230-J229</f>
        <v>0</v>
      </c>
      <c r="K231" s="28"/>
      <c r="L231" s="28">
        <f>+PPM!E28</f>
        <v>0</v>
      </c>
      <c r="M231" s="28"/>
      <c r="N231" s="28"/>
      <c r="O231" s="28"/>
      <c r="P231" s="28"/>
      <c r="Q231" s="28"/>
      <c r="R231" s="28">
        <f>+R229-R230</f>
        <v>0</v>
      </c>
      <c r="S231" s="28"/>
      <c r="T231" s="28"/>
      <c r="U231" s="28"/>
      <c r="V231" s="28"/>
      <c r="W231" s="28"/>
      <c r="X231" s="28"/>
      <c r="Y231" s="28"/>
      <c r="Z231" s="28"/>
      <c r="AA231" s="28" t="s">
        <v>328</v>
      </c>
      <c r="AB231" s="28"/>
      <c r="AC231" s="28"/>
      <c r="AD231" s="28"/>
      <c r="AE231" s="28"/>
      <c r="AF231" s="28"/>
      <c r="AG231" s="28"/>
      <c r="AH231" s="28"/>
      <c r="AI231" s="28"/>
      <c r="AJ231" s="28"/>
      <c r="AK231" s="28">
        <f>+DATOS!J76</f>
        <v>0</v>
      </c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>
        <f>+BB229-BB230</f>
        <v>0</v>
      </c>
      <c r="BC231" s="28"/>
      <c r="BD231" s="28"/>
      <c r="BE231" s="28"/>
      <c r="BF231" s="243"/>
      <c r="BG231" s="28">
        <f>+BG230*BF231</f>
        <v>0</v>
      </c>
      <c r="BH231" s="28"/>
      <c r="BI231" s="28"/>
      <c r="BJ231" s="28"/>
      <c r="BK231" s="28"/>
      <c r="BL231" s="28"/>
      <c r="BM231" s="28"/>
      <c r="BN231" s="646" t="s">
        <v>714</v>
      </c>
      <c r="BO231" s="28">
        <f>+BO230*0.1</f>
        <v>-245633.1</v>
      </c>
      <c r="BP231" s="28"/>
      <c r="BQ231" s="28"/>
      <c r="BR231" s="28">
        <f>+BR228+BT228</f>
        <v>0</v>
      </c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0">
        <v>0</v>
      </c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</row>
    <row r="232" spans="2:146">
      <c r="D232" t="s">
        <v>9</v>
      </c>
      <c r="E232" s="28">
        <f>+G228+K228+M228+O228+U228+W228+Y228+AC228+AE228+AM228+AG228+AO228+AQ228+AV228+AX228+AZ228+BD228+BF228+BH228+BN228+BP228+BR228+BX228+CD228+CF228+CH228+CM228+CO228+CQ228+CS228+CU228+CX228+CZ228+DB228+DD228+DF228+DH228+DJ228+DL228+DN228+DT228+EF228+DR228+EH228+EJ228+EL228+CJ228+I228+S228+BB228+AS228+I226+AA228</f>
        <v>0</v>
      </c>
      <c r="F232" s="28">
        <f>+F229-F231</f>
        <v>0</v>
      </c>
      <c r="G232" s="28">
        <f>+G228+K228+AX228+AZ228+BH228+BR228+CM228+EL228+M228+BN228</f>
        <v>0</v>
      </c>
      <c r="H232" s="28"/>
      <c r="I232" s="28"/>
      <c r="J232" s="28"/>
      <c r="K232" s="28"/>
      <c r="L232" s="28">
        <f>+L229-L231</f>
        <v>0</v>
      </c>
      <c r="M232" s="28"/>
      <c r="N232" s="28"/>
      <c r="O232" s="28"/>
      <c r="P232" s="28"/>
      <c r="Q232" s="28"/>
      <c r="R232" s="28"/>
      <c r="S232" s="28"/>
      <c r="T232" s="28">
        <v>459261</v>
      </c>
      <c r="U232" s="28"/>
      <c r="V232" s="28"/>
      <c r="W232" s="28"/>
      <c r="X232" s="28"/>
      <c r="Y232" s="28" t="s">
        <v>258</v>
      </c>
      <c r="Z232" s="28"/>
      <c r="AA232" s="28" t="s">
        <v>330</v>
      </c>
      <c r="AB232" s="28"/>
      <c r="AC232" s="28"/>
      <c r="AD232" s="28"/>
      <c r="AE232" s="28" t="s">
        <v>260</v>
      </c>
      <c r="AF232" s="28"/>
      <c r="AG232" s="28"/>
      <c r="AH232" s="28"/>
      <c r="AI232" s="28"/>
      <c r="AJ232" s="28"/>
      <c r="AK232" s="28">
        <f>+DATOS!M76</f>
        <v>0</v>
      </c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>
        <v>0</v>
      </c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0">
        <v>0</v>
      </c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</row>
    <row r="233" spans="2:146" ht="13.5" thickBot="1">
      <c r="E233" s="28">
        <f>+E231-E232</f>
        <v>0</v>
      </c>
      <c r="F233" s="28"/>
      <c r="G233" s="28"/>
      <c r="H233" s="28">
        <f>+H229-H231</f>
        <v>0</v>
      </c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>
        <f>+T232-T228</f>
        <v>459261</v>
      </c>
      <c r="U233" s="28"/>
      <c r="V233" s="28"/>
      <c r="W233" s="28"/>
      <c r="X233" s="28"/>
      <c r="Y233" s="28" t="s">
        <v>259</v>
      </c>
      <c r="Z233" s="28"/>
      <c r="AA233" s="28" t="s">
        <v>329</v>
      </c>
      <c r="AB233" s="28"/>
      <c r="AC233" s="28"/>
      <c r="AD233" s="28"/>
      <c r="AE233" s="28" t="s">
        <v>259</v>
      </c>
      <c r="AF233" s="280"/>
      <c r="AG233" s="28"/>
      <c r="AH233" s="28"/>
      <c r="AI233" s="28"/>
      <c r="AJ233" s="28"/>
      <c r="AK233" s="28">
        <f>+DATOS!P76</f>
        <v>0</v>
      </c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>
        <f>+BD228-BD232</f>
        <v>0</v>
      </c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79">
        <f>SUM(CW231:CW232)</f>
        <v>0</v>
      </c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0">
        <v>0</v>
      </c>
      <c r="DZ233" s="28"/>
      <c r="EA233" s="28"/>
      <c r="EB233" s="28"/>
      <c r="EC233" s="28">
        <f>+EC229*0.3</f>
        <v>0</v>
      </c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>
        <f>SUM(EN231:EN232)</f>
        <v>0</v>
      </c>
      <c r="EO233" s="28"/>
      <c r="EP233" s="28"/>
    </row>
    <row r="234" spans="2:146" ht="14.25" thickTop="1" thickBot="1">
      <c r="E234" s="28"/>
      <c r="F234" s="28"/>
      <c r="G234" s="28"/>
      <c r="H234" s="28"/>
      <c r="I234" s="28"/>
      <c r="J234" s="28"/>
      <c r="K234" s="28"/>
      <c r="L234" s="28">
        <f>+T194+V194</f>
        <v>0</v>
      </c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79">
        <f>SUM(AB231:AB233)</f>
        <v>0</v>
      </c>
      <c r="AC234" s="28"/>
      <c r="AD234" s="28"/>
      <c r="AE234" s="28"/>
      <c r="AF234" s="279">
        <f>SUM(AF232:AF233)</f>
        <v>0</v>
      </c>
      <c r="AG234" s="28">
        <f>+AF8</f>
        <v>0</v>
      </c>
      <c r="AH234" s="28"/>
      <c r="AI234" s="28"/>
      <c r="AJ234" s="28"/>
      <c r="AK234" s="279">
        <f>SUM(AK231:AK233)</f>
        <v>0</v>
      </c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>
        <f>+BF229-BF233</f>
        <v>0</v>
      </c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>
        <v>19551</v>
      </c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>
        <f>+DC224-DD224</f>
        <v>0</v>
      </c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2">
        <f>SUM(DY231:DY233)</f>
        <v>0</v>
      </c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</row>
    <row r="235" spans="2:146" ht="13.5" thickTop="1">
      <c r="E235" s="28">
        <f>+F229+J229+L229+N229+T229+V229+X229+AB229+AD229+AF229+AL229+AN229+AP229+AU229+AW229+AY229+BC229+BE229+BG229+BM229+BO229+BQ229+BW229+CC229+CE229+CG229+CL229+CN229+CP229+CR229+CT229+CW229+CY229+DA229+DC229+DE229+DG229+DI229+DK229+DM229+DO229+DS229+EE229+DQ229+EG229+EI229+EK229+AR229+H229+R229+BA229+CI229+DU228+DY228+EC228</f>
        <v>0</v>
      </c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>
        <f>+S225+U225</f>
        <v>0</v>
      </c>
      <c r="T235" s="28"/>
      <c r="U235" s="28"/>
      <c r="V235" s="28"/>
      <c r="W235" s="28"/>
      <c r="X235" s="28"/>
      <c r="Y235" s="28"/>
      <c r="Z235" s="822" t="s">
        <v>326</v>
      </c>
      <c r="AA235" s="822" t="s">
        <v>712</v>
      </c>
      <c r="AB235" s="28"/>
      <c r="AC235" s="28"/>
      <c r="AD235" s="28"/>
      <c r="AE235" s="28"/>
      <c r="AF235" s="28"/>
      <c r="AG235" s="28">
        <f>+AG234-AG228</f>
        <v>0</v>
      </c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>
        <f>+R231-BB231</f>
        <v>0</v>
      </c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>
        <f>+CE234-CF209</f>
        <v>19551</v>
      </c>
      <c r="CF235" s="28"/>
      <c r="CG235" s="28"/>
      <c r="CH235" s="28" t="e">
        <f>+'BT IMPRESION'!#REF!</f>
        <v>#REF!</v>
      </c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>
        <v>2465797</v>
      </c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</row>
    <row r="236" spans="2:146">
      <c r="E236" s="28">
        <f>+G229+K229+M229+O229+U229+W229+Y229+AC229+AE229+AG229+AM229+AO229+AQ229+AV229+AX229+AZ229+BD229+BF229+BH229+BN229+BP229+BR229+BX229+CD229+CF229+CH229+CM229+CO229+CQ229+CS229+CU229+CX229+CZ229+DB229+DD229+DF229+DH229+DJ229+DL229+DN229+DP229+EF229+EH229+DR229+DT229+EJ229+EL229+CJ229+I229+S229+BB229+AS229</f>
        <v>0</v>
      </c>
      <c r="F236" s="28"/>
      <c r="G236" s="28"/>
      <c r="H236" s="28"/>
      <c r="I236" s="28">
        <f>+F223-I223</f>
        <v>0</v>
      </c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>
        <f>+Z228</f>
        <v>0</v>
      </c>
      <c r="AA236" s="28"/>
      <c r="AB236" s="28">
        <f>+AB229-AB234</f>
        <v>0</v>
      </c>
      <c r="AC236" s="28"/>
      <c r="AD236" s="28"/>
      <c r="AE236" s="28"/>
      <c r="AF236" s="28">
        <f>+AF229-AF234</f>
        <v>0</v>
      </c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35" t="s">
        <v>217</v>
      </c>
      <c r="EH236" s="236"/>
      <c r="EI236" s="232"/>
      <c r="EJ236" s="228"/>
      <c r="EK236" s="28"/>
      <c r="EL236" s="28"/>
      <c r="EM236" s="28"/>
      <c r="EN236" s="28"/>
      <c r="EO236" s="28"/>
      <c r="EP236" s="28"/>
    </row>
    <row r="237" spans="2:146">
      <c r="E237" s="28">
        <f>+E235-E236</f>
        <v>0</v>
      </c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>
        <v>42068258</v>
      </c>
      <c r="AA237" s="28">
        <v>26644154</v>
      </c>
      <c r="AB237" s="28"/>
      <c r="AC237" s="28"/>
      <c r="AD237" s="28"/>
      <c r="AE237" s="28"/>
      <c r="AF237" s="28"/>
      <c r="AG237" s="28">
        <f>+AF232-AG235</f>
        <v>0</v>
      </c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>
        <f>+BW234*BW235</f>
        <v>0</v>
      </c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29" t="s">
        <v>215</v>
      </c>
      <c r="EH237" s="226"/>
      <c r="EI237" s="233"/>
      <c r="EJ237" s="230"/>
      <c r="EK237" s="28"/>
      <c r="EL237" s="28"/>
      <c r="EM237" s="28"/>
      <c r="EN237" s="28"/>
      <c r="EO237" s="28"/>
      <c r="EP237" s="28"/>
    </row>
    <row r="238" spans="2:146"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821">
        <v>2.7E-2</v>
      </c>
      <c r="Z238" s="28">
        <f>+Z237*Y238</f>
        <v>1135842.966</v>
      </c>
      <c r="AA238" s="28">
        <f>+AA237*Y238</f>
        <v>719392.15799999994</v>
      </c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>
        <f>+Z238-AA238</f>
        <v>416450.80800000008</v>
      </c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>
        <f>+BD223-BC223+I223-F223</f>
        <v>0</v>
      </c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29" t="s">
        <v>216</v>
      </c>
      <c r="EH238" s="226"/>
      <c r="EI238" s="233"/>
      <c r="EJ238" s="230"/>
      <c r="EK238" s="28"/>
      <c r="EL238" s="28"/>
      <c r="EM238" s="28"/>
      <c r="EN238" s="28"/>
      <c r="EO238" s="28"/>
      <c r="EP238" s="28"/>
    </row>
    <row r="239" spans="2:146">
      <c r="D239" s="99" t="s">
        <v>111</v>
      </c>
      <c r="E239" s="99">
        <v>57967665.359599993</v>
      </c>
      <c r="F239" s="99">
        <v>0</v>
      </c>
      <c r="G239" s="28">
        <f>14*G238</f>
        <v>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>
        <f>+X224-BL224</f>
        <v>0</v>
      </c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37" t="s">
        <v>217</v>
      </c>
      <c r="EH239" s="226"/>
      <c r="EI239" s="233"/>
      <c r="EJ239" s="230"/>
      <c r="EK239" s="28"/>
      <c r="EL239" s="28"/>
      <c r="EM239" s="28"/>
      <c r="EN239" s="28"/>
      <c r="EO239" s="28"/>
      <c r="EP239" s="28"/>
    </row>
    <row r="240" spans="2:146">
      <c r="D240" s="99" t="s">
        <v>592</v>
      </c>
      <c r="E240" s="99">
        <v>984421</v>
      </c>
      <c r="F240" s="99">
        <v>0</v>
      </c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>
        <f>+Z237+Z238</f>
        <v>43204100.965999998</v>
      </c>
      <c r="AA240" s="28">
        <f>+AA237+AA238</f>
        <v>27363546.158</v>
      </c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37" t="s">
        <v>219</v>
      </c>
      <c r="EH240" s="226"/>
      <c r="EI240" s="233"/>
      <c r="EJ240" s="230"/>
      <c r="EK240" s="28"/>
      <c r="EL240" s="28"/>
      <c r="EM240" s="28"/>
      <c r="EN240" s="28"/>
      <c r="EO240" s="28"/>
      <c r="EP240" s="28"/>
    </row>
    <row r="241" spans="2:146">
      <c r="D241" s="99" t="s">
        <v>142</v>
      </c>
      <c r="E241" s="99">
        <f>4631652-6066</f>
        <v>4625586</v>
      </c>
      <c r="F241" s="99">
        <v>0</v>
      </c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38" t="s">
        <v>218</v>
      </c>
      <c r="EH241" s="239"/>
      <c r="EI241" s="234"/>
      <c r="EJ241" s="231"/>
      <c r="EK241" s="28"/>
      <c r="EL241" s="28"/>
      <c r="EM241" s="28"/>
      <c r="EN241" s="28"/>
      <c r="EO241" s="28"/>
      <c r="EP241" s="28"/>
    </row>
    <row r="242" spans="2:146">
      <c r="D242" s="99" t="s">
        <v>469</v>
      </c>
      <c r="E242" s="99">
        <v>9764134</v>
      </c>
      <c r="F242" s="99">
        <v>0</v>
      </c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>
        <f>+Z240-AA240</f>
        <v>15840554.807999998</v>
      </c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>
        <f>+Z242/15</f>
        <v>1056036.9871999999</v>
      </c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</row>
    <row r="243" spans="2:146">
      <c r="D243" s="99" t="s">
        <v>569</v>
      </c>
      <c r="E243" s="99">
        <v>0</v>
      </c>
      <c r="F243" s="99">
        <v>656091.94519999996</v>
      </c>
      <c r="G243" s="28"/>
      <c r="H243" s="28">
        <f>+E241-L8</f>
        <v>4625586</v>
      </c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</row>
    <row r="244" spans="2:146">
      <c r="D244" s="99" t="s">
        <v>264</v>
      </c>
      <c r="E244" s="99">
        <f>431976+6066</f>
        <v>438042</v>
      </c>
      <c r="F244" s="99">
        <v>0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646" t="s">
        <v>713</v>
      </c>
      <c r="Z244" s="28">
        <f>+AL242*Y245</f>
        <v>12672443.846399998</v>
      </c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</row>
    <row r="245" spans="2:146">
      <c r="D245" s="99" t="s">
        <v>164</v>
      </c>
      <c r="E245" s="99">
        <v>0</v>
      </c>
      <c r="F245" s="99">
        <v>5951</v>
      </c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>
        <v>12</v>
      </c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</row>
    <row r="246" spans="2:146">
      <c r="B246" s="99">
        <v>213400</v>
      </c>
      <c r="D246" s="99" t="s">
        <v>145</v>
      </c>
      <c r="E246" s="99">
        <v>0</v>
      </c>
      <c r="F246" s="99">
        <v>325000</v>
      </c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 t="s">
        <v>53</v>
      </c>
      <c r="EH246" s="28"/>
      <c r="EI246" s="28"/>
      <c r="EJ246" s="28"/>
      <c r="EK246" s="28"/>
      <c r="EL246" s="28"/>
      <c r="EM246" s="28"/>
      <c r="EN246" s="28"/>
      <c r="EO246" s="28"/>
      <c r="EP246" s="28"/>
    </row>
    <row r="247" spans="2:146">
      <c r="B247" s="99">
        <v>61367</v>
      </c>
      <c r="D247" s="99" t="s">
        <v>246</v>
      </c>
      <c r="E247" s="99">
        <v>0</v>
      </c>
      <c r="F247" s="99">
        <v>25627</v>
      </c>
      <c r="EG247" t="s">
        <v>211</v>
      </c>
    </row>
    <row r="248" spans="2:146">
      <c r="B248" s="99">
        <v>120000</v>
      </c>
      <c r="D248" s="99" t="s">
        <v>159</v>
      </c>
      <c r="E248" s="99">
        <v>0</v>
      </c>
      <c r="F248" s="99">
        <v>16079359</v>
      </c>
      <c r="EG248" t="s">
        <v>228</v>
      </c>
    </row>
    <row r="249" spans="2:146">
      <c r="B249" s="99">
        <v>285368</v>
      </c>
      <c r="D249" s="99" t="s">
        <v>53</v>
      </c>
      <c r="E249" s="99">
        <v>0</v>
      </c>
      <c r="F249" s="99">
        <v>1000000</v>
      </c>
      <c r="EG249" t="s">
        <v>230</v>
      </c>
    </row>
    <row r="250" spans="2:146">
      <c r="B250" s="99">
        <v>1000000</v>
      </c>
      <c r="D250" s="99" t="s">
        <v>143</v>
      </c>
      <c r="E250" s="99">
        <v>0</v>
      </c>
      <c r="F250" s="99">
        <v>29000</v>
      </c>
    </row>
    <row r="251" spans="2:146">
      <c r="B251" s="99">
        <v>9000</v>
      </c>
      <c r="D251" s="99" t="s">
        <v>66</v>
      </c>
      <c r="E251" s="99">
        <v>0</v>
      </c>
      <c r="F251" s="99">
        <v>7420742</v>
      </c>
      <c r="EJ251">
        <v>0</v>
      </c>
    </row>
    <row r="252" spans="2:146">
      <c r="B252" s="99">
        <v>4433510</v>
      </c>
      <c r="D252" s="99" t="s">
        <v>194</v>
      </c>
      <c r="E252" s="99">
        <v>0</v>
      </c>
      <c r="F252" s="99">
        <v>48238077</v>
      </c>
    </row>
    <row r="253" spans="2:146">
      <c r="B253" s="99"/>
      <c r="D253" s="99" t="s">
        <v>146</v>
      </c>
      <c r="E253" s="503">
        <v>0</v>
      </c>
      <c r="F253" s="503"/>
    </row>
    <row r="254" spans="2:146">
      <c r="D254" s="99"/>
      <c r="E254" s="99"/>
      <c r="F254" s="99"/>
    </row>
    <row r="255" spans="2:146" ht="15.75">
      <c r="D255" s="99"/>
      <c r="E255" s="99"/>
      <c r="F255" s="504"/>
    </row>
    <row r="256" spans="2:146" ht="15.75">
      <c r="D256" s="99"/>
      <c r="E256" s="99">
        <v>73779848.359599993</v>
      </c>
      <c r="F256" s="504">
        <v>73779847.945199996</v>
      </c>
    </row>
    <row r="257" spans="4:6">
      <c r="D257" s="99"/>
      <c r="E257" s="99"/>
      <c r="F257" s="99"/>
    </row>
    <row r="258" spans="4:6">
      <c r="D258" s="99"/>
      <c r="E258" s="99"/>
      <c r="F258" s="99"/>
    </row>
    <row r="259" spans="4:6">
      <c r="D259" s="99"/>
      <c r="E259" s="99"/>
      <c r="F259" s="99"/>
    </row>
    <row r="260" spans="4:6">
      <c r="D260" s="99"/>
      <c r="E260" s="99"/>
      <c r="F260" s="99"/>
    </row>
    <row r="261" spans="4:6">
      <c r="D261" s="99"/>
      <c r="E261" s="99"/>
      <c r="F261" s="99"/>
    </row>
    <row r="262" spans="4:6">
      <c r="D262" s="99"/>
      <c r="E262" s="99"/>
      <c r="F262" s="99"/>
    </row>
    <row r="263" spans="4:6">
      <c r="D263" s="99"/>
      <c r="E263" s="99"/>
      <c r="F263" s="99"/>
    </row>
    <row r="264" spans="4:6">
      <c r="D264" s="99"/>
      <c r="E264" s="503">
        <f>SUM(E239:E263)</f>
        <v>147559696.71919999</v>
      </c>
      <c r="F264" s="503">
        <f>SUM(F239:F263)</f>
        <v>147559695.89039999</v>
      </c>
    </row>
    <row r="265" spans="4:6">
      <c r="D265" s="99"/>
      <c r="E265" s="99"/>
      <c r="F265" s="99">
        <f>+E264-F264</f>
        <v>0.82879999279975891</v>
      </c>
    </row>
    <row r="266" spans="4:6" ht="15.75">
      <c r="D266" s="99"/>
      <c r="E266" s="99"/>
      <c r="F266" s="504">
        <f>+F265+F260</f>
        <v>0.82879999279975891</v>
      </c>
    </row>
    <row r="267" spans="4:6" ht="15.75">
      <c r="D267" s="99"/>
      <c r="E267" s="99"/>
      <c r="F267" s="504">
        <f>+F266*0.2</f>
        <v>0.1657599985599518</v>
      </c>
    </row>
    <row r="268" spans="4:6">
      <c r="D268" s="99"/>
      <c r="E268" s="99"/>
      <c r="F268" s="99"/>
    </row>
    <row r="330" spans="48:48">
      <c r="AV330" s="215">
        <v>779837</v>
      </c>
    </row>
    <row r="331" spans="48:48">
      <c r="AV331" s="25"/>
    </row>
    <row r="332" spans="48:48">
      <c r="AV332" s="25"/>
    </row>
    <row r="333" spans="48:48">
      <c r="AV333" s="25"/>
    </row>
    <row r="334" spans="48:48">
      <c r="AV334" s="25"/>
    </row>
    <row r="335" spans="48:48">
      <c r="AV335" s="25"/>
    </row>
    <row r="336" spans="48:48">
      <c r="AV336" s="25"/>
    </row>
    <row r="337" spans="48:48">
      <c r="AV337" s="41"/>
    </row>
    <row r="338" spans="48:48">
      <c r="AV338" s="25"/>
    </row>
    <row r="339" spans="48:48">
      <c r="AV339" s="25"/>
    </row>
    <row r="340" spans="48:48">
      <c r="AV340" s="25"/>
    </row>
    <row r="341" spans="48:48">
      <c r="AV341" s="25"/>
    </row>
    <row r="342" spans="48:48">
      <c r="AV342" s="25"/>
    </row>
    <row r="343" spans="48:48">
      <c r="AV343" s="25"/>
    </row>
    <row r="344" spans="48:48">
      <c r="AV344" s="25"/>
    </row>
    <row r="345" spans="48:48">
      <c r="AV345" s="25"/>
    </row>
    <row r="346" spans="48:48">
      <c r="AV346" s="215">
        <v>1165811</v>
      </c>
    </row>
    <row r="347" spans="48:48">
      <c r="AV347" s="25"/>
    </row>
    <row r="348" spans="48:48">
      <c r="AV348" s="25"/>
    </row>
    <row r="349" spans="48:48">
      <c r="AV349" s="25"/>
    </row>
    <row r="350" spans="48:48">
      <c r="AV350" s="25"/>
    </row>
    <row r="351" spans="48:48">
      <c r="AV351" s="41"/>
    </row>
    <row r="352" spans="48:48">
      <c r="AV352" s="25"/>
    </row>
    <row r="353" spans="48:48">
      <c r="AV353" s="25"/>
    </row>
    <row r="354" spans="48:48">
      <c r="AV354" s="25"/>
    </row>
    <row r="355" spans="48:48">
      <c r="AV355" s="25"/>
    </row>
    <row r="356" spans="48:48">
      <c r="AV356" s="25"/>
    </row>
    <row r="357" spans="48:48">
      <c r="AV357" s="25"/>
    </row>
    <row r="358" spans="48:48">
      <c r="AV358" s="25"/>
    </row>
    <row r="359" spans="48:48">
      <c r="AV359" s="25"/>
    </row>
    <row r="360" spans="48:48">
      <c r="AV360" s="25">
        <v>1416477</v>
      </c>
    </row>
    <row r="361" spans="48:48">
      <c r="AV361" s="25"/>
    </row>
    <row r="362" spans="48:48">
      <c r="AV362" s="25"/>
    </row>
    <row r="363" spans="48:48">
      <c r="AV363" s="25"/>
    </row>
    <row r="364" spans="48:48">
      <c r="AV364" s="25"/>
    </row>
    <row r="365" spans="48:48">
      <c r="AV365" s="41"/>
    </row>
    <row r="366" spans="48:48">
      <c r="AV366" s="25"/>
    </row>
    <row r="367" spans="48:48">
      <c r="AV367" s="25"/>
    </row>
    <row r="368" spans="48:48">
      <c r="AV368" s="25"/>
    </row>
    <row r="369" spans="48:48">
      <c r="AV369" s="25"/>
    </row>
    <row r="370" spans="48:48">
      <c r="AV370" s="25"/>
    </row>
    <row r="371" spans="48:48">
      <c r="AV371" s="25"/>
    </row>
    <row r="372" spans="48:48">
      <c r="AV372" s="25"/>
    </row>
    <row r="373" spans="48:48">
      <c r="AV373" s="25"/>
    </row>
    <row r="374" spans="48:48">
      <c r="AV374" s="25">
        <v>1726523</v>
      </c>
    </row>
    <row r="375" spans="48:48">
      <c r="AV375" s="25"/>
    </row>
    <row r="376" spans="48:48">
      <c r="AV376" s="25"/>
    </row>
    <row r="377" spans="48:48">
      <c r="AV377" s="25"/>
    </row>
    <row r="378" spans="48:48">
      <c r="AV378" s="25"/>
    </row>
    <row r="379" spans="48:48">
      <c r="AV379" s="25"/>
    </row>
    <row r="380" spans="48:48">
      <c r="AV380" s="25"/>
    </row>
    <row r="381" spans="48:48">
      <c r="AV381" s="25"/>
    </row>
    <row r="382" spans="48:48">
      <c r="AV382" s="41"/>
    </row>
    <row r="383" spans="48:48">
      <c r="AV383" s="25"/>
    </row>
    <row r="384" spans="48:48">
      <c r="AV384" s="25"/>
    </row>
    <row r="385" spans="48:48">
      <c r="AV385" s="25"/>
    </row>
    <row r="386" spans="48:48">
      <c r="AV386" s="25"/>
    </row>
    <row r="387" spans="48:48">
      <c r="AV387" s="25"/>
    </row>
    <row r="388" spans="48:48">
      <c r="AV388" s="25"/>
    </row>
    <row r="389" spans="48:48">
      <c r="AV389" s="25"/>
    </row>
    <row r="390" spans="48:48">
      <c r="AV390" s="25">
        <v>1884494</v>
      </c>
    </row>
    <row r="391" spans="48:48">
      <c r="AV391" s="25"/>
    </row>
    <row r="392" spans="48:48">
      <c r="AV392" s="25"/>
    </row>
    <row r="393" spans="48:48">
      <c r="AV393" s="25"/>
    </row>
    <row r="394" spans="48:48">
      <c r="AV394" s="25"/>
    </row>
    <row r="395" spans="48:48">
      <c r="AV395" s="25"/>
    </row>
    <row r="396" spans="48:48">
      <c r="AV396" s="25"/>
    </row>
    <row r="397" spans="48:48">
      <c r="AV397" s="25"/>
    </row>
    <row r="398" spans="48:48">
      <c r="AV398" s="25"/>
    </row>
    <row r="399" spans="48:48">
      <c r="AV399" s="25"/>
    </row>
    <row r="400" spans="48:48">
      <c r="AV400" s="25"/>
    </row>
    <row r="401" spans="48:48">
      <c r="AV401" s="41"/>
    </row>
    <row r="402" spans="48:48">
      <c r="AV402" s="25"/>
    </row>
    <row r="403" spans="48:48">
      <c r="AV403" s="25"/>
    </row>
    <row r="404" spans="48:48">
      <c r="AV404" s="25"/>
    </row>
    <row r="405" spans="48:48">
      <c r="AV405" s="25"/>
    </row>
    <row r="406" spans="48:48">
      <c r="AV406" s="25"/>
    </row>
    <row r="407" spans="48:48">
      <c r="AV407" s="25"/>
    </row>
    <row r="408" spans="48:48">
      <c r="AV408" s="25"/>
    </row>
    <row r="409" spans="48:48">
      <c r="AV409" s="25">
        <v>2438609</v>
      </c>
    </row>
    <row r="410" spans="48:48">
      <c r="AV410" s="25"/>
    </row>
    <row r="411" spans="48:48">
      <c r="AV411" s="25"/>
    </row>
    <row r="412" spans="48:48">
      <c r="AV412" s="25"/>
    </row>
    <row r="413" spans="48:48">
      <c r="AV413" s="25"/>
    </row>
    <row r="414" spans="48:48">
      <c r="AV414" s="25"/>
    </row>
    <row r="415" spans="48:48">
      <c r="AV415" s="25"/>
    </row>
    <row r="416" spans="48:48">
      <c r="AV416" s="25"/>
    </row>
    <row r="417" spans="48:48">
      <c r="AV417" s="25"/>
    </row>
    <row r="418" spans="48:48">
      <c r="AV418" s="25"/>
    </row>
    <row r="419" spans="48:48">
      <c r="AV419" s="25"/>
    </row>
    <row r="420" spans="48:48">
      <c r="AV420" s="25"/>
    </row>
    <row r="421" spans="48:48">
      <c r="AV421" s="41"/>
    </row>
    <row r="422" spans="48:48">
      <c r="AV422" s="25"/>
    </row>
    <row r="423" spans="48:48">
      <c r="AV423" s="25"/>
    </row>
    <row r="424" spans="48:48">
      <c r="AV424" s="25"/>
    </row>
    <row r="425" spans="48:48">
      <c r="AV425" s="25"/>
    </row>
    <row r="426" spans="48:48">
      <c r="AV426" s="25"/>
    </row>
    <row r="427" spans="48:48">
      <c r="AV427" s="25"/>
    </row>
    <row r="428" spans="48:48">
      <c r="AV428" s="25"/>
    </row>
    <row r="429" spans="48:48">
      <c r="AV429" s="25"/>
    </row>
    <row r="430" spans="48:48">
      <c r="AV430" s="25">
        <v>2795298</v>
      </c>
    </row>
    <row r="431" spans="48:48">
      <c r="AV431" s="25"/>
    </row>
    <row r="432" spans="48:48">
      <c r="AV432" s="25"/>
    </row>
    <row r="433" spans="48:48">
      <c r="AV433" s="25"/>
    </row>
    <row r="434" spans="48:48">
      <c r="AV434" s="25"/>
    </row>
    <row r="435" spans="48:48">
      <c r="AV435" s="25"/>
    </row>
    <row r="436" spans="48:48">
      <c r="AV436" s="25"/>
    </row>
    <row r="437" spans="48:48">
      <c r="AV437" s="25"/>
    </row>
    <row r="438" spans="48:48">
      <c r="AV438" s="41"/>
    </row>
    <row r="439" spans="48:48">
      <c r="AV439" s="25"/>
    </row>
    <row r="440" spans="48:48">
      <c r="AV440" s="25"/>
    </row>
    <row r="441" spans="48:48">
      <c r="AV441" s="25"/>
    </row>
    <row r="442" spans="48:48">
      <c r="AV442" s="25"/>
    </row>
    <row r="443" spans="48:48">
      <c r="AV443" s="25"/>
    </row>
    <row r="444" spans="48:48">
      <c r="AV444" s="25"/>
    </row>
    <row r="445" spans="48:48">
      <c r="AV445" s="25"/>
    </row>
    <row r="446" spans="48:48">
      <c r="AV446" s="25"/>
    </row>
    <row r="447" spans="48:48">
      <c r="AV447" s="25">
        <v>3411869</v>
      </c>
    </row>
    <row r="448" spans="48:48">
      <c r="AV448" s="25"/>
    </row>
    <row r="449" spans="48:48">
      <c r="AV449" s="25"/>
    </row>
    <row r="450" spans="48:48">
      <c r="AV450" s="25"/>
    </row>
    <row r="451" spans="48:48">
      <c r="AV451" s="25"/>
    </row>
    <row r="452" spans="48:48">
      <c r="AV452" s="25"/>
    </row>
    <row r="453" spans="48:48">
      <c r="AV453" s="25"/>
    </row>
    <row r="454" spans="48:48">
      <c r="AV454" s="25"/>
    </row>
    <row r="455" spans="48:48">
      <c r="AV455" s="25"/>
    </row>
    <row r="456" spans="48:48">
      <c r="AV456" s="41"/>
    </row>
    <row r="457" spans="48:48">
      <c r="AV457" s="25"/>
    </row>
    <row r="458" spans="48:48">
      <c r="AV458" s="25"/>
    </row>
    <row r="459" spans="48:48">
      <c r="AV459" s="25"/>
    </row>
    <row r="460" spans="48:48">
      <c r="AV460" s="25"/>
    </row>
    <row r="461" spans="48:48">
      <c r="AV461" s="25"/>
    </row>
    <row r="462" spans="48:48">
      <c r="AV462" s="25"/>
    </row>
    <row r="463" spans="48:48">
      <c r="AV463" s="25"/>
    </row>
    <row r="464" spans="48:48">
      <c r="AV464" s="25"/>
    </row>
    <row r="465" spans="48:48">
      <c r="AV465" s="25"/>
    </row>
    <row r="466" spans="48:48">
      <c r="AV466" s="25"/>
    </row>
    <row r="467" spans="48:48">
      <c r="AV467" s="25">
        <v>3252521</v>
      </c>
    </row>
    <row r="468" spans="48:48">
      <c r="AV468" s="25"/>
    </row>
    <row r="469" spans="48:48">
      <c r="AV469" s="25"/>
    </row>
    <row r="470" spans="48:48">
      <c r="AV470" s="25"/>
    </row>
    <row r="471" spans="48:48">
      <c r="AV471" s="25"/>
    </row>
    <row r="472" spans="48:48">
      <c r="AV472" s="25"/>
    </row>
    <row r="473" spans="48:48">
      <c r="AV473" s="25"/>
    </row>
    <row r="474" spans="48:48">
      <c r="AV474" s="25"/>
    </row>
    <row r="475" spans="48:48">
      <c r="AV475" s="41"/>
    </row>
    <row r="476" spans="48:48">
      <c r="AV476" s="25"/>
    </row>
    <row r="477" spans="48:48">
      <c r="AV477" s="25"/>
    </row>
    <row r="478" spans="48:48">
      <c r="AV478" s="25"/>
    </row>
    <row r="479" spans="48:48">
      <c r="AV479" s="25"/>
    </row>
    <row r="480" spans="48:48">
      <c r="AV480" s="25"/>
    </row>
    <row r="481" spans="48:48">
      <c r="AV481" s="25"/>
    </row>
    <row r="482" spans="48:48">
      <c r="AV482" s="25"/>
    </row>
    <row r="483" spans="48:48">
      <c r="AV483" s="25"/>
    </row>
    <row r="484" spans="48:48">
      <c r="AV484" s="25">
        <v>3363081</v>
      </c>
    </row>
    <row r="485" spans="48:48">
      <c r="AV485" s="25"/>
    </row>
    <row r="486" spans="48:48">
      <c r="AV486" s="25"/>
    </row>
    <row r="487" spans="48:48">
      <c r="AV487" s="25"/>
    </row>
    <row r="488" spans="48:48">
      <c r="AV488" s="25"/>
    </row>
    <row r="489" spans="48:48">
      <c r="AV489" s="25"/>
    </row>
    <row r="490" spans="48:48">
      <c r="AV490" s="25"/>
    </row>
    <row r="491" spans="48:48">
      <c r="AV491" s="25"/>
    </row>
    <row r="492" spans="48:48">
      <c r="AV492" s="25"/>
    </row>
    <row r="493" spans="48:48">
      <c r="AV493" s="25"/>
    </row>
    <row r="494" spans="48:48">
      <c r="AV494" s="25"/>
    </row>
    <row r="495" spans="48:48">
      <c r="AV495" s="25"/>
    </row>
    <row r="496" spans="48:48">
      <c r="AV496" s="25"/>
    </row>
    <row r="497" spans="48:48">
      <c r="AV497" s="41"/>
    </row>
    <row r="498" spans="48:48">
      <c r="AV498" s="25"/>
    </row>
    <row r="499" spans="48:48">
      <c r="AV499" s="25"/>
    </row>
    <row r="500" spans="48:48">
      <c r="AV500" s="25"/>
    </row>
    <row r="501" spans="48:48">
      <c r="AV501" s="25"/>
    </row>
    <row r="502" spans="48:48">
      <c r="AV502" s="25"/>
    </row>
    <row r="503" spans="48:48">
      <c r="AV503" s="25"/>
    </row>
    <row r="504" spans="48:48">
      <c r="AV504" s="25"/>
    </row>
    <row r="505" spans="48:48">
      <c r="AV505" s="25"/>
    </row>
    <row r="506" spans="48:48">
      <c r="AV506" s="25"/>
    </row>
    <row r="507" spans="48:48">
      <c r="AV507" s="25">
        <v>3887636</v>
      </c>
    </row>
    <row r="508" spans="48:48">
      <c r="AV508" s="25"/>
    </row>
    <row r="509" spans="48:48">
      <c r="AV509" s="25"/>
    </row>
    <row r="510" spans="48:48">
      <c r="AV510" s="25"/>
    </row>
    <row r="511" spans="48:48">
      <c r="AV511" s="25"/>
    </row>
    <row r="512" spans="48:48">
      <c r="AV512" s="25"/>
    </row>
    <row r="513" spans="48:48">
      <c r="AV513" s="25"/>
    </row>
    <row r="514" spans="48:48">
      <c r="AV514" s="25"/>
    </row>
    <row r="515" spans="48:48">
      <c r="AV515" s="25"/>
    </row>
    <row r="516" spans="48:48">
      <c r="AV516" s="25"/>
    </row>
    <row r="517" spans="48:48">
      <c r="AV517" s="25"/>
    </row>
    <row r="518" spans="48:48">
      <c r="AV518" s="25"/>
    </row>
    <row r="519" spans="48:48">
      <c r="AV519" s="25"/>
    </row>
    <row r="520" spans="48:48">
      <c r="AV520" s="41"/>
    </row>
    <row r="521" spans="48:48">
      <c r="AV521" s="25"/>
    </row>
    <row r="522" spans="48:48">
      <c r="AV522" s="25"/>
    </row>
    <row r="523" spans="48:48">
      <c r="AV523" s="25"/>
    </row>
    <row r="524" spans="48:48">
      <c r="AV524" s="25"/>
    </row>
    <row r="525" spans="48:48">
      <c r="AV525" s="25"/>
    </row>
    <row r="526" spans="48:48">
      <c r="AV526" s="25"/>
    </row>
    <row r="527" spans="48:48">
      <c r="AV527" s="25"/>
    </row>
    <row r="528" spans="48:48">
      <c r="AV528" s="25"/>
    </row>
    <row r="529" spans="48:48">
      <c r="AV529" s="25"/>
    </row>
    <row r="530" spans="48:48">
      <c r="AV530" s="25"/>
    </row>
    <row r="531" spans="48:48">
      <c r="AV531" s="25"/>
    </row>
    <row r="532" spans="48:48">
      <c r="AV532" s="25">
        <v>3645699</v>
      </c>
    </row>
    <row r="533" spans="48:48">
      <c r="AV533" s="25"/>
    </row>
    <row r="534" spans="48:48">
      <c r="AV534" s="25"/>
    </row>
    <row r="535" spans="48:48">
      <c r="AV535" s="25"/>
    </row>
    <row r="536" spans="48:48">
      <c r="AV536" s="25"/>
    </row>
    <row r="537" spans="48:48">
      <c r="AV537" s="25"/>
    </row>
    <row r="538" spans="48:48">
      <c r="AV538" s="25"/>
    </row>
    <row r="539" spans="48:48">
      <c r="AV539" s="25"/>
    </row>
    <row r="540" spans="48:48">
      <c r="AV540" s="25"/>
    </row>
    <row r="541" spans="48:48">
      <c r="AV541" s="25"/>
    </row>
    <row r="542" spans="48:48">
      <c r="AV542" s="25"/>
    </row>
    <row r="543" spans="48:48">
      <c r="AV543" s="25"/>
    </row>
    <row r="544" spans="48:48">
      <c r="AV544" s="25"/>
    </row>
    <row r="545" spans="48:48">
      <c r="AV545" s="25"/>
    </row>
    <row r="546" spans="48:48">
      <c r="AV546" s="138"/>
    </row>
  </sheetData>
  <mergeCells count="73">
    <mergeCell ref="Z6:AA6"/>
    <mergeCell ref="V6:W6"/>
    <mergeCell ref="B6:B7"/>
    <mergeCell ref="C6:C7"/>
    <mergeCell ref="D6:D7"/>
    <mergeCell ref="E6:E7"/>
    <mergeCell ref="F6:G6"/>
    <mergeCell ref="H6:I6"/>
    <mergeCell ref="L6:M6"/>
    <mergeCell ref="T6:U6"/>
    <mergeCell ref="J6:K6"/>
    <mergeCell ref="N6:O6"/>
    <mergeCell ref="R6:S6"/>
    <mergeCell ref="P6:Q6"/>
    <mergeCell ref="AJ6:AK6"/>
    <mergeCell ref="AY6:AZ6"/>
    <mergeCell ref="BE6:BF6"/>
    <mergeCell ref="BM6:BN6"/>
    <mergeCell ref="BI6:BJ6"/>
    <mergeCell ref="BK6:BL6"/>
    <mergeCell ref="EK6:EL6"/>
    <mergeCell ref="EG6:EH6"/>
    <mergeCell ref="CY6:CZ6"/>
    <mergeCell ref="DA6:DB6"/>
    <mergeCell ref="DM6:DN6"/>
    <mergeCell ref="DO6:DP6"/>
    <mergeCell ref="DQ6:DR6"/>
    <mergeCell ref="DS6:DT6"/>
    <mergeCell ref="EE6:EF6"/>
    <mergeCell ref="DU6:DV6"/>
    <mergeCell ref="DY6:DZ6"/>
    <mergeCell ref="EC6:ED6"/>
    <mergeCell ref="DK6:DL6"/>
    <mergeCell ref="DC6:DD6"/>
    <mergeCell ref="DG6:DH6"/>
    <mergeCell ref="DI6:DJ6"/>
    <mergeCell ref="BY6:BZ6"/>
    <mergeCell ref="CA6:CB6"/>
    <mergeCell ref="BW6:BX6"/>
    <mergeCell ref="BO6:BP6"/>
    <mergeCell ref="BU6:BV6"/>
    <mergeCell ref="AB6:AC6"/>
    <mergeCell ref="EI6:EJ6"/>
    <mergeCell ref="EA6:EB6"/>
    <mergeCell ref="DW6:DX6"/>
    <mergeCell ref="CP6:CQ6"/>
    <mergeCell ref="DE6:DF6"/>
    <mergeCell ref="CR6:CS6"/>
    <mergeCell ref="CT6:CU6"/>
    <mergeCell ref="CW6:CX6"/>
    <mergeCell ref="CN6:CO6"/>
    <mergeCell ref="CG6:CH6"/>
    <mergeCell ref="CI6:CJ6"/>
    <mergeCell ref="AW6:AX6"/>
    <mergeCell ref="BA6:BB6"/>
    <mergeCell ref="BC6:BD6"/>
    <mergeCell ref="BG6:BH6"/>
    <mergeCell ref="U3:V3"/>
    <mergeCell ref="D217:E217"/>
    <mergeCell ref="CL6:CM6"/>
    <mergeCell ref="AD6:AE6"/>
    <mergeCell ref="BQ6:BR6"/>
    <mergeCell ref="CC6:CD6"/>
    <mergeCell ref="CE6:CF6"/>
    <mergeCell ref="AN6:AO6"/>
    <mergeCell ref="AP6:AQ6"/>
    <mergeCell ref="AR6:AS6"/>
    <mergeCell ref="AH6:AI6"/>
    <mergeCell ref="AU6:AV6"/>
    <mergeCell ref="BS6:BT6"/>
    <mergeCell ref="X6:Y6"/>
    <mergeCell ref="AF6:AG6"/>
    <mergeCell ref="AL6:AM6"/>
  </mergeCells>
  <phoneticPr fontId="0" type="noConversion"/>
  <printOptions horizontalCentered="1"/>
  <pageMargins left="0.75" right="0.75" top="0.19685039370078741" bottom="0.19685039370078741" header="0.19685039370078741" footer="0"/>
  <pageSetup scale="52" fitToWidth="7" fitToHeight="7" orientation="landscape" horizontalDpi="4294967294" verticalDpi="300" r:id="rId1"/>
  <headerFooter alignWithMargins="0">
    <oddHeader>&amp;C&amp;"Arial,Negrita"&amp;20LIBRO DIARIO MAYOR EJERCICIO 2005</oddHeader>
    <oddFooter>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BC113"/>
  <sheetViews>
    <sheetView showGridLines="0" tabSelected="1" topLeftCell="A4" zoomScale="96" zoomScaleNormal="96" workbookViewId="0">
      <selection activeCell="I33" sqref="I33"/>
    </sheetView>
  </sheetViews>
  <sheetFormatPr baseColWidth="10" defaultRowHeight="12.75"/>
  <cols>
    <col min="1" max="1" width="2.7109375" customWidth="1"/>
    <col min="2" max="2" width="12.7109375" bestFit="1" customWidth="1"/>
    <col min="3" max="3" width="29" customWidth="1"/>
    <col min="4" max="4" width="13.85546875" customWidth="1"/>
    <col min="5" max="5" width="44.7109375" customWidth="1"/>
    <col min="6" max="6" width="52.140625" customWidth="1"/>
    <col min="8" max="8" width="41.7109375" customWidth="1"/>
    <col min="14" max="14" width="13.85546875" customWidth="1"/>
    <col min="15" max="15" width="11.85546875" customWidth="1"/>
    <col min="16" max="16" width="11.5703125" customWidth="1"/>
    <col min="17" max="18" width="11.7109375" customWidth="1"/>
    <col min="23" max="27" width="0" hidden="1" customWidth="1"/>
    <col min="29" max="29" width="16.85546875" customWidth="1"/>
    <col min="43" max="54" width="10.140625" style="1216" customWidth="1"/>
  </cols>
  <sheetData>
    <row r="1" spans="1:18" ht="18">
      <c r="A1" s="415"/>
      <c r="B1" s="259" t="s">
        <v>649</v>
      </c>
      <c r="H1" s="96"/>
      <c r="I1" s="96"/>
      <c r="J1" s="96"/>
    </row>
    <row r="2" spans="1:18" ht="15">
      <c r="A2" s="158"/>
      <c r="B2" s="502" t="s">
        <v>1018</v>
      </c>
      <c r="H2" s="96"/>
      <c r="I2" s="96"/>
      <c r="J2" s="96"/>
    </row>
    <row r="3" spans="1:18" ht="15">
      <c r="A3" s="158"/>
      <c r="B3" s="502" t="s">
        <v>650</v>
      </c>
      <c r="D3" s="417"/>
      <c r="H3" s="99" t="s">
        <v>100</v>
      </c>
      <c r="I3" s="96"/>
      <c r="J3" s="99"/>
    </row>
    <row r="4" spans="1:18" ht="15">
      <c r="A4" s="158"/>
      <c r="B4" s="11"/>
      <c r="H4" s="99" t="s">
        <v>651</v>
      </c>
      <c r="I4" s="96"/>
      <c r="J4" s="99"/>
    </row>
    <row r="5" spans="1:18">
      <c r="H5" s="99" t="s">
        <v>101</v>
      </c>
      <c r="I5" s="99"/>
      <c r="J5" s="99"/>
    </row>
    <row r="10" spans="1:18" ht="15">
      <c r="B10" s="305"/>
      <c r="C10" s="306" t="s">
        <v>728</v>
      </c>
      <c r="D10" s="319"/>
      <c r="E10" s="307"/>
    </row>
    <row r="11" spans="1:18" ht="15">
      <c r="B11" s="1434"/>
      <c r="C11" s="1433"/>
      <c r="D11" s="1433"/>
      <c r="E11" s="1432">
        <v>538</v>
      </c>
    </row>
    <row r="12" spans="1:18">
      <c r="C12" s="1507" t="s">
        <v>1102</v>
      </c>
      <c r="D12">
        <v>142</v>
      </c>
      <c r="E12" s="1435" t="s">
        <v>1101</v>
      </c>
      <c r="F12" s="1508" t="s">
        <v>1103</v>
      </c>
      <c r="G12" s="1508" t="s">
        <v>1104</v>
      </c>
      <c r="H12" s="1508" t="s">
        <v>1105</v>
      </c>
      <c r="I12" s="1508"/>
    </row>
    <row r="13" spans="1:18">
      <c r="B13" s="1109" t="s">
        <v>117</v>
      </c>
      <c r="C13" s="1112" t="s">
        <v>191</v>
      </c>
      <c r="D13" s="1112" t="s">
        <v>191</v>
      </c>
      <c r="E13" s="1112" t="s">
        <v>192</v>
      </c>
      <c r="F13" s="1112" t="s">
        <v>327</v>
      </c>
      <c r="G13" s="1110" t="s">
        <v>423</v>
      </c>
      <c r="H13" s="1111" t="s">
        <v>1106</v>
      </c>
      <c r="I13" s="1110" t="s">
        <v>926</v>
      </c>
      <c r="J13" s="1144">
        <v>0.03</v>
      </c>
      <c r="K13" s="889" t="s">
        <v>925</v>
      </c>
      <c r="L13" s="166"/>
      <c r="M13" s="833" t="s">
        <v>117</v>
      </c>
      <c r="N13" s="833" t="s">
        <v>60</v>
      </c>
      <c r="O13" s="166"/>
      <c r="P13" s="166"/>
      <c r="Q13" s="166"/>
      <c r="R13" s="166"/>
    </row>
    <row r="14" spans="1:18">
      <c r="B14" s="1113"/>
      <c r="C14" s="1126"/>
      <c r="D14" s="1127" t="s">
        <v>422</v>
      </c>
      <c r="E14" s="1115" t="s">
        <v>193</v>
      </c>
      <c r="F14" s="1115" t="s">
        <v>118</v>
      </c>
      <c r="G14" s="1114" t="s">
        <v>424</v>
      </c>
      <c r="H14" s="1128"/>
      <c r="I14" s="1115" t="s">
        <v>754</v>
      </c>
      <c r="J14" s="1129"/>
      <c r="K14" s="889" t="s">
        <v>754</v>
      </c>
      <c r="L14" s="166" t="s">
        <v>927</v>
      </c>
      <c r="M14" s="834"/>
      <c r="N14" s="834" t="s">
        <v>64</v>
      </c>
      <c r="O14" s="166"/>
      <c r="P14" s="166"/>
      <c r="Q14" s="166"/>
      <c r="R14" s="166"/>
    </row>
    <row r="15" spans="1:18">
      <c r="B15" s="835">
        <v>45292</v>
      </c>
      <c r="C15" s="496">
        <f t="shared" ref="C15:C26" si="0">+(+E15*100)/19</f>
        <v>0</v>
      </c>
      <c r="D15" s="496"/>
      <c r="E15" s="496">
        <v>0</v>
      </c>
      <c r="F15" s="496">
        <v>0</v>
      </c>
      <c r="G15" s="496">
        <v>0</v>
      </c>
      <c r="H15" s="1371"/>
      <c r="I15" s="496"/>
      <c r="J15" s="1372"/>
      <c r="K15" s="248"/>
      <c r="L15" s="890"/>
      <c r="M15" s="815">
        <v>45292</v>
      </c>
      <c r="N15" s="816">
        <v>1.026</v>
      </c>
      <c r="O15" s="166"/>
      <c r="P15" s="166"/>
      <c r="Q15" s="166"/>
      <c r="R15" s="166"/>
    </row>
    <row r="16" spans="1:18">
      <c r="B16" s="835">
        <v>45323</v>
      </c>
      <c r="C16" s="496">
        <f t="shared" si="0"/>
        <v>0</v>
      </c>
      <c r="D16" s="496"/>
      <c r="E16" s="496">
        <v>0</v>
      </c>
      <c r="F16" s="496">
        <v>0</v>
      </c>
      <c r="G16" s="496">
        <v>0</v>
      </c>
      <c r="H16" s="1371"/>
      <c r="I16" s="496"/>
      <c r="J16" s="1372"/>
      <c r="K16" s="248"/>
      <c r="L16" s="890"/>
      <c r="M16" s="815">
        <v>45323</v>
      </c>
      <c r="N16" s="816">
        <v>1.0209999999999999</v>
      </c>
      <c r="O16" s="166"/>
      <c r="P16" s="166"/>
      <c r="Q16" s="166"/>
      <c r="R16" s="166"/>
    </row>
    <row r="17" spans="1:54">
      <c r="B17" s="835">
        <v>45352</v>
      </c>
      <c r="C17" s="496">
        <f t="shared" si="0"/>
        <v>0</v>
      </c>
      <c r="D17" s="496"/>
      <c r="E17" s="496">
        <v>0</v>
      </c>
      <c r="F17" s="496">
        <v>0</v>
      </c>
      <c r="G17" s="496">
        <v>0</v>
      </c>
      <c r="H17" s="1371"/>
      <c r="I17" s="496"/>
      <c r="J17" s="1372"/>
      <c r="K17" s="890"/>
      <c r="L17" s="1164">
        <f t="shared" ref="L17:L25" si="1">+G17-I17</f>
        <v>0</v>
      </c>
      <c r="M17" s="815">
        <v>45352</v>
      </c>
      <c r="N17" s="816">
        <v>1.016</v>
      </c>
      <c r="O17" s="166"/>
      <c r="P17" s="166"/>
      <c r="Q17" s="166"/>
      <c r="R17" s="166"/>
    </row>
    <row r="18" spans="1:54">
      <c r="B18" s="835">
        <v>45383</v>
      </c>
      <c r="C18" s="496">
        <f t="shared" si="0"/>
        <v>0</v>
      </c>
      <c r="D18" s="496"/>
      <c r="E18" s="496">
        <v>0</v>
      </c>
      <c r="F18" s="496">
        <v>0</v>
      </c>
      <c r="G18" s="496">
        <v>0</v>
      </c>
      <c r="H18" s="1371"/>
      <c r="I18" s="496"/>
      <c r="J18" s="1372"/>
      <c r="K18" s="890"/>
      <c r="L18" s="1164">
        <f t="shared" si="1"/>
        <v>0</v>
      </c>
      <c r="M18" s="815">
        <v>45383</v>
      </c>
      <c r="N18" s="816">
        <v>1.0129999999999999</v>
      </c>
      <c r="O18" s="166"/>
      <c r="P18" s="166"/>
      <c r="Q18" s="166"/>
      <c r="R18" s="166"/>
    </row>
    <row r="19" spans="1:54">
      <c r="B19" s="835">
        <v>45413</v>
      </c>
      <c r="C19" s="496">
        <f t="shared" si="0"/>
        <v>0</v>
      </c>
      <c r="D19" s="496"/>
      <c r="E19" s="496">
        <v>0</v>
      </c>
      <c r="F19" s="496">
        <v>0</v>
      </c>
      <c r="G19" s="496">
        <v>0</v>
      </c>
      <c r="H19" s="1371"/>
      <c r="I19" s="496"/>
      <c r="J19" s="1372"/>
      <c r="K19" s="248"/>
      <c r="L19" s="1164">
        <f t="shared" si="1"/>
        <v>0</v>
      </c>
      <c r="M19" s="815">
        <v>45413</v>
      </c>
      <c r="N19" s="816">
        <v>1.0129999999999999</v>
      </c>
      <c r="O19" s="166"/>
      <c r="P19" s="166"/>
      <c r="Q19" s="166"/>
      <c r="R19" s="166"/>
      <c r="AB19" s="495">
        <v>540760</v>
      </c>
    </row>
    <row r="20" spans="1:54">
      <c r="B20" s="835">
        <v>45444</v>
      </c>
      <c r="C20" s="496">
        <f t="shared" si="0"/>
        <v>0</v>
      </c>
      <c r="D20" s="496"/>
      <c r="E20" s="496">
        <v>0</v>
      </c>
      <c r="F20" s="496">
        <v>0</v>
      </c>
      <c r="G20" s="496">
        <v>0</v>
      </c>
      <c r="H20" s="1371"/>
      <c r="I20" s="496"/>
      <c r="J20" s="1372"/>
      <c r="K20" s="248"/>
      <c r="L20" s="1164">
        <f t="shared" si="1"/>
        <v>0</v>
      </c>
      <c r="M20" s="815">
        <v>45444</v>
      </c>
      <c r="N20" s="816">
        <v>1.014</v>
      </c>
      <c r="O20" s="166"/>
      <c r="P20" s="166"/>
      <c r="Q20" s="166"/>
      <c r="R20" s="166"/>
      <c r="AB20" s="495">
        <v>652179</v>
      </c>
    </row>
    <row r="21" spans="1:54">
      <c r="A21" t="str">
        <f>+MAYOR!J6</f>
        <v>IVA POR PAGAR</v>
      </c>
      <c r="B21" s="835">
        <v>45474</v>
      </c>
      <c r="C21" s="496">
        <f t="shared" si="0"/>
        <v>0</v>
      </c>
      <c r="D21" s="496"/>
      <c r="E21" s="496">
        <v>0</v>
      </c>
      <c r="F21" s="496">
        <v>0</v>
      </c>
      <c r="G21" s="496">
        <v>0</v>
      </c>
      <c r="H21" s="1371"/>
      <c r="I21" s="496"/>
      <c r="J21" s="1372"/>
      <c r="K21" s="248"/>
      <c r="L21" s="1164">
        <f t="shared" si="1"/>
        <v>0</v>
      </c>
      <c r="M21" s="815">
        <v>45474</v>
      </c>
      <c r="N21" s="816">
        <v>1.014</v>
      </c>
      <c r="O21" s="166"/>
      <c r="P21" s="166"/>
      <c r="Q21" s="166"/>
      <c r="R21" s="166"/>
      <c r="AB21" s="495">
        <v>38391</v>
      </c>
    </row>
    <row r="22" spans="1:54">
      <c r="B22" s="835">
        <v>45505</v>
      </c>
      <c r="C22" s="496">
        <f t="shared" si="0"/>
        <v>0</v>
      </c>
      <c r="D22" s="496"/>
      <c r="E22" s="496">
        <v>0</v>
      </c>
      <c r="F22" s="496">
        <v>0</v>
      </c>
      <c r="G22" s="496">
        <v>0</v>
      </c>
      <c r="H22" s="1371"/>
      <c r="I22" s="496"/>
      <c r="J22" s="1372"/>
      <c r="K22" s="248"/>
      <c r="L22" s="1164">
        <f t="shared" si="1"/>
        <v>0</v>
      </c>
      <c r="M22" s="815">
        <v>45505</v>
      </c>
      <c r="N22" s="816">
        <v>1.0129999999999999</v>
      </c>
      <c r="O22" s="166"/>
      <c r="P22" s="166"/>
      <c r="Q22" s="166"/>
      <c r="R22" s="166"/>
      <c r="AB22" s="495">
        <v>18161</v>
      </c>
    </row>
    <row r="23" spans="1:54">
      <c r="B23" s="835">
        <v>45536</v>
      </c>
      <c r="C23" s="496">
        <f t="shared" si="0"/>
        <v>0</v>
      </c>
      <c r="D23" s="496"/>
      <c r="E23" s="496">
        <v>0</v>
      </c>
      <c r="F23" s="496">
        <v>0</v>
      </c>
      <c r="G23" s="496">
        <v>0</v>
      </c>
      <c r="H23" s="1371"/>
      <c r="I23" s="496"/>
      <c r="J23" s="1372"/>
      <c r="K23" s="248"/>
      <c r="L23" s="1164">
        <f t="shared" si="1"/>
        <v>0</v>
      </c>
      <c r="M23" s="815">
        <v>45536</v>
      </c>
      <c r="N23" s="816">
        <v>1.012</v>
      </c>
      <c r="O23" s="166"/>
      <c r="P23" s="166"/>
      <c r="Q23" s="166"/>
      <c r="R23" s="166"/>
      <c r="AB23" s="495">
        <v>16323</v>
      </c>
    </row>
    <row r="24" spans="1:54">
      <c r="B24" s="835">
        <v>45566</v>
      </c>
      <c r="C24" s="496">
        <f t="shared" si="0"/>
        <v>0</v>
      </c>
      <c r="D24" s="496"/>
      <c r="E24" s="496">
        <v>0</v>
      </c>
      <c r="F24" s="496">
        <v>0</v>
      </c>
      <c r="G24" s="496">
        <v>0</v>
      </c>
      <c r="H24" s="1371"/>
      <c r="I24" s="496"/>
      <c r="J24" s="1372"/>
      <c r="K24" s="248"/>
      <c r="L24" s="1164">
        <f t="shared" si="1"/>
        <v>0</v>
      </c>
      <c r="M24" s="815">
        <v>45566</v>
      </c>
      <c r="N24" s="816">
        <v>1.0049999999999999</v>
      </c>
      <c r="O24" s="166"/>
      <c r="P24" s="166"/>
      <c r="Q24" s="166"/>
      <c r="R24" s="166"/>
      <c r="AB24" s="495">
        <v>30971</v>
      </c>
    </row>
    <row r="25" spans="1:54">
      <c r="B25" s="835">
        <v>45597</v>
      </c>
      <c r="C25" s="496">
        <f t="shared" si="0"/>
        <v>0</v>
      </c>
      <c r="D25" s="496"/>
      <c r="E25" s="496">
        <v>0</v>
      </c>
      <c r="F25" s="496">
        <v>0</v>
      </c>
      <c r="G25" s="496">
        <v>0</v>
      </c>
      <c r="H25" s="1371"/>
      <c r="I25" s="496"/>
      <c r="J25" s="1372"/>
      <c r="K25" s="248"/>
      <c r="L25" s="1164">
        <f t="shared" si="1"/>
        <v>0</v>
      </c>
      <c r="M25" s="815">
        <v>45597</v>
      </c>
      <c r="N25" s="816">
        <v>1</v>
      </c>
      <c r="O25" s="166"/>
      <c r="P25" s="166"/>
      <c r="Q25" s="166"/>
      <c r="R25" s="166"/>
      <c r="AB25" s="495">
        <v>16999</v>
      </c>
    </row>
    <row r="26" spans="1:54">
      <c r="B26" s="835">
        <v>45627</v>
      </c>
      <c r="C26" s="496">
        <f t="shared" si="0"/>
        <v>0</v>
      </c>
      <c r="D26" s="496"/>
      <c r="E26" s="496">
        <v>0</v>
      </c>
      <c r="F26" s="496">
        <v>0</v>
      </c>
      <c r="G26" s="496">
        <v>0</v>
      </c>
      <c r="H26" s="1371"/>
      <c r="I26" s="496"/>
      <c r="J26" s="1372"/>
      <c r="K26" s="248"/>
      <c r="L26" s="1164">
        <f t="shared" ref="L26" si="2">+G26-I26</f>
        <v>0</v>
      </c>
      <c r="M26" s="815">
        <v>45627</v>
      </c>
      <c r="N26" s="816">
        <v>1</v>
      </c>
      <c r="O26" s="166"/>
      <c r="P26" s="166"/>
      <c r="Q26" s="166"/>
      <c r="R26" s="166"/>
      <c r="AB26" s="495">
        <v>17292</v>
      </c>
    </row>
    <row r="27" spans="1:54">
      <c r="B27" s="835">
        <v>45658</v>
      </c>
      <c r="C27" s="496"/>
      <c r="D27" s="496"/>
      <c r="E27" s="496"/>
      <c r="F27" s="496">
        <v>0</v>
      </c>
      <c r="G27" s="496"/>
      <c r="H27" s="1371"/>
      <c r="I27" s="496"/>
      <c r="J27" s="1372"/>
      <c r="K27" s="166"/>
      <c r="L27" s="248"/>
      <c r="M27" s="815">
        <v>45658</v>
      </c>
      <c r="N27" s="816">
        <v>1</v>
      </c>
      <c r="O27" s="166"/>
      <c r="P27" s="166"/>
      <c r="Q27" s="166"/>
      <c r="R27" s="166"/>
    </row>
    <row r="28" spans="1:54" s="844" customFormat="1">
      <c r="B28" s="845"/>
      <c r="C28" s="846">
        <f>SUM(C15:C27)</f>
        <v>0</v>
      </c>
      <c r="D28" s="846">
        <f>SUM(D15:D27)</f>
        <v>0</v>
      </c>
      <c r="E28" s="846">
        <f>SUM(E15:E27)</f>
        <v>0</v>
      </c>
      <c r="F28" s="846">
        <f>SUM(F15:F27)</f>
        <v>0</v>
      </c>
      <c r="G28" s="1143">
        <f>SUM(G15:G27)</f>
        <v>0</v>
      </c>
      <c r="H28" s="847"/>
      <c r="I28" s="1143">
        <f>SUM(I15:I27)</f>
        <v>0</v>
      </c>
      <c r="J28" s="846">
        <f>ROUND(+SUM(J15:J27),0)</f>
        <v>0</v>
      </c>
      <c r="K28" s="891">
        <f>SUM(K15:K27)</f>
        <v>0</v>
      </c>
      <c r="L28" s="891">
        <f>SUM(L15:L27)</f>
        <v>0</v>
      </c>
      <c r="M28" s="849"/>
      <c r="N28" s="850"/>
      <c r="O28" s="848"/>
      <c r="P28" s="848"/>
      <c r="Q28" s="848"/>
      <c r="R28" s="848"/>
      <c r="AQ28" s="1217"/>
      <c r="AR28" s="1217"/>
      <c r="AS28" s="1217"/>
      <c r="AT28" s="1217"/>
      <c r="AU28" s="1217"/>
      <c r="AV28" s="1217"/>
      <c r="AW28" s="1217"/>
      <c r="AX28" s="1217"/>
      <c r="AY28" s="1217"/>
      <c r="AZ28" s="1217"/>
      <c r="BA28" s="1217"/>
      <c r="BB28" s="1217"/>
    </row>
    <row r="29" spans="1:54">
      <c r="B29" s="836"/>
      <c r="C29" s="208"/>
      <c r="D29" s="208"/>
      <c r="E29" s="836"/>
      <c r="F29" s="836"/>
      <c r="G29" s="836">
        <f>+G28/0.13</f>
        <v>0</v>
      </c>
      <c r="H29" s="836"/>
      <c r="I29" s="836">
        <f>+I28-G28</f>
        <v>0</v>
      </c>
      <c r="J29" s="208">
        <v>0</v>
      </c>
      <c r="K29" s="166"/>
      <c r="L29" s="166"/>
      <c r="M29" s="166"/>
      <c r="N29" s="166"/>
      <c r="O29" s="166"/>
      <c r="P29" s="166"/>
      <c r="Q29" s="166"/>
      <c r="R29" s="166"/>
    </row>
    <row r="30" spans="1:54">
      <c r="B30" s="166"/>
      <c r="C30" s="166"/>
      <c r="D30" s="166"/>
      <c r="E30" s="208"/>
      <c r="F30" s="166"/>
      <c r="G30" s="836">
        <f>ROUND(+G25/0.13,0)</f>
        <v>0</v>
      </c>
      <c r="H30" s="166"/>
      <c r="I30" s="166"/>
      <c r="J30" s="166"/>
      <c r="K30" s="166"/>
      <c r="L30" s="166"/>
      <c r="M30" s="166"/>
      <c r="N30" s="166"/>
      <c r="O30" s="4"/>
      <c r="P30" s="166"/>
      <c r="Q30" s="166"/>
      <c r="R30" s="166"/>
    </row>
    <row r="31" spans="1:54">
      <c r="B31" s="166"/>
      <c r="C31" s="166"/>
      <c r="D31" s="166"/>
      <c r="E31" s="208"/>
      <c r="F31" s="496"/>
      <c r="G31" s="208"/>
      <c r="H31" s="208"/>
      <c r="I31" s="208"/>
      <c r="J31" s="208"/>
      <c r="K31" s="166"/>
      <c r="L31" s="166"/>
      <c r="M31" s="166">
        <f>0.93+2.4+1.99</f>
        <v>5.32</v>
      </c>
      <c r="N31" s="166">
        <f>+M31/100</f>
        <v>5.3200000000000004E-2</v>
      </c>
      <c r="O31" s="4"/>
      <c r="P31" s="837"/>
      <c r="Q31" s="837"/>
      <c r="R31" s="166"/>
    </row>
    <row r="32" spans="1:54" ht="15">
      <c r="B32" s="838"/>
      <c r="C32" s="306" t="s">
        <v>729</v>
      </c>
      <c r="D32" s="319"/>
      <c r="E32" s="839"/>
      <c r="F32" s="208"/>
      <c r="G32" s="208"/>
      <c r="H32" s="208"/>
      <c r="I32" s="166"/>
      <c r="J32" s="166"/>
      <c r="K32" s="166"/>
      <c r="L32" s="166"/>
      <c r="M32" s="166"/>
      <c r="N32" s="166"/>
      <c r="O32" s="4"/>
      <c r="P32" s="837"/>
      <c r="Q32" s="837"/>
      <c r="R32" s="166"/>
      <c r="AQ32" s="1218" t="s">
        <v>972</v>
      </c>
      <c r="AR32" s="1218" t="s">
        <v>973</v>
      </c>
      <c r="AS32" s="1218" t="s">
        <v>974</v>
      </c>
      <c r="AT32" s="1218" t="s">
        <v>975</v>
      </c>
      <c r="AU32" s="1218" t="s">
        <v>976</v>
      </c>
      <c r="AV32" s="1218" t="s">
        <v>977</v>
      </c>
      <c r="AW32" s="1218" t="s">
        <v>978</v>
      </c>
      <c r="AX32" s="1218" t="s">
        <v>979</v>
      </c>
      <c r="AY32" s="1218" t="s">
        <v>980</v>
      </c>
      <c r="AZ32" s="1218" t="s">
        <v>981</v>
      </c>
      <c r="BA32" s="1218" t="s">
        <v>982</v>
      </c>
      <c r="BB32" s="1218" t="s">
        <v>983</v>
      </c>
    </row>
    <row r="33" spans="2:55">
      <c r="B33" s="166"/>
      <c r="C33" s="1509" t="s">
        <v>1107</v>
      </c>
      <c r="D33" s="166"/>
      <c r="E33" s="1510" t="s">
        <v>1108</v>
      </c>
      <c r="F33" s="1510" t="s">
        <v>1109</v>
      </c>
      <c r="G33" s="166"/>
      <c r="H33" s="166"/>
      <c r="I33" s="1511">
        <v>48</v>
      </c>
      <c r="J33" s="166"/>
      <c r="K33" s="166"/>
      <c r="L33" s="166"/>
      <c r="M33" s="166"/>
      <c r="N33" s="166"/>
      <c r="O33" s="166"/>
      <c r="P33" s="837"/>
      <c r="Q33" s="837"/>
      <c r="R33" s="166"/>
      <c r="AR33" s="1219">
        <v>31539.200000000001</v>
      </c>
    </row>
    <row r="34" spans="2:55">
      <c r="B34" s="1116" t="s">
        <v>117</v>
      </c>
      <c r="C34" s="1117" t="s">
        <v>189</v>
      </c>
      <c r="D34" s="1118" t="s">
        <v>465</v>
      </c>
      <c r="E34" s="1118" t="s">
        <v>188</v>
      </c>
      <c r="F34" s="1118" t="s">
        <v>425</v>
      </c>
      <c r="G34" s="1119" t="s">
        <v>177</v>
      </c>
      <c r="H34" s="1119" t="s">
        <v>439</v>
      </c>
      <c r="I34" s="1120"/>
      <c r="J34" s="1120"/>
      <c r="K34" s="1120"/>
      <c r="L34" s="1119" t="s">
        <v>461</v>
      </c>
      <c r="M34" s="1119" t="s">
        <v>441</v>
      </c>
      <c r="N34" s="1121" t="s">
        <v>187</v>
      </c>
      <c r="O34" s="1121" t="s">
        <v>501</v>
      </c>
      <c r="P34" s="644"/>
      <c r="Q34" s="644"/>
      <c r="R34" s="840" t="s">
        <v>572</v>
      </c>
      <c r="W34" s="542"/>
      <c r="X34" s="6"/>
      <c r="Y34" s="542"/>
      <c r="Z34" s="6"/>
      <c r="AA34" s="542"/>
      <c r="AB34" s="1167" t="s">
        <v>187</v>
      </c>
      <c r="AC34" s="1167" t="s">
        <v>187</v>
      </c>
      <c r="AD34" s="1167" t="s">
        <v>439</v>
      </c>
      <c r="AP34">
        <v>29</v>
      </c>
      <c r="AQ34" s="1219">
        <v>31196.61</v>
      </c>
      <c r="AR34" s="1216" t="s">
        <v>971</v>
      </c>
      <c r="AS34" s="1219">
        <v>31721.61</v>
      </c>
      <c r="AT34" s="1219">
        <v>32156.31</v>
      </c>
      <c r="AU34" s="1219">
        <v>32650.240000000002</v>
      </c>
      <c r="AV34" s="1219">
        <v>33073.68</v>
      </c>
      <c r="AW34" s="1219">
        <v>33397.949999999997</v>
      </c>
      <c r="AX34" s="1219">
        <v>33806.17</v>
      </c>
      <c r="AY34" s="1219">
        <v>34244.61</v>
      </c>
      <c r="AZ34" s="1219">
        <v>34580.35</v>
      </c>
      <c r="BA34" s="1219">
        <v>34806.01</v>
      </c>
      <c r="BB34" s="1219">
        <v>35088.449999999997</v>
      </c>
    </row>
    <row r="35" spans="2:55">
      <c r="B35" s="1122"/>
      <c r="C35" s="1123" t="s">
        <v>190</v>
      </c>
      <c r="D35" s="1123" t="s">
        <v>466</v>
      </c>
      <c r="E35" s="1124"/>
      <c r="F35" s="1123" t="s">
        <v>426</v>
      </c>
      <c r="G35" s="1125" t="s">
        <v>460</v>
      </c>
      <c r="H35" s="1125" t="s">
        <v>440</v>
      </c>
      <c r="I35" s="1125" t="s">
        <v>434</v>
      </c>
      <c r="J35" s="1125" t="s">
        <v>437</v>
      </c>
      <c r="K35" s="1125" t="s">
        <v>438</v>
      </c>
      <c r="L35" s="1125" t="s">
        <v>462</v>
      </c>
      <c r="M35" s="1125" t="s">
        <v>442</v>
      </c>
      <c r="N35" s="1124" t="s">
        <v>427</v>
      </c>
      <c r="O35" s="1124" t="s">
        <v>502</v>
      </c>
      <c r="P35" s="841"/>
      <c r="Q35" s="841"/>
      <c r="R35" s="842" t="s">
        <v>573</v>
      </c>
      <c r="W35" s="543" t="s">
        <v>504</v>
      </c>
      <c r="X35" s="540" t="s">
        <v>506</v>
      </c>
      <c r="Y35" s="543" t="s">
        <v>505</v>
      </c>
      <c r="Z35" s="540" t="s">
        <v>506</v>
      </c>
      <c r="AA35" s="543"/>
      <c r="AB35" s="1167" t="s">
        <v>963</v>
      </c>
      <c r="AC35" s="1167" t="s">
        <v>964</v>
      </c>
      <c r="AD35" s="1167" t="s">
        <v>965</v>
      </c>
      <c r="AP35">
        <v>30</v>
      </c>
      <c r="AQ35" s="1219">
        <v>31204.63</v>
      </c>
      <c r="AR35" s="1216" t="s">
        <v>971</v>
      </c>
      <c r="AS35" s="1219">
        <v>31724.67</v>
      </c>
      <c r="AT35" s="1219">
        <v>32176.49</v>
      </c>
      <c r="AU35" s="1219">
        <v>32664.89</v>
      </c>
      <c r="AV35" s="1219">
        <v>33086.83</v>
      </c>
      <c r="AW35" s="1219">
        <v>33407.599999999999</v>
      </c>
      <c r="AX35" s="1219">
        <v>33821.339999999997</v>
      </c>
      <c r="AY35" s="1219">
        <v>34258.230000000003</v>
      </c>
      <c r="AZ35" s="1219">
        <v>34590.35</v>
      </c>
      <c r="BA35" s="1219">
        <v>34811.800000000003</v>
      </c>
      <c r="BB35" s="1219">
        <v>35099.72</v>
      </c>
    </row>
    <row r="36" spans="2:55" ht="15" customHeight="1">
      <c r="B36" s="835">
        <v>44562</v>
      </c>
      <c r="C36" s="496">
        <f t="shared" ref="C36:C41" si="3">+(+E36*100)/19</f>
        <v>0</v>
      </c>
      <c r="D36" s="496"/>
      <c r="E36" s="496">
        <v>0</v>
      </c>
      <c r="F36" s="496">
        <v>0</v>
      </c>
      <c r="G36" s="496">
        <v>0</v>
      </c>
      <c r="H36" s="496"/>
      <c r="I36" s="496"/>
      <c r="J36" s="496">
        <v>0</v>
      </c>
      <c r="K36" s="496"/>
      <c r="L36" s="496"/>
      <c r="M36" s="496">
        <v>0</v>
      </c>
      <c r="N36" s="496"/>
      <c r="O36" s="496"/>
      <c r="P36" s="843"/>
      <c r="Q36" s="843"/>
      <c r="R36" s="643"/>
      <c r="S36" s="497"/>
      <c r="W36" s="542"/>
      <c r="X36" s="6"/>
      <c r="Y36" s="542"/>
      <c r="Z36" s="6"/>
      <c r="AA36" s="542"/>
      <c r="AB36" s="772">
        <v>0</v>
      </c>
      <c r="AC36" s="773">
        <v>0</v>
      </c>
      <c r="AD36" s="771">
        <f>ROUND(AB36+AC36,0)</f>
        <v>0</v>
      </c>
      <c r="AF36" s="495">
        <v>0</v>
      </c>
      <c r="AJ36" s="190">
        <f>+$AH$48-AF36</f>
        <v>0</v>
      </c>
      <c r="AK36" s="190"/>
      <c r="AL36">
        <v>1</v>
      </c>
      <c r="AP36">
        <v>31</v>
      </c>
      <c r="AQ36" s="1219">
        <v>31212.65</v>
      </c>
      <c r="AR36" s="1216" t="s">
        <v>971</v>
      </c>
      <c r="AS36" s="1219">
        <v>31727.74</v>
      </c>
      <c r="AT36" s="1216" t="s">
        <v>971</v>
      </c>
      <c r="AU36" s="1219">
        <v>32679.54</v>
      </c>
      <c r="AV36" s="1216" t="s">
        <v>971</v>
      </c>
      <c r="AW36" s="1219">
        <v>33417.26</v>
      </c>
      <c r="AX36" s="1219">
        <v>33836.51</v>
      </c>
      <c r="AY36" s="1216" t="s">
        <v>971</v>
      </c>
      <c r="AZ36" s="1219">
        <v>34600.35</v>
      </c>
      <c r="BA36" s="1216" t="s">
        <v>971</v>
      </c>
      <c r="BB36" s="1219">
        <v>35110.980000000003</v>
      </c>
    </row>
    <row r="37" spans="2:55" ht="15" customHeight="1">
      <c r="B37" s="835">
        <v>44593</v>
      </c>
      <c r="C37" s="496">
        <f t="shared" si="3"/>
        <v>0</v>
      </c>
      <c r="D37" s="496"/>
      <c r="E37" s="496">
        <v>0</v>
      </c>
      <c r="F37" s="496">
        <v>0</v>
      </c>
      <c r="G37" s="496">
        <v>0</v>
      </c>
      <c r="H37" s="496"/>
      <c r="I37" s="496"/>
      <c r="J37" s="496">
        <v>0</v>
      </c>
      <c r="K37" s="496"/>
      <c r="L37" s="496"/>
      <c r="M37" s="496">
        <v>0</v>
      </c>
      <c r="N37" s="496"/>
      <c r="O37" s="496"/>
      <c r="P37" s="843"/>
      <c r="Q37" s="843"/>
      <c r="R37" s="643"/>
      <c r="S37" s="497"/>
      <c r="W37" s="542"/>
      <c r="X37" s="6"/>
      <c r="Y37" s="542"/>
      <c r="Z37" s="6"/>
      <c r="AA37" s="544"/>
      <c r="AB37" s="772">
        <v>0</v>
      </c>
      <c r="AC37" s="773">
        <v>0</v>
      </c>
      <c r="AD37" s="771">
        <f t="shared" ref="AD37:AD47" si="4">ROUND(AB37+AC37,0)</f>
        <v>0</v>
      </c>
      <c r="AF37" s="495">
        <v>0</v>
      </c>
      <c r="AJ37" s="190">
        <f t="shared" ref="AJ37:AJ46" si="5">+$AH$48-AF37</f>
        <v>0</v>
      </c>
      <c r="AK37" s="190"/>
      <c r="AL37">
        <v>2</v>
      </c>
    </row>
    <row r="38" spans="2:55" ht="15" customHeight="1">
      <c r="B38" s="835">
        <v>44621</v>
      </c>
      <c r="C38" s="496">
        <f t="shared" si="3"/>
        <v>0</v>
      </c>
      <c r="D38" s="496"/>
      <c r="E38" s="496">
        <v>0</v>
      </c>
      <c r="F38" s="496">
        <v>0</v>
      </c>
      <c r="G38" s="496">
        <v>0</v>
      </c>
      <c r="H38" s="496"/>
      <c r="I38" s="496"/>
      <c r="J38" s="496">
        <v>0</v>
      </c>
      <c r="K38" s="496"/>
      <c r="L38" s="496"/>
      <c r="M38" s="496">
        <v>0</v>
      </c>
      <c r="N38" s="496"/>
      <c r="O38" s="496"/>
      <c r="P38" s="843"/>
      <c r="Q38" s="843"/>
      <c r="R38" s="643"/>
      <c r="S38" s="497"/>
      <c r="W38" s="542"/>
      <c r="X38" s="6"/>
      <c r="Y38" s="542"/>
      <c r="Z38" s="6"/>
      <c r="AA38" s="544"/>
      <c r="AB38" s="772">
        <v>0</v>
      </c>
      <c r="AC38" s="773">
        <v>0</v>
      </c>
      <c r="AD38" s="771">
        <f t="shared" si="4"/>
        <v>0</v>
      </c>
      <c r="AF38" s="495">
        <v>0</v>
      </c>
      <c r="AJ38" s="190">
        <f t="shared" si="5"/>
        <v>0</v>
      </c>
      <c r="AK38" s="190"/>
      <c r="AL38">
        <v>3</v>
      </c>
      <c r="AP38" s="1222">
        <v>22.5</v>
      </c>
      <c r="AQ38" s="1220">
        <f>ROUND(+$AP38*AQ36,0)</f>
        <v>702285</v>
      </c>
      <c r="AR38" s="1220">
        <f>ROUND(+$AP38*AR33,0)</f>
        <v>709632</v>
      </c>
      <c r="AS38" s="1220">
        <f t="shared" ref="AS38:BB38" si="6">ROUND(+$AP38*AS36,0)</f>
        <v>713874</v>
      </c>
      <c r="AT38" s="1220">
        <f>ROUND(+$AP38*AT35,0)</f>
        <v>723971</v>
      </c>
      <c r="AU38" s="1220">
        <f t="shared" si="6"/>
        <v>735290</v>
      </c>
      <c r="AV38" s="1220">
        <f>ROUND(+$AP38*AV35,0)</f>
        <v>744454</v>
      </c>
      <c r="AW38" s="1220">
        <f t="shared" si="6"/>
        <v>751888</v>
      </c>
      <c r="AX38" s="1220">
        <f t="shared" si="6"/>
        <v>761321</v>
      </c>
      <c r="AY38" s="1220">
        <f>ROUND(+$AP38*AY35,0)</f>
        <v>770810</v>
      </c>
      <c r="AZ38" s="1220">
        <f t="shared" si="6"/>
        <v>778508</v>
      </c>
      <c r="BA38" s="1220">
        <f>ROUND(+$AP38*BA35,0)</f>
        <v>783266</v>
      </c>
      <c r="BB38" s="1220">
        <f t="shared" si="6"/>
        <v>789997</v>
      </c>
      <c r="BC38" s="1215"/>
    </row>
    <row r="39" spans="2:55" ht="15" customHeight="1">
      <c r="B39" s="835">
        <v>44652</v>
      </c>
      <c r="C39" s="496">
        <f t="shared" si="3"/>
        <v>0</v>
      </c>
      <c r="D39" s="496"/>
      <c r="E39" s="496">
        <v>0</v>
      </c>
      <c r="F39" s="496">
        <v>0</v>
      </c>
      <c r="G39" s="496">
        <v>0</v>
      </c>
      <c r="H39" s="496"/>
      <c r="I39" s="496"/>
      <c r="J39" s="496">
        <v>0</v>
      </c>
      <c r="K39" s="496"/>
      <c r="L39" s="496"/>
      <c r="M39" s="496">
        <v>0</v>
      </c>
      <c r="N39" s="496"/>
      <c r="O39" s="496"/>
      <c r="P39" s="843"/>
      <c r="Q39" s="843"/>
      <c r="R39" s="643"/>
      <c r="S39" s="497"/>
      <c r="W39" s="542"/>
      <c r="X39" s="6"/>
      <c r="Y39" s="542"/>
      <c r="Z39" s="6"/>
      <c r="AA39" s="544"/>
      <c r="AB39" s="772">
        <v>0</v>
      </c>
      <c r="AC39" s="773">
        <v>0</v>
      </c>
      <c r="AD39" s="771">
        <f t="shared" si="4"/>
        <v>0</v>
      </c>
      <c r="AF39" s="495">
        <v>0</v>
      </c>
      <c r="AJ39" s="190">
        <f t="shared" si="5"/>
        <v>0</v>
      </c>
      <c r="AK39" s="190"/>
      <c r="AL39">
        <v>4</v>
      </c>
      <c r="AP39" s="1223" t="s">
        <v>250</v>
      </c>
      <c r="BC39" s="1215"/>
    </row>
    <row r="40" spans="2:55" ht="15" customHeight="1">
      <c r="B40" s="835">
        <v>44682</v>
      </c>
      <c r="C40" s="496">
        <f t="shared" si="3"/>
        <v>0</v>
      </c>
      <c r="D40" s="496"/>
      <c r="E40" s="496">
        <v>0</v>
      </c>
      <c r="F40" s="496">
        <v>0</v>
      </c>
      <c r="G40" s="496">
        <v>0</v>
      </c>
      <c r="H40" s="496"/>
      <c r="I40" s="496"/>
      <c r="J40" s="496">
        <v>0</v>
      </c>
      <c r="K40" s="496"/>
      <c r="L40" s="496"/>
      <c r="M40" s="496">
        <v>0</v>
      </c>
      <c r="N40" s="496"/>
      <c r="O40" s="496"/>
      <c r="P40" s="843"/>
      <c r="Q40" s="843"/>
      <c r="R40" s="643"/>
      <c r="S40" s="497"/>
      <c r="W40" s="542"/>
      <c r="X40" s="6"/>
      <c r="Y40" s="542"/>
      <c r="Z40" s="6"/>
      <c r="AA40" s="544"/>
      <c r="AB40" s="772">
        <v>0</v>
      </c>
      <c r="AC40" s="773">
        <v>0</v>
      </c>
      <c r="AD40" s="771">
        <f t="shared" si="4"/>
        <v>0</v>
      </c>
      <c r="AF40" s="495">
        <v>0</v>
      </c>
      <c r="AJ40" s="190">
        <f t="shared" si="5"/>
        <v>0</v>
      </c>
      <c r="AK40" s="190">
        <f t="shared" ref="AK40:AK45" si="7">+AF40+AJ40</f>
        <v>0</v>
      </c>
      <c r="AL40">
        <v>5</v>
      </c>
      <c r="AP40" t="e">
        <f>+AP39/AQ36</f>
        <v>#VALUE!</v>
      </c>
      <c r="AQ40" s="1219"/>
      <c r="AS40" s="1219"/>
      <c r="AT40" s="1219"/>
      <c r="AU40" s="1219"/>
      <c r="AV40" s="1219"/>
      <c r="AW40" s="1219"/>
      <c r="AX40" s="1219"/>
      <c r="AY40" s="1219"/>
      <c r="AZ40" s="1219"/>
      <c r="BA40" s="1219"/>
      <c r="BB40" s="1219"/>
    </row>
    <row r="41" spans="2:55" ht="15" customHeight="1">
      <c r="B41" s="835">
        <v>44713</v>
      </c>
      <c r="C41" s="496">
        <f t="shared" si="3"/>
        <v>0</v>
      </c>
      <c r="D41" s="496"/>
      <c r="E41" s="496">
        <v>0</v>
      </c>
      <c r="F41" s="496">
        <v>0</v>
      </c>
      <c r="G41" s="496">
        <v>0</v>
      </c>
      <c r="H41" s="496"/>
      <c r="I41" s="496"/>
      <c r="J41" s="496">
        <v>0</v>
      </c>
      <c r="K41" s="496"/>
      <c r="L41" s="496"/>
      <c r="M41" s="496">
        <v>0</v>
      </c>
      <c r="N41" s="496"/>
      <c r="O41" s="496"/>
      <c r="P41" s="765"/>
      <c r="Q41" s="843"/>
      <c r="R41" s="643"/>
      <c r="S41" s="497"/>
      <c r="W41" s="542"/>
      <c r="X41" s="6"/>
      <c r="Y41" s="542"/>
      <c r="Z41" s="6"/>
      <c r="AA41" s="544"/>
      <c r="AB41" s="772">
        <v>0</v>
      </c>
      <c r="AC41" s="773">
        <v>0</v>
      </c>
      <c r="AD41" s="771">
        <f t="shared" si="4"/>
        <v>0</v>
      </c>
      <c r="AF41" s="495">
        <v>0</v>
      </c>
      <c r="AJ41" s="190">
        <f t="shared" si="5"/>
        <v>0</v>
      </c>
      <c r="AK41" s="190">
        <f t="shared" si="7"/>
        <v>0</v>
      </c>
      <c r="AL41">
        <v>6</v>
      </c>
      <c r="AQ41" s="1219"/>
      <c r="AS41" s="1219"/>
      <c r="AT41" s="1219"/>
      <c r="AU41" s="1219"/>
      <c r="AV41" s="1219"/>
      <c r="AW41" s="1219"/>
      <c r="AX41" s="1219"/>
      <c r="AY41" s="1219"/>
      <c r="AZ41" s="1219"/>
      <c r="BA41" s="1219"/>
      <c r="BB41" s="1219"/>
    </row>
    <row r="42" spans="2:55" ht="15" customHeight="1">
      <c r="B42" s="835">
        <v>44743</v>
      </c>
      <c r="C42" s="496">
        <f t="shared" ref="C42:C47" si="8">+(+E42*100)/19</f>
        <v>0</v>
      </c>
      <c r="D42" s="496"/>
      <c r="E42" s="496">
        <v>0</v>
      </c>
      <c r="F42" s="496">
        <v>0</v>
      </c>
      <c r="G42" s="496">
        <v>0</v>
      </c>
      <c r="H42" s="496"/>
      <c r="I42" s="496"/>
      <c r="J42" s="496">
        <v>0</v>
      </c>
      <c r="K42" s="496"/>
      <c r="L42" s="496"/>
      <c r="M42" s="496">
        <v>0</v>
      </c>
      <c r="N42" s="496"/>
      <c r="O42" s="496"/>
      <c r="P42" s="843"/>
      <c r="Q42" s="843"/>
      <c r="R42" s="643"/>
      <c r="S42" s="497"/>
      <c r="W42" s="542"/>
      <c r="X42" s="6"/>
      <c r="Y42" s="542"/>
      <c r="Z42" s="6"/>
      <c r="AA42" s="544"/>
      <c r="AB42" s="772">
        <v>0</v>
      </c>
      <c r="AC42" s="773">
        <v>0</v>
      </c>
      <c r="AD42" s="771">
        <f t="shared" si="4"/>
        <v>0</v>
      </c>
      <c r="AF42" s="495">
        <v>0</v>
      </c>
      <c r="AH42">
        <f>+AF50/6</f>
        <v>0</v>
      </c>
      <c r="AJ42" s="190">
        <f t="shared" si="5"/>
        <v>0</v>
      </c>
      <c r="AK42" s="190">
        <f t="shared" si="7"/>
        <v>0</v>
      </c>
      <c r="AL42">
        <v>7</v>
      </c>
      <c r="AQ42" s="1220">
        <f>SUM(AQ38:BB38)</f>
        <v>8965296</v>
      </c>
      <c r="AR42" s="1221" t="s">
        <v>984</v>
      </c>
      <c r="AS42" s="1219"/>
      <c r="AU42" s="1219"/>
      <c r="AW42" s="1219"/>
      <c r="AX42" s="1219"/>
      <c r="AZ42" s="1219"/>
      <c r="BB42" s="1219"/>
    </row>
    <row r="43" spans="2:55" ht="15" customHeight="1">
      <c r="B43" s="835">
        <v>44774</v>
      </c>
      <c r="C43" s="496">
        <f t="shared" si="8"/>
        <v>0</v>
      </c>
      <c r="D43" s="496"/>
      <c r="E43" s="496">
        <v>0</v>
      </c>
      <c r="F43" s="496">
        <v>0</v>
      </c>
      <c r="G43" s="496">
        <v>0</v>
      </c>
      <c r="H43" s="496"/>
      <c r="I43" s="496"/>
      <c r="J43" s="496">
        <v>0</v>
      </c>
      <c r="K43" s="496"/>
      <c r="L43" s="496"/>
      <c r="M43" s="496">
        <v>0</v>
      </c>
      <c r="N43" s="496"/>
      <c r="O43" s="496"/>
      <c r="P43" s="843"/>
      <c r="Q43" s="843"/>
      <c r="R43" s="643"/>
      <c r="S43" s="497"/>
      <c r="W43" s="542"/>
      <c r="X43" s="6"/>
      <c r="Y43" s="542"/>
      <c r="Z43" s="6"/>
      <c r="AA43" s="544"/>
      <c r="AB43" s="772">
        <v>0</v>
      </c>
      <c r="AC43" s="773">
        <v>0</v>
      </c>
      <c r="AD43" s="771">
        <f t="shared" si="4"/>
        <v>0</v>
      </c>
      <c r="AF43" s="495">
        <v>0</v>
      </c>
      <c r="AJ43" s="190">
        <f t="shared" si="5"/>
        <v>0</v>
      </c>
      <c r="AK43" s="190">
        <f t="shared" si="7"/>
        <v>0</v>
      </c>
      <c r="AL43">
        <v>8</v>
      </c>
    </row>
    <row r="44" spans="2:55" ht="15" customHeight="1">
      <c r="B44" s="835">
        <v>44805</v>
      </c>
      <c r="C44" s="496">
        <f t="shared" si="8"/>
        <v>0</v>
      </c>
      <c r="D44" s="496"/>
      <c r="E44" s="496">
        <v>0</v>
      </c>
      <c r="F44" s="496">
        <v>0</v>
      </c>
      <c r="G44" s="496">
        <v>0</v>
      </c>
      <c r="H44" s="496"/>
      <c r="I44" s="496"/>
      <c r="J44" s="496">
        <v>0</v>
      </c>
      <c r="K44" s="496"/>
      <c r="L44" s="496"/>
      <c r="M44" s="496">
        <v>0</v>
      </c>
      <c r="N44" s="496"/>
      <c r="O44" s="496"/>
      <c r="P44" s="843"/>
      <c r="Q44" s="843"/>
      <c r="R44" s="643"/>
      <c r="S44" s="497"/>
      <c r="W44" s="542"/>
      <c r="X44" s="6"/>
      <c r="Y44" s="542"/>
      <c r="Z44" s="6"/>
      <c r="AA44" s="544"/>
      <c r="AB44" s="772">
        <v>0</v>
      </c>
      <c r="AC44" s="773">
        <v>0</v>
      </c>
      <c r="AD44" s="771">
        <f t="shared" si="4"/>
        <v>0</v>
      </c>
      <c r="AF44" s="495">
        <v>0</v>
      </c>
      <c r="AJ44" s="190">
        <f t="shared" si="5"/>
        <v>0</v>
      </c>
      <c r="AK44" s="190">
        <f t="shared" si="7"/>
        <v>0</v>
      </c>
      <c r="AL44">
        <v>9</v>
      </c>
    </row>
    <row r="45" spans="2:55" ht="15" customHeight="1">
      <c r="B45" s="835">
        <v>44835</v>
      </c>
      <c r="C45" s="496">
        <f t="shared" si="8"/>
        <v>0</v>
      </c>
      <c r="D45" s="496"/>
      <c r="E45" s="496">
        <v>0</v>
      </c>
      <c r="F45" s="496">
        <v>0</v>
      </c>
      <c r="G45" s="496">
        <v>0</v>
      </c>
      <c r="H45" s="496"/>
      <c r="I45" s="496"/>
      <c r="J45" s="496">
        <v>0</v>
      </c>
      <c r="K45" s="496"/>
      <c r="L45" s="496"/>
      <c r="M45" s="496">
        <v>0</v>
      </c>
      <c r="N45" s="496"/>
      <c r="O45" s="496"/>
      <c r="P45" s="843"/>
      <c r="Q45" s="843"/>
      <c r="R45" s="643"/>
      <c r="S45" s="497"/>
      <c r="W45" s="542">
        <v>0</v>
      </c>
      <c r="X45" s="541">
        <f>+W45*T45</f>
        <v>0</v>
      </c>
      <c r="Y45" s="542">
        <v>0</v>
      </c>
      <c r="Z45" s="541">
        <f>+T45*Y45</f>
        <v>0</v>
      </c>
      <c r="AA45" s="545"/>
      <c r="AB45" s="772">
        <v>0</v>
      </c>
      <c r="AC45" s="773">
        <v>0</v>
      </c>
      <c r="AD45" s="771">
        <f t="shared" si="4"/>
        <v>0</v>
      </c>
      <c r="AF45" s="495">
        <v>0</v>
      </c>
      <c r="AJ45" s="190">
        <f t="shared" si="5"/>
        <v>0</v>
      </c>
      <c r="AK45" s="190">
        <f t="shared" si="7"/>
        <v>0</v>
      </c>
      <c r="AL45">
        <v>10</v>
      </c>
    </row>
    <row r="46" spans="2:55" ht="15" customHeight="1">
      <c r="B46" s="835">
        <v>44866</v>
      </c>
      <c r="C46" s="496">
        <f t="shared" si="8"/>
        <v>0</v>
      </c>
      <c r="D46" s="496"/>
      <c r="E46" s="496">
        <v>0</v>
      </c>
      <c r="F46" s="496">
        <v>0</v>
      </c>
      <c r="G46" s="496">
        <v>0</v>
      </c>
      <c r="H46" s="496"/>
      <c r="I46" s="496"/>
      <c r="J46" s="496">
        <v>0</v>
      </c>
      <c r="K46" s="496"/>
      <c r="L46" s="496"/>
      <c r="M46" s="496">
        <v>0</v>
      </c>
      <c r="N46" s="496"/>
      <c r="O46" s="496"/>
      <c r="P46" s="843"/>
      <c r="Q46" s="843"/>
      <c r="R46" s="643"/>
      <c r="S46" s="497"/>
      <c r="W46" s="542">
        <v>0</v>
      </c>
      <c r="X46" s="541">
        <f>+W46*T46</f>
        <v>0</v>
      </c>
      <c r="Y46" s="542">
        <v>0</v>
      </c>
      <c r="Z46" s="541">
        <f>+T46*Y46</f>
        <v>0</v>
      </c>
      <c r="AA46" s="546"/>
      <c r="AB46" s="772">
        <v>0</v>
      </c>
      <c r="AC46" s="773">
        <v>0</v>
      </c>
      <c r="AD46" s="771">
        <f t="shared" si="4"/>
        <v>0</v>
      </c>
      <c r="AF46" s="495">
        <v>0</v>
      </c>
      <c r="AJ46" s="190">
        <f t="shared" si="5"/>
        <v>0</v>
      </c>
      <c r="AK46" s="190">
        <f>+AF46+AJ46</f>
        <v>0</v>
      </c>
      <c r="AL46">
        <v>11</v>
      </c>
    </row>
    <row r="47" spans="2:55" ht="15" customHeight="1">
      <c r="B47" s="835">
        <v>44896</v>
      </c>
      <c r="C47" s="496">
        <f t="shared" si="8"/>
        <v>0</v>
      </c>
      <c r="D47" s="496"/>
      <c r="E47" s="496">
        <v>0</v>
      </c>
      <c r="F47" s="496">
        <v>0</v>
      </c>
      <c r="G47" s="496">
        <v>0</v>
      </c>
      <c r="H47" s="496"/>
      <c r="I47" s="496"/>
      <c r="J47" s="496">
        <v>0</v>
      </c>
      <c r="K47" s="496"/>
      <c r="L47" s="496"/>
      <c r="M47" s="496">
        <v>0</v>
      </c>
      <c r="N47" s="496"/>
      <c r="O47" s="496"/>
      <c r="P47" s="843"/>
      <c r="Q47" s="843"/>
      <c r="R47" s="643"/>
      <c r="S47" s="497"/>
      <c r="W47" s="542">
        <v>0</v>
      </c>
      <c r="X47" s="541">
        <f>+W47*T47</f>
        <v>0</v>
      </c>
      <c r="Y47" s="542">
        <v>0</v>
      </c>
      <c r="Z47" s="541">
        <f>+T47*Y47</f>
        <v>0</v>
      </c>
      <c r="AA47" s="546"/>
      <c r="AB47" s="772">
        <v>0</v>
      </c>
      <c r="AC47" s="773">
        <v>0</v>
      </c>
      <c r="AD47" s="771">
        <f t="shared" si="4"/>
        <v>0</v>
      </c>
      <c r="AF47" s="495">
        <v>0</v>
      </c>
      <c r="AJ47" s="190">
        <f>+$AH$48-AF47</f>
        <v>0</v>
      </c>
      <c r="AK47" s="190">
        <f>+AF47+AJ47</f>
        <v>0</v>
      </c>
      <c r="AL47">
        <v>12</v>
      </c>
    </row>
    <row r="48" spans="2:55" ht="15" customHeight="1">
      <c r="B48" s="835">
        <v>44927</v>
      </c>
      <c r="C48" s="496"/>
      <c r="D48" s="496"/>
      <c r="E48" s="496"/>
      <c r="F48" s="496"/>
      <c r="G48" s="496"/>
      <c r="H48" s="496"/>
      <c r="I48" s="496"/>
      <c r="J48" s="496"/>
      <c r="K48" s="496"/>
      <c r="L48" s="496"/>
      <c r="M48" s="496"/>
      <c r="N48" s="496"/>
      <c r="O48" s="496"/>
      <c r="P48" s="843"/>
      <c r="Q48" s="843"/>
      <c r="R48" s="643"/>
      <c r="W48" s="542"/>
      <c r="X48" s="541"/>
      <c r="Y48" s="542"/>
      <c r="Z48" s="6"/>
      <c r="AA48" s="542"/>
      <c r="AB48" s="770"/>
      <c r="AC48" s="541"/>
      <c r="AD48" s="6"/>
      <c r="AF48" s="190">
        <f>SUM(AF36:AF47)</f>
        <v>0</v>
      </c>
      <c r="AH48" s="190">
        <f>ROUND(+AF49/10,0)</f>
        <v>0</v>
      </c>
    </row>
    <row r="49" spans="2:54" s="844" customFormat="1">
      <c r="B49" s="845"/>
      <c r="C49" s="846">
        <f>SUM(C36:C48)</f>
        <v>0</v>
      </c>
      <c r="D49" s="846"/>
      <c r="E49" s="846">
        <f>SUM(E36:E48)</f>
        <v>0</v>
      </c>
      <c r="F49" s="846">
        <f>SUM(F36:F48)</f>
        <v>0</v>
      </c>
      <c r="G49" s="846">
        <f>SUM(G36:G48)</f>
        <v>0</v>
      </c>
      <c r="H49" s="846">
        <f t="shared" ref="H49:M49" si="9">SUM(H36:H48)</f>
        <v>0</v>
      </c>
      <c r="I49" s="846">
        <f t="shared" si="9"/>
        <v>0</v>
      </c>
      <c r="J49" s="846">
        <f t="shared" si="9"/>
        <v>0</v>
      </c>
      <c r="K49" s="846">
        <f t="shared" si="9"/>
        <v>0</v>
      </c>
      <c r="L49" s="846">
        <f t="shared" si="9"/>
        <v>0</v>
      </c>
      <c r="M49" s="846">
        <f t="shared" si="9"/>
        <v>0</v>
      </c>
      <c r="N49" s="846">
        <f>SUM(N36:N48)</f>
        <v>0</v>
      </c>
      <c r="O49" s="846">
        <f>SUM(O36:O48)</f>
        <v>0</v>
      </c>
      <c r="P49" s="846"/>
      <c r="Q49" s="846"/>
      <c r="R49" s="851"/>
      <c r="T49"/>
      <c r="U49"/>
      <c r="AF49" s="844">
        <v>0</v>
      </c>
      <c r="AK49" s="852">
        <f>SUM(AK36:AK48)</f>
        <v>0</v>
      </c>
      <c r="AQ49" s="1217"/>
      <c r="AR49" s="1217"/>
      <c r="AS49" s="1217"/>
      <c r="AT49" s="1217"/>
      <c r="AU49" s="1217"/>
      <c r="AV49" s="1217"/>
      <c r="AW49" s="1217"/>
      <c r="AX49" s="1217"/>
      <c r="AY49" s="1217"/>
      <c r="AZ49" s="1217"/>
      <c r="BA49" s="1217"/>
      <c r="BB49" s="1217"/>
    </row>
    <row r="50" spans="2:54">
      <c r="B50" s="836"/>
      <c r="C50" s="496"/>
      <c r="D50" s="836"/>
      <c r="E50" s="836"/>
      <c r="F50" s="836"/>
      <c r="G50" s="836"/>
      <c r="H50" s="836"/>
      <c r="I50" s="836"/>
      <c r="J50" s="836"/>
      <c r="K50" s="836"/>
      <c r="L50" s="836"/>
      <c r="M50" s="836"/>
      <c r="N50" s="836"/>
      <c r="O50" s="836"/>
      <c r="P50" s="836"/>
      <c r="Q50" s="166"/>
      <c r="R50" s="166"/>
      <c r="AF50" s="190">
        <f>+AF48-AF49</f>
        <v>0</v>
      </c>
    </row>
    <row r="51" spans="2:54">
      <c r="B51" s="166"/>
      <c r="C51" s="496"/>
      <c r="D51" s="166"/>
      <c r="E51" s="208"/>
      <c r="F51" s="166"/>
      <c r="G51" s="166">
        <v>19786564</v>
      </c>
      <c r="H51" s="166"/>
      <c r="I51" s="166"/>
      <c r="J51" s="166"/>
      <c r="K51" s="166"/>
      <c r="L51" s="166"/>
      <c r="M51" s="166">
        <v>852827</v>
      </c>
      <c r="N51" s="208"/>
      <c r="O51" s="4"/>
      <c r="P51" s="166"/>
      <c r="Q51" s="166"/>
      <c r="R51" s="166"/>
      <c r="AK51" s="190">
        <f>+AK49-AF49</f>
        <v>0</v>
      </c>
    </row>
    <row r="52" spans="2:54">
      <c r="B52" s="166"/>
      <c r="C52" s="496"/>
      <c r="D52" s="208">
        <f>+F49+C49</f>
        <v>0</v>
      </c>
      <c r="E52" s="166"/>
      <c r="F52" s="166"/>
      <c r="G52" s="166">
        <v>7213562</v>
      </c>
      <c r="H52" s="166"/>
      <c r="I52" s="166"/>
      <c r="J52" s="166"/>
      <c r="K52" s="166"/>
      <c r="L52" s="166"/>
      <c r="M52" s="166">
        <f>+M51/12</f>
        <v>71068.916666666672</v>
      </c>
      <c r="N52" s="166"/>
      <c r="O52" s="166"/>
      <c r="P52" s="166"/>
      <c r="Q52" s="166"/>
      <c r="R52" s="166"/>
      <c r="AW52" s="1216">
        <v>702285</v>
      </c>
    </row>
    <row r="53" spans="2:54">
      <c r="B53" s="166"/>
      <c r="C53" s="208"/>
      <c r="D53" s="166"/>
      <c r="E53" s="166"/>
      <c r="F53" s="166"/>
      <c r="G53" s="166">
        <f>+G51+G52</f>
        <v>27000126</v>
      </c>
      <c r="H53" s="166"/>
      <c r="I53" s="166"/>
      <c r="J53" s="166"/>
      <c r="K53" s="166"/>
      <c r="L53" s="166">
        <v>292993</v>
      </c>
      <c r="M53" s="166"/>
      <c r="N53" s="166"/>
      <c r="O53" s="166"/>
      <c r="P53" s="166"/>
      <c r="Q53" s="166"/>
      <c r="R53" s="166"/>
      <c r="AW53" s="1216">
        <v>709632</v>
      </c>
    </row>
    <row r="54" spans="2:54">
      <c r="B54" s="166"/>
      <c r="C54" s="208"/>
      <c r="D54" s="166"/>
      <c r="E54" s="166"/>
      <c r="F54" s="166"/>
      <c r="G54" s="166"/>
      <c r="H54" s="166"/>
      <c r="I54" s="166"/>
      <c r="J54" s="166"/>
      <c r="K54" s="166"/>
      <c r="L54" s="166">
        <v>259022</v>
      </c>
      <c r="M54" s="166"/>
      <c r="N54" s="166"/>
      <c r="O54" s="166"/>
      <c r="P54" s="166"/>
      <c r="Q54" s="166"/>
      <c r="R54" s="166"/>
      <c r="AW54" s="1216">
        <v>713874</v>
      </c>
    </row>
    <row r="55" spans="2:54"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>
        <f>+L53-L54</f>
        <v>33971</v>
      </c>
      <c r="M55" s="166"/>
      <c r="N55" s="166"/>
      <c r="O55" s="166"/>
      <c r="P55" s="166"/>
      <c r="Q55" s="166"/>
      <c r="R55" s="166"/>
      <c r="AW55" s="1216">
        <v>723971</v>
      </c>
    </row>
    <row r="56" spans="2:54">
      <c r="B56" s="248"/>
      <c r="AW56" s="1216">
        <v>735290</v>
      </c>
    </row>
    <row r="57" spans="2:54" ht="15">
      <c r="B57" s="305"/>
      <c r="C57" s="306" t="s">
        <v>462</v>
      </c>
      <c r="D57" s="319"/>
      <c r="E57" s="307"/>
      <c r="AW57" s="1216">
        <v>744454</v>
      </c>
    </row>
    <row r="58" spans="2:54">
      <c r="C58" s="190"/>
      <c r="AW58" s="1216">
        <v>751888</v>
      </c>
    </row>
    <row r="59" spans="2:54">
      <c r="F59" s="190"/>
      <c r="G59" s="190"/>
      <c r="H59" s="190"/>
      <c r="AW59" s="1216">
        <v>761321</v>
      </c>
    </row>
    <row r="60" spans="2:54" ht="13.5" thickBot="1">
      <c r="C60" s="528" t="s">
        <v>487</v>
      </c>
      <c r="F60" s="529" t="s">
        <v>493</v>
      </c>
      <c r="I60" s="166" t="s">
        <v>491</v>
      </c>
      <c r="L60" s="166" t="s">
        <v>490</v>
      </c>
      <c r="O60" s="1225" t="s">
        <v>988</v>
      </c>
      <c r="AW60" s="1216">
        <v>770810</v>
      </c>
    </row>
    <row r="61" spans="2:54">
      <c r="B61" s="142" t="s">
        <v>117</v>
      </c>
      <c r="C61" s="512"/>
      <c r="D61" s="513"/>
      <c r="E61" s="514"/>
      <c r="F61" s="509"/>
      <c r="G61" s="510"/>
      <c r="H61" s="511"/>
      <c r="I61" s="518"/>
      <c r="J61" s="519"/>
      <c r="K61" s="520"/>
      <c r="L61" s="521"/>
      <c r="M61" s="522"/>
      <c r="N61" s="523"/>
      <c r="O61" s="524"/>
      <c r="P61" s="525"/>
      <c r="Q61" s="526"/>
      <c r="R61" s="639"/>
      <c r="AW61" s="1216">
        <v>778508</v>
      </c>
    </row>
    <row r="62" spans="2:54" ht="13.5" thickBot="1">
      <c r="B62" s="146"/>
      <c r="C62" s="506" t="s">
        <v>390</v>
      </c>
      <c r="D62" s="507" t="s">
        <v>391</v>
      </c>
      <c r="E62" s="508" t="s">
        <v>392</v>
      </c>
      <c r="F62" s="506" t="s">
        <v>390</v>
      </c>
      <c r="G62" s="507" t="s">
        <v>391</v>
      </c>
      <c r="H62" s="508" t="s">
        <v>392</v>
      </c>
      <c r="I62" s="506" t="s">
        <v>390</v>
      </c>
      <c r="J62" s="507" t="s">
        <v>391</v>
      </c>
      <c r="K62" s="508" t="s">
        <v>392</v>
      </c>
      <c r="L62" s="506" t="s">
        <v>390</v>
      </c>
      <c r="M62" s="507" t="s">
        <v>391</v>
      </c>
      <c r="N62" s="508" t="s">
        <v>392</v>
      </c>
      <c r="O62" s="506" t="s">
        <v>390</v>
      </c>
      <c r="P62" s="507" t="s">
        <v>391</v>
      </c>
      <c r="Q62" s="508" t="s">
        <v>392</v>
      </c>
      <c r="R62" s="640"/>
      <c r="AW62" s="1216">
        <v>783266</v>
      </c>
    </row>
    <row r="63" spans="2:54">
      <c r="B63" s="304">
        <v>41640</v>
      </c>
      <c r="C63" s="495"/>
      <c r="D63" s="495"/>
      <c r="E63" s="496"/>
      <c r="F63" s="496">
        <f>+F81+F100</f>
        <v>0</v>
      </c>
      <c r="G63" s="530"/>
      <c r="H63" s="495">
        <f>+H81+H100</f>
        <v>0</v>
      </c>
      <c r="I63" s="496">
        <v>0</v>
      </c>
      <c r="J63" s="530">
        <v>0</v>
      </c>
      <c r="K63" s="495">
        <v>0</v>
      </c>
      <c r="L63" s="496">
        <v>0</v>
      </c>
      <c r="M63" s="530">
        <v>0</v>
      </c>
      <c r="N63" s="495">
        <v>0</v>
      </c>
      <c r="O63" s="1224"/>
      <c r="P63" s="530"/>
      <c r="Q63" s="495"/>
      <c r="R63" s="641"/>
      <c r="S63" s="1224"/>
      <c r="T63" s="530"/>
      <c r="U63" s="495"/>
      <c r="AC63" s="190">
        <f>+S63-T63</f>
        <v>0</v>
      </c>
      <c r="AW63" s="1216">
        <v>789997</v>
      </c>
    </row>
    <row r="64" spans="2:54">
      <c r="B64" s="304">
        <v>41671</v>
      </c>
      <c r="C64" s="495"/>
      <c r="D64" s="495"/>
      <c r="E64" s="496"/>
      <c r="F64" s="496">
        <f t="shared" ref="F64:F72" si="10">+F82+F101</f>
        <v>0</v>
      </c>
      <c r="G64" s="530"/>
      <c r="H64" s="495">
        <f t="shared" ref="H64:H72" si="11">+H82+H101</f>
        <v>0</v>
      </c>
      <c r="I64" s="496">
        <v>0</v>
      </c>
      <c r="J64" s="530">
        <v>0</v>
      </c>
      <c r="K64" s="495">
        <v>0</v>
      </c>
      <c r="L64" s="496">
        <v>0</v>
      </c>
      <c r="M64" s="530">
        <v>0</v>
      </c>
      <c r="N64" s="495">
        <v>0</v>
      </c>
      <c r="O64" s="1224"/>
      <c r="P64" s="530"/>
      <c r="Q64" s="495"/>
      <c r="R64" s="641"/>
      <c r="S64" s="1224"/>
      <c r="T64" s="530"/>
      <c r="U64" s="495"/>
      <c r="AC64" s="190">
        <f t="shared" ref="AC64:AC74" si="12">+S64-T64</f>
        <v>0</v>
      </c>
    </row>
    <row r="65" spans="2:29">
      <c r="B65" s="304">
        <v>41699</v>
      </c>
      <c r="C65" s="495"/>
      <c r="D65" s="495"/>
      <c r="E65" s="496"/>
      <c r="F65" s="496">
        <f t="shared" si="10"/>
        <v>0</v>
      </c>
      <c r="G65" s="530"/>
      <c r="H65" s="495">
        <f t="shared" si="11"/>
        <v>0</v>
      </c>
      <c r="I65" s="496">
        <v>0</v>
      </c>
      <c r="J65" s="530">
        <v>0</v>
      </c>
      <c r="K65" s="495">
        <v>0</v>
      </c>
      <c r="L65" s="496">
        <v>0</v>
      </c>
      <c r="M65" s="530">
        <v>0</v>
      </c>
      <c r="N65" s="495">
        <v>0</v>
      </c>
      <c r="O65" s="1224"/>
      <c r="P65" s="530"/>
      <c r="Q65" s="495"/>
      <c r="R65" s="641"/>
      <c r="S65" s="1224"/>
      <c r="T65" s="530"/>
      <c r="U65" s="495"/>
      <c r="AC65" s="190">
        <f t="shared" si="12"/>
        <v>0</v>
      </c>
    </row>
    <row r="66" spans="2:29">
      <c r="B66" s="304">
        <v>41730</v>
      </c>
      <c r="C66" s="495"/>
      <c r="D66" s="495"/>
      <c r="E66" s="496"/>
      <c r="F66" s="496">
        <f t="shared" si="10"/>
        <v>0</v>
      </c>
      <c r="G66" s="530"/>
      <c r="H66" s="495">
        <f t="shared" si="11"/>
        <v>0</v>
      </c>
      <c r="I66" s="496">
        <v>0</v>
      </c>
      <c r="J66" s="530">
        <v>0</v>
      </c>
      <c r="K66" s="495">
        <v>0</v>
      </c>
      <c r="L66" s="496">
        <v>0</v>
      </c>
      <c r="M66" s="530">
        <v>0</v>
      </c>
      <c r="N66" s="495">
        <v>0</v>
      </c>
      <c r="O66" s="1224"/>
      <c r="P66" s="530"/>
      <c r="Q66" s="495"/>
      <c r="R66" s="641"/>
      <c r="S66" s="1224"/>
      <c r="T66" s="530"/>
      <c r="U66" s="495"/>
      <c r="AC66" s="190">
        <f t="shared" si="12"/>
        <v>0</v>
      </c>
    </row>
    <row r="67" spans="2:29">
      <c r="B67" s="304">
        <v>41760</v>
      </c>
      <c r="C67" s="495"/>
      <c r="D67" s="495"/>
      <c r="E67" s="496"/>
      <c r="F67" s="496">
        <f t="shared" si="10"/>
        <v>0</v>
      </c>
      <c r="G67" s="530"/>
      <c r="H67" s="495">
        <f t="shared" si="11"/>
        <v>0</v>
      </c>
      <c r="I67" s="496">
        <v>0</v>
      </c>
      <c r="J67" s="530">
        <v>0</v>
      </c>
      <c r="K67" s="495">
        <v>0</v>
      </c>
      <c r="L67" s="496">
        <v>0</v>
      </c>
      <c r="M67" s="530">
        <v>0</v>
      </c>
      <c r="N67" s="495">
        <v>0</v>
      </c>
      <c r="O67" s="1224"/>
      <c r="P67" s="530"/>
      <c r="Q67" s="495"/>
      <c r="R67" s="641"/>
      <c r="S67" s="1224"/>
      <c r="T67" s="530"/>
      <c r="U67" s="495"/>
      <c r="AC67" s="190">
        <f t="shared" si="12"/>
        <v>0</v>
      </c>
    </row>
    <row r="68" spans="2:29">
      <c r="B68" s="304">
        <v>41791</v>
      </c>
      <c r="C68" s="495"/>
      <c r="D68" s="495"/>
      <c r="E68" s="496"/>
      <c r="F68" s="496">
        <f t="shared" si="10"/>
        <v>0</v>
      </c>
      <c r="G68" s="530"/>
      <c r="H68" s="495">
        <f t="shared" si="11"/>
        <v>0</v>
      </c>
      <c r="I68" s="496">
        <v>0</v>
      </c>
      <c r="J68" s="530">
        <v>0</v>
      </c>
      <c r="K68" s="495">
        <v>0</v>
      </c>
      <c r="L68" s="496">
        <v>0</v>
      </c>
      <c r="M68" s="530">
        <v>0</v>
      </c>
      <c r="N68" s="495">
        <v>0</v>
      </c>
      <c r="O68" s="1224"/>
      <c r="P68" s="530"/>
      <c r="Q68" s="495"/>
      <c r="R68" s="641"/>
      <c r="S68" s="1224"/>
      <c r="T68" s="530"/>
      <c r="U68" s="495"/>
      <c r="AC68" s="190">
        <f t="shared" si="12"/>
        <v>0</v>
      </c>
    </row>
    <row r="69" spans="2:29">
      <c r="B69" s="304">
        <v>41821</v>
      </c>
      <c r="C69" s="495"/>
      <c r="D69" s="495"/>
      <c r="E69" s="496"/>
      <c r="F69" s="496">
        <f t="shared" si="10"/>
        <v>0</v>
      </c>
      <c r="G69" s="530"/>
      <c r="H69" s="495">
        <f t="shared" si="11"/>
        <v>0</v>
      </c>
      <c r="I69" s="496">
        <v>0</v>
      </c>
      <c r="J69" s="530">
        <v>0</v>
      </c>
      <c r="K69" s="495">
        <v>0</v>
      </c>
      <c r="L69" s="496">
        <v>0</v>
      </c>
      <c r="M69" s="530">
        <v>0</v>
      </c>
      <c r="N69" s="495">
        <v>0</v>
      </c>
      <c r="O69" s="496"/>
      <c r="P69" s="530"/>
      <c r="Q69" s="495"/>
      <c r="R69" s="641"/>
      <c r="S69" s="496"/>
      <c r="T69" s="530"/>
      <c r="U69" s="495"/>
      <c r="AC69" s="190">
        <f t="shared" si="12"/>
        <v>0</v>
      </c>
    </row>
    <row r="70" spans="2:29">
      <c r="B70" s="304">
        <v>41852</v>
      </c>
      <c r="C70" s="495"/>
      <c r="D70" s="495"/>
      <c r="E70" s="496"/>
      <c r="F70" s="496">
        <f t="shared" si="10"/>
        <v>0</v>
      </c>
      <c r="G70" s="530"/>
      <c r="H70" s="495">
        <f t="shared" si="11"/>
        <v>0</v>
      </c>
      <c r="I70" s="496">
        <v>0</v>
      </c>
      <c r="J70" s="530">
        <v>0</v>
      </c>
      <c r="K70" s="495">
        <v>0</v>
      </c>
      <c r="L70" s="496">
        <v>0</v>
      </c>
      <c r="M70" s="530">
        <v>0</v>
      </c>
      <c r="N70" s="495">
        <v>0</v>
      </c>
      <c r="O70" s="496"/>
      <c r="P70" s="530"/>
      <c r="Q70" s="495"/>
      <c r="R70" s="641"/>
      <c r="S70" s="496"/>
      <c r="T70" s="530"/>
      <c r="U70" s="495"/>
      <c r="AC70" s="190">
        <f t="shared" si="12"/>
        <v>0</v>
      </c>
    </row>
    <row r="71" spans="2:29">
      <c r="B71" s="304">
        <v>41883</v>
      </c>
      <c r="C71" s="495"/>
      <c r="D71" s="495"/>
      <c r="E71" s="496"/>
      <c r="F71" s="496">
        <f t="shared" si="10"/>
        <v>0</v>
      </c>
      <c r="G71" s="530"/>
      <c r="H71" s="495">
        <f t="shared" si="11"/>
        <v>0</v>
      </c>
      <c r="I71" s="496">
        <v>0</v>
      </c>
      <c r="J71" s="530">
        <v>0</v>
      </c>
      <c r="K71" s="495">
        <v>0</v>
      </c>
      <c r="L71" s="496">
        <v>0</v>
      </c>
      <c r="M71" s="530">
        <v>0</v>
      </c>
      <c r="N71" s="495">
        <v>0</v>
      </c>
      <c r="O71" s="496"/>
      <c r="P71" s="530"/>
      <c r="Q71" s="495"/>
      <c r="R71" s="641"/>
      <c r="S71" s="496"/>
      <c r="T71" s="530"/>
      <c r="U71" s="495"/>
      <c r="AC71" s="190">
        <f t="shared" si="12"/>
        <v>0</v>
      </c>
    </row>
    <row r="72" spans="2:29">
      <c r="B72" s="304">
        <v>41913</v>
      </c>
      <c r="C72" s="495"/>
      <c r="D72" s="495"/>
      <c r="E72" s="496"/>
      <c r="F72" s="496">
        <f t="shared" si="10"/>
        <v>0</v>
      </c>
      <c r="G72" s="530"/>
      <c r="H72" s="495">
        <f t="shared" si="11"/>
        <v>0</v>
      </c>
      <c r="I72" s="496">
        <v>0</v>
      </c>
      <c r="J72" s="530">
        <v>0</v>
      </c>
      <c r="K72" s="495">
        <v>0</v>
      </c>
      <c r="L72" s="496">
        <v>0</v>
      </c>
      <c r="M72" s="530">
        <v>0</v>
      </c>
      <c r="N72" s="495">
        <v>0</v>
      </c>
      <c r="O72" s="496"/>
      <c r="P72" s="530"/>
      <c r="Q72" s="495"/>
      <c r="R72" s="641"/>
      <c r="S72" s="496"/>
      <c r="T72" s="530"/>
      <c r="U72" s="495"/>
      <c r="AC72" s="190">
        <f t="shared" si="12"/>
        <v>0</v>
      </c>
    </row>
    <row r="73" spans="2:29">
      <c r="B73" s="304">
        <v>41944</v>
      </c>
      <c r="C73" s="495"/>
      <c r="D73" s="495"/>
      <c r="E73" s="496"/>
      <c r="F73" s="496"/>
      <c r="G73" s="530"/>
      <c r="H73" s="495"/>
      <c r="I73" s="496">
        <v>0</v>
      </c>
      <c r="J73" s="530">
        <v>0</v>
      </c>
      <c r="K73" s="495">
        <v>0</v>
      </c>
      <c r="L73" s="496">
        <v>0</v>
      </c>
      <c r="M73" s="530">
        <v>0</v>
      </c>
      <c r="N73" s="495">
        <v>0</v>
      </c>
      <c r="O73" s="496"/>
      <c r="P73" s="530"/>
      <c r="Q73" s="495"/>
      <c r="R73" s="641"/>
      <c r="S73" s="496"/>
      <c r="T73" s="530"/>
      <c r="U73" s="495"/>
      <c r="AC73" s="190">
        <f t="shared" si="12"/>
        <v>0</v>
      </c>
    </row>
    <row r="74" spans="2:29">
      <c r="B74" s="304">
        <v>41974</v>
      </c>
      <c r="C74" s="495"/>
      <c r="D74" s="495"/>
      <c r="E74" s="496"/>
      <c r="F74" s="496"/>
      <c r="G74" s="530"/>
      <c r="H74" s="495"/>
      <c r="I74" s="496">
        <v>0</v>
      </c>
      <c r="J74" s="530">
        <v>0</v>
      </c>
      <c r="K74" s="495">
        <v>0</v>
      </c>
      <c r="L74" s="496">
        <v>0</v>
      </c>
      <c r="M74" s="530">
        <v>0</v>
      </c>
      <c r="N74" s="495">
        <v>0</v>
      </c>
      <c r="O74" s="496"/>
      <c r="P74" s="530"/>
      <c r="Q74" s="495"/>
      <c r="R74" s="641"/>
      <c r="S74" s="496"/>
      <c r="T74" s="530"/>
      <c r="U74" s="495"/>
      <c r="AC74" s="190">
        <f t="shared" si="12"/>
        <v>0</v>
      </c>
    </row>
    <row r="75" spans="2:29">
      <c r="B75" s="304">
        <v>42005</v>
      </c>
      <c r="C75" s="495"/>
      <c r="D75" s="495"/>
      <c r="E75" s="495"/>
      <c r="F75" s="496">
        <v>0</v>
      </c>
      <c r="G75" s="495">
        <v>0</v>
      </c>
      <c r="H75" s="495"/>
      <c r="I75" s="496">
        <v>0</v>
      </c>
      <c r="J75" s="530">
        <v>0</v>
      </c>
      <c r="K75" s="495">
        <v>0</v>
      </c>
      <c r="L75" s="496">
        <v>0</v>
      </c>
      <c r="M75" s="530">
        <v>0</v>
      </c>
      <c r="N75" s="495">
        <v>0</v>
      </c>
      <c r="O75" s="496"/>
      <c r="P75" s="530"/>
      <c r="Q75" s="495"/>
      <c r="R75" s="641"/>
    </row>
    <row r="76" spans="2:29">
      <c r="B76" s="155"/>
      <c r="C76" s="156">
        <f t="shared" ref="C76:P76" si="13">SUM(C63:C75)</f>
        <v>0</v>
      </c>
      <c r="D76" s="156">
        <f t="shared" si="13"/>
        <v>0</v>
      </c>
      <c r="E76" s="156">
        <f t="shared" si="13"/>
        <v>0</v>
      </c>
      <c r="F76" s="156">
        <f t="shared" si="13"/>
        <v>0</v>
      </c>
      <c r="G76" s="156">
        <f t="shared" si="13"/>
        <v>0</v>
      </c>
      <c r="H76" s="156">
        <f t="shared" si="13"/>
        <v>0</v>
      </c>
      <c r="I76" s="156">
        <f t="shared" si="13"/>
        <v>0</v>
      </c>
      <c r="J76" s="156">
        <f t="shared" si="13"/>
        <v>0</v>
      </c>
      <c r="K76" s="156">
        <f t="shared" si="13"/>
        <v>0</v>
      </c>
      <c r="L76" s="156">
        <f t="shared" si="13"/>
        <v>0</v>
      </c>
      <c r="M76" s="156">
        <f t="shared" si="13"/>
        <v>0</v>
      </c>
      <c r="N76" s="156">
        <f t="shared" si="13"/>
        <v>0</v>
      </c>
      <c r="O76" s="156">
        <f t="shared" si="13"/>
        <v>0</v>
      </c>
      <c r="P76" s="156">
        <f t="shared" si="13"/>
        <v>0</v>
      </c>
      <c r="Q76" s="156"/>
      <c r="R76" s="642"/>
    </row>
    <row r="77" spans="2:29">
      <c r="S77" s="190">
        <f>SUM(S63:S76)</f>
        <v>0</v>
      </c>
      <c r="T77" s="190">
        <f>SUM(T63:T76)</f>
        <v>0</v>
      </c>
      <c r="AC77" s="190">
        <f>SUM(AC63:AC76)</f>
        <v>0</v>
      </c>
    </row>
    <row r="78" spans="2:29" ht="13.5" thickBot="1">
      <c r="F78" s="529" t="s">
        <v>496</v>
      </c>
      <c r="T78" s="190">
        <f>+T77-S77</f>
        <v>0</v>
      </c>
    </row>
    <row r="79" spans="2:29">
      <c r="F79" s="509"/>
      <c r="G79" s="510"/>
      <c r="H79" s="511"/>
      <c r="AC79" s="190">
        <f>+AC77+T77</f>
        <v>0</v>
      </c>
    </row>
    <row r="80" spans="2:29" ht="13.5" thickBot="1">
      <c r="F80" s="506" t="s">
        <v>390</v>
      </c>
      <c r="G80" s="507" t="s">
        <v>391</v>
      </c>
      <c r="H80" s="508" t="s">
        <v>392</v>
      </c>
      <c r="P80">
        <v>92982036</v>
      </c>
    </row>
    <row r="81" spans="6:16">
      <c r="F81" s="496">
        <v>0</v>
      </c>
      <c r="G81" s="495">
        <v>0</v>
      </c>
      <c r="H81" s="495">
        <v>0</v>
      </c>
      <c r="P81" s="190">
        <f>+P80-O76</f>
        <v>92982036</v>
      </c>
    </row>
    <row r="82" spans="6:16">
      <c r="F82" s="496">
        <v>0</v>
      </c>
      <c r="G82" s="495">
        <v>0</v>
      </c>
      <c r="H82" s="495">
        <v>0</v>
      </c>
    </row>
    <row r="83" spans="6:16">
      <c r="F83" s="496">
        <v>0</v>
      </c>
      <c r="G83" s="495">
        <v>0</v>
      </c>
      <c r="H83" s="495">
        <v>0</v>
      </c>
    </row>
    <row r="84" spans="6:16">
      <c r="F84" s="496">
        <v>0</v>
      </c>
      <c r="G84" s="495">
        <v>0</v>
      </c>
      <c r="H84" s="495">
        <v>0</v>
      </c>
    </row>
    <row r="85" spans="6:16">
      <c r="F85" s="496">
        <v>0</v>
      </c>
      <c r="G85" s="495">
        <v>0</v>
      </c>
      <c r="H85" s="495">
        <v>0</v>
      </c>
    </row>
    <row r="86" spans="6:16">
      <c r="F86" s="496">
        <v>0</v>
      </c>
      <c r="G86" s="495">
        <v>0</v>
      </c>
      <c r="H86" s="495">
        <v>0</v>
      </c>
    </row>
    <row r="87" spans="6:16">
      <c r="F87" s="496">
        <v>0</v>
      </c>
      <c r="G87" s="495">
        <v>0</v>
      </c>
      <c r="H87" s="495">
        <v>0</v>
      </c>
    </row>
    <row r="88" spans="6:16">
      <c r="F88" s="496">
        <v>0</v>
      </c>
      <c r="G88" s="495">
        <v>0</v>
      </c>
      <c r="H88" s="495">
        <v>0</v>
      </c>
    </row>
    <row r="89" spans="6:16">
      <c r="F89" s="496">
        <v>0</v>
      </c>
      <c r="G89" s="495">
        <v>0</v>
      </c>
      <c r="H89" s="495">
        <v>0</v>
      </c>
    </row>
    <row r="90" spans="6:16">
      <c r="F90" s="496">
        <v>0</v>
      </c>
      <c r="G90" s="495">
        <v>0</v>
      </c>
      <c r="H90" s="495">
        <v>0</v>
      </c>
    </row>
    <row r="91" spans="6:16">
      <c r="F91" s="496">
        <v>0</v>
      </c>
      <c r="G91" s="495">
        <v>0</v>
      </c>
      <c r="H91" s="495">
        <v>0</v>
      </c>
    </row>
    <row r="92" spans="6:16">
      <c r="F92" s="496">
        <v>0</v>
      </c>
      <c r="G92" s="495">
        <v>0</v>
      </c>
      <c r="H92" s="495">
        <v>0</v>
      </c>
    </row>
    <row r="93" spans="6:16">
      <c r="F93" s="496">
        <v>0</v>
      </c>
      <c r="G93" s="495">
        <v>0</v>
      </c>
      <c r="H93" s="495"/>
    </row>
    <row r="94" spans="6:16">
      <c r="F94" s="156">
        <f>SUM(F81:F93)</f>
        <v>0</v>
      </c>
      <c r="G94" s="156">
        <f>SUM(G81:G93)</f>
        <v>0</v>
      </c>
      <c r="H94" s="156">
        <f>SUM(H81:H93)</f>
        <v>0</v>
      </c>
    </row>
    <row r="97" spans="6:8" ht="13.5" thickBot="1">
      <c r="F97" s="529" t="s">
        <v>495</v>
      </c>
    </row>
    <row r="98" spans="6:8">
      <c r="F98" s="509"/>
      <c r="G98" s="510"/>
      <c r="H98" s="511"/>
    </row>
    <row r="99" spans="6:8" ht="13.5" thickBot="1">
      <c r="F99" s="506" t="s">
        <v>390</v>
      </c>
      <c r="G99" s="507" t="s">
        <v>391</v>
      </c>
      <c r="H99" s="508" t="s">
        <v>392</v>
      </c>
    </row>
    <row r="100" spans="6:8">
      <c r="F100" s="496">
        <v>0</v>
      </c>
      <c r="G100" s="495">
        <v>0</v>
      </c>
      <c r="H100" s="495">
        <v>0</v>
      </c>
    </row>
    <row r="101" spans="6:8">
      <c r="F101" s="496">
        <v>0</v>
      </c>
      <c r="G101" s="495">
        <v>0</v>
      </c>
      <c r="H101" s="495">
        <v>0</v>
      </c>
    </row>
    <row r="102" spans="6:8">
      <c r="F102" s="496">
        <v>0</v>
      </c>
      <c r="G102" s="495">
        <v>0</v>
      </c>
      <c r="H102" s="495">
        <v>0</v>
      </c>
    </row>
    <row r="103" spans="6:8">
      <c r="F103" s="496">
        <v>0</v>
      </c>
      <c r="G103" s="495">
        <v>0</v>
      </c>
      <c r="H103" s="495">
        <v>0</v>
      </c>
    </row>
    <row r="104" spans="6:8">
      <c r="F104" s="496">
        <v>0</v>
      </c>
      <c r="G104" s="495">
        <v>0</v>
      </c>
      <c r="H104" s="495">
        <v>0</v>
      </c>
    </row>
    <row r="105" spans="6:8">
      <c r="F105" s="496">
        <v>0</v>
      </c>
      <c r="G105" s="495">
        <v>0</v>
      </c>
      <c r="H105" s="495">
        <v>0</v>
      </c>
    </row>
    <row r="106" spans="6:8">
      <c r="F106" s="496">
        <v>0</v>
      </c>
      <c r="G106" s="495">
        <v>0</v>
      </c>
      <c r="H106" s="495">
        <v>0</v>
      </c>
    </row>
    <row r="107" spans="6:8">
      <c r="F107" s="496">
        <v>0</v>
      </c>
      <c r="G107" s="495">
        <v>0</v>
      </c>
      <c r="H107" s="495">
        <v>0</v>
      </c>
    </row>
    <row r="108" spans="6:8">
      <c r="F108" s="496">
        <v>0</v>
      </c>
      <c r="G108" s="495">
        <v>0</v>
      </c>
      <c r="H108" s="495">
        <v>0</v>
      </c>
    </row>
    <row r="109" spans="6:8">
      <c r="F109" s="496">
        <v>0</v>
      </c>
      <c r="G109" s="495">
        <v>0</v>
      </c>
      <c r="H109" s="495">
        <v>0</v>
      </c>
    </row>
    <row r="110" spans="6:8">
      <c r="F110" s="496">
        <v>0</v>
      </c>
      <c r="G110" s="495">
        <v>0</v>
      </c>
      <c r="H110" s="495">
        <v>0</v>
      </c>
    </row>
    <row r="111" spans="6:8">
      <c r="F111" s="496">
        <v>0</v>
      </c>
      <c r="G111" s="495">
        <v>0</v>
      </c>
      <c r="H111" s="495">
        <v>0</v>
      </c>
    </row>
    <row r="112" spans="6:8">
      <c r="F112" s="496">
        <v>0</v>
      </c>
      <c r="G112" s="495">
        <v>0</v>
      </c>
      <c r="H112" s="495"/>
    </row>
    <row r="113" spans="6:8">
      <c r="F113" s="156">
        <f>SUM(F100:F112)</f>
        <v>0</v>
      </c>
      <c r="G113" s="156">
        <f>SUM(G100:G112)</f>
        <v>0</v>
      </c>
      <c r="H113" s="156">
        <f>SUM(H100:H112)</f>
        <v>0</v>
      </c>
    </row>
  </sheetData>
  <phoneticPr fontId="0" type="noConversion"/>
  <pageMargins left="0.42" right="0.25" top="0.18" bottom="0.76" header="0" footer="0"/>
  <pageSetup scale="5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12"/>
    <pageSetUpPr fitToPage="1"/>
  </sheetPr>
  <dimension ref="A1:L61"/>
  <sheetViews>
    <sheetView showGridLines="0" view="pageBreakPreview" zoomScale="90" workbookViewId="0">
      <selection activeCell="G54" sqref="G54"/>
    </sheetView>
  </sheetViews>
  <sheetFormatPr baseColWidth="10" defaultColWidth="11.42578125" defaultRowHeight="12.75"/>
  <cols>
    <col min="1" max="1" width="5.28515625" style="47" customWidth="1"/>
    <col min="2" max="2" width="4.28515625" style="47" customWidth="1"/>
    <col min="3" max="5" width="11.42578125" style="47"/>
    <col min="6" max="6" width="8.85546875" style="47" customWidth="1"/>
    <col min="7" max="8" width="6.140625" style="47" customWidth="1"/>
    <col min="9" max="9" width="15.140625" style="47" bestFit="1" customWidth="1"/>
    <col min="10" max="10" width="3.5703125" style="47" customWidth="1"/>
    <col min="11" max="11" width="12.140625" style="47" customWidth="1"/>
    <col min="12" max="16384" width="11.42578125" style="47"/>
  </cols>
  <sheetData>
    <row r="1" spans="1:10" ht="20.25">
      <c r="A1" s="11"/>
      <c r="B1" s="431" t="str">
        <f>+MAYOR!B1</f>
        <v>SOCIEDAD COMERCIAL SOLMET SpA</v>
      </c>
      <c r="C1" s="318"/>
    </row>
    <row r="2" spans="1:10">
      <c r="A2" s="11"/>
      <c r="B2" s="416" t="str">
        <f>+MAYOR!B2</f>
        <v>BOMBEROS SALAS #1445 OFC 601B</v>
      </c>
      <c r="C2" s="227"/>
    </row>
    <row r="3" spans="1:10">
      <c r="A3" s="11"/>
      <c r="B3" s="416" t="str">
        <f>+MAYOR!B3</f>
        <v>RUT: 76.541.377-K</v>
      </c>
      <c r="C3" s="227"/>
    </row>
    <row r="4" spans="1:10">
      <c r="A4" s="11"/>
      <c r="B4" s="416">
        <f>+MAYOR!B4</f>
        <v>0</v>
      </c>
      <c r="C4" s="227"/>
    </row>
    <row r="6" spans="1:10" ht="13.5" thickBot="1"/>
    <row r="7" spans="1:10">
      <c r="B7" s="69"/>
      <c r="C7" s="70"/>
      <c r="D7" s="70"/>
      <c r="E7" s="70"/>
      <c r="F7" s="70"/>
      <c r="G7" s="70"/>
      <c r="H7" s="70"/>
      <c r="I7" s="70"/>
      <c r="J7" s="71"/>
    </row>
    <row r="8" spans="1:10">
      <c r="B8" s="72"/>
      <c r="C8" s="48" t="s">
        <v>420</v>
      </c>
      <c r="D8" s="48"/>
      <c r="E8" s="48"/>
      <c r="F8" s="48"/>
      <c r="G8" s="84"/>
      <c r="H8" s="83"/>
      <c r="I8" s="83"/>
      <c r="J8" s="75"/>
    </row>
    <row r="9" spans="1:10">
      <c r="B9" s="72"/>
      <c r="G9" s="84"/>
      <c r="J9" s="75"/>
    </row>
    <row r="10" spans="1:10">
      <c r="B10" s="72"/>
      <c r="J10" s="75"/>
    </row>
    <row r="11" spans="1:10">
      <c r="B11" s="72"/>
      <c r="C11" s="52" t="s">
        <v>48</v>
      </c>
      <c r="D11" s="52"/>
      <c r="E11" s="52"/>
      <c r="F11" s="52"/>
      <c r="I11" s="52">
        <f>+'BT IMPRESION'!F57</f>
        <v>73173362</v>
      </c>
      <c r="J11" s="75"/>
    </row>
    <row r="12" spans="1:10">
      <c r="B12" s="72"/>
      <c r="C12" s="47" t="s">
        <v>49</v>
      </c>
      <c r="J12" s="75"/>
    </row>
    <row r="13" spans="1:10">
      <c r="B13" s="72"/>
      <c r="C13" s="47" t="s">
        <v>67</v>
      </c>
      <c r="D13" s="47" t="s">
        <v>209</v>
      </c>
      <c r="I13" s="47">
        <f>-'BT IMPRESION'!F22</f>
        <v>0</v>
      </c>
      <c r="J13" s="75"/>
    </row>
    <row r="14" spans="1:10">
      <c r="B14" s="72"/>
      <c r="J14" s="75"/>
    </row>
    <row r="15" spans="1:10">
      <c r="B15" s="72"/>
      <c r="C15" s="52" t="s">
        <v>50</v>
      </c>
      <c r="D15" s="52"/>
      <c r="E15" s="52"/>
      <c r="F15" s="52"/>
      <c r="G15" s="52"/>
      <c r="H15" s="52"/>
      <c r="I15" s="52">
        <f>+I11+I13</f>
        <v>73173362</v>
      </c>
      <c r="J15" s="75"/>
    </row>
    <row r="16" spans="1:10">
      <c r="B16" s="72"/>
      <c r="J16" s="75"/>
    </row>
    <row r="17" spans="1:10">
      <c r="B17" s="72"/>
      <c r="C17" s="47" t="s">
        <v>49</v>
      </c>
      <c r="J17" s="75"/>
    </row>
    <row r="18" spans="1:10">
      <c r="B18" s="72"/>
      <c r="C18" s="47" t="s">
        <v>51</v>
      </c>
      <c r="I18" s="84">
        <f>-'BT IMPRESION'!G25-'BT IMPRESION'!G26</f>
        <v>0</v>
      </c>
      <c r="J18" s="75"/>
    </row>
    <row r="19" spans="1:10">
      <c r="B19" s="72"/>
      <c r="C19" s="47" t="s">
        <v>68</v>
      </c>
      <c r="I19" s="85">
        <f>-'BT IMPRESION'!G31</f>
        <v>-4165861</v>
      </c>
      <c r="J19" s="75"/>
    </row>
    <row r="20" spans="1:10">
      <c r="A20" s="47" t="str">
        <f>+MAYOR!J6</f>
        <v>IVA POR PAGAR</v>
      </c>
      <c r="B20" s="72">
        <f>+MAYOR!J228</f>
        <v>0</v>
      </c>
      <c r="C20" s="72">
        <f>+MAYOR!K228</f>
        <v>0</v>
      </c>
      <c r="J20" s="75"/>
    </row>
    <row r="21" spans="1:10" ht="13.5" thickBot="1">
      <c r="B21" s="72"/>
      <c r="C21" s="52" t="s">
        <v>591</v>
      </c>
      <c r="D21" s="52"/>
      <c r="E21" s="52"/>
      <c r="F21" s="52"/>
      <c r="G21" s="52"/>
      <c r="H21" s="52"/>
      <c r="I21" s="79">
        <f>+I15+I18+I19</f>
        <v>69007501</v>
      </c>
      <c r="J21" s="75"/>
    </row>
    <row r="22" spans="1:10" ht="13.5" thickTop="1">
      <c r="B22" s="72"/>
      <c r="J22" s="75"/>
    </row>
    <row r="23" spans="1:10">
      <c r="B23" s="72"/>
      <c r="H23" s="86"/>
      <c r="I23" s="52"/>
      <c r="J23" s="75"/>
    </row>
    <row r="24" spans="1:10" ht="13.5" thickBot="1">
      <c r="B24" s="80"/>
      <c r="C24" s="81"/>
      <c r="D24" s="81"/>
      <c r="E24" s="81"/>
      <c r="F24" s="81"/>
      <c r="G24" s="81"/>
      <c r="H24" s="81"/>
      <c r="I24" s="81"/>
      <c r="J24" s="82"/>
    </row>
    <row r="25" spans="1:10" ht="13.5" thickBot="1"/>
    <row r="26" spans="1:10">
      <c r="B26" s="69"/>
      <c r="C26" s="70"/>
      <c r="D26" s="70"/>
      <c r="E26" s="70"/>
      <c r="F26" s="70"/>
      <c r="G26" s="70"/>
      <c r="H26" s="70"/>
      <c r="I26" s="70"/>
      <c r="J26" s="71"/>
    </row>
    <row r="27" spans="1:10">
      <c r="B27" s="72"/>
      <c r="C27" s="48" t="s">
        <v>52</v>
      </c>
      <c r="D27" s="48"/>
      <c r="E27" s="48"/>
      <c r="F27" s="48"/>
      <c r="G27" s="83"/>
      <c r="H27" s="83"/>
      <c r="I27" s="83"/>
      <c r="J27" s="75"/>
    </row>
    <row r="28" spans="1:10">
      <c r="B28" s="72"/>
      <c r="G28" s="84">
        <f>+G9</f>
        <v>0</v>
      </c>
      <c r="J28" s="75"/>
    </row>
    <row r="29" spans="1:10">
      <c r="B29" s="72"/>
      <c r="G29" s="84"/>
      <c r="J29" s="75"/>
    </row>
    <row r="30" spans="1:10">
      <c r="B30" s="72"/>
      <c r="J30" s="75"/>
    </row>
    <row r="31" spans="1:10">
      <c r="B31" s="72"/>
      <c r="C31" s="47" t="s">
        <v>53</v>
      </c>
      <c r="I31" s="52">
        <f>+'BT IMPRESION'!G35</f>
        <v>0</v>
      </c>
      <c r="J31" s="75"/>
    </row>
    <row r="32" spans="1:10">
      <c r="B32" s="72"/>
      <c r="C32" s="47" t="s">
        <v>54</v>
      </c>
      <c r="I32" s="52">
        <f>+'BT IMPRESION'!G36</f>
        <v>0</v>
      </c>
      <c r="J32" s="75"/>
    </row>
    <row r="33" spans="2:10">
      <c r="B33" s="72"/>
      <c r="C33" s="47" t="s">
        <v>209</v>
      </c>
      <c r="I33" s="52">
        <f>-'BT IMPRESION'!F22</f>
        <v>0</v>
      </c>
      <c r="J33" s="75"/>
    </row>
    <row r="34" spans="2:10">
      <c r="B34" s="72"/>
      <c r="C34" s="47" t="s">
        <v>66</v>
      </c>
      <c r="I34" s="52">
        <f>'BT IMPRESION'!G38</f>
        <v>0</v>
      </c>
      <c r="J34" s="75"/>
    </row>
    <row r="35" spans="2:10">
      <c r="B35" s="72"/>
      <c r="C35" s="47" t="s">
        <v>63</v>
      </c>
      <c r="I35" s="48">
        <f>+'BT IMPRESION'!H58</f>
        <v>-49338105</v>
      </c>
      <c r="J35" s="75"/>
    </row>
    <row r="36" spans="2:10">
      <c r="B36" s="72"/>
      <c r="I36" s="48"/>
      <c r="J36" s="75"/>
    </row>
    <row r="37" spans="2:10">
      <c r="B37" s="72"/>
      <c r="C37" s="47" t="s">
        <v>175</v>
      </c>
      <c r="I37" s="52"/>
      <c r="J37" s="75"/>
    </row>
    <row r="38" spans="2:10">
      <c r="B38" s="72"/>
      <c r="I38" s="87"/>
      <c r="J38" s="75"/>
    </row>
    <row r="39" spans="2:10" ht="13.5" thickBot="1">
      <c r="B39" s="72"/>
      <c r="C39" s="52" t="s">
        <v>55</v>
      </c>
      <c r="D39" s="52"/>
      <c r="E39" s="52"/>
      <c r="F39" s="52"/>
      <c r="I39" s="79">
        <f>SUM(I31:I37)</f>
        <v>-49338105</v>
      </c>
      <c r="J39" s="75"/>
    </row>
    <row r="40" spans="2:10" ht="14.25" thickTop="1" thickBot="1">
      <c r="B40" s="80"/>
      <c r="C40" s="81"/>
      <c r="D40" s="81"/>
      <c r="E40" s="81"/>
      <c r="F40" s="81"/>
      <c r="G40" s="81"/>
      <c r="H40" s="81"/>
      <c r="I40" s="88"/>
      <c r="J40" s="82"/>
    </row>
    <row r="41" spans="2:10">
      <c r="I41" s="52"/>
    </row>
    <row r="42" spans="2:10">
      <c r="I42" s="52"/>
    </row>
    <row r="43" spans="2:10">
      <c r="I43" s="52"/>
    </row>
    <row r="44" spans="2:10">
      <c r="I44" s="52">
        <f>+I39-I21</f>
        <v>-118345606</v>
      </c>
    </row>
    <row r="45" spans="2:10">
      <c r="I45" s="52"/>
    </row>
    <row r="46" spans="2:10">
      <c r="I46" s="52"/>
    </row>
    <row r="47" spans="2:10">
      <c r="I47" s="52"/>
    </row>
    <row r="48" spans="2:10">
      <c r="I48" s="52"/>
    </row>
    <row r="49" spans="2:12">
      <c r="I49" s="52"/>
    </row>
    <row r="50" spans="2:12">
      <c r="I50" s="52"/>
    </row>
    <row r="51" spans="2:12">
      <c r="I51" s="52"/>
    </row>
    <row r="52" spans="2:12">
      <c r="I52" s="52"/>
    </row>
    <row r="53" spans="2:12">
      <c r="B53" s="257" t="s">
        <v>240</v>
      </c>
      <c r="C53" s="257"/>
      <c r="D53" s="257"/>
      <c r="E53" s="257"/>
      <c r="F53" s="257"/>
      <c r="G53" s="257"/>
      <c r="H53" s="257" t="s">
        <v>243</v>
      </c>
      <c r="I53" s="257"/>
      <c r="J53" s="257"/>
      <c r="K53" s="257"/>
      <c r="L53" s="255"/>
    </row>
    <row r="54" spans="2:12">
      <c r="B54" s="257" t="s">
        <v>236</v>
      </c>
      <c r="C54" s="257"/>
      <c r="D54" s="257"/>
      <c r="E54" s="257"/>
      <c r="F54" s="257"/>
      <c r="G54" s="257" t="str">
        <f>+DATOS!H4</f>
        <v>MANUEL GUTIERREZ A. RUT: 10,150,081-0</v>
      </c>
      <c r="H54" s="414"/>
      <c r="I54" s="257"/>
      <c r="J54" s="257"/>
      <c r="K54" s="257"/>
      <c r="L54" s="255"/>
    </row>
    <row r="55" spans="2:12">
      <c r="B55" s="257" t="s">
        <v>237</v>
      </c>
      <c r="C55" s="257"/>
      <c r="D55" s="257"/>
      <c r="E55" s="257"/>
      <c r="F55" s="257"/>
      <c r="G55" s="257"/>
      <c r="H55" s="257" t="s">
        <v>244</v>
      </c>
      <c r="I55" s="257"/>
      <c r="J55" s="257"/>
      <c r="K55" s="257"/>
      <c r="L55" s="255"/>
    </row>
    <row r="56" spans="2:12">
      <c r="B56" s="258" t="s">
        <v>242</v>
      </c>
      <c r="C56" s="257"/>
      <c r="D56" s="257"/>
      <c r="E56" s="257"/>
      <c r="F56" s="257"/>
      <c r="G56" s="257"/>
      <c r="H56" s="257"/>
      <c r="I56" s="257"/>
      <c r="J56" s="257"/>
      <c r="K56" s="257"/>
      <c r="L56" s="255"/>
    </row>
    <row r="57" spans="2:12">
      <c r="I57" s="52"/>
    </row>
    <row r="58" spans="2:12">
      <c r="I58" s="52"/>
    </row>
    <row r="59" spans="2:12">
      <c r="I59" s="52"/>
    </row>
    <row r="60" spans="2:12">
      <c r="I60" s="52"/>
    </row>
    <row r="61" spans="2:12">
      <c r="I61" s="52"/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scale="85"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0"/>
  <sheetViews>
    <sheetView showGridLines="0" view="pageBreakPreview" topLeftCell="A28" zoomScale="80" zoomScaleNormal="80" workbookViewId="0">
      <selection activeCell="L51" sqref="L51"/>
    </sheetView>
  </sheetViews>
  <sheetFormatPr baseColWidth="10" defaultColWidth="11.42578125" defaultRowHeight="15"/>
  <cols>
    <col min="1" max="1" width="4.42578125" style="96" customWidth="1"/>
    <col min="2" max="6" width="11.42578125" style="96"/>
    <col min="7" max="7" width="18.28515625" style="96" customWidth="1"/>
    <col min="8" max="8" width="3.7109375" style="96" customWidth="1"/>
    <col min="9" max="9" width="17.7109375" style="96" customWidth="1"/>
    <col min="10" max="10" width="9.28515625" style="96" customWidth="1"/>
    <col min="11" max="11" width="11.42578125" style="96"/>
    <col min="12" max="12" width="14.5703125" style="96" bestFit="1" customWidth="1"/>
    <col min="13" max="16384" width="11.42578125" style="96"/>
  </cols>
  <sheetData>
    <row r="1" spans="1:9" ht="18">
      <c r="A1" s="249" t="str">
        <f>+B_F!B2</f>
        <v>SOCIEDAD COMERCIAL SOLMET SpA</v>
      </c>
      <c r="E1" s="106"/>
      <c r="F1" s="106"/>
      <c r="G1" s="106"/>
      <c r="H1" s="106"/>
    </row>
    <row r="2" spans="1:9">
      <c r="A2" s="11" t="str">
        <f>+B_F!B3</f>
        <v>BOMBEROS SALAS #1445 OFC 601B</v>
      </c>
      <c r="E2" s="106"/>
      <c r="F2" s="106"/>
      <c r="G2" s="106"/>
      <c r="H2" s="106"/>
    </row>
    <row r="3" spans="1:9">
      <c r="A3" s="11" t="str">
        <f>+B_F!B4</f>
        <v>RUT: 76.541.377-K</v>
      </c>
      <c r="D3" s="97"/>
      <c r="E3" s="106"/>
      <c r="F3" s="106"/>
      <c r="G3" s="106"/>
      <c r="H3" s="106"/>
    </row>
    <row r="4" spans="1:9">
      <c r="A4" s="11">
        <f>+B_F!B5</f>
        <v>0</v>
      </c>
      <c r="E4" s="106"/>
      <c r="F4" s="106"/>
      <c r="G4" s="106"/>
      <c r="H4" s="106"/>
    </row>
    <row r="5" spans="1:9">
      <c r="D5" s="1436" t="s">
        <v>27</v>
      </c>
      <c r="E5" s="1436"/>
      <c r="F5" s="1436"/>
    </row>
    <row r="6" spans="1:9">
      <c r="D6" s="107"/>
    </row>
    <row r="8" spans="1:9">
      <c r="G8" s="111" t="s">
        <v>28</v>
      </c>
      <c r="H8" s="111"/>
      <c r="I8" s="111"/>
    </row>
    <row r="9" spans="1:9">
      <c r="G9" s="111" t="s">
        <v>29</v>
      </c>
      <c r="H9" s="111"/>
      <c r="I9" s="111"/>
    </row>
    <row r="10" spans="1:9">
      <c r="G10" s="112">
        <v>2013</v>
      </c>
      <c r="H10" s="112"/>
      <c r="I10" s="112">
        <v>2011</v>
      </c>
    </row>
    <row r="12" spans="1:9">
      <c r="A12" s="98" t="s">
        <v>30</v>
      </c>
    </row>
    <row r="14" spans="1:9">
      <c r="B14" s="96" t="s">
        <v>158</v>
      </c>
      <c r="G14" s="96">
        <f>+'BT IMPRESION'!I39</f>
        <v>0</v>
      </c>
    </row>
    <row r="15" spans="1:9">
      <c r="B15" s="96" t="s">
        <v>31</v>
      </c>
      <c r="G15" s="96">
        <f>-'BT IMPRESION'!H44-'BT IMPRESION'!H46-'BT IMPRESION'!H49-'BT IMPRESION'!H50-'BT IMPRESION'!H51-'BT IMPRESION'!H52-'BT IMPRESION'!H53</f>
        <v>-14639787</v>
      </c>
    </row>
    <row r="16" spans="1:9">
      <c r="B16" s="96" t="s">
        <v>331</v>
      </c>
      <c r="G16" s="108">
        <f>-'BT IMPRESION'!H54</f>
        <v>-30532457</v>
      </c>
      <c r="I16" s="108"/>
    </row>
    <row r="18" spans="1:9">
      <c r="C18" s="98" t="s">
        <v>32</v>
      </c>
      <c r="D18" s="98"/>
      <c r="E18" s="98"/>
      <c r="F18" s="98"/>
      <c r="G18" s="98">
        <f>SUM(G14:G16)</f>
        <v>-45172244</v>
      </c>
      <c r="H18" s="98"/>
      <c r="I18" s="98"/>
    </row>
    <row r="19" spans="1:9">
      <c r="B19" s="96" t="s">
        <v>33</v>
      </c>
      <c r="G19" s="108"/>
      <c r="I19" s="108"/>
    </row>
    <row r="21" spans="1:9">
      <c r="C21" s="98" t="s">
        <v>34</v>
      </c>
      <c r="D21" s="98"/>
      <c r="E21" s="98"/>
      <c r="F21" s="98"/>
      <c r="G21" s="109">
        <f>+G18+G19</f>
        <v>-45172244</v>
      </c>
      <c r="H21" s="98"/>
      <c r="I21" s="109"/>
    </row>
    <row r="24" spans="1:9">
      <c r="A24" s="98" t="s">
        <v>35</v>
      </c>
    </row>
    <row r="26" spans="1:9">
      <c r="B26" s="96" t="s">
        <v>36</v>
      </c>
      <c r="G26" s="96">
        <f>+'BT IMPRESION'!I46</f>
        <v>0</v>
      </c>
    </row>
    <row r="27" spans="1:9">
      <c r="B27" s="96" t="s">
        <v>37</v>
      </c>
      <c r="G27" s="96">
        <v>0</v>
      </c>
    </row>
    <row r="28" spans="1:9">
      <c r="B28" s="96" t="s">
        <v>38</v>
      </c>
      <c r="G28" s="96">
        <v>0</v>
      </c>
    </row>
    <row r="29" spans="1:9">
      <c r="B29" s="96" t="s">
        <v>39</v>
      </c>
      <c r="G29" s="96">
        <v>0</v>
      </c>
    </row>
    <row r="30" spans="1:9">
      <c r="B30" s="96" t="str">
        <f>+'BT IMPRESION'!A49</f>
        <v>GASTOS INVESTIGASION Y DESARROLLO</v>
      </c>
    </row>
    <row r="31" spans="1:9">
      <c r="B31" s="96" t="s">
        <v>40</v>
      </c>
      <c r="G31" s="96" t="e">
        <f>-'BT IMPRESION'!H45-'BT IMPRESION'!#REF!</f>
        <v>#REF!</v>
      </c>
    </row>
    <row r="32" spans="1:9">
      <c r="B32" s="96" t="s">
        <v>41</v>
      </c>
      <c r="G32" s="96">
        <v>0</v>
      </c>
    </row>
    <row r="33" spans="2:11">
      <c r="B33" s="96" t="s">
        <v>42</v>
      </c>
      <c r="G33" s="108">
        <f>-'BT IMPRESION'!H55+'BT IMPRESION'!I55</f>
        <v>0</v>
      </c>
      <c r="I33" s="108"/>
    </row>
    <row r="35" spans="2:11">
      <c r="C35" s="98" t="s">
        <v>43</v>
      </c>
      <c r="D35" s="98"/>
      <c r="E35" s="98"/>
      <c r="F35" s="98"/>
      <c r="G35" s="109" t="e">
        <f>SUM(G26:G34)</f>
        <v>#REF!</v>
      </c>
      <c r="H35" s="98"/>
    </row>
    <row r="37" spans="2:11">
      <c r="C37" s="96" t="s">
        <v>44</v>
      </c>
      <c r="G37" s="98" t="e">
        <f>+G21+G35</f>
        <v>#REF!</v>
      </c>
      <c r="I37" s="98"/>
    </row>
    <row r="38" spans="2:11">
      <c r="B38" s="96" t="s">
        <v>45</v>
      </c>
      <c r="G38" s="108">
        <f>-'BT IMPRESION'!H56</f>
        <v>-4165861</v>
      </c>
      <c r="I38" s="108"/>
    </row>
    <row r="40" spans="2:11">
      <c r="B40" s="98" t="s">
        <v>46</v>
      </c>
      <c r="C40" s="98"/>
      <c r="D40" s="98"/>
      <c r="E40" s="98"/>
      <c r="F40" s="98"/>
      <c r="G40" s="98" t="e">
        <f>+G37+G38</f>
        <v>#REF!</v>
      </c>
      <c r="H40" s="98"/>
      <c r="I40" s="98"/>
    </row>
    <row r="41" spans="2:11">
      <c r="B41" s="96" t="s">
        <v>47</v>
      </c>
      <c r="G41" s="96">
        <v>0</v>
      </c>
    </row>
    <row r="42" spans="2:11" ht="15.75" thickBot="1">
      <c r="B42" s="98" t="s">
        <v>88</v>
      </c>
      <c r="C42" s="98"/>
      <c r="D42" s="98"/>
      <c r="E42" s="98"/>
      <c r="F42" s="98"/>
      <c r="G42" s="110" t="e">
        <f>+G40+G41</f>
        <v>#REF!</v>
      </c>
      <c r="H42" s="98"/>
      <c r="I42" s="110"/>
    </row>
    <row r="43" spans="2:11" ht="15.75" thickTop="1"/>
    <row r="44" spans="2:11">
      <c r="G44" s="96">
        <f>+'BT IMPRESION'!H58</f>
        <v>-49338105</v>
      </c>
    </row>
    <row r="45" spans="2:11">
      <c r="G45" s="96" t="e">
        <f>+G42-G44</f>
        <v>#REF!</v>
      </c>
    </row>
    <row r="47" spans="2:11">
      <c r="B47" s="99" t="s">
        <v>99</v>
      </c>
      <c r="C47" s="99"/>
      <c r="D47" s="99"/>
      <c r="F47" s="99"/>
      <c r="G47" s="99" t="s">
        <v>100</v>
      </c>
      <c r="I47" s="99"/>
      <c r="J47" s="99"/>
      <c r="K47" s="99"/>
    </row>
    <row r="48" spans="2:11">
      <c r="B48" s="99" t="str">
        <f>+B_F!F51</f>
        <v xml:space="preserve">              MANUEL GUTIERREZ AVILES  </v>
      </c>
      <c r="C48" s="99"/>
      <c r="D48" s="99"/>
      <c r="F48" s="99"/>
      <c r="G48" s="99" t="str">
        <f>+B_F!L51</f>
        <v>MANUEL GUTIERREZ A. RUT: 10,150,081-0</v>
      </c>
      <c r="I48" s="99"/>
      <c r="J48" s="99"/>
      <c r="K48" s="99"/>
    </row>
    <row r="49" spans="2:15">
      <c r="B49" s="99" t="str">
        <f>+B_F!F52</f>
        <v xml:space="preserve">                  CONTADOR AUDITOR</v>
      </c>
      <c r="C49" s="99"/>
      <c r="D49" s="99"/>
      <c r="F49" s="99"/>
      <c r="G49" s="99" t="s">
        <v>101</v>
      </c>
      <c r="H49" s="99"/>
      <c r="I49" s="99"/>
      <c r="J49" s="99"/>
      <c r="K49" s="99"/>
    </row>
    <row r="50" spans="2:15">
      <c r="F50" s="99"/>
      <c r="G50" s="99"/>
      <c r="H50" s="99"/>
      <c r="I50" s="99"/>
      <c r="J50" s="99"/>
      <c r="K50" s="99"/>
      <c r="L50" s="99"/>
      <c r="M50" s="99"/>
      <c r="N50" s="99"/>
      <c r="O50" s="99"/>
    </row>
  </sheetData>
  <mergeCells count="1">
    <mergeCell ref="D5:F5"/>
  </mergeCells>
  <phoneticPr fontId="0" type="noConversion"/>
  <printOptions horizontalCentered="1"/>
  <pageMargins left="0.75" right="0.75" top="0.43307086614173229" bottom="0.86614173228346458" header="0.23622047244094491" footer="0.51181102362204722"/>
  <pageSetup scale="82" orientation="portrait" horizontalDpi="4294967294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12"/>
    <pageSetUpPr fitToPage="1"/>
  </sheetPr>
  <dimension ref="A1:J59"/>
  <sheetViews>
    <sheetView showGridLines="0" view="pageBreakPreview" topLeftCell="A10" zoomScale="90" workbookViewId="0">
      <selection activeCell="I23" sqref="I23"/>
    </sheetView>
  </sheetViews>
  <sheetFormatPr baseColWidth="10" defaultColWidth="11.42578125" defaultRowHeight="12.75"/>
  <cols>
    <col min="1" max="1" width="3.7109375" style="47" customWidth="1"/>
    <col min="2" max="2" width="4.28515625" style="47" customWidth="1"/>
    <col min="3" max="3" width="14.5703125" style="47" customWidth="1"/>
    <col min="4" max="4" width="17.140625" style="47" customWidth="1"/>
    <col min="5" max="5" width="12.7109375" style="47" customWidth="1"/>
    <col min="6" max="6" width="8.28515625" style="47" customWidth="1"/>
    <col min="7" max="7" width="8" style="47" customWidth="1"/>
    <col min="8" max="8" width="8.85546875" style="47" customWidth="1"/>
    <col min="9" max="9" width="13" style="47" customWidth="1"/>
    <col min="10" max="10" width="3" style="47" customWidth="1"/>
    <col min="11" max="16384" width="11.42578125" style="47"/>
  </cols>
  <sheetData>
    <row r="1" spans="1:10" ht="18">
      <c r="A1" s="11"/>
      <c r="B1" s="432" t="str">
        <f>+MAYOR!B1</f>
        <v>SOCIEDAD COMERCIAL SOLMET SpA</v>
      </c>
    </row>
    <row r="2" spans="1:10">
      <c r="A2" s="11"/>
      <c r="B2" s="416" t="str">
        <f>+MAYOR!B2</f>
        <v>BOMBEROS SALAS #1445 OFC 601B</v>
      </c>
    </row>
    <row r="3" spans="1:10">
      <c r="A3" s="11"/>
      <c r="B3" s="416" t="str">
        <f>+MAYOR!B3</f>
        <v>RUT: 76.541.377-K</v>
      </c>
    </row>
    <row r="4" spans="1:10">
      <c r="A4" s="11"/>
      <c r="B4" s="416">
        <f>+MAYOR!B4</f>
        <v>0</v>
      </c>
    </row>
    <row r="5" spans="1:10">
      <c r="A5" s="68"/>
    </row>
    <row r="6" spans="1:10" ht="13.5" thickBot="1"/>
    <row r="7" spans="1:10">
      <c r="B7" s="69"/>
      <c r="C7" s="70"/>
      <c r="D7" s="70"/>
      <c r="E7" s="70"/>
      <c r="F7" s="70"/>
      <c r="G7" s="70"/>
      <c r="H7" s="70"/>
      <c r="I7" s="70"/>
      <c r="J7" s="71"/>
    </row>
    <row r="8" spans="1:10" ht="15.75">
      <c r="B8" s="72"/>
      <c r="C8" s="253" t="s">
        <v>56</v>
      </c>
      <c r="D8" s="254"/>
      <c r="E8" s="254"/>
      <c r="F8" s="254"/>
      <c r="G8" s="254"/>
      <c r="H8" s="254"/>
      <c r="I8" s="74"/>
      <c r="J8" s="75"/>
    </row>
    <row r="9" spans="1:10" ht="15.75">
      <c r="B9" s="72"/>
      <c r="C9" s="253" t="s">
        <v>593</v>
      </c>
      <c r="D9" s="254"/>
      <c r="E9" s="254"/>
      <c r="F9" s="254"/>
      <c r="G9" s="254"/>
      <c r="H9" s="254"/>
      <c r="I9" s="74"/>
      <c r="J9" s="75"/>
    </row>
    <row r="10" spans="1:10">
      <c r="B10" s="72"/>
      <c r="C10" s="73"/>
      <c r="D10" s="74"/>
      <c r="E10" s="74"/>
      <c r="F10" s="74"/>
      <c r="G10" s="74"/>
      <c r="H10" s="74"/>
      <c r="I10" s="74"/>
      <c r="J10" s="75"/>
    </row>
    <row r="11" spans="1:10">
      <c r="B11" s="72"/>
      <c r="I11" s="74" t="s">
        <v>57</v>
      </c>
      <c r="J11" s="75"/>
    </row>
    <row r="12" spans="1:10">
      <c r="B12" s="72"/>
      <c r="C12" s="47" t="s">
        <v>69</v>
      </c>
      <c r="I12" s="52">
        <f>+'BT IMPRESION'!H58</f>
        <v>-49338105</v>
      </c>
      <c r="J12" s="75"/>
    </row>
    <row r="13" spans="1:10">
      <c r="B13" s="72"/>
      <c r="J13" s="75"/>
    </row>
    <row r="14" spans="1:10">
      <c r="B14" s="72"/>
      <c r="C14" s="76" t="s">
        <v>58</v>
      </c>
      <c r="J14" s="75"/>
    </row>
    <row r="15" spans="1:10">
      <c r="B15" s="72"/>
      <c r="C15" s="76"/>
      <c r="J15" s="75"/>
    </row>
    <row r="16" spans="1:10">
      <c r="B16" s="72"/>
      <c r="C16" s="47" t="s">
        <v>121</v>
      </c>
      <c r="J16" s="75"/>
    </row>
    <row r="17" spans="2:10">
      <c r="B17" s="72"/>
      <c r="C17" s="47" t="s">
        <v>124</v>
      </c>
      <c r="I17" s="47">
        <f>+'BT IMPRESION'!G62</f>
        <v>-4517224.4000000004</v>
      </c>
      <c r="J17" s="75"/>
    </row>
    <row r="18" spans="2:10">
      <c r="B18" s="72"/>
      <c r="C18" s="260" t="s">
        <v>444</v>
      </c>
      <c r="J18" s="75"/>
    </row>
    <row r="19" spans="2:10">
      <c r="B19" s="72"/>
      <c r="C19" s="76" t="s">
        <v>59</v>
      </c>
      <c r="J19" s="75"/>
    </row>
    <row r="20" spans="2:10">
      <c r="B20" s="72"/>
      <c r="C20" s="76"/>
      <c r="J20" s="75"/>
    </row>
    <row r="21" spans="2:10">
      <c r="B21" s="72"/>
      <c r="C21" s="77" t="s">
        <v>93</v>
      </c>
      <c r="I21" s="47">
        <v>0</v>
      </c>
      <c r="J21" s="75"/>
    </row>
    <row r="22" spans="2:10">
      <c r="B22" s="72"/>
      <c r="C22" s="47" t="s">
        <v>122</v>
      </c>
      <c r="I22" s="78">
        <v>0</v>
      </c>
      <c r="J22" s="75"/>
    </row>
    <row r="23" spans="2:10">
      <c r="B23" s="72"/>
      <c r="C23" s="52" t="s">
        <v>106</v>
      </c>
      <c r="D23" s="52"/>
      <c r="E23" s="52"/>
      <c r="F23" s="52"/>
      <c r="G23" s="52"/>
      <c r="H23" s="52"/>
      <c r="I23" s="133">
        <f>+I12+I21+I16+I17+I22+I18</f>
        <v>-53855329.399999999</v>
      </c>
      <c r="J23" s="75"/>
    </row>
    <row r="24" spans="2:10">
      <c r="B24" s="72"/>
      <c r="J24" s="75"/>
    </row>
    <row r="25" spans="2:10">
      <c r="B25" s="72"/>
      <c r="C25" s="52" t="s">
        <v>589</v>
      </c>
      <c r="I25" s="52">
        <f>IF(I23&gt;0,(ROUND(+I23*0.25,0)),0)</f>
        <v>0</v>
      </c>
      <c r="J25" s="75"/>
    </row>
    <row r="26" spans="2:10">
      <c r="B26" s="72"/>
      <c r="C26" s="52" t="s">
        <v>104</v>
      </c>
      <c r="D26" s="52"/>
      <c r="E26" s="52"/>
      <c r="F26" s="52"/>
      <c r="G26" s="52"/>
      <c r="H26" s="52"/>
      <c r="I26" s="52"/>
      <c r="J26" s="75"/>
    </row>
    <row r="27" spans="2:10">
      <c r="B27" s="72"/>
      <c r="C27" s="52" t="s">
        <v>419</v>
      </c>
      <c r="D27" s="52"/>
      <c r="E27" s="52"/>
      <c r="F27" s="52"/>
      <c r="G27" s="52"/>
      <c r="H27" s="52"/>
      <c r="I27" s="52">
        <f>-'BT IMPRESION'!F13</f>
        <v>0</v>
      </c>
      <c r="J27" s="75"/>
    </row>
    <row r="28" spans="2:10">
      <c r="B28" s="72"/>
      <c r="J28" s="75"/>
    </row>
    <row r="29" spans="2:10" ht="13.5" thickBot="1">
      <c r="B29" s="72"/>
      <c r="C29" s="84" t="s">
        <v>105</v>
      </c>
      <c r="I29" s="134">
        <f>+I25+I27</f>
        <v>0</v>
      </c>
      <c r="J29" s="75"/>
    </row>
    <row r="30" spans="2:10" ht="13.5" thickTop="1">
      <c r="B30" s="72"/>
      <c r="C30" s="84"/>
      <c r="J30" s="75"/>
    </row>
    <row r="31" spans="2:10">
      <c r="B31" s="72"/>
      <c r="C31" s="84"/>
      <c r="G31" s="47" t="s">
        <v>418</v>
      </c>
      <c r="H31" s="317">
        <v>0.01</v>
      </c>
      <c r="I31" s="47">
        <f>+I29*H31</f>
        <v>0</v>
      </c>
      <c r="J31" s="75"/>
    </row>
    <row r="32" spans="2:10">
      <c r="B32" s="72"/>
      <c r="C32" s="84"/>
      <c r="I32" s="47">
        <f>+I29+I31</f>
        <v>0</v>
      </c>
      <c r="J32" s="75"/>
    </row>
    <row r="33" spans="2:10" ht="13.5" thickBot="1">
      <c r="B33" s="80"/>
      <c r="C33" s="81"/>
      <c r="D33" s="81"/>
      <c r="E33" s="81"/>
      <c r="F33" s="81"/>
      <c r="G33" s="81"/>
      <c r="H33" s="81"/>
      <c r="I33" s="81"/>
      <c r="J33" s="82"/>
    </row>
    <row r="48" spans="2:10">
      <c r="B48" s="255" t="s">
        <v>238</v>
      </c>
      <c r="C48" s="255"/>
      <c r="D48" s="255"/>
      <c r="E48" s="255"/>
      <c r="F48" s="255"/>
      <c r="G48" s="255" t="s">
        <v>240</v>
      </c>
      <c r="H48" s="255"/>
      <c r="I48" s="255"/>
      <c r="J48" s="255"/>
    </row>
    <row r="49" spans="2:10">
      <c r="B49" s="255" t="s">
        <v>236</v>
      </c>
      <c r="C49" s="255"/>
      <c r="D49" s="255"/>
      <c r="E49" s="255"/>
      <c r="F49" s="255" t="str">
        <f>+DATOS!H4</f>
        <v>MANUEL GUTIERREZ A. RUT: 10,150,081-0</v>
      </c>
      <c r="H49" s="255"/>
      <c r="I49" s="255"/>
      <c r="J49" s="255"/>
    </row>
    <row r="50" spans="2:10">
      <c r="B50" s="255" t="s">
        <v>237</v>
      </c>
      <c r="C50" s="255"/>
      <c r="D50" s="255"/>
      <c r="E50" s="255"/>
      <c r="F50" s="255"/>
      <c r="G50" s="255" t="s">
        <v>241</v>
      </c>
      <c r="H50" s="255"/>
      <c r="I50" s="255"/>
      <c r="J50" s="255"/>
    </row>
    <row r="51" spans="2:10">
      <c r="B51" s="256" t="s">
        <v>239</v>
      </c>
      <c r="C51" s="255"/>
      <c r="D51" s="255"/>
      <c r="E51" s="255"/>
      <c r="F51" s="255"/>
      <c r="G51" s="255"/>
      <c r="H51" s="255"/>
      <c r="I51" s="255"/>
      <c r="J51" s="255"/>
    </row>
    <row r="52" spans="2:10">
      <c r="B52" s="255"/>
      <c r="C52" s="255"/>
      <c r="D52" s="255"/>
      <c r="E52" s="255"/>
      <c r="F52" s="255"/>
      <c r="G52" s="255"/>
      <c r="H52" s="255"/>
      <c r="I52" s="255"/>
      <c r="J52" s="255"/>
    </row>
    <row r="53" spans="2:10">
      <c r="B53" s="255"/>
      <c r="C53" s="255"/>
      <c r="D53" s="255"/>
      <c r="E53" s="255"/>
      <c r="F53" s="255"/>
      <c r="G53" s="255"/>
      <c r="H53" s="255"/>
      <c r="I53" s="255"/>
      <c r="J53" s="255"/>
    </row>
    <row r="59" spans="2:10">
      <c r="C59" s="77"/>
    </row>
  </sheetData>
  <phoneticPr fontId="0" type="noConversion"/>
  <printOptions horizontalCentered="1"/>
  <pageMargins left="0.91" right="0.53" top="0.98425196850393704" bottom="0.98425196850393704" header="0.51181102362204722" footer="0.51181102362204722"/>
  <pageSetup scale="87" orientation="portrait" horizontalDpi="4294967294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12"/>
    <pageSetUpPr fitToPage="1"/>
  </sheetPr>
  <dimension ref="A1:S160"/>
  <sheetViews>
    <sheetView showGridLines="0" zoomScale="80" zoomScaleNormal="80" zoomScaleSheetLayoutView="90" workbookViewId="0">
      <selection activeCell="D19" sqref="D19"/>
    </sheetView>
  </sheetViews>
  <sheetFormatPr baseColWidth="10" defaultColWidth="11.42578125" defaultRowHeight="12.75"/>
  <cols>
    <col min="1" max="1" width="4" style="47" customWidth="1"/>
    <col min="2" max="2" width="3.85546875" style="47" customWidth="1"/>
    <col min="3" max="3" width="39.85546875" style="47" bestFit="1" customWidth="1"/>
    <col min="4" max="4" width="15.7109375" style="47" customWidth="1"/>
    <col min="5" max="7" width="14.140625" style="47" customWidth="1"/>
    <col min="8" max="11" width="14.85546875" style="47" customWidth="1"/>
    <col min="12" max="12" width="17" style="47" customWidth="1"/>
    <col min="13" max="13" width="12" style="47" bestFit="1" customWidth="1"/>
    <col min="14" max="14" width="11.42578125" style="47"/>
    <col min="15" max="15" width="12" style="47" bestFit="1" customWidth="1"/>
    <col min="16" max="16" width="33.140625" style="47" customWidth="1"/>
    <col min="17" max="17" width="24" style="47" customWidth="1"/>
    <col min="18" max="16384" width="11.42578125" style="47"/>
  </cols>
  <sheetData>
    <row r="1" spans="1:14" ht="15">
      <c r="A1" s="416"/>
      <c r="B1" s="416" t="str">
        <f>+MAYOR!B1</f>
        <v>SOCIEDAD COMERCIAL SOLMET SpA</v>
      </c>
      <c r="C1" s="96"/>
    </row>
    <row r="2" spans="1:14" ht="15">
      <c r="A2" s="416"/>
      <c r="B2" s="416" t="str">
        <f>+MAYOR!B2</f>
        <v>BOMBEROS SALAS #1445 OFC 601B</v>
      </c>
      <c r="C2" s="96"/>
    </row>
    <row r="3" spans="1:14" ht="15">
      <c r="A3" s="416"/>
      <c r="B3" s="416" t="str">
        <f>+MAYOR!B3</f>
        <v>RUT: 76.541.377-K</v>
      </c>
      <c r="C3" s="96"/>
      <c r="D3" s="11"/>
      <c r="L3" s="47">
        <v>13016879</v>
      </c>
      <c r="M3" s="317">
        <v>0.46</v>
      </c>
      <c r="N3" s="47">
        <f>ROUND(+$L$3*M3,0)</f>
        <v>5987764</v>
      </c>
    </row>
    <row r="4" spans="1:14" ht="15">
      <c r="A4" s="416"/>
      <c r="B4" s="416">
        <f>+MAYOR!B4</f>
        <v>0</v>
      </c>
      <c r="C4" s="96"/>
      <c r="E4" s="47">
        <f>+E12+G12</f>
        <v>93941089</v>
      </c>
      <c r="F4" s="47">
        <f>+H12</f>
        <v>13850159</v>
      </c>
      <c r="G4" s="47">
        <v>93941089</v>
      </c>
      <c r="I4" s="47">
        <v>38540452</v>
      </c>
      <c r="M4" s="317">
        <v>0.46</v>
      </c>
      <c r="N4" s="47">
        <f>ROUND(+$L$3*M4,0)</f>
        <v>5987764</v>
      </c>
    </row>
    <row r="5" spans="1:14">
      <c r="I5" s="47">
        <f>+G12</f>
        <v>55400637</v>
      </c>
      <c r="M5" s="317">
        <v>0.08</v>
      </c>
      <c r="N5" s="47">
        <f>ROUND(+$L$3*M5,0)</f>
        <v>1041350</v>
      </c>
    </row>
    <row r="6" spans="1:14">
      <c r="I6" s="47">
        <f>+I5-I4</f>
        <v>16860185</v>
      </c>
      <c r="N6" s="47">
        <f>SUM(N3:N5)</f>
        <v>13016878</v>
      </c>
    </row>
    <row r="7" spans="1:14">
      <c r="D7" s="48" t="s">
        <v>421</v>
      </c>
      <c r="E7" s="48"/>
      <c r="F7" s="48"/>
      <c r="G7" s="48"/>
      <c r="H7" s="48"/>
      <c r="I7" s="48"/>
      <c r="J7" s="48"/>
      <c r="K7" s="48"/>
      <c r="L7" s="48"/>
    </row>
    <row r="9" spans="1:14" ht="15">
      <c r="B9" s="49"/>
      <c r="C9" s="50"/>
      <c r="D9" s="51"/>
      <c r="E9" s="1471" t="s">
        <v>235</v>
      </c>
      <c r="F9" s="1472"/>
      <c r="G9" s="1471" t="s">
        <v>342</v>
      </c>
      <c r="H9" s="1472"/>
      <c r="I9" s="1471" t="s">
        <v>322</v>
      </c>
      <c r="J9" s="1472"/>
      <c r="K9" s="200"/>
      <c r="L9" s="136"/>
      <c r="M9" s="136"/>
    </row>
    <row r="10" spans="1:14">
      <c r="B10" s="53"/>
      <c r="C10" s="54" t="s">
        <v>0</v>
      </c>
      <c r="D10" s="55" t="s">
        <v>1</v>
      </c>
      <c r="E10" s="56" t="s">
        <v>108</v>
      </c>
      <c r="F10" s="56" t="s">
        <v>109</v>
      </c>
      <c r="G10" s="56" t="s">
        <v>108</v>
      </c>
      <c r="H10" s="56" t="s">
        <v>109</v>
      </c>
      <c r="I10" s="56" t="s">
        <v>108</v>
      </c>
      <c r="J10" s="204" t="s">
        <v>109</v>
      </c>
      <c r="K10" s="200"/>
      <c r="L10" s="55" t="s">
        <v>90</v>
      </c>
      <c r="M10" s="55" t="s">
        <v>89</v>
      </c>
    </row>
    <row r="11" spans="1:14">
      <c r="B11" s="57"/>
      <c r="C11" s="58"/>
      <c r="D11" s="59"/>
      <c r="E11" s="57"/>
      <c r="F11" s="57"/>
      <c r="G11" s="57"/>
      <c r="H11" s="57"/>
      <c r="I11" s="57"/>
      <c r="J11" s="59"/>
      <c r="L11" s="60"/>
      <c r="M11" s="61"/>
    </row>
    <row r="12" spans="1:14">
      <c r="B12" s="57"/>
      <c r="C12" s="58" t="s">
        <v>91</v>
      </c>
      <c r="D12" s="59">
        <f>SUM(E12:K12)</f>
        <v>107791248</v>
      </c>
      <c r="E12" s="57">
        <v>38540452</v>
      </c>
      <c r="F12" s="57"/>
      <c r="G12" s="57">
        <v>55400637</v>
      </c>
      <c r="H12" s="57">
        <v>13850159</v>
      </c>
      <c r="I12" s="57"/>
      <c r="J12" s="59">
        <v>0</v>
      </c>
      <c r="L12" s="59">
        <v>21743974</v>
      </c>
      <c r="M12" s="58">
        <f>+L12</f>
        <v>21743974</v>
      </c>
    </row>
    <row r="13" spans="1:14">
      <c r="B13" s="57"/>
      <c r="C13" s="62" t="s">
        <v>321</v>
      </c>
      <c r="D13" s="59">
        <f>SUM(E13:K13)</f>
        <v>2263615</v>
      </c>
      <c r="E13" s="59">
        <f>ROUND(+E12*2.1%,0)</f>
        <v>809349</v>
      </c>
      <c r="F13" s="59">
        <f>+F12*2.1%</f>
        <v>0</v>
      </c>
      <c r="G13" s="59">
        <f>ROUND(+G12*2.1%,0)</f>
        <v>1163413</v>
      </c>
      <c r="H13" s="59">
        <f>ROUND(+H12*2.1%,0)</f>
        <v>290853</v>
      </c>
      <c r="I13" s="59">
        <f>+I12*0%</f>
        <v>0</v>
      </c>
      <c r="J13" s="59">
        <f>+J12*0%</f>
        <v>0</v>
      </c>
      <c r="L13" s="59">
        <f>+L12*2.1%</f>
        <v>456623.45400000003</v>
      </c>
      <c r="M13" s="59">
        <f>+M12*2.1%</f>
        <v>456623.45400000003</v>
      </c>
    </row>
    <row r="14" spans="1:14">
      <c r="B14" s="63" t="s">
        <v>94</v>
      </c>
      <c r="C14" s="64" t="s">
        <v>92</v>
      </c>
      <c r="D14" s="65">
        <f t="shared" ref="D14:J14" si="0">+D12+D13</f>
        <v>110054863</v>
      </c>
      <c r="E14" s="409">
        <f t="shared" si="0"/>
        <v>39349801</v>
      </c>
      <c r="F14" s="410">
        <f t="shared" si="0"/>
        <v>0</v>
      </c>
      <c r="G14" s="409">
        <f t="shared" si="0"/>
        <v>56564050</v>
      </c>
      <c r="H14" s="410">
        <f t="shared" si="0"/>
        <v>14141012</v>
      </c>
      <c r="I14" s="66">
        <f t="shared" si="0"/>
        <v>0</v>
      </c>
      <c r="J14" s="65">
        <f t="shared" si="0"/>
        <v>0</v>
      </c>
      <c r="K14" s="84"/>
      <c r="L14" s="65">
        <f>+L12+L13</f>
        <v>22200597.454</v>
      </c>
      <c r="M14" s="65">
        <f>+M12+M13</f>
        <v>22200597.454</v>
      </c>
    </row>
    <row r="15" spans="1:14">
      <c r="B15" s="57"/>
      <c r="C15" s="58" t="s">
        <v>125</v>
      </c>
      <c r="D15" s="59"/>
      <c r="E15" s="57"/>
      <c r="F15" s="57"/>
      <c r="G15" s="57"/>
      <c r="H15" s="57"/>
      <c r="I15" s="57"/>
      <c r="J15" s="59"/>
      <c r="L15" s="59"/>
      <c r="M15" s="58"/>
    </row>
    <row r="16" spans="1:14">
      <c r="B16" s="57" t="s">
        <v>95</v>
      </c>
      <c r="C16" s="58" t="s">
        <v>339</v>
      </c>
      <c r="D16" s="59">
        <f>-ROUND(C17*1.009,0)</f>
        <v>-13974810</v>
      </c>
      <c r="E16" s="57"/>
      <c r="F16" s="57"/>
      <c r="G16" s="57"/>
      <c r="H16" s="57">
        <f>+D16</f>
        <v>-13974810</v>
      </c>
      <c r="I16" s="57"/>
      <c r="J16" s="59"/>
      <c r="L16" s="59">
        <v>0</v>
      </c>
      <c r="M16" s="58">
        <v>0</v>
      </c>
    </row>
    <row r="17" spans="2:15">
      <c r="B17" s="57"/>
      <c r="C17" s="58">
        <v>13850159</v>
      </c>
      <c r="D17" s="59"/>
      <c r="E17" s="57"/>
      <c r="F17" s="57">
        <f>-L17</f>
        <v>0</v>
      </c>
      <c r="G17" s="57"/>
      <c r="H17" s="57"/>
      <c r="I17" s="57"/>
      <c r="J17" s="59"/>
      <c r="L17" s="59"/>
      <c r="M17" s="58"/>
    </row>
    <row r="18" spans="2:15">
      <c r="B18" s="57"/>
      <c r="C18" s="58"/>
      <c r="D18" s="59"/>
      <c r="E18" s="57"/>
      <c r="F18" s="57"/>
      <c r="G18" s="57"/>
      <c r="H18" s="57"/>
      <c r="I18" s="57"/>
      <c r="J18" s="59"/>
      <c r="L18" s="59"/>
      <c r="M18" s="58"/>
    </row>
    <row r="19" spans="2:15">
      <c r="B19" s="57" t="s">
        <v>96</v>
      </c>
      <c r="C19" s="58" t="s">
        <v>341</v>
      </c>
      <c r="D19" s="59">
        <f>+RLI!I23</f>
        <v>-53855329.399999999</v>
      </c>
      <c r="E19" s="57"/>
      <c r="F19" s="57"/>
      <c r="G19" s="57"/>
      <c r="H19" s="57"/>
      <c r="I19" s="57">
        <f>+D19-J19</f>
        <v>-43084263.399999999</v>
      </c>
      <c r="J19" s="59">
        <f>ROUND(+D19*20%,0)</f>
        <v>-10771066</v>
      </c>
      <c r="L19" s="59">
        <f>+I19*0.25</f>
        <v>-10771065.85</v>
      </c>
      <c r="M19" s="59">
        <f>+L19</f>
        <v>-10771065.85</v>
      </c>
      <c r="O19" s="47">
        <f>+D19*0.2</f>
        <v>-10771065.880000001</v>
      </c>
    </row>
    <row r="20" spans="2:15">
      <c r="B20" s="57"/>
      <c r="C20" s="58" t="s">
        <v>125</v>
      </c>
      <c r="D20" s="59"/>
      <c r="E20" s="57"/>
      <c r="F20" s="57"/>
      <c r="G20" s="57"/>
      <c r="H20" s="57"/>
      <c r="I20" s="57"/>
      <c r="J20" s="59"/>
      <c r="L20" s="59"/>
      <c r="M20" s="58"/>
      <c r="N20" s="47" t="s">
        <v>336</v>
      </c>
      <c r="O20" s="47">
        <v>8864492</v>
      </c>
    </row>
    <row r="21" spans="2:15">
      <c r="B21" s="57" t="s">
        <v>97</v>
      </c>
      <c r="C21" s="58" t="s">
        <v>127</v>
      </c>
      <c r="D21" s="59"/>
      <c r="E21" s="57"/>
      <c r="F21" s="57"/>
      <c r="G21" s="57"/>
      <c r="H21" s="57"/>
      <c r="I21" s="57"/>
      <c r="J21" s="59"/>
      <c r="L21" s="59">
        <f>+I21*0.204819</f>
        <v>0</v>
      </c>
      <c r="M21" s="58">
        <f>+L21</f>
        <v>0</v>
      </c>
      <c r="O21" s="47">
        <f>+O19-O20</f>
        <v>-19635557.880000003</v>
      </c>
    </row>
    <row r="22" spans="2:15">
      <c r="B22" s="57"/>
      <c r="C22" s="58"/>
      <c r="D22" s="59"/>
      <c r="E22" s="57"/>
      <c r="F22" s="57"/>
      <c r="G22" s="57"/>
      <c r="H22" s="57"/>
      <c r="I22" s="57"/>
      <c r="J22" s="59"/>
      <c r="L22" s="59"/>
      <c r="M22" s="58"/>
    </row>
    <row r="23" spans="2:15">
      <c r="B23" s="63"/>
      <c r="C23" s="159" t="s">
        <v>128</v>
      </c>
      <c r="D23" s="67">
        <f t="shared" ref="D23:M23" si="1">SUM(D14:D21)</f>
        <v>42224723.600000001</v>
      </c>
      <c r="E23" s="67">
        <f t="shared" si="1"/>
        <v>39349801</v>
      </c>
      <c r="F23" s="67">
        <f t="shared" si="1"/>
        <v>0</v>
      </c>
      <c r="G23" s="67">
        <f t="shared" si="1"/>
        <v>56564050</v>
      </c>
      <c r="H23" s="67">
        <f t="shared" si="1"/>
        <v>166202</v>
      </c>
      <c r="I23" s="67">
        <f t="shared" si="1"/>
        <v>-43084263.399999999</v>
      </c>
      <c r="J23" s="67">
        <f t="shared" si="1"/>
        <v>-10771066</v>
      </c>
      <c r="L23" s="67">
        <f>SUM(L14:L21)</f>
        <v>11429531.604</v>
      </c>
      <c r="M23" s="67">
        <f t="shared" si="1"/>
        <v>11429531.604</v>
      </c>
    </row>
    <row r="24" spans="2:15">
      <c r="B24" s="49"/>
      <c r="C24" s="162"/>
      <c r="D24" s="51"/>
      <c r="E24" s="51"/>
      <c r="F24" s="51"/>
      <c r="G24" s="51"/>
      <c r="H24" s="51"/>
      <c r="I24" s="51"/>
      <c r="J24" s="51"/>
      <c r="L24" s="51"/>
      <c r="M24" s="51"/>
    </row>
    <row r="25" spans="2:15">
      <c r="B25" s="57"/>
      <c r="C25" s="163" t="s">
        <v>129</v>
      </c>
      <c r="D25" s="59">
        <f t="shared" ref="D25:L25" si="2">+D23</f>
        <v>42224723.600000001</v>
      </c>
      <c r="E25" s="59">
        <f t="shared" si="2"/>
        <v>39349801</v>
      </c>
      <c r="F25" s="59">
        <f t="shared" si="2"/>
        <v>0</v>
      </c>
      <c r="G25" s="59">
        <f t="shared" si="2"/>
        <v>56564050</v>
      </c>
      <c r="H25" s="59">
        <f t="shared" si="2"/>
        <v>166202</v>
      </c>
      <c r="I25" s="59">
        <f>+I23</f>
        <v>-43084263.399999999</v>
      </c>
      <c r="J25" s="59">
        <f>+J23</f>
        <v>-10771066</v>
      </c>
      <c r="L25" s="59">
        <f t="shared" si="2"/>
        <v>11429531.604</v>
      </c>
      <c r="M25" s="59">
        <f>+L25</f>
        <v>11429531.604</v>
      </c>
    </row>
    <row r="26" spans="2:15">
      <c r="B26" s="57"/>
      <c r="C26" s="58"/>
      <c r="D26" s="59"/>
      <c r="E26" s="59"/>
      <c r="F26" s="59"/>
      <c r="G26" s="59"/>
      <c r="H26" s="59"/>
      <c r="I26" s="59"/>
      <c r="J26" s="59"/>
      <c r="L26" s="59"/>
      <c r="M26" s="59"/>
    </row>
    <row r="27" spans="2:15">
      <c r="B27" s="57" t="s">
        <v>97</v>
      </c>
      <c r="C27" s="163" t="s">
        <v>112</v>
      </c>
      <c r="D27" s="59"/>
      <c r="E27" s="183"/>
      <c r="F27" s="183"/>
      <c r="G27" s="183"/>
      <c r="H27" s="183"/>
      <c r="I27" s="183"/>
      <c r="J27" s="183"/>
      <c r="K27" s="201"/>
      <c r="L27" s="183">
        <f>(+E27+G27+I27)*0.204819</f>
        <v>0</v>
      </c>
      <c r="M27" s="59">
        <f>+L27</f>
        <v>0</v>
      </c>
    </row>
    <row r="28" spans="2:15">
      <c r="B28" s="57"/>
      <c r="C28" s="163" t="s">
        <v>356</v>
      </c>
      <c r="D28" s="59">
        <f>SUM(E28:J28)</f>
        <v>-27000000</v>
      </c>
      <c r="E28" s="183">
        <v>-26833798</v>
      </c>
      <c r="F28" s="183"/>
      <c r="G28" s="183"/>
      <c r="H28" s="183">
        <v>-166202</v>
      </c>
      <c r="I28" s="183"/>
      <c r="J28" s="183"/>
      <c r="K28" s="201"/>
      <c r="L28" s="183">
        <f>+E28*0.204819</f>
        <v>-5496071.6725620003</v>
      </c>
      <c r="M28" s="59"/>
    </row>
    <row r="29" spans="2:15">
      <c r="B29" s="57"/>
      <c r="C29" s="163" t="s">
        <v>362</v>
      </c>
      <c r="D29" s="59">
        <f>SUM(E29:K29)</f>
        <v>-4000000</v>
      </c>
      <c r="E29" s="183">
        <v>-4000000</v>
      </c>
      <c r="F29" s="183"/>
      <c r="G29" s="183"/>
      <c r="H29" s="183"/>
      <c r="I29" s="183"/>
      <c r="J29" s="183"/>
      <c r="K29" s="201"/>
      <c r="L29" s="183">
        <f>+E29*0.204819</f>
        <v>-819276</v>
      </c>
      <c r="M29" s="59"/>
    </row>
    <row r="30" spans="2:15">
      <c r="B30" s="57"/>
      <c r="C30" s="163" t="s">
        <v>354</v>
      </c>
      <c r="D30" s="59">
        <f>SUM(E30:K30)</f>
        <v>-23000000</v>
      </c>
      <c r="E30" s="183">
        <f>-15349801+6833798</f>
        <v>-8516003</v>
      </c>
      <c r="F30" s="183"/>
      <c r="G30" s="183">
        <f>-5650199-8833798</f>
        <v>-14483997</v>
      </c>
      <c r="H30" s="183"/>
      <c r="I30" s="183"/>
      <c r="J30" s="183"/>
      <c r="K30" s="201"/>
      <c r="L30" s="183">
        <f>+E30*0.204819+0.25*G30</f>
        <v>-5365238.4684570003</v>
      </c>
      <c r="M30" s="59"/>
    </row>
    <row r="31" spans="2:15">
      <c r="B31" s="57"/>
      <c r="C31" s="163"/>
      <c r="D31" s="160"/>
      <c r="E31" s="160"/>
      <c r="F31" s="160"/>
      <c r="G31" s="160"/>
      <c r="H31" s="160"/>
      <c r="I31" s="160"/>
      <c r="J31" s="160"/>
      <c r="K31" s="202"/>
      <c r="L31" s="160"/>
      <c r="M31" s="59"/>
    </row>
    <row r="32" spans="2:15" ht="13.5" thickBot="1">
      <c r="B32" s="324"/>
      <c r="C32" s="325" t="s">
        <v>340</v>
      </c>
      <c r="D32" s="326">
        <f>SUM(D25:D31)</f>
        <v>-11775276.399999999</v>
      </c>
      <c r="E32" s="412">
        <f t="shared" ref="E32:J32" si="3">SUM(E25:E30)</f>
        <v>0</v>
      </c>
      <c r="F32" s="411">
        <f t="shared" si="3"/>
        <v>0</v>
      </c>
      <c r="G32" s="412">
        <f t="shared" si="3"/>
        <v>42080053</v>
      </c>
      <c r="H32" s="411">
        <f t="shared" si="3"/>
        <v>0</v>
      </c>
      <c r="I32" s="412">
        <f t="shared" si="3"/>
        <v>-43084263.399999999</v>
      </c>
      <c r="J32" s="411">
        <f t="shared" si="3"/>
        <v>-10771066</v>
      </c>
      <c r="K32" s="203"/>
      <c r="L32" s="326">
        <f>SUM(L25:L30)</f>
        <v>-251054.53701900039</v>
      </c>
      <c r="M32" s="326">
        <f>SUM(M25:M30)</f>
        <v>11429531.604</v>
      </c>
    </row>
    <row r="33" spans="3:12" ht="13.5" thickTop="1">
      <c r="C33" s="206" t="s">
        <v>184</v>
      </c>
      <c r="D33" s="47">
        <f>+G32+I32</f>
        <v>-1004210.3999999985</v>
      </c>
    </row>
    <row r="34" spans="3:12">
      <c r="C34" s="206" t="s">
        <v>185</v>
      </c>
      <c r="D34" s="47">
        <f>+J32+H32</f>
        <v>-10771066</v>
      </c>
      <c r="K34" s="47">
        <f>+D28+L28</f>
        <v>-32496071.672561999</v>
      </c>
    </row>
    <row r="35" spans="3:12" ht="13.5" thickBot="1">
      <c r="C35" s="206"/>
      <c r="D35" s="134">
        <f>+D33+D34</f>
        <v>-11775276.399999999</v>
      </c>
      <c r="H35" s="327" t="s">
        <v>350</v>
      </c>
      <c r="I35" s="327"/>
      <c r="J35" s="327" t="s">
        <v>351</v>
      </c>
      <c r="K35" s="47">
        <f>+D30+L30</f>
        <v>-28365238.468456998</v>
      </c>
    </row>
    <row r="36" spans="3:12" ht="13.5" thickTop="1">
      <c r="C36" s="206"/>
      <c r="E36" s="84" t="s">
        <v>352</v>
      </c>
      <c r="F36" s="84" t="s">
        <v>353</v>
      </c>
      <c r="G36" s="84" t="s">
        <v>359</v>
      </c>
      <c r="H36" s="328">
        <f>+D29</f>
        <v>-4000000</v>
      </c>
      <c r="I36" s="205">
        <v>0.204819</v>
      </c>
      <c r="J36" s="47">
        <f>+H36*I36</f>
        <v>-819276</v>
      </c>
      <c r="K36" s="205"/>
    </row>
    <row r="37" spans="3:12">
      <c r="C37" s="206"/>
      <c r="E37" s="47" t="s">
        <v>357</v>
      </c>
      <c r="F37" s="47" t="s">
        <v>358</v>
      </c>
      <c r="G37" s="84" t="s">
        <v>361</v>
      </c>
      <c r="H37" s="328">
        <f>+D28</f>
        <v>-27000000</v>
      </c>
      <c r="I37" s="205">
        <v>0.204819</v>
      </c>
      <c r="J37" s="47">
        <f>+L28</f>
        <v>-5496071.6725620003</v>
      </c>
      <c r="K37" s="205"/>
    </row>
    <row r="38" spans="3:12">
      <c r="C38" s="206"/>
      <c r="E38" s="329" t="s">
        <v>354</v>
      </c>
      <c r="F38" s="329" t="s">
        <v>355</v>
      </c>
      <c r="G38" s="84" t="s">
        <v>360</v>
      </c>
      <c r="H38" s="328">
        <f>+D30</f>
        <v>-23000000</v>
      </c>
      <c r="I38" s="205"/>
      <c r="J38" s="47">
        <f>+L30</f>
        <v>-5365238.4684570003</v>
      </c>
      <c r="K38" s="84">
        <f>+H38+J38</f>
        <v>-28365238.468456998</v>
      </c>
      <c r="L38" s="84"/>
    </row>
    <row r="39" spans="3:12" ht="13.5" thickBot="1">
      <c r="C39" s="206"/>
      <c r="G39" s="134"/>
      <c r="H39" s="134">
        <f>SUM(H36:H38)</f>
        <v>-54000000</v>
      </c>
      <c r="I39" s="134"/>
      <c r="J39" s="134">
        <f>SUM(J36:J38)</f>
        <v>-11680586.141019002</v>
      </c>
    </row>
    <row r="40" spans="3:12" ht="13.5" thickTop="1">
      <c r="C40" s="206"/>
    </row>
    <row r="41" spans="3:12">
      <c r="C41" s="206"/>
      <c r="G41" s="84"/>
    </row>
    <row r="42" spans="3:12">
      <c r="C42" s="206" t="s">
        <v>348</v>
      </c>
      <c r="I42" s="47" t="s">
        <v>99</v>
      </c>
    </row>
    <row r="43" spans="3:12">
      <c r="C43" s="206" t="s">
        <v>344</v>
      </c>
      <c r="I43" s="47" t="s">
        <v>345</v>
      </c>
    </row>
    <row r="44" spans="3:12">
      <c r="C44" s="206" t="s">
        <v>346</v>
      </c>
      <c r="I44" s="47" t="s">
        <v>347</v>
      </c>
    </row>
    <row r="45" spans="3:12">
      <c r="C45" s="206" t="s">
        <v>349</v>
      </c>
      <c r="D45" s="252"/>
      <c r="I45" s="47" t="s">
        <v>343</v>
      </c>
      <c r="K45" s="47" t="s">
        <v>343</v>
      </c>
    </row>
    <row r="46" spans="3:12">
      <c r="C46" s="206"/>
    </row>
    <row r="47" spans="3:12">
      <c r="C47" s="206"/>
    </row>
    <row r="48" spans="3:12">
      <c r="C48" s="206"/>
    </row>
    <row r="49" spans="3:12">
      <c r="C49" s="206"/>
    </row>
    <row r="50" spans="3:12">
      <c r="C50" s="206"/>
    </row>
    <row r="51" spans="3:12">
      <c r="C51" s="206"/>
    </row>
    <row r="52" spans="3:12">
      <c r="C52" s="206"/>
    </row>
    <row r="53" spans="3:12">
      <c r="C53" s="206"/>
    </row>
    <row r="54" spans="3:12">
      <c r="C54" s="206"/>
    </row>
    <row r="55" spans="3:12">
      <c r="C55" s="206"/>
    </row>
    <row r="56" spans="3:12">
      <c r="C56" s="206"/>
    </row>
    <row r="57" spans="3:12">
      <c r="C57" s="206"/>
    </row>
    <row r="58" spans="3:12">
      <c r="C58" s="206"/>
    </row>
    <row r="59" spans="3:12">
      <c r="C59" s="206"/>
    </row>
    <row r="60" spans="3:12">
      <c r="C60" s="206"/>
    </row>
    <row r="61" spans="3:12">
      <c r="C61" s="206"/>
    </row>
    <row r="62" spans="3:12">
      <c r="C62" s="206"/>
    </row>
    <row r="63" spans="3:12">
      <c r="L63" s="205">
        <v>0.204819</v>
      </c>
    </row>
    <row r="64" spans="3:12">
      <c r="I64" s="223">
        <v>0.204819</v>
      </c>
    </row>
    <row r="65" spans="4:19" ht="13.5" thickBot="1">
      <c r="H65" s="224" t="s">
        <v>209</v>
      </c>
      <c r="I65" s="224" t="s">
        <v>210</v>
      </c>
      <c r="L65" s="47">
        <f>+L63*D33</f>
        <v>-205681.36991759969</v>
      </c>
    </row>
    <row r="66" spans="4:19" ht="25.5" customHeight="1" thickBot="1">
      <c r="D66" s="222" t="s">
        <v>207</v>
      </c>
      <c r="E66" s="222" t="s">
        <v>203</v>
      </c>
      <c r="G66" s="222" t="s">
        <v>203</v>
      </c>
      <c r="H66" s="47">
        <v>500000</v>
      </c>
      <c r="I66" s="47">
        <f>+H66*I64</f>
        <v>102409.5</v>
      </c>
      <c r="P66" s="222" t="s">
        <v>207</v>
      </c>
      <c r="Q66" s="222" t="s">
        <v>203</v>
      </c>
      <c r="R66" s="1473">
        <v>40521</v>
      </c>
      <c r="S66" s="1474"/>
    </row>
    <row r="67" spans="4:19" ht="25.5" customHeight="1" thickBot="1">
      <c r="D67" s="222" t="s">
        <v>204</v>
      </c>
      <c r="E67" s="222" t="s">
        <v>205</v>
      </c>
      <c r="G67" s="222" t="s">
        <v>205</v>
      </c>
      <c r="H67" s="47">
        <v>0</v>
      </c>
      <c r="P67" s="222" t="s">
        <v>204</v>
      </c>
      <c r="Q67" s="222" t="s">
        <v>205</v>
      </c>
      <c r="R67" s="1473">
        <v>40283</v>
      </c>
      <c r="S67" s="1474"/>
    </row>
    <row r="68" spans="4:19" ht="25.5" customHeight="1" thickBot="1">
      <c r="D68" s="222" t="s">
        <v>208</v>
      </c>
      <c r="E68" s="222" t="s">
        <v>206</v>
      </c>
      <c r="G68" s="222" t="s">
        <v>206</v>
      </c>
      <c r="H68" s="47">
        <v>9500000</v>
      </c>
      <c r="I68" s="47">
        <f>+H68*I64</f>
        <v>1945780.5</v>
      </c>
      <c r="P68" s="222" t="s">
        <v>208</v>
      </c>
      <c r="Q68" s="222" t="s">
        <v>206</v>
      </c>
      <c r="R68" s="1473">
        <v>40521</v>
      </c>
      <c r="S68" s="1474"/>
    </row>
    <row r="69" spans="4:19" ht="13.5" thickBot="1">
      <c r="H69" s="225">
        <f>SUM(H66:H68)</f>
        <v>10000000</v>
      </c>
      <c r="I69" s="225">
        <f>SUM(I66:I68)</f>
        <v>2048190</v>
      </c>
    </row>
    <row r="70" spans="4:19" ht="13.5" thickTop="1"/>
    <row r="88" spans="2:13">
      <c r="B88" s="49"/>
      <c r="C88" s="50"/>
      <c r="D88" s="51"/>
      <c r="E88" s="1475" t="s">
        <v>130</v>
      </c>
      <c r="F88" s="1476"/>
      <c r="G88" s="1475" t="s">
        <v>148</v>
      </c>
      <c r="H88" s="1476"/>
      <c r="I88" s="1475" t="s">
        <v>166</v>
      </c>
      <c r="J88" s="1476"/>
      <c r="K88" s="135" t="s">
        <v>107</v>
      </c>
      <c r="L88" s="136"/>
      <c r="M88" s="136"/>
    </row>
    <row r="89" spans="2:13">
      <c r="B89" s="53"/>
      <c r="C89" s="54" t="s">
        <v>0</v>
      </c>
      <c r="D89" s="55" t="s">
        <v>1</v>
      </c>
      <c r="E89" s="56" t="s">
        <v>108</v>
      </c>
      <c r="F89" s="56" t="s">
        <v>109</v>
      </c>
      <c r="G89" s="56" t="s">
        <v>108</v>
      </c>
      <c r="H89" s="56" t="s">
        <v>109</v>
      </c>
      <c r="I89" s="56" t="s">
        <v>108</v>
      </c>
      <c r="J89" s="56" t="s">
        <v>109</v>
      </c>
      <c r="K89" s="55" t="s">
        <v>110</v>
      </c>
      <c r="L89" s="55" t="s">
        <v>90</v>
      </c>
      <c r="M89" s="55" t="s">
        <v>89</v>
      </c>
    </row>
    <row r="90" spans="2:13">
      <c r="B90" s="57"/>
      <c r="C90" s="58"/>
      <c r="D90" s="59"/>
      <c r="E90" s="57"/>
      <c r="F90" s="57"/>
      <c r="G90" s="57"/>
      <c r="H90" s="57"/>
      <c r="I90" s="57"/>
      <c r="J90" s="57"/>
      <c r="K90" s="57"/>
      <c r="L90" s="60"/>
      <c r="M90" s="61"/>
    </row>
    <row r="91" spans="2:13">
      <c r="B91" s="57"/>
      <c r="C91" s="58" t="s">
        <v>91</v>
      </c>
      <c r="D91" s="59">
        <v>818693</v>
      </c>
      <c r="E91" s="57"/>
      <c r="F91" s="57"/>
      <c r="G91" s="57">
        <v>84515</v>
      </c>
      <c r="H91" s="57">
        <v>0</v>
      </c>
      <c r="I91" s="57"/>
      <c r="J91" s="57">
        <v>0</v>
      </c>
      <c r="K91" s="57">
        <v>734178</v>
      </c>
      <c r="L91" s="59">
        <v>17310</v>
      </c>
      <c r="M91" s="58">
        <v>17310</v>
      </c>
    </row>
    <row r="92" spans="2:13">
      <c r="B92" s="57"/>
      <c r="C92" s="62" t="s">
        <v>165</v>
      </c>
      <c r="D92" s="59">
        <v>72863.677000000011</v>
      </c>
      <c r="E92" s="59">
        <v>0</v>
      </c>
      <c r="F92" s="59">
        <v>0</v>
      </c>
      <c r="G92" s="59">
        <v>7521.8350000000009</v>
      </c>
      <c r="H92" s="59">
        <v>0</v>
      </c>
      <c r="I92" s="59">
        <v>0</v>
      </c>
      <c r="J92" s="59">
        <v>0</v>
      </c>
      <c r="K92" s="59">
        <v>65341.842000000004</v>
      </c>
      <c r="L92" s="59">
        <v>1540.59</v>
      </c>
      <c r="M92" s="59">
        <v>1540.59</v>
      </c>
    </row>
    <row r="93" spans="2:13">
      <c r="B93" s="63" t="s">
        <v>94</v>
      </c>
      <c r="C93" s="64" t="s">
        <v>92</v>
      </c>
      <c r="D93" s="65">
        <v>891556.67700000003</v>
      </c>
      <c r="E93" s="66">
        <v>0</v>
      </c>
      <c r="F93" s="66">
        <v>0</v>
      </c>
      <c r="G93" s="66">
        <v>92036.835000000006</v>
      </c>
      <c r="H93" s="66">
        <v>0</v>
      </c>
      <c r="I93" s="66">
        <v>0</v>
      </c>
      <c r="J93" s="66">
        <v>0</v>
      </c>
      <c r="K93" s="66">
        <v>799519.84199999995</v>
      </c>
      <c r="L93" s="66">
        <v>18850.59</v>
      </c>
      <c r="M93" s="66">
        <v>18850.59</v>
      </c>
    </row>
    <row r="94" spans="2:13">
      <c r="B94" s="57"/>
      <c r="C94" s="58" t="s">
        <v>125</v>
      </c>
      <c r="D94" s="59"/>
      <c r="E94" s="57"/>
      <c r="F94" s="57"/>
      <c r="G94" s="57"/>
      <c r="H94" s="57"/>
      <c r="I94" s="57"/>
      <c r="J94" s="57"/>
      <c r="K94" s="57"/>
      <c r="L94" s="59"/>
      <c r="M94" s="58"/>
    </row>
    <row r="95" spans="2:13">
      <c r="B95" s="57" t="s">
        <v>95</v>
      </c>
      <c r="C95" s="58" t="s">
        <v>126</v>
      </c>
      <c r="D95" s="59">
        <v>-786304.63799999992</v>
      </c>
      <c r="E95" s="57"/>
      <c r="F95" s="57"/>
      <c r="G95" s="57"/>
      <c r="H95" s="57"/>
      <c r="I95" s="57"/>
      <c r="J95" s="57"/>
      <c r="K95" s="57">
        <v>-786305</v>
      </c>
      <c r="L95" s="59">
        <v>0</v>
      </c>
      <c r="M95" s="58">
        <v>0</v>
      </c>
    </row>
    <row r="96" spans="2:13">
      <c r="B96" s="57"/>
      <c r="C96" s="58"/>
      <c r="D96" s="59"/>
      <c r="E96" s="57"/>
      <c r="F96" s="57"/>
      <c r="G96" s="57"/>
      <c r="H96" s="57">
        <v>13215</v>
      </c>
      <c r="I96" s="57"/>
      <c r="J96" s="57"/>
      <c r="K96" s="57">
        <v>-13214.841999999946</v>
      </c>
      <c r="L96" s="59"/>
      <c r="M96" s="58"/>
    </row>
    <row r="97" spans="2:13">
      <c r="B97" s="57"/>
      <c r="C97" s="58"/>
      <c r="D97" s="59"/>
      <c r="E97" s="57"/>
      <c r="F97" s="57"/>
      <c r="G97" s="57"/>
      <c r="H97" s="57"/>
      <c r="I97" s="57"/>
      <c r="J97" s="57"/>
      <c r="K97" s="57"/>
      <c r="L97" s="59"/>
      <c r="M97" s="58"/>
    </row>
    <row r="98" spans="2:13">
      <c r="B98" s="57" t="s">
        <v>96</v>
      </c>
      <c r="C98" s="58" t="s">
        <v>167</v>
      </c>
      <c r="D98" s="59">
        <v>12826248.379999999</v>
      </c>
      <c r="E98" s="57"/>
      <c r="F98" s="57"/>
      <c r="G98" s="57"/>
      <c r="H98" s="57"/>
      <c r="I98" s="57">
        <v>10645786.155399999</v>
      </c>
      <c r="J98" s="57"/>
      <c r="K98" s="57">
        <v>2180462.2245999998</v>
      </c>
      <c r="L98" s="59">
        <v>2180459.2745628725</v>
      </c>
      <c r="M98" s="59">
        <v>2180459.2745628725</v>
      </c>
    </row>
    <row r="99" spans="2:13">
      <c r="B99" s="57"/>
      <c r="C99" s="58" t="s">
        <v>125</v>
      </c>
      <c r="D99" s="59"/>
      <c r="E99" s="57"/>
      <c r="F99" s="57"/>
      <c r="G99" s="57"/>
      <c r="H99" s="57"/>
      <c r="I99" s="57"/>
      <c r="J99" s="57"/>
      <c r="K99" s="57"/>
      <c r="L99" s="59"/>
      <c r="M99" s="58"/>
    </row>
    <row r="100" spans="2:13">
      <c r="B100" s="57" t="s">
        <v>97</v>
      </c>
      <c r="C100" s="58" t="s">
        <v>127</v>
      </c>
      <c r="D100" s="59">
        <v>-11244</v>
      </c>
      <c r="E100" s="57"/>
      <c r="F100" s="57"/>
      <c r="G100" s="57"/>
      <c r="H100" s="57"/>
      <c r="I100" s="57">
        <v>-11244</v>
      </c>
      <c r="J100" s="57"/>
      <c r="K100" s="57"/>
      <c r="L100" s="59">
        <v>-2302.9848360000001</v>
      </c>
      <c r="M100" s="58">
        <v>-2302.9848360000001</v>
      </c>
    </row>
    <row r="101" spans="2:13">
      <c r="B101" s="57"/>
      <c r="C101" s="58"/>
      <c r="D101" s="59"/>
      <c r="E101" s="57"/>
      <c r="F101" s="57"/>
      <c r="G101" s="57"/>
      <c r="H101" s="57"/>
      <c r="I101" s="57"/>
      <c r="J101" s="57"/>
      <c r="K101" s="57"/>
      <c r="L101" s="59"/>
      <c r="M101" s="58"/>
    </row>
    <row r="102" spans="2:13">
      <c r="B102" s="63"/>
      <c r="C102" s="159" t="s">
        <v>128</v>
      </c>
      <c r="D102" s="67">
        <v>12920256.419</v>
      </c>
      <c r="E102" s="67">
        <v>0</v>
      </c>
      <c r="F102" s="67">
        <v>0</v>
      </c>
      <c r="G102" s="67">
        <v>92036.835000000006</v>
      </c>
      <c r="H102" s="67">
        <v>13215</v>
      </c>
      <c r="I102" s="67">
        <v>10634542.155399999</v>
      </c>
      <c r="J102" s="67">
        <v>0</v>
      </c>
      <c r="K102" s="67">
        <v>2180462.2245999998</v>
      </c>
      <c r="L102" s="67">
        <v>2197006.8797268723</v>
      </c>
      <c r="M102" s="67">
        <v>2197006.8797268723</v>
      </c>
    </row>
    <row r="103" spans="2:13">
      <c r="B103" s="49"/>
      <c r="C103" s="162"/>
      <c r="D103" s="51"/>
      <c r="E103" s="51"/>
      <c r="F103" s="51"/>
      <c r="G103" s="51"/>
      <c r="H103" s="51"/>
      <c r="I103" s="51"/>
      <c r="J103" s="51"/>
      <c r="K103" s="51"/>
      <c r="L103" s="51"/>
      <c r="M103" s="51"/>
    </row>
    <row r="104" spans="2:13">
      <c r="B104" s="57"/>
      <c r="C104" s="163" t="s">
        <v>129</v>
      </c>
      <c r="D104" s="59">
        <v>12920256.419</v>
      </c>
      <c r="E104" s="59">
        <v>0</v>
      </c>
      <c r="F104" s="59">
        <v>0</v>
      </c>
      <c r="G104" s="59">
        <v>92036.835000000006</v>
      </c>
      <c r="H104" s="59">
        <v>13215</v>
      </c>
      <c r="I104" s="59">
        <v>10634542.155399999</v>
      </c>
      <c r="J104" s="59">
        <v>0</v>
      </c>
      <c r="K104" s="59">
        <v>2180462.2245999998</v>
      </c>
      <c r="L104" s="59">
        <v>2197006.8797268723</v>
      </c>
      <c r="M104" s="59">
        <v>2197006.8797268723</v>
      </c>
    </row>
    <row r="105" spans="2:13">
      <c r="B105" s="57"/>
      <c r="C105" s="58"/>
      <c r="D105" s="59"/>
      <c r="E105" s="59"/>
      <c r="F105" s="59"/>
      <c r="G105" s="59"/>
      <c r="H105" s="59"/>
      <c r="I105" s="59"/>
      <c r="J105" s="59"/>
      <c r="K105" s="59"/>
      <c r="L105" s="59"/>
      <c r="M105" s="59"/>
    </row>
    <row r="106" spans="2:13">
      <c r="B106" s="57" t="s">
        <v>97</v>
      </c>
      <c r="C106" s="163" t="s">
        <v>112</v>
      </c>
      <c r="D106" s="183">
        <v>0</v>
      </c>
      <c r="E106" s="183"/>
      <c r="F106" s="183"/>
      <c r="G106" s="183"/>
      <c r="H106" s="183">
        <v>0</v>
      </c>
      <c r="I106" s="183">
        <v>-10500000</v>
      </c>
      <c r="J106" s="183">
        <v>0</v>
      </c>
      <c r="K106" s="183"/>
      <c r="L106" s="183">
        <v>0</v>
      </c>
      <c r="M106" s="59">
        <v>0</v>
      </c>
    </row>
    <row r="107" spans="2:13">
      <c r="B107" s="57"/>
      <c r="C107" s="163"/>
      <c r="D107" s="160"/>
      <c r="E107" s="160"/>
      <c r="F107" s="160"/>
      <c r="G107" s="160"/>
      <c r="H107" s="160"/>
      <c r="I107" s="160"/>
      <c r="J107" s="160"/>
      <c r="K107" s="160"/>
      <c r="L107" s="160"/>
      <c r="M107" s="59"/>
    </row>
    <row r="108" spans="2:13" ht="13.5" thickBot="1">
      <c r="B108" s="164"/>
      <c r="C108" s="165" t="s">
        <v>168</v>
      </c>
      <c r="D108" s="161">
        <v>12920256.419</v>
      </c>
      <c r="E108" s="161">
        <v>0</v>
      </c>
      <c r="F108" s="161">
        <v>0</v>
      </c>
      <c r="G108" s="161">
        <v>92036.835000000006</v>
      </c>
      <c r="H108" s="161">
        <v>13215</v>
      </c>
      <c r="I108" s="161">
        <v>134542.15539999865</v>
      </c>
      <c r="J108" s="161">
        <v>0</v>
      </c>
      <c r="K108" s="161">
        <v>2180462.2245999998</v>
      </c>
      <c r="L108" s="161">
        <v>2197006.8797268723</v>
      </c>
      <c r="M108" s="161">
        <v>2197006.8797268723</v>
      </c>
    </row>
    <row r="109" spans="2:13" ht="13.5" thickTop="1"/>
    <row r="111" spans="2:13">
      <c r="G111" s="47">
        <f>+G108+I108</f>
        <v>226578.99039999867</v>
      </c>
      <c r="I111" s="47">
        <f>+K108+H108</f>
        <v>2193677.2245999998</v>
      </c>
    </row>
    <row r="112" spans="2:13">
      <c r="G112" s="47">
        <v>0.204819</v>
      </c>
    </row>
    <row r="113" spans="7:7">
      <c r="G113" s="47">
        <f>+G112*G111</f>
        <v>46407.682234737331</v>
      </c>
    </row>
    <row r="147" spans="5:11">
      <c r="G147" s="47">
        <v>251701584</v>
      </c>
    </row>
    <row r="148" spans="5:11">
      <c r="G148" s="47">
        <v>32196131</v>
      </c>
    </row>
    <row r="149" spans="5:11">
      <c r="G149" s="47">
        <f>SUM(G147:G148)</f>
        <v>283897715</v>
      </c>
    </row>
    <row r="153" spans="5:11">
      <c r="E153" s="1471" t="s">
        <v>235</v>
      </c>
      <c r="F153" s="1472"/>
      <c r="G153" s="1471" t="s">
        <v>415</v>
      </c>
      <c r="H153" s="1472"/>
    </row>
    <row r="154" spans="5:11">
      <c r="E154" s="56" t="s">
        <v>108</v>
      </c>
      <c r="F154" s="56" t="s">
        <v>109</v>
      </c>
      <c r="G154" s="56" t="s">
        <v>108</v>
      </c>
      <c r="H154" s="204" t="s">
        <v>109</v>
      </c>
    </row>
    <row r="155" spans="5:11">
      <c r="E155" s="57"/>
      <c r="F155" s="57"/>
      <c r="G155" s="57"/>
      <c r="H155" s="59"/>
    </row>
    <row r="156" spans="5:11">
      <c r="E156" s="57">
        <v>64429641</v>
      </c>
      <c r="F156" s="57">
        <v>32196131</v>
      </c>
      <c r="G156" s="57">
        <v>187271943</v>
      </c>
      <c r="H156" s="59"/>
      <c r="J156" s="47">
        <v>283897715</v>
      </c>
      <c r="K156" s="47">
        <f>+J156-E156-F156</f>
        <v>187271943</v>
      </c>
    </row>
    <row r="157" spans="5:11">
      <c r="E157" s="59"/>
      <c r="F157" s="59"/>
      <c r="G157" s="59"/>
      <c r="H157" s="59">
        <f>ROUND(+H156*2.1%,0)</f>
        <v>0</v>
      </c>
    </row>
    <row r="158" spans="5:11">
      <c r="E158" s="409">
        <f>+E156+E157</f>
        <v>64429641</v>
      </c>
      <c r="F158" s="410">
        <f>+F156+F157</f>
        <v>32196131</v>
      </c>
      <c r="G158" s="409">
        <f>+G156+G157</f>
        <v>187271943</v>
      </c>
      <c r="H158" s="413">
        <f>+H156+H157</f>
        <v>0</v>
      </c>
    </row>
    <row r="160" spans="5:11">
      <c r="E160" s="47" t="s">
        <v>417</v>
      </c>
      <c r="G160" s="47" t="s">
        <v>416</v>
      </c>
    </row>
  </sheetData>
  <mergeCells count="11">
    <mergeCell ref="E9:F9"/>
    <mergeCell ref="G9:H9"/>
    <mergeCell ref="I9:J9"/>
    <mergeCell ref="E88:F88"/>
    <mergeCell ref="G88:H88"/>
    <mergeCell ref="I88:J88"/>
    <mergeCell ref="E153:F153"/>
    <mergeCell ref="G153:H153"/>
    <mergeCell ref="R66:S66"/>
    <mergeCell ref="R67:S67"/>
    <mergeCell ref="R68:S68"/>
  </mergeCells>
  <phoneticPr fontId="0" type="noConversion"/>
  <pageMargins left="1.02" right="0.75" top="1" bottom="1" header="0" footer="0"/>
  <pageSetup scale="54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12"/>
    <pageSetUpPr fitToPage="1"/>
  </sheetPr>
  <dimension ref="A1:S160"/>
  <sheetViews>
    <sheetView showGridLines="0" topLeftCell="A10" zoomScale="80" zoomScaleNormal="80" zoomScaleSheetLayoutView="90" workbookViewId="0">
      <selection activeCell="H19" sqref="H19"/>
    </sheetView>
  </sheetViews>
  <sheetFormatPr baseColWidth="10" defaultColWidth="11.42578125" defaultRowHeight="12.75"/>
  <cols>
    <col min="1" max="1" width="4" style="442" customWidth="1"/>
    <col min="2" max="2" width="3.85546875" style="442" customWidth="1"/>
    <col min="3" max="3" width="39.85546875" style="442" bestFit="1" customWidth="1"/>
    <col min="4" max="4" width="15.7109375" style="442" customWidth="1"/>
    <col min="5" max="7" width="14.140625" style="442" customWidth="1"/>
    <col min="8" max="11" width="14.85546875" style="442" customWidth="1"/>
    <col min="12" max="12" width="17" style="442" customWidth="1"/>
    <col min="13" max="13" width="12" style="442" bestFit="1" customWidth="1"/>
    <col min="14" max="14" width="11.42578125" style="442"/>
    <col min="15" max="15" width="12" style="442" bestFit="1" customWidth="1"/>
    <col min="16" max="16" width="33.140625" style="442" customWidth="1"/>
    <col min="17" max="17" width="24" style="442" customWidth="1"/>
    <col min="18" max="16384" width="11.42578125" style="442"/>
  </cols>
  <sheetData>
    <row r="1" spans="1:14" ht="15">
      <c r="A1" s="610"/>
      <c r="B1" s="610" t="str">
        <f>+DATOS!B1</f>
        <v>SOCIEDAD COMERCIAL SOLMET SpA</v>
      </c>
      <c r="C1" s="611"/>
    </row>
    <row r="2" spans="1:14" ht="15">
      <c r="A2" s="610"/>
      <c r="B2" s="610" t="str">
        <f>+DATOS!B2</f>
        <v>BOMBEROS SALAS #1445 OFC 601B</v>
      </c>
      <c r="C2" s="611"/>
    </row>
    <row r="3" spans="1:14" ht="15">
      <c r="A3" s="610"/>
      <c r="B3" s="610" t="str">
        <f>+DATOS!B3</f>
        <v>RUT: 76.541.377-K</v>
      </c>
      <c r="C3" s="611"/>
      <c r="D3" s="536"/>
      <c r="M3" s="468"/>
      <c r="N3" s="442">
        <f>ROUND(+$L$3*M3,0)</f>
        <v>0</v>
      </c>
    </row>
    <row r="4" spans="1:14" ht="15">
      <c r="A4" s="610"/>
      <c r="B4" s="610">
        <f>+DATOS!B4</f>
        <v>0</v>
      </c>
      <c r="C4" s="611"/>
      <c r="E4" s="442">
        <f>+E12+G12</f>
        <v>0</v>
      </c>
      <c r="F4" s="442">
        <f>+H12</f>
        <v>0</v>
      </c>
      <c r="M4" s="468"/>
      <c r="N4" s="442">
        <f>ROUND(+$L$3*M4,0)</f>
        <v>0</v>
      </c>
    </row>
    <row r="5" spans="1:14">
      <c r="I5" s="442">
        <f>+G12</f>
        <v>0</v>
      </c>
      <c r="M5" s="468"/>
      <c r="N5" s="442">
        <f>ROUND(+$L$3*M5,0)</f>
        <v>0</v>
      </c>
    </row>
    <row r="6" spans="1:14">
      <c r="I6" s="442">
        <f>+I5-I4</f>
        <v>0</v>
      </c>
      <c r="N6" s="442">
        <f>SUM(N3:N5)</f>
        <v>0</v>
      </c>
    </row>
    <row r="7" spans="1:14">
      <c r="D7" s="474" t="s">
        <v>570</v>
      </c>
      <c r="E7" s="474"/>
      <c r="F7" s="474"/>
      <c r="G7" s="474"/>
      <c r="H7" s="474"/>
      <c r="I7" s="474"/>
      <c r="J7" s="474"/>
      <c r="K7" s="474"/>
      <c r="L7" s="474"/>
    </row>
    <row r="9" spans="1:14" ht="15">
      <c r="B9" s="453"/>
      <c r="C9" s="467"/>
      <c r="D9" s="451"/>
      <c r="E9" s="1437" t="s">
        <v>579</v>
      </c>
      <c r="F9" s="1438"/>
      <c r="G9" s="1437" t="s">
        <v>580</v>
      </c>
      <c r="H9" s="1438"/>
      <c r="I9" s="1437"/>
      <c r="J9" s="1438"/>
      <c r="K9" s="612"/>
      <c r="L9" s="465"/>
      <c r="M9" s="465"/>
    </row>
    <row r="10" spans="1:14">
      <c r="B10" s="464"/>
      <c r="C10" s="463" t="s">
        <v>0</v>
      </c>
      <c r="D10" s="462" t="s">
        <v>1</v>
      </c>
      <c r="E10" s="609" t="s">
        <v>108</v>
      </c>
      <c r="F10" s="609" t="s">
        <v>109</v>
      </c>
      <c r="G10" s="609" t="s">
        <v>108</v>
      </c>
      <c r="H10" s="609" t="s">
        <v>109</v>
      </c>
      <c r="I10" s="609" t="s">
        <v>108</v>
      </c>
      <c r="J10" s="475" t="s">
        <v>109</v>
      </c>
      <c r="K10" s="612"/>
      <c r="L10" s="462" t="s">
        <v>90</v>
      </c>
      <c r="M10" s="462" t="s">
        <v>89</v>
      </c>
    </row>
    <row r="11" spans="1:14">
      <c r="B11" s="448"/>
      <c r="C11" s="450"/>
      <c r="D11" s="445"/>
      <c r="E11" s="448"/>
      <c r="F11" s="448"/>
      <c r="G11" s="448"/>
      <c r="H11" s="448"/>
      <c r="I11" s="448"/>
      <c r="J11" s="445"/>
      <c r="L11" s="461"/>
      <c r="M11" s="460"/>
    </row>
    <row r="12" spans="1:14">
      <c r="B12" s="448"/>
      <c r="C12" s="450" t="s">
        <v>91</v>
      </c>
      <c r="D12" s="445">
        <f>SUM(E12:K12)</f>
        <v>0</v>
      </c>
      <c r="E12" s="448"/>
      <c r="F12" s="448"/>
      <c r="G12" s="448"/>
      <c r="H12" s="448"/>
      <c r="I12" s="448"/>
      <c r="J12" s="445">
        <v>0</v>
      </c>
      <c r="L12" s="445"/>
      <c r="M12" s="450"/>
    </row>
    <row r="13" spans="1:14">
      <c r="B13" s="448"/>
      <c r="C13" s="473" t="s">
        <v>321</v>
      </c>
      <c r="D13" s="445">
        <f>SUM(E13:K13)</f>
        <v>0</v>
      </c>
      <c r="E13" s="445">
        <f>ROUND(+E12*3.9%,0)</f>
        <v>0</v>
      </c>
      <c r="F13" s="445">
        <f>ROUND(+F12*3.9%,0)</f>
        <v>0</v>
      </c>
      <c r="G13" s="445">
        <f>ROUND(+G12*5.7%,0)</f>
        <v>0</v>
      </c>
      <c r="H13" s="445">
        <f>ROUND(+H12*5.7%,0)</f>
        <v>0</v>
      </c>
      <c r="I13" s="445">
        <f>ROUND(+I12*5.7%,0)</f>
        <v>0</v>
      </c>
      <c r="J13" s="445">
        <f>ROUND(+J12*5.7%,0)</f>
        <v>0</v>
      </c>
      <c r="L13" s="445">
        <f>ROUND(+L12*3.9%,0)</f>
        <v>0</v>
      </c>
      <c r="M13" s="445">
        <f>+M12*2.1%</f>
        <v>0</v>
      </c>
    </row>
    <row r="14" spans="1:14">
      <c r="B14" s="456" t="s">
        <v>94</v>
      </c>
      <c r="C14" s="459" t="s">
        <v>92</v>
      </c>
      <c r="D14" s="458">
        <f t="shared" ref="D14:J14" si="0">+D12+D13</f>
        <v>0</v>
      </c>
      <c r="E14" s="472">
        <f t="shared" si="0"/>
        <v>0</v>
      </c>
      <c r="F14" s="613">
        <f t="shared" si="0"/>
        <v>0</v>
      </c>
      <c r="G14" s="472">
        <f t="shared" si="0"/>
        <v>0</v>
      </c>
      <c r="H14" s="613">
        <f t="shared" si="0"/>
        <v>0</v>
      </c>
      <c r="I14" s="457">
        <f t="shared" si="0"/>
        <v>0</v>
      </c>
      <c r="J14" s="458">
        <f t="shared" si="0"/>
        <v>0</v>
      </c>
      <c r="K14" s="614">
        <v>625</v>
      </c>
      <c r="L14" s="458">
        <f>+L12+L13</f>
        <v>0</v>
      </c>
      <c r="M14" s="458">
        <f>+M12+M13</f>
        <v>0</v>
      </c>
    </row>
    <row r="15" spans="1:14">
      <c r="B15" s="448"/>
      <c r="C15" s="450" t="s">
        <v>125</v>
      </c>
      <c r="D15" s="445"/>
      <c r="E15" s="448"/>
      <c r="F15" s="448"/>
      <c r="G15" s="448"/>
      <c r="H15" s="448"/>
      <c r="I15" s="448"/>
      <c r="J15" s="445"/>
      <c r="L15" s="445"/>
      <c r="M15" s="450"/>
    </row>
    <row r="16" spans="1:14">
      <c r="B16" s="448" t="s">
        <v>95</v>
      </c>
      <c r="C16" s="450" t="s">
        <v>583</v>
      </c>
      <c r="D16" s="445">
        <f>-ROUND(C17*1.033,0)</f>
        <v>0</v>
      </c>
      <c r="E16" s="448"/>
      <c r="F16" s="448">
        <f>+D16</f>
        <v>0</v>
      </c>
      <c r="G16" s="448"/>
      <c r="H16" s="448"/>
      <c r="I16" s="448"/>
      <c r="J16" s="445"/>
      <c r="L16" s="445">
        <v>0</v>
      </c>
      <c r="M16" s="450">
        <v>0</v>
      </c>
    </row>
    <row r="17" spans="2:15">
      <c r="B17" s="448"/>
      <c r="C17" s="450"/>
      <c r="D17" s="445"/>
      <c r="E17" s="448"/>
      <c r="F17" s="448">
        <f>-L17</f>
        <v>0</v>
      </c>
      <c r="G17" s="448"/>
      <c r="H17" s="448"/>
      <c r="I17" s="448"/>
      <c r="J17" s="445"/>
      <c r="L17" s="445"/>
      <c r="M17" s="450"/>
    </row>
    <row r="18" spans="2:15">
      <c r="B18" s="448"/>
      <c r="C18" s="450"/>
      <c r="D18" s="445"/>
      <c r="E18" s="448"/>
      <c r="F18" s="448"/>
      <c r="G18" s="448"/>
      <c r="H18" s="448"/>
      <c r="I18" s="448"/>
      <c r="J18" s="445"/>
      <c r="L18" s="445"/>
      <c r="M18" s="450"/>
    </row>
    <row r="19" spans="2:15">
      <c r="B19" s="448" t="s">
        <v>96</v>
      </c>
      <c r="C19" s="450" t="s">
        <v>581</v>
      </c>
      <c r="D19" s="445">
        <f>+RLI!I23</f>
        <v>-53855329.399999999</v>
      </c>
      <c r="E19" s="448"/>
      <c r="F19" s="448"/>
      <c r="G19" s="448">
        <f>+D19-H19</f>
        <v>-40391497.399999999</v>
      </c>
      <c r="H19" s="445">
        <f>ROUND(+D19*25%,0)</f>
        <v>-13463832</v>
      </c>
      <c r="I19" s="448"/>
      <c r="J19" s="445"/>
      <c r="K19" s="442">
        <v>626</v>
      </c>
      <c r="L19" s="445">
        <f>+H19</f>
        <v>-13463832</v>
      </c>
      <c r="M19" s="445">
        <f>+L19</f>
        <v>-13463832</v>
      </c>
      <c r="O19" s="442">
        <f>+D19*0.2</f>
        <v>-10771065.880000001</v>
      </c>
    </row>
    <row r="20" spans="2:15">
      <c r="B20" s="448"/>
      <c r="C20" s="450" t="s">
        <v>125</v>
      </c>
      <c r="D20" s="445"/>
      <c r="E20" s="448"/>
      <c r="F20" s="448"/>
      <c r="G20" s="448"/>
      <c r="H20" s="448"/>
      <c r="I20" s="448"/>
      <c r="J20" s="445"/>
      <c r="L20" s="445"/>
      <c r="M20" s="450"/>
    </row>
    <row r="21" spans="2:15">
      <c r="B21" s="448" t="s">
        <v>97</v>
      </c>
      <c r="C21" s="450" t="s">
        <v>127</v>
      </c>
      <c r="D21" s="445"/>
      <c r="E21" s="448"/>
      <c r="F21" s="448"/>
      <c r="G21" s="448"/>
      <c r="H21" s="448"/>
      <c r="I21" s="448"/>
      <c r="J21" s="445"/>
      <c r="L21" s="445">
        <f>+I21*0.204819</f>
        <v>0</v>
      </c>
      <c r="M21" s="450">
        <f>+L21</f>
        <v>0</v>
      </c>
      <c r="O21" s="442">
        <f>+O19-O20</f>
        <v>-10771065.880000001</v>
      </c>
    </row>
    <row r="22" spans="2:15">
      <c r="B22" s="448"/>
      <c r="C22" s="450"/>
      <c r="D22" s="445"/>
      <c r="E22" s="448"/>
      <c r="F22" s="448"/>
      <c r="G22" s="448"/>
      <c r="H22" s="448"/>
      <c r="I22" s="448"/>
      <c r="J22" s="445"/>
      <c r="L22" s="445"/>
      <c r="M22" s="450"/>
    </row>
    <row r="23" spans="2:15">
      <c r="B23" s="456"/>
      <c r="C23" s="455" t="s">
        <v>128</v>
      </c>
      <c r="D23" s="454">
        <f t="shared" ref="D23:M23" si="1">SUM(D14:D21)</f>
        <v>-53855329.399999999</v>
      </c>
      <c r="E23" s="454">
        <f t="shared" si="1"/>
        <v>0</v>
      </c>
      <c r="F23" s="454">
        <f t="shared" si="1"/>
        <v>0</v>
      </c>
      <c r="G23" s="454">
        <f t="shared" si="1"/>
        <v>-40391497.399999999</v>
      </c>
      <c r="H23" s="454">
        <f t="shared" si="1"/>
        <v>-13463832</v>
      </c>
      <c r="I23" s="454">
        <f t="shared" si="1"/>
        <v>0</v>
      </c>
      <c r="J23" s="454">
        <f t="shared" si="1"/>
        <v>0</v>
      </c>
      <c r="L23" s="454">
        <f>SUM(L14:L21)</f>
        <v>-13463832</v>
      </c>
      <c r="M23" s="454">
        <f t="shared" si="1"/>
        <v>-13463832</v>
      </c>
    </row>
    <row r="24" spans="2:15">
      <c r="B24" s="453"/>
      <c r="C24" s="452"/>
      <c r="D24" s="451"/>
      <c r="E24" s="451"/>
      <c r="F24" s="451"/>
      <c r="G24" s="451"/>
      <c r="H24" s="451"/>
      <c r="I24" s="451"/>
      <c r="J24" s="451"/>
      <c r="L24" s="451"/>
      <c r="M24" s="451"/>
    </row>
    <row r="25" spans="2:15">
      <c r="B25" s="448"/>
      <c r="C25" s="447" t="s">
        <v>129</v>
      </c>
      <c r="D25" s="445">
        <f t="shared" ref="D25:L25" si="2">+D23</f>
        <v>-53855329.399999999</v>
      </c>
      <c r="E25" s="445">
        <f t="shared" si="2"/>
        <v>0</v>
      </c>
      <c r="F25" s="445">
        <f t="shared" si="2"/>
        <v>0</v>
      </c>
      <c r="G25" s="445">
        <f t="shared" si="2"/>
        <v>-40391497.399999999</v>
      </c>
      <c r="H25" s="445">
        <f t="shared" si="2"/>
        <v>-13463832</v>
      </c>
      <c r="I25" s="445">
        <f>+I23</f>
        <v>0</v>
      </c>
      <c r="J25" s="445">
        <f>+J23</f>
        <v>0</v>
      </c>
      <c r="L25" s="445">
        <f t="shared" si="2"/>
        <v>-13463832</v>
      </c>
      <c r="M25" s="445">
        <f>+L25</f>
        <v>-13463832</v>
      </c>
    </row>
    <row r="26" spans="2:15">
      <c r="B26" s="448"/>
      <c r="C26" s="450"/>
      <c r="D26" s="445"/>
      <c r="E26" s="445"/>
      <c r="F26" s="445"/>
      <c r="G26" s="445"/>
      <c r="H26" s="445"/>
      <c r="I26" s="445"/>
      <c r="J26" s="445"/>
      <c r="L26" s="445"/>
      <c r="M26" s="445"/>
    </row>
    <row r="27" spans="2:15">
      <c r="B27" s="448" t="s">
        <v>97</v>
      </c>
      <c r="C27" s="447" t="s">
        <v>112</v>
      </c>
      <c r="D27" s="445"/>
      <c r="E27" s="449"/>
      <c r="F27" s="449"/>
      <c r="G27" s="449"/>
      <c r="H27" s="449"/>
      <c r="I27" s="449"/>
      <c r="J27" s="449"/>
      <c r="K27" s="615"/>
      <c r="L27" s="449">
        <f>(+E27+G27+I27)*0.204819</f>
        <v>0</v>
      </c>
      <c r="M27" s="445">
        <f>+L27</f>
        <v>0</v>
      </c>
    </row>
    <row r="28" spans="2:15">
      <c r="B28" s="448"/>
      <c r="C28" s="447" t="s">
        <v>578</v>
      </c>
      <c r="D28" s="445">
        <f>SUM(E28:H28)</f>
        <v>0</v>
      </c>
      <c r="E28" s="449"/>
      <c r="F28" s="449"/>
      <c r="G28" s="449"/>
      <c r="H28" s="449"/>
      <c r="I28" s="449"/>
      <c r="J28" s="449"/>
      <c r="K28" s="615"/>
      <c r="L28" s="449">
        <f>ROUND(+G28*0.315789,0)</f>
        <v>0</v>
      </c>
      <c r="M28" s="445"/>
    </row>
    <row r="29" spans="2:15">
      <c r="B29" s="448"/>
      <c r="C29" s="447" t="s">
        <v>584</v>
      </c>
      <c r="D29" s="445">
        <f>SUM(E29:H29)</f>
        <v>0</v>
      </c>
      <c r="E29" s="449"/>
      <c r="F29" s="449"/>
      <c r="G29" s="449"/>
      <c r="H29" s="449"/>
      <c r="I29" s="449"/>
      <c r="J29" s="449"/>
      <c r="K29" s="615"/>
      <c r="L29" s="449">
        <f>ROUND(+G29*0.315789,0)</f>
        <v>0</v>
      </c>
      <c r="M29" s="445"/>
    </row>
    <row r="30" spans="2:15">
      <c r="B30" s="448"/>
      <c r="C30" s="447"/>
      <c r="D30" s="445"/>
      <c r="E30" s="449"/>
      <c r="F30" s="449"/>
      <c r="G30" s="449"/>
      <c r="H30" s="449"/>
      <c r="I30" s="449"/>
      <c r="J30" s="449"/>
      <c r="K30" s="615"/>
      <c r="L30" s="449"/>
      <c r="M30" s="445"/>
    </row>
    <row r="31" spans="2:15">
      <c r="B31" s="448"/>
      <c r="C31" s="447"/>
      <c r="D31" s="446"/>
      <c r="E31" s="446"/>
      <c r="F31" s="446"/>
      <c r="G31" s="446"/>
      <c r="H31" s="446"/>
      <c r="I31" s="446"/>
      <c r="J31" s="446"/>
      <c r="K31" s="616"/>
      <c r="L31" s="446"/>
      <c r="M31" s="445"/>
    </row>
    <row r="32" spans="2:15" ht="13.5" thickBot="1">
      <c r="B32" s="444"/>
      <c r="C32" s="617" t="s">
        <v>571</v>
      </c>
      <c r="D32" s="443">
        <f>SUM(D25:D31)</f>
        <v>-53855329.399999999</v>
      </c>
      <c r="E32" s="471">
        <f t="shared" ref="E32:J32" si="3">SUM(E25:E30)</f>
        <v>0</v>
      </c>
      <c r="F32" s="618">
        <f t="shared" si="3"/>
        <v>0</v>
      </c>
      <c r="G32" s="471">
        <f t="shared" si="3"/>
        <v>-40391497.399999999</v>
      </c>
      <c r="H32" s="618">
        <f t="shared" si="3"/>
        <v>-13463832</v>
      </c>
      <c r="I32" s="471">
        <f t="shared" si="3"/>
        <v>0</v>
      </c>
      <c r="J32" s="618">
        <f t="shared" si="3"/>
        <v>0</v>
      </c>
      <c r="K32" s="619"/>
      <c r="L32" s="443">
        <f>SUM(L25:L30)</f>
        <v>-13463832</v>
      </c>
      <c r="M32" s="443">
        <f>SUM(M25:M30)</f>
        <v>-13463832</v>
      </c>
    </row>
    <row r="33" spans="3:13" ht="13.5" thickTop="1">
      <c r="C33" s="620" t="s">
        <v>184</v>
      </c>
      <c r="D33" s="442">
        <f>+G32+I32+E32</f>
        <v>-40391497.399999999</v>
      </c>
    </row>
    <row r="34" spans="3:13">
      <c r="C34" s="620" t="s">
        <v>185</v>
      </c>
      <c r="D34" s="442">
        <f>+J32+H32+F32</f>
        <v>-13463832</v>
      </c>
      <c r="F34" s="442">
        <f>+E32+G32</f>
        <v>-40391497.399999999</v>
      </c>
      <c r="K34" s="442">
        <f>+D28+L28</f>
        <v>0</v>
      </c>
      <c r="L34" s="647">
        <v>0.31578947368421051</v>
      </c>
    </row>
    <row r="35" spans="3:13" ht="13.5" thickBot="1">
      <c r="C35" s="620"/>
      <c r="D35" s="469">
        <f>+D33+D34</f>
        <v>-53855329.399999999</v>
      </c>
      <c r="H35" s="621" t="s">
        <v>350</v>
      </c>
      <c r="I35" s="621"/>
      <c r="J35" s="621" t="s">
        <v>351</v>
      </c>
      <c r="K35" s="442">
        <f>+D30+L30</f>
        <v>0</v>
      </c>
    </row>
    <row r="36" spans="3:13" ht="13.5" thickTop="1">
      <c r="C36" s="620"/>
      <c r="E36" s="614"/>
      <c r="F36" s="614" t="s">
        <v>585</v>
      </c>
      <c r="G36" s="614" t="s">
        <v>587</v>
      </c>
      <c r="H36" s="622">
        <f>-D28</f>
        <v>0</v>
      </c>
      <c r="I36" s="623">
        <v>0.204819</v>
      </c>
      <c r="K36" s="623"/>
      <c r="L36" s="645">
        <v>0.64</v>
      </c>
      <c r="M36" s="645">
        <v>0.64</v>
      </c>
    </row>
    <row r="37" spans="3:13">
      <c r="C37" s="620"/>
      <c r="F37" s="442" t="s">
        <v>586</v>
      </c>
      <c r="G37" s="614" t="s">
        <v>588</v>
      </c>
      <c r="H37" s="622">
        <f>+D25*L36</f>
        <v>-34467410.816</v>
      </c>
      <c r="I37" s="623">
        <v>0.204819</v>
      </c>
      <c r="K37" s="623"/>
      <c r="L37" s="645">
        <v>0.36</v>
      </c>
      <c r="M37" s="645">
        <v>0.36</v>
      </c>
    </row>
    <row r="38" spans="3:13">
      <c r="C38" s="620"/>
      <c r="E38" s="624"/>
      <c r="F38" s="624"/>
      <c r="G38" s="614"/>
      <c r="H38" s="622">
        <f>+D30</f>
        <v>0</v>
      </c>
      <c r="I38" s="623"/>
      <c r="J38" s="442">
        <f>+L30</f>
        <v>0</v>
      </c>
      <c r="K38" s="614">
        <f>+H38+J38</f>
        <v>0</v>
      </c>
      <c r="L38" s="645">
        <f>+L36+L37</f>
        <v>1</v>
      </c>
      <c r="M38" s="645">
        <f>+M36+M37</f>
        <v>1</v>
      </c>
    </row>
    <row r="39" spans="3:13" ht="13.5" thickBot="1">
      <c r="C39" s="620"/>
      <c r="G39" s="469"/>
      <c r="H39" s="469">
        <f>SUM(H36:H38)</f>
        <v>-34467410.816</v>
      </c>
      <c r="I39" s="469"/>
      <c r="J39" s="469">
        <f>SUM(J36:J38)</f>
        <v>0</v>
      </c>
    </row>
    <row r="40" spans="3:13" ht="13.5" thickTop="1">
      <c r="C40" s="620"/>
      <c r="H40" s="442">
        <f>+D25-H39</f>
        <v>-19387918.583999999</v>
      </c>
    </row>
    <row r="41" spans="3:13">
      <c r="C41" s="620"/>
      <c r="G41" s="614"/>
    </row>
    <row r="42" spans="3:13">
      <c r="C42" s="620" t="s">
        <v>348</v>
      </c>
      <c r="I42" s="442" t="s">
        <v>99</v>
      </c>
    </row>
    <row r="43" spans="3:13">
      <c r="C43" s="620" t="s">
        <v>344</v>
      </c>
      <c r="I43" s="442" t="s">
        <v>578</v>
      </c>
    </row>
    <row r="44" spans="3:13">
      <c r="C44" s="620" t="s">
        <v>346</v>
      </c>
      <c r="I44" s="442" t="s">
        <v>582</v>
      </c>
    </row>
    <row r="45" spans="3:13">
      <c r="C45" s="620" t="s">
        <v>349</v>
      </c>
      <c r="D45" s="625"/>
      <c r="I45" s="442" t="s">
        <v>343</v>
      </c>
    </row>
    <row r="46" spans="3:13">
      <c r="C46" s="620"/>
    </row>
    <row r="47" spans="3:13">
      <c r="C47" s="620"/>
    </row>
    <row r="48" spans="3:13">
      <c r="C48" s="620"/>
    </row>
    <row r="49" spans="3:12">
      <c r="C49" s="620"/>
    </row>
    <row r="50" spans="3:12">
      <c r="C50" s="620"/>
    </row>
    <row r="51" spans="3:12">
      <c r="C51" s="620"/>
    </row>
    <row r="52" spans="3:12">
      <c r="C52" s="620"/>
    </row>
    <row r="53" spans="3:12">
      <c r="C53" s="620"/>
    </row>
    <row r="54" spans="3:12">
      <c r="C54" s="620"/>
    </row>
    <row r="55" spans="3:12">
      <c r="C55" s="620"/>
    </row>
    <row r="56" spans="3:12">
      <c r="C56" s="620"/>
    </row>
    <row r="57" spans="3:12">
      <c r="C57" s="620"/>
    </row>
    <row r="58" spans="3:12">
      <c r="C58" s="620"/>
    </row>
    <row r="59" spans="3:12">
      <c r="C59" s="620"/>
    </row>
    <row r="60" spans="3:12">
      <c r="C60" s="620"/>
    </row>
    <row r="61" spans="3:12">
      <c r="C61" s="620"/>
    </row>
    <row r="62" spans="3:12">
      <c r="C62" s="620"/>
    </row>
    <row r="63" spans="3:12">
      <c r="L63" s="623">
        <v>0.204819</v>
      </c>
    </row>
    <row r="64" spans="3:12">
      <c r="I64" s="626"/>
    </row>
    <row r="65" spans="4:19" ht="13.5" thickBot="1">
      <c r="H65" s="627"/>
      <c r="I65" s="627"/>
      <c r="L65" s="442">
        <f>+L63*D33</f>
        <v>-8272946.1059705997</v>
      </c>
    </row>
    <row r="66" spans="4:19" ht="25.5" customHeight="1" thickBot="1">
      <c r="D66" s="628"/>
      <c r="E66" s="628"/>
      <c r="G66" s="628"/>
      <c r="P66" s="628"/>
      <c r="Q66" s="628"/>
      <c r="R66" s="1477"/>
      <c r="S66" s="1478"/>
    </row>
    <row r="67" spans="4:19" ht="25.5" customHeight="1" thickBot="1">
      <c r="D67" s="628"/>
      <c r="E67" s="628"/>
      <c r="G67" s="628"/>
      <c r="P67" s="628"/>
      <c r="Q67" s="628"/>
      <c r="R67" s="1477"/>
      <c r="S67" s="1478"/>
    </row>
    <row r="68" spans="4:19" ht="25.5" customHeight="1" thickBot="1">
      <c r="D68" s="628"/>
      <c r="E68" s="628"/>
      <c r="G68" s="628"/>
      <c r="P68" s="628"/>
      <c r="Q68" s="628"/>
      <c r="R68" s="1477"/>
      <c r="S68" s="1478"/>
    </row>
    <row r="69" spans="4:19" ht="13.5" thickBot="1">
      <c r="H69" s="470"/>
      <c r="I69" s="470"/>
    </row>
    <row r="70" spans="4:19" ht="13.5" thickTop="1"/>
    <row r="88" spans="2:13">
      <c r="B88" s="453"/>
      <c r="C88" s="467"/>
      <c r="D88" s="451"/>
      <c r="E88" s="1479" t="s">
        <v>130</v>
      </c>
      <c r="F88" s="1440"/>
      <c r="G88" s="1479" t="s">
        <v>148</v>
      </c>
      <c r="H88" s="1440"/>
      <c r="I88" s="1479" t="s">
        <v>166</v>
      </c>
      <c r="J88" s="1440"/>
      <c r="K88" s="466" t="s">
        <v>107</v>
      </c>
      <c r="L88" s="465"/>
      <c r="M88" s="465"/>
    </row>
    <row r="89" spans="2:13">
      <c r="B89" s="464"/>
      <c r="C89" s="463" t="s">
        <v>0</v>
      </c>
      <c r="D89" s="462" t="s">
        <v>1</v>
      </c>
      <c r="E89" s="609" t="s">
        <v>108</v>
      </c>
      <c r="F89" s="609" t="s">
        <v>109</v>
      </c>
      <c r="G89" s="609" t="s">
        <v>108</v>
      </c>
      <c r="H89" s="609" t="s">
        <v>109</v>
      </c>
      <c r="I89" s="609" t="s">
        <v>108</v>
      </c>
      <c r="J89" s="609" t="s">
        <v>109</v>
      </c>
      <c r="K89" s="462" t="s">
        <v>110</v>
      </c>
      <c r="L89" s="462" t="s">
        <v>90</v>
      </c>
      <c r="M89" s="462" t="s">
        <v>89</v>
      </c>
    </row>
    <row r="90" spans="2:13">
      <c r="B90" s="448"/>
      <c r="C90" s="450"/>
      <c r="D90" s="445"/>
      <c r="E90" s="448"/>
      <c r="F90" s="448"/>
      <c r="G90" s="448"/>
      <c r="H90" s="448"/>
      <c r="I90" s="448"/>
      <c r="J90" s="448"/>
      <c r="K90" s="448"/>
      <c r="L90" s="461"/>
      <c r="M90" s="460"/>
    </row>
    <row r="91" spans="2:13">
      <c r="B91" s="448"/>
      <c r="C91" s="450" t="s">
        <v>91</v>
      </c>
      <c r="D91" s="445">
        <v>818693</v>
      </c>
      <c r="E91" s="448"/>
      <c r="F91" s="448"/>
      <c r="G91" s="448">
        <v>84515</v>
      </c>
      <c r="H91" s="448">
        <v>0</v>
      </c>
      <c r="I91" s="448"/>
      <c r="J91" s="448">
        <v>0</v>
      </c>
      <c r="K91" s="448">
        <v>734178</v>
      </c>
      <c r="L91" s="445">
        <v>17310</v>
      </c>
      <c r="M91" s="450">
        <v>17310</v>
      </c>
    </row>
    <row r="92" spans="2:13">
      <c r="B92" s="448"/>
      <c r="C92" s="473" t="s">
        <v>165</v>
      </c>
      <c r="D92" s="445">
        <v>72863.677000000011</v>
      </c>
      <c r="E92" s="445">
        <v>0</v>
      </c>
      <c r="F92" s="445">
        <v>0</v>
      </c>
      <c r="G92" s="445">
        <v>7521.8350000000009</v>
      </c>
      <c r="H92" s="445">
        <v>0</v>
      </c>
      <c r="I92" s="445">
        <v>0</v>
      </c>
      <c r="J92" s="445">
        <v>0</v>
      </c>
      <c r="K92" s="445">
        <v>65341.842000000004</v>
      </c>
      <c r="L92" s="445">
        <v>1540.59</v>
      </c>
      <c r="M92" s="445">
        <v>1540.59</v>
      </c>
    </row>
    <row r="93" spans="2:13">
      <c r="B93" s="456" t="s">
        <v>94</v>
      </c>
      <c r="C93" s="459" t="s">
        <v>92</v>
      </c>
      <c r="D93" s="458">
        <v>891556.67700000003</v>
      </c>
      <c r="E93" s="457">
        <v>0</v>
      </c>
      <c r="F93" s="457">
        <v>0</v>
      </c>
      <c r="G93" s="457">
        <v>92036.835000000006</v>
      </c>
      <c r="H93" s="457">
        <v>0</v>
      </c>
      <c r="I93" s="457">
        <v>0</v>
      </c>
      <c r="J93" s="457">
        <v>0</v>
      </c>
      <c r="K93" s="457">
        <v>799519.84199999995</v>
      </c>
      <c r="L93" s="457">
        <v>18850.59</v>
      </c>
      <c r="M93" s="457">
        <v>18850.59</v>
      </c>
    </row>
    <row r="94" spans="2:13">
      <c r="B94" s="448"/>
      <c r="C94" s="450" t="s">
        <v>125</v>
      </c>
      <c r="D94" s="445"/>
      <c r="E94" s="448"/>
      <c r="F94" s="448"/>
      <c r="G94" s="448"/>
      <c r="H94" s="448"/>
      <c r="I94" s="448"/>
      <c r="J94" s="448"/>
      <c r="K94" s="448"/>
      <c r="L94" s="445"/>
      <c r="M94" s="450"/>
    </row>
    <row r="95" spans="2:13">
      <c r="B95" s="448" t="s">
        <v>95</v>
      </c>
      <c r="C95" s="450" t="s">
        <v>126</v>
      </c>
      <c r="D95" s="445">
        <v>-786304.63799999992</v>
      </c>
      <c r="E95" s="448"/>
      <c r="F95" s="448"/>
      <c r="G95" s="448"/>
      <c r="H95" s="448"/>
      <c r="I95" s="448"/>
      <c r="J95" s="448"/>
      <c r="K95" s="448">
        <v>-786305</v>
      </c>
      <c r="L95" s="445">
        <v>0</v>
      </c>
      <c r="M95" s="450">
        <v>0</v>
      </c>
    </row>
    <row r="96" spans="2:13">
      <c r="B96" s="448"/>
      <c r="C96" s="450"/>
      <c r="D96" s="445"/>
      <c r="E96" s="448"/>
      <c r="F96" s="448"/>
      <c r="G96" s="448"/>
      <c r="H96" s="448">
        <v>13215</v>
      </c>
      <c r="I96" s="448"/>
      <c r="J96" s="448"/>
      <c r="K96" s="448">
        <v>-13214.841999999946</v>
      </c>
      <c r="L96" s="445"/>
      <c r="M96" s="450"/>
    </row>
    <row r="97" spans="2:13">
      <c r="B97" s="448"/>
      <c r="C97" s="450"/>
      <c r="D97" s="445"/>
      <c r="E97" s="448"/>
      <c r="F97" s="448"/>
      <c r="G97" s="448"/>
      <c r="H97" s="448"/>
      <c r="I97" s="448"/>
      <c r="J97" s="448"/>
      <c r="K97" s="448"/>
      <c r="L97" s="445"/>
      <c r="M97" s="450"/>
    </row>
    <row r="98" spans="2:13">
      <c r="B98" s="448" t="s">
        <v>96</v>
      </c>
      <c r="C98" s="450" t="s">
        <v>167</v>
      </c>
      <c r="D98" s="445">
        <v>12826248.379999999</v>
      </c>
      <c r="E98" s="448"/>
      <c r="F98" s="448"/>
      <c r="G98" s="448"/>
      <c r="H98" s="448"/>
      <c r="I98" s="448">
        <v>10645786.155399999</v>
      </c>
      <c r="J98" s="448"/>
      <c r="K98" s="448">
        <v>2180462.2245999998</v>
      </c>
      <c r="L98" s="445">
        <v>2180459.2745628725</v>
      </c>
      <c r="M98" s="445">
        <v>2180459.2745628725</v>
      </c>
    </row>
    <row r="99" spans="2:13">
      <c r="B99" s="448"/>
      <c r="C99" s="450" t="s">
        <v>125</v>
      </c>
      <c r="D99" s="445"/>
      <c r="E99" s="448"/>
      <c r="F99" s="448"/>
      <c r="G99" s="448"/>
      <c r="H99" s="448"/>
      <c r="I99" s="448"/>
      <c r="J99" s="448"/>
      <c r="K99" s="448"/>
      <c r="L99" s="445"/>
      <c r="M99" s="450"/>
    </row>
    <row r="100" spans="2:13">
      <c r="B100" s="448" t="s">
        <v>97</v>
      </c>
      <c r="C100" s="450" t="s">
        <v>127</v>
      </c>
      <c r="D100" s="445">
        <v>-11244</v>
      </c>
      <c r="E100" s="448"/>
      <c r="F100" s="448"/>
      <c r="G100" s="448"/>
      <c r="H100" s="448"/>
      <c r="I100" s="448">
        <v>-11244</v>
      </c>
      <c r="J100" s="448"/>
      <c r="K100" s="448"/>
      <c r="L100" s="445">
        <v>-2302.9848360000001</v>
      </c>
      <c r="M100" s="450">
        <v>-2302.9848360000001</v>
      </c>
    </row>
    <row r="101" spans="2:13">
      <c r="B101" s="448"/>
      <c r="C101" s="450"/>
      <c r="D101" s="445"/>
      <c r="E101" s="448"/>
      <c r="F101" s="448"/>
      <c r="G101" s="448"/>
      <c r="H101" s="448"/>
      <c r="I101" s="448"/>
      <c r="J101" s="448"/>
      <c r="K101" s="448"/>
      <c r="L101" s="445"/>
      <c r="M101" s="450"/>
    </row>
    <row r="102" spans="2:13">
      <c r="B102" s="456"/>
      <c r="C102" s="455" t="s">
        <v>128</v>
      </c>
      <c r="D102" s="454">
        <v>12920256.419</v>
      </c>
      <c r="E102" s="454">
        <v>0</v>
      </c>
      <c r="F102" s="454">
        <v>0</v>
      </c>
      <c r="G102" s="454">
        <v>92036.835000000006</v>
      </c>
      <c r="H102" s="454">
        <v>13215</v>
      </c>
      <c r="I102" s="454">
        <v>10634542.155399999</v>
      </c>
      <c r="J102" s="454">
        <v>0</v>
      </c>
      <c r="K102" s="454">
        <v>2180462.2245999998</v>
      </c>
      <c r="L102" s="454">
        <v>2197006.8797268723</v>
      </c>
      <c r="M102" s="454">
        <v>2197006.8797268723</v>
      </c>
    </row>
    <row r="103" spans="2:13">
      <c r="B103" s="453"/>
      <c r="C103" s="452"/>
      <c r="D103" s="451"/>
      <c r="E103" s="451"/>
      <c r="F103" s="451"/>
      <c r="G103" s="451"/>
      <c r="H103" s="451"/>
      <c r="I103" s="451"/>
      <c r="J103" s="451"/>
      <c r="K103" s="451"/>
      <c r="L103" s="451"/>
      <c r="M103" s="451"/>
    </row>
    <row r="104" spans="2:13">
      <c r="B104" s="448"/>
      <c r="C104" s="447" t="s">
        <v>129</v>
      </c>
      <c r="D104" s="445">
        <v>12920256.419</v>
      </c>
      <c r="E104" s="445">
        <v>0</v>
      </c>
      <c r="F104" s="445">
        <v>0</v>
      </c>
      <c r="G104" s="445">
        <v>92036.835000000006</v>
      </c>
      <c r="H104" s="445">
        <v>13215</v>
      </c>
      <c r="I104" s="445">
        <v>10634542.155399999</v>
      </c>
      <c r="J104" s="445">
        <v>0</v>
      </c>
      <c r="K104" s="445">
        <v>2180462.2245999998</v>
      </c>
      <c r="L104" s="445">
        <v>2197006.8797268723</v>
      </c>
      <c r="M104" s="445">
        <v>2197006.8797268723</v>
      </c>
    </row>
    <row r="105" spans="2:13">
      <c r="B105" s="448"/>
      <c r="C105" s="450"/>
      <c r="D105" s="445"/>
      <c r="E105" s="445"/>
      <c r="F105" s="445"/>
      <c r="G105" s="445"/>
      <c r="H105" s="445"/>
      <c r="I105" s="445"/>
      <c r="J105" s="445"/>
      <c r="K105" s="445"/>
      <c r="L105" s="445"/>
      <c r="M105" s="445"/>
    </row>
    <row r="106" spans="2:13">
      <c r="B106" s="448" t="s">
        <v>97</v>
      </c>
      <c r="C106" s="447" t="s">
        <v>112</v>
      </c>
      <c r="D106" s="449">
        <v>0</v>
      </c>
      <c r="E106" s="449"/>
      <c r="F106" s="449"/>
      <c r="G106" s="449"/>
      <c r="H106" s="449">
        <v>0</v>
      </c>
      <c r="I106" s="449">
        <v>-10500000</v>
      </c>
      <c r="J106" s="449">
        <v>0</v>
      </c>
      <c r="K106" s="449"/>
      <c r="L106" s="449">
        <v>0</v>
      </c>
      <c r="M106" s="445">
        <v>0</v>
      </c>
    </row>
    <row r="107" spans="2:13">
      <c r="B107" s="448"/>
      <c r="C107" s="447"/>
      <c r="D107" s="446"/>
      <c r="E107" s="446"/>
      <c r="F107" s="446"/>
      <c r="G107" s="446"/>
      <c r="H107" s="446"/>
      <c r="I107" s="446"/>
      <c r="J107" s="446"/>
      <c r="K107" s="446"/>
      <c r="L107" s="446"/>
      <c r="M107" s="445"/>
    </row>
    <row r="108" spans="2:13" ht="13.5" thickBot="1">
      <c r="B108" s="629"/>
      <c r="C108" s="630" t="s">
        <v>168</v>
      </c>
      <c r="D108" s="631">
        <v>12920256.419</v>
      </c>
      <c r="E108" s="631">
        <v>0</v>
      </c>
      <c r="F108" s="631">
        <v>0</v>
      </c>
      <c r="G108" s="631">
        <v>92036.835000000006</v>
      </c>
      <c r="H108" s="631">
        <v>13215</v>
      </c>
      <c r="I108" s="631">
        <v>134542.15539999865</v>
      </c>
      <c r="J108" s="631">
        <v>0</v>
      </c>
      <c r="K108" s="631">
        <v>2180462.2245999998</v>
      </c>
      <c r="L108" s="631">
        <v>2197006.8797268723</v>
      </c>
      <c r="M108" s="631">
        <v>2197006.8797268723</v>
      </c>
    </row>
    <row r="109" spans="2:13" ht="13.5" thickTop="1"/>
    <row r="111" spans="2:13">
      <c r="G111" s="442">
        <f>+G108+I108</f>
        <v>226578.99039999867</v>
      </c>
      <c r="I111" s="442">
        <f>+K108+H108</f>
        <v>2193677.2245999998</v>
      </c>
    </row>
    <row r="112" spans="2:13">
      <c r="G112" s="442">
        <v>0.204819</v>
      </c>
    </row>
    <row r="113" spans="7:7">
      <c r="G113" s="442">
        <f>+G112*G111</f>
        <v>46407.682234737331</v>
      </c>
    </row>
    <row r="147" spans="5:11">
      <c r="G147" s="442">
        <v>251701584</v>
      </c>
    </row>
    <row r="148" spans="5:11">
      <c r="G148" s="442">
        <v>32196131</v>
      </c>
    </row>
    <row r="149" spans="5:11">
      <c r="G149" s="442">
        <f>SUM(G147:G148)</f>
        <v>283897715</v>
      </c>
    </row>
    <row r="153" spans="5:11">
      <c r="E153" s="1437" t="s">
        <v>235</v>
      </c>
      <c r="F153" s="1438"/>
      <c r="G153" s="1437" t="s">
        <v>415</v>
      </c>
      <c r="H153" s="1438"/>
    </row>
    <row r="154" spans="5:11">
      <c r="E154" s="609" t="s">
        <v>108</v>
      </c>
      <c r="F154" s="609" t="s">
        <v>109</v>
      </c>
      <c r="G154" s="609" t="s">
        <v>108</v>
      </c>
      <c r="H154" s="475" t="s">
        <v>109</v>
      </c>
    </row>
    <row r="155" spans="5:11">
      <c r="E155" s="448"/>
      <c r="F155" s="448"/>
      <c r="G155" s="448"/>
      <c r="H155" s="445"/>
    </row>
    <row r="156" spans="5:11">
      <c r="E156" s="448">
        <v>64429641</v>
      </c>
      <c r="F156" s="448">
        <v>32196131</v>
      </c>
      <c r="G156" s="448">
        <v>187271943</v>
      </c>
      <c r="H156" s="445"/>
      <c r="J156" s="442">
        <v>283897715</v>
      </c>
      <c r="K156" s="442">
        <f>+J156-E156-F156</f>
        <v>187271943</v>
      </c>
    </row>
    <row r="157" spans="5:11">
      <c r="E157" s="445"/>
      <c r="F157" s="445"/>
      <c r="G157" s="445"/>
      <c r="H157" s="445">
        <f>ROUND(+H156*2.1%,0)</f>
        <v>0</v>
      </c>
    </row>
    <row r="158" spans="5:11">
      <c r="E158" s="472">
        <f>+E156+E157</f>
        <v>64429641</v>
      </c>
      <c r="F158" s="613">
        <f>+F156+F157</f>
        <v>32196131</v>
      </c>
      <c r="G158" s="472">
        <f>+G156+G157</f>
        <v>187271943</v>
      </c>
      <c r="H158" s="632">
        <f>+H156+H157</f>
        <v>0</v>
      </c>
    </row>
    <row r="160" spans="5:11">
      <c r="E160" s="442" t="s">
        <v>417</v>
      </c>
      <c r="G160" s="442" t="s">
        <v>416</v>
      </c>
    </row>
  </sheetData>
  <mergeCells count="11">
    <mergeCell ref="E88:F88"/>
    <mergeCell ref="G88:H88"/>
    <mergeCell ref="I88:J88"/>
    <mergeCell ref="E153:F153"/>
    <mergeCell ref="G153:H153"/>
    <mergeCell ref="R68:S68"/>
    <mergeCell ref="E9:F9"/>
    <mergeCell ref="G9:H9"/>
    <mergeCell ref="I9:J9"/>
    <mergeCell ref="R66:S66"/>
    <mergeCell ref="R67:S67"/>
  </mergeCells>
  <pageMargins left="1.02" right="0.75" top="1" bottom="1" header="0" footer="0"/>
  <pageSetup scale="61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89"/>
  <sheetViews>
    <sheetView showGridLines="0" topLeftCell="B10" workbookViewId="0">
      <selection activeCell="E25" sqref="E25"/>
    </sheetView>
  </sheetViews>
  <sheetFormatPr baseColWidth="10" defaultRowHeight="12.75"/>
  <cols>
    <col min="1" max="1" width="7.85546875" customWidth="1"/>
    <col min="4" max="4" width="12.28515625" customWidth="1"/>
    <col min="5" max="5" width="13.5703125" bestFit="1" customWidth="1"/>
    <col min="6" max="6" width="12.140625" customWidth="1"/>
    <col min="7" max="7" width="15.7109375" customWidth="1"/>
    <col min="8" max="8" width="16" customWidth="1"/>
    <col min="10" max="10" width="19.5703125" customWidth="1"/>
  </cols>
  <sheetData>
    <row r="1" spans="1:13" ht="18">
      <c r="A1" s="259" t="str">
        <f>+MAYOR!B1</f>
        <v>SOCIEDAD COMERCIAL SOLMET SpA</v>
      </c>
      <c r="B1" s="96"/>
      <c r="C1" s="96"/>
    </row>
    <row r="2" spans="1:13" ht="15">
      <c r="A2" s="417" t="str">
        <f>+MAYOR!B2</f>
        <v>BOMBEROS SALAS #1445 OFC 601B</v>
      </c>
      <c r="B2" s="96"/>
      <c r="C2" s="96"/>
    </row>
    <row r="3" spans="1:13" ht="15">
      <c r="A3" s="417" t="str">
        <f>+MAYOR!B3</f>
        <v>RUT: 76.541.377-K</v>
      </c>
      <c r="B3" s="96"/>
      <c r="C3" s="96"/>
    </row>
    <row r="4" spans="1:13" ht="15">
      <c r="A4" s="417">
        <f>+MAYOR!B4</f>
        <v>0</v>
      </c>
      <c r="B4" s="11"/>
      <c r="C4" s="96"/>
    </row>
    <row r="10" spans="1:13">
      <c r="C10" s="139" t="s">
        <v>730</v>
      </c>
      <c r="D10" s="140"/>
      <c r="E10" s="141"/>
    </row>
    <row r="12" spans="1:13">
      <c r="B12" s="264" t="s">
        <v>117</v>
      </c>
      <c r="C12" s="265" t="s">
        <v>61</v>
      </c>
      <c r="D12" s="266" t="s">
        <v>60</v>
      </c>
      <c r="E12" s="265" t="s">
        <v>61</v>
      </c>
      <c r="F12" s="267" t="s">
        <v>64</v>
      </c>
    </row>
    <row r="13" spans="1:13">
      <c r="B13" s="268"/>
      <c r="C13" s="269" t="s">
        <v>118</v>
      </c>
      <c r="D13" s="270" t="s">
        <v>64</v>
      </c>
      <c r="E13" s="269" t="s">
        <v>62</v>
      </c>
      <c r="F13" s="271"/>
      <c r="K13">
        <f>+J13/100</f>
        <v>0</v>
      </c>
      <c r="L13">
        <f>1+K13</f>
        <v>1</v>
      </c>
      <c r="M13" s="248" t="s">
        <v>486</v>
      </c>
    </row>
    <row r="14" spans="1:13">
      <c r="B14" s="304">
        <v>44197</v>
      </c>
      <c r="C14" s="184"/>
      <c r="D14" s="816">
        <v>1.0449999999999999</v>
      </c>
      <c r="E14" s="151">
        <f t="shared" ref="E14:E24" si="0">ROUND(C14*D14,0)</f>
        <v>0</v>
      </c>
      <c r="F14" s="153">
        <f t="shared" ref="F14:F26" si="1">ROUND(E14-C14,0)</f>
        <v>0</v>
      </c>
      <c r="K14">
        <f t="shared" ref="K14:K25" si="2">+J14/100</f>
        <v>0</v>
      </c>
      <c r="L14">
        <f t="shared" ref="L14:L25" si="3">1+K14</f>
        <v>1</v>
      </c>
      <c r="M14" s="248" t="s">
        <v>477</v>
      </c>
    </row>
    <row r="15" spans="1:13">
      <c r="B15" s="304">
        <v>44228</v>
      </c>
      <c r="C15" s="151">
        <f>+MAYOR!L26</f>
        <v>0</v>
      </c>
      <c r="D15" s="816">
        <v>1.0369999999999999</v>
      </c>
      <c r="E15" s="151">
        <f t="shared" si="0"/>
        <v>0</v>
      </c>
      <c r="F15" s="153">
        <f t="shared" si="1"/>
        <v>0</v>
      </c>
      <c r="K15">
        <f t="shared" si="2"/>
        <v>0</v>
      </c>
      <c r="L15">
        <f t="shared" si="3"/>
        <v>1</v>
      </c>
      <c r="M15" s="248" t="s">
        <v>478</v>
      </c>
    </row>
    <row r="16" spans="1:13">
      <c r="B16" s="304">
        <v>44256</v>
      </c>
      <c r="C16" s="151">
        <f>+MAYOR!L44</f>
        <v>0</v>
      </c>
      <c r="D16" s="816">
        <v>1.0369999999999999</v>
      </c>
      <c r="E16" s="151">
        <f>ROUND(C16*D16,0)</f>
        <v>0</v>
      </c>
      <c r="F16" s="153">
        <f t="shared" si="1"/>
        <v>0</v>
      </c>
      <c r="K16">
        <f t="shared" si="2"/>
        <v>0</v>
      </c>
      <c r="L16">
        <f t="shared" si="3"/>
        <v>1</v>
      </c>
      <c r="M16" s="248" t="s">
        <v>479</v>
      </c>
    </row>
    <row r="17" spans="2:13">
      <c r="B17" s="304">
        <v>44287</v>
      </c>
      <c r="C17" s="151">
        <f>+MAYOR!L59</f>
        <v>0</v>
      </c>
      <c r="D17" s="816">
        <v>1.026</v>
      </c>
      <c r="E17" s="151">
        <f t="shared" si="0"/>
        <v>0</v>
      </c>
      <c r="F17" s="153">
        <f t="shared" si="1"/>
        <v>0</v>
      </c>
      <c r="K17">
        <f t="shared" si="2"/>
        <v>0</v>
      </c>
      <c r="L17">
        <f t="shared" si="3"/>
        <v>1</v>
      </c>
      <c r="M17" s="248" t="s">
        <v>480</v>
      </c>
    </row>
    <row r="18" spans="2:13">
      <c r="B18" s="304">
        <v>44317</v>
      </c>
      <c r="C18" s="151">
        <f>+MAYOR!L74</f>
        <v>0</v>
      </c>
      <c r="D18" s="816">
        <v>1.0229999999999999</v>
      </c>
      <c r="E18" s="151">
        <f t="shared" si="0"/>
        <v>0</v>
      </c>
      <c r="F18" s="153">
        <f t="shared" si="1"/>
        <v>0</v>
      </c>
      <c r="H18">
        <v>8479620</v>
      </c>
      <c r="I18">
        <v>10.75</v>
      </c>
      <c r="K18">
        <f t="shared" si="2"/>
        <v>0</v>
      </c>
      <c r="L18">
        <f t="shared" si="3"/>
        <v>1</v>
      </c>
      <c r="M18" s="248" t="s">
        <v>479</v>
      </c>
    </row>
    <row r="19" spans="2:13">
      <c r="B19" s="304">
        <v>44348</v>
      </c>
      <c r="C19" s="151">
        <f>+MAYOR!L90</f>
        <v>0</v>
      </c>
      <c r="D19" s="816">
        <v>1.022</v>
      </c>
      <c r="E19" s="151">
        <f t="shared" si="0"/>
        <v>0</v>
      </c>
      <c r="F19" s="153">
        <f t="shared" si="1"/>
        <v>0</v>
      </c>
      <c r="I19">
        <v>100</v>
      </c>
      <c r="K19">
        <f t="shared" si="2"/>
        <v>0</v>
      </c>
      <c r="L19">
        <f t="shared" si="3"/>
        <v>1</v>
      </c>
      <c r="M19" s="248" t="s">
        <v>481</v>
      </c>
    </row>
    <row r="20" spans="2:13">
      <c r="B20" s="304">
        <v>44378</v>
      </c>
      <c r="C20" s="151">
        <f>+MAYOR!L106</f>
        <v>0</v>
      </c>
      <c r="D20" s="816">
        <v>1.0229999999999999</v>
      </c>
      <c r="E20" s="151">
        <f t="shared" si="0"/>
        <v>0</v>
      </c>
      <c r="F20" s="153">
        <f t="shared" si="1"/>
        <v>0</v>
      </c>
      <c r="H20" s="190"/>
      <c r="I20" s="190"/>
      <c r="J20" s="190"/>
      <c r="K20">
        <f t="shared" si="2"/>
        <v>0</v>
      </c>
      <c r="L20">
        <f t="shared" si="3"/>
        <v>1</v>
      </c>
      <c r="M20" s="248" t="s">
        <v>481</v>
      </c>
    </row>
    <row r="21" spans="2:13">
      <c r="B21" s="304">
        <v>44409</v>
      </c>
      <c r="C21" s="151">
        <f>+MAYOR!L120</f>
        <v>0</v>
      </c>
      <c r="D21" s="816">
        <v>1.02</v>
      </c>
      <c r="E21" s="151">
        <f t="shared" si="0"/>
        <v>0</v>
      </c>
      <c r="F21" s="153">
        <f t="shared" si="1"/>
        <v>0</v>
      </c>
      <c r="H21" s="190"/>
      <c r="I21" s="190">
        <f>+H18*I19</f>
        <v>847962000</v>
      </c>
      <c r="J21" s="190"/>
      <c r="K21">
        <f t="shared" si="2"/>
        <v>0</v>
      </c>
      <c r="L21">
        <f t="shared" si="3"/>
        <v>1</v>
      </c>
      <c r="M21" s="248" t="s">
        <v>480</v>
      </c>
    </row>
    <row r="22" spans="2:13">
      <c r="B22" s="304">
        <v>44440</v>
      </c>
      <c r="C22" s="151">
        <f>+MAYOR!L135</f>
        <v>0</v>
      </c>
      <c r="D22" s="816">
        <v>1.0189999999999999</v>
      </c>
      <c r="E22" s="151">
        <f t="shared" si="0"/>
        <v>0</v>
      </c>
      <c r="F22" s="153">
        <f t="shared" si="1"/>
        <v>0</v>
      </c>
      <c r="H22" s="190"/>
      <c r="I22" s="190">
        <f>+I21/I18</f>
        <v>78880186.046511635</v>
      </c>
      <c r="J22" s="190"/>
      <c r="K22">
        <f t="shared" si="2"/>
        <v>0</v>
      </c>
      <c r="L22">
        <f t="shared" si="3"/>
        <v>1</v>
      </c>
      <c r="M22" s="248" t="s">
        <v>482</v>
      </c>
    </row>
    <row r="23" spans="2:13">
      <c r="B23" s="304">
        <v>44470</v>
      </c>
      <c r="C23" s="151">
        <f>+MAYOR!L154</f>
        <v>0</v>
      </c>
      <c r="D23" s="816">
        <v>1.012</v>
      </c>
      <c r="E23" s="151">
        <f t="shared" si="0"/>
        <v>0</v>
      </c>
      <c r="F23" s="153">
        <f t="shared" si="1"/>
        <v>0</v>
      </c>
      <c r="H23" s="190"/>
      <c r="I23" s="190"/>
      <c r="J23" s="190"/>
      <c r="K23">
        <f t="shared" si="2"/>
        <v>0</v>
      </c>
      <c r="L23">
        <f t="shared" si="3"/>
        <v>1</v>
      </c>
      <c r="M23" s="248" t="s">
        <v>483</v>
      </c>
    </row>
    <row r="24" spans="2:13">
      <c r="B24" s="304">
        <v>44501</v>
      </c>
      <c r="C24" s="151">
        <f>+MAYOR!L170</f>
        <v>0</v>
      </c>
      <c r="D24" s="816">
        <v>1.0069999999999999</v>
      </c>
      <c r="E24" s="151">
        <f t="shared" si="0"/>
        <v>0</v>
      </c>
      <c r="F24" s="153">
        <f t="shared" si="1"/>
        <v>0</v>
      </c>
      <c r="H24" s="190"/>
      <c r="I24" s="190"/>
      <c r="J24" s="190"/>
      <c r="K24">
        <f t="shared" si="2"/>
        <v>0</v>
      </c>
      <c r="L24">
        <f t="shared" si="3"/>
        <v>1</v>
      </c>
      <c r="M24" s="248" t="s">
        <v>484</v>
      </c>
    </row>
    <row r="25" spans="2:13">
      <c r="B25" s="304">
        <v>44531</v>
      </c>
      <c r="C25" s="151">
        <f>+MAYOR!L190</f>
        <v>0</v>
      </c>
      <c r="D25" s="816">
        <v>1</v>
      </c>
      <c r="E25" s="151">
        <f>ROUND(C25*D25,0)</f>
        <v>0</v>
      </c>
      <c r="F25" s="153">
        <f t="shared" si="1"/>
        <v>0</v>
      </c>
      <c r="H25" s="190"/>
      <c r="I25" s="190"/>
      <c r="J25" s="190"/>
      <c r="K25">
        <f t="shared" si="2"/>
        <v>0</v>
      </c>
      <c r="L25">
        <f t="shared" si="3"/>
        <v>1</v>
      </c>
      <c r="M25" s="248" t="s">
        <v>485</v>
      </c>
    </row>
    <row r="26" spans="2:13">
      <c r="B26" s="304">
        <v>44197</v>
      </c>
      <c r="C26" s="151">
        <f>+MAYOR!L207</f>
        <v>0</v>
      </c>
      <c r="D26" s="816">
        <v>1</v>
      </c>
      <c r="E26" s="151">
        <f>ROUND(C26*D26,0)</f>
        <v>0</v>
      </c>
      <c r="F26" s="153">
        <f t="shared" si="1"/>
        <v>0</v>
      </c>
      <c r="H26" s="190"/>
      <c r="I26" s="190"/>
      <c r="J26" s="190"/>
    </row>
    <row r="27" spans="2:13">
      <c r="B27" s="2"/>
      <c r="C27" s="185"/>
      <c r="D27" s="154"/>
      <c r="E27" s="151"/>
      <c r="F27" s="153"/>
      <c r="H27" s="190">
        <v>78168941</v>
      </c>
      <c r="I27" s="190"/>
      <c r="J27" s="190"/>
    </row>
    <row r="28" spans="2:13" ht="15" customHeight="1">
      <c r="B28" s="1142"/>
      <c r="C28" s="846">
        <f>SUM(C14:C27)</f>
        <v>0</v>
      </c>
      <c r="D28" s="847"/>
      <c r="E28" s="846">
        <f>SUM(E14:E27)</f>
        <v>0</v>
      </c>
      <c r="F28" s="846">
        <f>SUM(F14:F27)</f>
        <v>0</v>
      </c>
      <c r="H28" s="190">
        <v>50519963</v>
      </c>
      <c r="I28" s="190"/>
      <c r="J28" s="190"/>
      <c r="K28" s="248" t="s">
        <v>725</v>
      </c>
    </row>
    <row r="29" spans="2:13" ht="13.5" thickBot="1">
      <c r="B29" s="154"/>
      <c r="C29" s="154"/>
      <c r="D29" s="425" t="s">
        <v>431</v>
      </c>
      <c r="E29" s="425">
        <v>0</v>
      </c>
      <c r="H29" s="825">
        <f>+H27-H28</f>
        <v>27648978</v>
      </c>
      <c r="I29" s="190">
        <v>1011389</v>
      </c>
      <c r="J29" s="190">
        <v>5029539</v>
      </c>
      <c r="K29" s="190">
        <f>SUM(H29:J29)</f>
        <v>33689906</v>
      </c>
    </row>
    <row r="30" spans="2:13" ht="13.5" thickTop="1">
      <c r="E30" s="190">
        <f>+E28-E29</f>
        <v>0</v>
      </c>
      <c r="H30" s="190"/>
      <c r="I30" s="190"/>
      <c r="J30" s="190"/>
      <c r="K30">
        <v>4000000</v>
      </c>
      <c r="L30" s="190">
        <f>+K29+K30</f>
        <v>37689906</v>
      </c>
    </row>
    <row r="31" spans="2:13">
      <c r="H31" s="190"/>
      <c r="I31" s="190"/>
      <c r="J31" s="190"/>
    </row>
    <row r="32" spans="2:13">
      <c r="E32" s="190"/>
      <c r="G32" t="s">
        <v>715</v>
      </c>
      <c r="H32" t="s">
        <v>716</v>
      </c>
      <c r="L32">
        <f>+L30*0.135</f>
        <v>5088137.3100000005</v>
      </c>
    </row>
    <row r="34" spans="2:12">
      <c r="G34" t="s">
        <v>717</v>
      </c>
      <c r="H34" s="824">
        <v>8266698.0099999998</v>
      </c>
      <c r="I34" t="s">
        <v>426</v>
      </c>
      <c r="J34" s="824">
        <v>0</v>
      </c>
      <c r="L34">
        <v>2749443</v>
      </c>
    </row>
    <row r="35" spans="2:12">
      <c r="D35" s="190"/>
      <c r="L35">
        <f>+L32-L34</f>
        <v>2338694.3100000005</v>
      </c>
    </row>
    <row r="36" spans="2:12">
      <c r="G36" t="s">
        <v>719</v>
      </c>
      <c r="H36" s="824">
        <v>18370440.010000002</v>
      </c>
      <c r="I36">
        <v>0.04</v>
      </c>
      <c r="J36" s="824">
        <v>330667.92</v>
      </c>
    </row>
    <row r="37" spans="2:12">
      <c r="B37" s="262" t="s">
        <v>238</v>
      </c>
      <c r="C37" s="262"/>
      <c r="D37" s="262"/>
      <c r="E37" s="262" t="s">
        <v>240</v>
      </c>
      <c r="F37" s="262"/>
    </row>
    <row r="38" spans="2:12">
      <c r="B38" s="262" t="s">
        <v>236</v>
      </c>
      <c r="C38" s="262"/>
      <c r="D38" s="262"/>
      <c r="E38" s="414"/>
      <c r="F38" s="262"/>
      <c r="G38" t="s">
        <v>720</v>
      </c>
      <c r="H38" s="824">
        <v>30617400.010000002</v>
      </c>
      <c r="I38">
        <v>0.08</v>
      </c>
      <c r="J38" s="824">
        <v>1065485.52</v>
      </c>
    </row>
    <row r="39" spans="2:12">
      <c r="B39" s="262" t="s">
        <v>245</v>
      </c>
      <c r="C39" s="262"/>
      <c r="D39" s="262"/>
      <c r="E39" s="414"/>
      <c r="F39" s="262"/>
    </row>
    <row r="40" spans="2:12">
      <c r="B40" s="263" t="s">
        <v>567</v>
      </c>
      <c r="C40" s="262"/>
      <c r="D40" s="262"/>
      <c r="E40" s="414" t="s">
        <v>343</v>
      </c>
      <c r="F40" s="262"/>
      <c r="G40" t="s">
        <v>721</v>
      </c>
      <c r="H40" s="824">
        <v>42864360.009999998</v>
      </c>
      <c r="I40">
        <v>0.13500000000000001</v>
      </c>
      <c r="J40" s="824">
        <v>2749442.52</v>
      </c>
    </row>
    <row r="42" spans="2:12">
      <c r="G42" t="s">
        <v>722</v>
      </c>
      <c r="H42" s="824">
        <v>55111320.009999998</v>
      </c>
      <c r="I42">
        <v>0.23</v>
      </c>
      <c r="J42" s="824">
        <v>6821556.7199999997</v>
      </c>
    </row>
    <row r="44" spans="2:12">
      <c r="G44" t="s">
        <v>723</v>
      </c>
      <c r="H44" s="824">
        <v>73481760.010000005</v>
      </c>
      <c r="I44">
        <v>0.30399999999999999</v>
      </c>
      <c r="J44" s="824">
        <v>10899794.4</v>
      </c>
    </row>
    <row r="46" spans="2:12">
      <c r="G46" t="s">
        <v>724</v>
      </c>
      <c r="H46" s="824">
        <v>189827880.00999999</v>
      </c>
      <c r="I46">
        <v>0.35</v>
      </c>
      <c r="J46" s="824">
        <v>14279955.359999999</v>
      </c>
    </row>
    <row r="48" spans="2:12">
      <c r="G48" s="824">
        <v>189827880.00999999</v>
      </c>
      <c r="H48" t="s">
        <v>718</v>
      </c>
      <c r="I48">
        <v>0.4</v>
      </c>
      <c r="J48" s="824">
        <v>23771349.359999999</v>
      </c>
    </row>
    <row r="65" spans="3:7">
      <c r="G65">
        <v>29600000</v>
      </c>
    </row>
    <row r="66" spans="3:7">
      <c r="G66">
        <f>+G65*0.08</f>
        <v>2368000</v>
      </c>
    </row>
    <row r="67" spans="3:7">
      <c r="G67">
        <v>1065485</v>
      </c>
    </row>
    <row r="68" spans="3:7">
      <c r="G68">
        <f>+G66-G67</f>
        <v>1302515</v>
      </c>
    </row>
    <row r="70" spans="3:7">
      <c r="G70" s="248" t="s">
        <v>711</v>
      </c>
    </row>
    <row r="73" spans="3:7" s="878" customFormat="1"/>
    <row r="74" spans="3:7" s="878" customFormat="1"/>
    <row r="79" spans="3:7" ht="18">
      <c r="C79" s="879"/>
      <c r="D79" s="880" t="s">
        <v>750</v>
      </c>
      <c r="E79" s="879"/>
    </row>
    <row r="80" spans="3:7">
      <c r="C80" s="770" t="s">
        <v>751</v>
      </c>
      <c r="D80" s="881"/>
      <c r="E80" s="770" t="s">
        <v>752</v>
      </c>
    </row>
    <row r="81" spans="3:5">
      <c r="C81" s="882"/>
      <c r="D81" s="881"/>
      <c r="E81" s="882"/>
    </row>
    <row r="82" spans="3:5">
      <c r="C82" s="882"/>
      <c r="D82" s="881"/>
      <c r="E82" s="882"/>
    </row>
    <row r="83" spans="3:5">
      <c r="C83" s="770">
        <v>1484</v>
      </c>
      <c r="D83" s="881"/>
      <c r="E83" s="770">
        <v>1564</v>
      </c>
    </row>
    <row r="84" spans="3:5">
      <c r="C84" s="883">
        <v>0</v>
      </c>
      <c r="D84" s="881"/>
      <c r="E84" s="882">
        <v>0</v>
      </c>
    </row>
    <row r="85" spans="3:5">
      <c r="C85" s="882">
        <v>1.0669999999999999</v>
      </c>
      <c r="D85" s="881"/>
      <c r="E85" s="882">
        <v>1.0669999999999999</v>
      </c>
    </row>
    <row r="86" spans="3:5">
      <c r="C86" s="884">
        <f>+C84*C85</f>
        <v>0</v>
      </c>
      <c r="D86" s="881"/>
      <c r="E86" s="884">
        <f>+E84*E85</f>
        <v>0</v>
      </c>
    </row>
    <row r="87" spans="3:5">
      <c r="C87" s="882"/>
      <c r="D87" s="881"/>
      <c r="E87" s="882"/>
    </row>
    <row r="88" spans="3:5" ht="14.25">
      <c r="C88" s="885"/>
      <c r="D88" s="881"/>
      <c r="E88" s="882"/>
    </row>
    <row r="89" spans="3:5">
      <c r="C89" s="886" t="s">
        <v>753</v>
      </c>
      <c r="D89" s="887"/>
      <c r="E89" s="888" t="s">
        <v>432</v>
      </c>
    </row>
  </sheetData>
  <phoneticPr fontId="0" type="noConversion"/>
  <pageMargins left="1.01" right="0.75" top="1" bottom="1" header="0" footer="0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R94"/>
  <sheetViews>
    <sheetView topLeftCell="A43" workbookViewId="0">
      <selection activeCell="K78" sqref="K78"/>
    </sheetView>
  </sheetViews>
  <sheetFormatPr baseColWidth="10" defaultRowHeight="12.75"/>
  <cols>
    <col min="2" max="3" width="7.140625" customWidth="1"/>
    <col min="4" max="4" width="6.85546875" customWidth="1"/>
    <col min="7" max="7" width="29.85546875" customWidth="1"/>
  </cols>
  <sheetData>
    <row r="2" spans="2:18" ht="63.75" customHeight="1">
      <c r="B2" s="1486" t="s">
        <v>949</v>
      </c>
      <c r="C2" s="1486"/>
      <c r="D2" s="1487"/>
      <c r="E2" s="1487"/>
    </row>
    <row r="3" spans="2:18">
      <c r="B3" s="1483" t="s">
        <v>929</v>
      </c>
      <c r="C3" s="1484"/>
      <c r="D3" s="1484"/>
      <c r="E3" s="1485"/>
      <c r="F3" s="1483" t="s">
        <v>930</v>
      </c>
      <c r="G3" s="1484"/>
      <c r="H3" s="1485"/>
      <c r="I3" s="1483" t="s">
        <v>931</v>
      </c>
      <c r="J3" s="1484"/>
      <c r="K3" s="1485"/>
      <c r="L3" s="1145" t="s">
        <v>932</v>
      </c>
      <c r="M3" s="1154"/>
      <c r="N3" s="1154"/>
      <c r="O3" s="1154"/>
      <c r="P3" s="1154"/>
      <c r="Q3" s="1154"/>
      <c r="R3" s="1155"/>
    </row>
    <row r="4" spans="2:18">
      <c r="B4" s="1146" t="s">
        <v>933</v>
      </c>
      <c r="C4" s="1147" t="s">
        <v>934</v>
      </c>
      <c r="D4" s="1147" t="s">
        <v>394</v>
      </c>
      <c r="E4" s="1147" t="s">
        <v>389</v>
      </c>
      <c r="F4" s="1147" t="s">
        <v>735</v>
      </c>
      <c r="G4" s="1147" t="s">
        <v>935</v>
      </c>
      <c r="H4" s="1147" t="s">
        <v>936</v>
      </c>
      <c r="I4" s="1147" t="s">
        <v>937</v>
      </c>
      <c r="J4" s="1147" t="s">
        <v>938</v>
      </c>
      <c r="K4" s="1147" t="s">
        <v>395</v>
      </c>
      <c r="L4" s="1147" t="s">
        <v>929</v>
      </c>
      <c r="N4" s="243"/>
      <c r="R4" s="1156"/>
    </row>
    <row r="5" spans="2:18">
      <c r="B5" s="1148"/>
      <c r="C5" s="1148">
        <v>82</v>
      </c>
      <c r="D5" s="1149" t="s">
        <v>939</v>
      </c>
      <c r="E5" s="1150">
        <v>44650</v>
      </c>
      <c r="F5" s="1148" t="s">
        <v>940</v>
      </c>
      <c r="G5" s="1148" t="s">
        <v>941</v>
      </c>
      <c r="H5" s="1151" t="s">
        <v>432</v>
      </c>
      <c r="I5" s="1159">
        <v>797721</v>
      </c>
      <c r="J5" s="1159">
        <v>121652</v>
      </c>
      <c r="K5" s="1159">
        <v>676069</v>
      </c>
      <c r="L5" s="1151"/>
      <c r="M5" s="1159">
        <f>+I5*0.1225</f>
        <v>97720.822499999995</v>
      </c>
      <c r="N5" s="1159">
        <f>+J5-M5</f>
        <v>23931.177500000005</v>
      </c>
      <c r="R5" s="1156"/>
    </row>
    <row r="6" spans="2:18">
      <c r="B6" s="1480" t="s">
        <v>947</v>
      </c>
      <c r="C6" s="1481"/>
      <c r="D6" s="1481"/>
      <c r="E6" s="1481"/>
      <c r="F6" s="1481"/>
      <c r="G6" s="1481"/>
      <c r="H6" s="1482"/>
      <c r="I6" s="1159">
        <v>797721</v>
      </c>
      <c r="J6" s="1162">
        <v>121652</v>
      </c>
      <c r="K6" s="1159">
        <v>676069</v>
      </c>
      <c r="L6" s="1153"/>
      <c r="M6" s="1163">
        <f>SUM(M5)</f>
        <v>97720.822499999995</v>
      </c>
      <c r="N6" s="1159">
        <f>SUM(N5)</f>
        <v>23931.177500000005</v>
      </c>
      <c r="O6" s="1157"/>
      <c r="P6" s="1157"/>
      <c r="Q6" s="1157"/>
      <c r="R6" s="1158"/>
    </row>
    <row r="7" spans="2:18">
      <c r="M7" s="248" t="s">
        <v>948</v>
      </c>
      <c r="N7" s="1161">
        <f>+N6+M6</f>
        <v>121652</v>
      </c>
    </row>
    <row r="9" spans="2:18" ht="38.25" customHeight="1">
      <c r="B9" s="1486" t="s">
        <v>928</v>
      </c>
      <c r="C9" s="1486"/>
      <c r="D9" s="1487"/>
      <c r="E9" s="1487"/>
    </row>
    <row r="10" spans="2:18">
      <c r="B10" s="1483" t="s">
        <v>929</v>
      </c>
      <c r="C10" s="1484"/>
      <c r="D10" s="1484"/>
      <c r="E10" s="1485"/>
      <c r="F10" s="1483" t="s">
        <v>930</v>
      </c>
      <c r="G10" s="1484"/>
      <c r="H10" s="1485"/>
      <c r="I10" s="1483" t="s">
        <v>931</v>
      </c>
      <c r="J10" s="1484"/>
      <c r="K10" s="1485"/>
      <c r="L10" s="1145" t="s">
        <v>932</v>
      </c>
      <c r="M10" s="1154"/>
      <c r="N10" s="1154"/>
      <c r="O10" s="1154"/>
      <c r="P10" s="1154"/>
      <c r="Q10" s="1154"/>
      <c r="R10" s="1155"/>
    </row>
    <row r="11" spans="2:18">
      <c r="B11" s="1146" t="s">
        <v>933</v>
      </c>
      <c r="C11" s="1147" t="s">
        <v>934</v>
      </c>
      <c r="D11" s="1147" t="s">
        <v>394</v>
      </c>
      <c r="E11" s="1147" t="s">
        <v>389</v>
      </c>
      <c r="F11" s="1147" t="s">
        <v>735</v>
      </c>
      <c r="G11" s="1147" t="s">
        <v>935</v>
      </c>
      <c r="H11" s="1147" t="s">
        <v>936</v>
      </c>
      <c r="I11" s="1147" t="s">
        <v>937</v>
      </c>
      <c r="J11" s="1147" t="s">
        <v>938</v>
      </c>
      <c r="K11" s="1147" t="s">
        <v>395</v>
      </c>
      <c r="L11" s="1147" t="s">
        <v>929</v>
      </c>
      <c r="N11" s="243">
        <v>0.03</v>
      </c>
      <c r="R11" s="1156"/>
    </row>
    <row r="12" spans="2:18" ht="17.25" customHeight="1">
      <c r="B12" s="1148"/>
      <c r="C12" s="1148">
        <v>83</v>
      </c>
      <c r="D12" s="1149" t="s">
        <v>939</v>
      </c>
      <c r="E12" s="1150">
        <v>44659</v>
      </c>
      <c r="F12" s="1148" t="s">
        <v>940</v>
      </c>
      <c r="G12" s="1148" t="s">
        <v>941</v>
      </c>
      <c r="H12" s="1151" t="s">
        <v>432</v>
      </c>
      <c r="I12" s="1159">
        <v>300000</v>
      </c>
      <c r="J12" s="1159">
        <v>45750</v>
      </c>
      <c r="K12" s="1159">
        <v>254250</v>
      </c>
      <c r="L12" s="1151"/>
      <c r="M12" s="1159">
        <f>+I12*0.1225</f>
        <v>36750</v>
      </c>
      <c r="N12" s="1159">
        <f>+J12-M12</f>
        <v>9000</v>
      </c>
      <c r="R12" s="1156"/>
    </row>
    <row r="13" spans="2:18" ht="17.25" customHeight="1">
      <c r="B13" s="1148"/>
      <c r="C13" s="1148">
        <v>1419</v>
      </c>
      <c r="D13" s="1149" t="s">
        <v>939</v>
      </c>
      <c r="E13" s="1150">
        <v>44659</v>
      </c>
      <c r="F13" s="1148" t="s">
        <v>942</v>
      </c>
      <c r="G13" s="1148" t="s">
        <v>943</v>
      </c>
      <c r="H13" s="1151" t="s">
        <v>432</v>
      </c>
      <c r="I13" s="1159">
        <v>113960</v>
      </c>
      <c r="J13" s="1159">
        <v>13960</v>
      </c>
      <c r="K13" s="1159">
        <v>100000</v>
      </c>
      <c r="L13" s="1151"/>
      <c r="M13" s="1159">
        <f t="shared" ref="M13:M19" si="0">+I13*0.1225</f>
        <v>13960.1</v>
      </c>
      <c r="N13" s="1159">
        <f t="shared" ref="N13:N19" si="1">+J13-M13</f>
        <v>-0.1000000000003638</v>
      </c>
      <c r="R13" s="1156"/>
    </row>
    <row r="14" spans="2:18" ht="17.25" customHeight="1">
      <c r="B14" s="1148"/>
      <c r="C14" s="1148">
        <v>1</v>
      </c>
      <c r="D14" s="1149" t="s">
        <v>939</v>
      </c>
      <c r="E14" s="1150">
        <v>44659</v>
      </c>
      <c r="F14" s="1148" t="s">
        <v>944</v>
      </c>
      <c r="G14" s="1148" t="s">
        <v>945</v>
      </c>
      <c r="H14" s="1151" t="s">
        <v>432</v>
      </c>
      <c r="I14" s="1159">
        <v>113960</v>
      </c>
      <c r="J14" s="1159">
        <v>13960</v>
      </c>
      <c r="K14" s="1159">
        <v>100000</v>
      </c>
      <c r="L14" s="1151"/>
      <c r="M14" s="1159">
        <f t="shared" si="0"/>
        <v>13960.1</v>
      </c>
      <c r="N14" s="1159">
        <f t="shared" si="1"/>
        <v>-0.1000000000003638</v>
      </c>
      <c r="R14" s="1156"/>
    </row>
    <row r="15" spans="2:18" ht="17.25" customHeight="1">
      <c r="B15" s="1148"/>
      <c r="C15" s="1148">
        <v>1420</v>
      </c>
      <c r="D15" s="1149" t="s">
        <v>946</v>
      </c>
      <c r="E15" s="1150">
        <v>44677</v>
      </c>
      <c r="F15" s="1148" t="s">
        <v>942</v>
      </c>
      <c r="G15" s="1148" t="s">
        <v>943</v>
      </c>
      <c r="H15" s="1151"/>
      <c r="I15" s="1159"/>
      <c r="J15" s="1159"/>
      <c r="K15" s="1159"/>
      <c r="L15" s="1151"/>
      <c r="M15" s="1159">
        <f t="shared" si="0"/>
        <v>0</v>
      </c>
      <c r="N15" s="1159">
        <f t="shared" si="1"/>
        <v>0</v>
      </c>
      <c r="R15" s="1156"/>
    </row>
    <row r="16" spans="2:18" ht="17.25" customHeight="1">
      <c r="B16" s="1148"/>
      <c r="C16" s="1148">
        <v>84</v>
      </c>
      <c r="D16" s="1149" t="s">
        <v>939</v>
      </c>
      <c r="E16" s="1150">
        <v>44680</v>
      </c>
      <c r="F16" s="1148" t="s">
        <v>940</v>
      </c>
      <c r="G16" s="1148" t="s">
        <v>941</v>
      </c>
      <c r="H16" s="1151" t="s">
        <v>432</v>
      </c>
      <c r="I16" s="1159">
        <v>798859</v>
      </c>
      <c r="J16" s="1159">
        <v>121826</v>
      </c>
      <c r="K16" s="1159">
        <v>677033</v>
      </c>
      <c r="L16" s="1151"/>
      <c r="M16" s="1159">
        <f t="shared" si="0"/>
        <v>97860.227499999994</v>
      </c>
      <c r="N16" s="1159">
        <f t="shared" si="1"/>
        <v>23965.772500000006</v>
      </c>
      <c r="R16" s="1156"/>
    </row>
    <row r="17" spans="2:18" ht="17.25" customHeight="1">
      <c r="B17" s="1148"/>
      <c r="C17" s="1148">
        <v>85</v>
      </c>
      <c r="D17" s="1149" t="s">
        <v>939</v>
      </c>
      <c r="E17" s="1150">
        <v>44680</v>
      </c>
      <c r="F17" s="1148" t="s">
        <v>940</v>
      </c>
      <c r="G17" s="1148" t="s">
        <v>941</v>
      </c>
      <c r="H17" s="1151" t="s">
        <v>432</v>
      </c>
      <c r="I17" s="1159">
        <v>2000000</v>
      </c>
      <c r="J17" s="1159">
        <v>305000</v>
      </c>
      <c r="K17" s="1159">
        <v>1695000</v>
      </c>
      <c r="L17" s="1151"/>
      <c r="M17" s="1159">
        <f t="shared" si="0"/>
        <v>245000</v>
      </c>
      <c r="N17" s="1159">
        <f t="shared" si="1"/>
        <v>60000</v>
      </c>
      <c r="R17" s="1156"/>
    </row>
    <row r="18" spans="2:18" ht="17.25" customHeight="1">
      <c r="B18" s="1148"/>
      <c r="C18" s="1148">
        <v>2</v>
      </c>
      <c r="D18" s="1149" t="s">
        <v>939</v>
      </c>
      <c r="E18" s="1150">
        <v>44680</v>
      </c>
      <c r="F18" s="1148" t="s">
        <v>944</v>
      </c>
      <c r="G18" s="1148" t="s">
        <v>945</v>
      </c>
      <c r="H18" s="1151" t="s">
        <v>432</v>
      </c>
      <c r="I18" s="1159">
        <v>800000</v>
      </c>
      <c r="J18" s="1159">
        <v>98000</v>
      </c>
      <c r="K18" s="1159">
        <v>702000</v>
      </c>
      <c r="L18" s="1151"/>
      <c r="M18" s="1159">
        <f t="shared" si="0"/>
        <v>98000</v>
      </c>
      <c r="N18" s="1159">
        <f t="shared" si="1"/>
        <v>0</v>
      </c>
      <c r="R18" s="1156"/>
    </row>
    <row r="19" spans="2:18" ht="17.25" customHeight="1">
      <c r="B19" s="1148"/>
      <c r="C19" s="1148">
        <v>1423</v>
      </c>
      <c r="D19" s="1149" t="s">
        <v>939</v>
      </c>
      <c r="E19" s="1150">
        <v>44681</v>
      </c>
      <c r="F19" s="1148" t="s">
        <v>942</v>
      </c>
      <c r="G19" s="1148" t="s">
        <v>943</v>
      </c>
      <c r="H19" s="1151" t="s">
        <v>432</v>
      </c>
      <c r="I19" s="1159">
        <v>1100000</v>
      </c>
      <c r="J19" s="1159">
        <v>134750</v>
      </c>
      <c r="K19" s="1159">
        <v>965250</v>
      </c>
      <c r="L19" s="1151"/>
      <c r="M19" s="1159">
        <f t="shared" si="0"/>
        <v>134750</v>
      </c>
      <c r="N19" s="1159">
        <f t="shared" si="1"/>
        <v>0</v>
      </c>
      <c r="R19" s="1156"/>
    </row>
    <row r="20" spans="2:18">
      <c r="B20" s="1480" t="s">
        <v>947</v>
      </c>
      <c r="C20" s="1481"/>
      <c r="D20" s="1481"/>
      <c r="E20" s="1481"/>
      <c r="F20" s="1481"/>
      <c r="G20" s="1481"/>
      <c r="H20" s="1482"/>
      <c r="I20" s="1159">
        <v>5226779</v>
      </c>
      <c r="J20" s="1162">
        <v>733246</v>
      </c>
      <c r="K20" s="1159">
        <v>4493533</v>
      </c>
      <c r="L20" s="1153"/>
      <c r="M20" s="1163">
        <f>SUM(M12:M19)</f>
        <v>640280.42749999999</v>
      </c>
      <c r="N20" s="1159">
        <f>SUM(N12:N19)</f>
        <v>92965.572500000009</v>
      </c>
      <c r="O20" s="1157"/>
      <c r="P20" s="1157"/>
      <c r="Q20" s="1157"/>
      <c r="R20" s="1158"/>
    </row>
    <row r="21" spans="2:18">
      <c r="M21" s="248" t="s">
        <v>948</v>
      </c>
      <c r="N21" s="1161">
        <f>+N20+M20</f>
        <v>733246</v>
      </c>
    </row>
    <row r="22" spans="2:18">
      <c r="J22" s="190">
        <f>SUM(J12:J19)</f>
        <v>733246</v>
      </c>
    </row>
    <row r="23" spans="2:18">
      <c r="J23" s="190">
        <f>+J22-J20</f>
        <v>0</v>
      </c>
      <c r="K23" s="1160">
        <v>21296</v>
      </c>
    </row>
    <row r="24" spans="2:18">
      <c r="K24" s="1160">
        <v>92966</v>
      </c>
    </row>
    <row r="25" spans="2:18">
      <c r="K25" s="190">
        <f>SUM(K23:K24)</f>
        <v>114262</v>
      </c>
    </row>
    <row r="27" spans="2:18" ht="17.25" customHeight="1">
      <c r="B27" s="1148"/>
      <c r="C27" s="1148">
        <v>1420</v>
      </c>
      <c r="D27" s="1149" t="s">
        <v>946</v>
      </c>
      <c r="E27" s="1150">
        <v>44677</v>
      </c>
      <c r="F27" s="1148" t="s">
        <v>942</v>
      </c>
      <c r="G27" s="1148" t="s">
        <v>943</v>
      </c>
      <c r="H27" s="1151" t="s">
        <v>432</v>
      </c>
      <c r="I27" s="1159">
        <v>1100000</v>
      </c>
      <c r="J27" s="1159">
        <v>134750</v>
      </c>
      <c r="K27" s="1159">
        <v>965250</v>
      </c>
      <c r="L27" s="1151"/>
      <c r="R27" s="1156"/>
    </row>
    <row r="30" spans="2:18" ht="63.75" customHeight="1">
      <c r="B30" s="1488" t="s">
        <v>951</v>
      </c>
      <c r="C30" s="1488"/>
      <c r="D30" s="1488"/>
      <c r="E30" s="1488"/>
      <c r="F30" s="1488"/>
    </row>
    <row r="31" spans="2:18">
      <c r="B31" s="1483" t="s">
        <v>929</v>
      </c>
      <c r="C31" s="1484"/>
      <c r="D31" s="1484"/>
      <c r="E31" s="1485"/>
      <c r="F31" s="1483" t="s">
        <v>930</v>
      </c>
      <c r="G31" s="1484"/>
      <c r="H31" s="1485"/>
      <c r="I31" s="1483" t="s">
        <v>931</v>
      </c>
      <c r="J31" s="1484"/>
      <c r="K31" s="1485"/>
      <c r="L31" s="1145" t="s">
        <v>932</v>
      </c>
    </row>
    <row r="32" spans="2:18" ht="30" customHeight="1">
      <c r="B32" s="1146" t="s">
        <v>933</v>
      </c>
      <c r="C32" s="1147" t="s">
        <v>934</v>
      </c>
      <c r="D32" s="1147" t="s">
        <v>394</v>
      </c>
      <c r="E32" s="1147" t="s">
        <v>389</v>
      </c>
      <c r="F32" s="1147" t="s">
        <v>735</v>
      </c>
      <c r="G32" s="1147" t="s">
        <v>935</v>
      </c>
      <c r="H32" s="1147" t="s">
        <v>936</v>
      </c>
      <c r="I32" s="1147" t="s">
        <v>937</v>
      </c>
      <c r="J32" s="1147" t="s">
        <v>938</v>
      </c>
      <c r="K32" s="1147" t="s">
        <v>395</v>
      </c>
      <c r="L32" s="1147" t="s">
        <v>929</v>
      </c>
      <c r="N32" s="243">
        <v>0.03</v>
      </c>
    </row>
    <row r="34" spans="2:18">
      <c r="B34" s="1148"/>
      <c r="C34" s="1148">
        <v>87</v>
      </c>
      <c r="D34" s="1149" t="s">
        <v>939</v>
      </c>
      <c r="E34" s="1150">
        <v>44711</v>
      </c>
      <c r="F34" s="1148" t="s">
        <v>940</v>
      </c>
      <c r="G34" s="1148" t="s">
        <v>941</v>
      </c>
      <c r="H34" s="1151" t="s">
        <v>432</v>
      </c>
      <c r="I34" s="1159">
        <v>797720</v>
      </c>
      <c r="J34" s="1159">
        <v>121652</v>
      </c>
      <c r="K34" s="1159">
        <v>676068</v>
      </c>
      <c r="L34" s="1151"/>
      <c r="M34" s="1159">
        <f>+I34*0.1225</f>
        <v>97720.7</v>
      </c>
      <c r="N34" s="1159">
        <f>+J34-M34</f>
        <v>23931.300000000003</v>
      </c>
      <c r="R34" s="1156"/>
    </row>
    <row r="35" spans="2:18">
      <c r="B35" s="1480" t="s">
        <v>947</v>
      </c>
      <c r="C35" s="1481"/>
      <c r="D35" s="1481"/>
      <c r="E35" s="1481"/>
      <c r="F35" s="1481"/>
      <c r="G35" s="1481"/>
      <c r="H35" s="1482"/>
      <c r="I35" s="1159">
        <v>797721</v>
      </c>
      <c r="J35" s="1159">
        <v>121652</v>
      </c>
      <c r="K35" s="1159">
        <v>676069</v>
      </c>
      <c r="L35" s="1153"/>
      <c r="M35" s="1163">
        <f>SUM(M27:M34)</f>
        <v>97720.7</v>
      </c>
      <c r="N35" s="1159">
        <f>SUM(N27:N34)</f>
        <v>23931.33</v>
      </c>
      <c r="O35" s="1157"/>
      <c r="P35" s="1157"/>
      <c r="Q35" s="1157"/>
      <c r="R35" s="1158"/>
    </row>
    <row r="36" spans="2:18">
      <c r="B36" s="248" t="s">
        <v>950</v>
      </c>
      <c r="M36" s="248" t="s">
        <v>948</v>
      </c>
      <c r="N36" s="1161">
        <f>+N35+M35</f>
        <v>121652.03</v>
      </c>
    </row>
    <row r="39" spans="2:18">
      <c r="B39" s="1148"/>
      <c r="C39" s="1148">
        <v>1421</v>
      </c>
      <c r="D39" s="1149" t="s">
        <v>946</v>
      </c>
      <c r="E39" s="1150">
        <v>44683</v>
      </c>
      <c r="F39" s="1148" t="s">
        <v>942</v>
      </c>
      <c r="G39" s="1148" t="s">
        <v>943</v>
      </c>
      <c r="H39" s="1151" t="s">
        <v>432</v>
      </c>
      <c r="I39" s="1159">
        <v>1100000</v>
      </c>
      <c r="J39" s="1159">
        <v>134750</v>
      </c>
      <c r="K39" s="1159">
        <v>965250</v>
      </c>
      <c r="L39" s="1151"/>
      <c r="M39" s="1159">
        <f>+I39*0.1225</f>
        <v>134750</v>
      </c>
      <c r="N39" s="1159">
        <f>+J39-M39</f>
        <v>0</v>
      </c>
      <c r="O39" s="1154"/>
      <c r="P39" s="1154"/>
      <c r="Q39" s="1154"/>
      <c r="R39" s="1155"/>
    </row>
    <row r="44" spans="2:18" ht="63.75" customHeight="1">
      <c r="B44" s="1488" t="s">
        <v>952</v>
      </c>
      <c r="C44" s="1488"/>
      <c r="D44" s="1488"/>
      <c r="E44" s="1488"/>
      <c r="F44" s="1488"/>
    </row>
    <row r="45" spans="2:18">
      <c r="B45" s="1483" t="s">
        <v>929</v>
      </c>
      <c r="C45" s="1484"/>
      <c r="D45" s="1484"/>
      <c r="E45" s="1485"/>
      <c r="F45" s="1483" t="s">
        <v>930</v>
      </c>
      <c r="G45" s="1484"/>
      <c r="H45" s="1485"/>
      <c r="I45" s="1483" t="s">
        <v>931</v>
      </c>
      <c r="J45" s="1484"/>
      <c r="K45" s="1485"/>
      <c r="L45" s="1145" t="s">
        <v>932</v>
      </c>
      <c r="M45" s="1154"/>
      <c r="N45" s="1154"/>
      <c r="O45" s="1154"/>
      <c r="P45" s="1154"/>
      <c r="Q45" s="1154"/>
      <c r="R45" s="1155"/>
    </row>
    <row r="46" spans="2:18">
      <c r="B46" s="1146" t="s">
        <v>933</v>
      </c>
      <c r="C46" s="1147" t="s">
        <v>934</v>
      </c>
      <c r="D46" s="1147" t="s">
        <v>394</v>
      </c>
      <c r="E46" s="1147" t="s">
        <v>389</v>
      </c>
      <c r="F46" s="1147" t="s">
        <v>735</v>
      </c>
      <c r="G46" s="1147" t="s">
        <v>935</v>
      </c>
      <c r="H46" s="1147" t="s">
        <v>936</v>
      </c>
      <c r="I46" s="1147" t="s">
        <v>937</v>
      </c>
      <c r="J46" s="1147" t="s">
        <v>938</v>
      </c>
      <c r="K46" s="1147" t="s">
        <v>395</v>
      </c>
      <c r="L46" s="1147" t="s">
        <v>929</v>
      </c>
      <c r="N46" s="243">
        <v>0.03</v>
      </c>
      <c r="R46" s="1156"/>
    </row>
    <row r="47" spans="2:18">
      <c r="B47" s="1148"/>
      <c r="C47" s="1148">
        <v>1</v>
      </c>
      <c r="D47" s="1149" t="s">
        <v>939</v>
      </c>
      <c r="E47" s="1150">
        <v>44763</v>
      </c>
      <c r="F47" s="1148" t="s">
        <v>953</v>
      </c>
      <c r="G47" s="1148" t="s">
        <v>954</v>
      </c>
      <c r="H47" s="1151" t="s">
        <v>432</v>
      </c>
      <c r="I47" s="1159">
        <v>50142</v>
      </c>
      <c r="J47" s="1159">
        <v>6142</v>
      </c>
      <c r="K47" s="1159">
        <v>44000</v>
      </c>
      <c r="L47" s="1151"/>
      <c r="M47" s="1159">
        <f>+I47*0.1225</f>
        <v>6142.3949999999995</v>
      </c>
      <c r="N47" s="1159">
        <f>+J47-M47</f>
        <v>-0.39499999999952706</v>
      </c>
      <c r="R47" s="1156"/>
    </row>
    <row r="48" spans="2:18">
      <c r="M48" s="1159">
        <f>+I48*0.1225</f>
        <v>0</v>
      </c>
      <c r="N48" s="1159">
        <f>+J48-M48</f>
        <v>0</v>
      </c>
    </row>
    <row r="49" spans="2:18">
      <c r="B49" s="1148"/>
      <c r="C49" s="1148">
        <v>3</v>
      </c>
      <c r="D49" s="1149" t="s">
        <v>939</v>
      </c>
      <c r="E49" s="1150">
        <v>44770</v>
      </c>
      <c r="F49" s="1148" t="s">
        <v>953</v>
      </c>
      <c r="G49" s="1148" t="s">
        <v>954</v>
      </c>
      <c r="H49" s="1151" t="s">
        <v>432</v>
      </c>
      <c r="I49" s="1159">
        <v>115100</v>
      </c>
      <c r="J49" s="1159">
        <v>14100</v>
      </c>
      <c r="K49" s="1159">
        <v>101000</v>
      </c>
      <c r="L49" s="1151"/>
      <c r="M49" s="1159">
        <f>+I49*0.1225</f>
        <v>14099.75</v>
      </c>
      <c r="N49" s="1159">
        <f>+J49-M49</f>
        <v>0.25</v>
      </c>
      <c r="R49" s="1156"/>
    </row>
    <row r="50" spans="2:18">
      <c r="B50" s="1480" t="s">
        <v>947</v>
      </c>
      <c r="C50" s="1481"/>
      <c r="D50" s="1481"/>
      <c r="E50" s="1481"/>
      <c r="F50" s="1481"/>
      <c r="G50" s="1481"/>
      <c r="H50" s="1482"/>
      <c r="I50" s="1159">
        <f>SUM(I47:I49)</f>
        <v>165242</v>
      </c>
      <c r="J50" s="1162">
        <f>SUM(J47:J49)</f>
        <v>20242</v>
      </c>
      <c r="K50" s="1159">
        <f>SUM(K47:K49)</f>
        <v>145000</v>
      </c>
      <c r="L50" s="1153"/>
      <c r="M50" s="890">
        <f>SUM(M47:M49)</f>
        <v>20242.145</v>
      </c>
      <c r="N50" s="890">
        <f>SUM(N47:N49)</f>
        <v>-0.14499999999952706</v>
      </c>
      <c r="O50" s="1157"/>
      <c r="P50" s="1157"/>
      <c r="Q50" s="1157"/>
      <c r="R50" s="1158"/>
    </row>
    <row r="51" spans="2:18">
      <c r="B51" s="248" t="s">
        <v>950</v>
      </c>
      <c r="M51" s="248" t="s">
        <v>948</v>
      </c>
      <c r="N51" s="1161">
        <f>+N50+M50</f>
        <v>20242</v>
      </c>
    </row>
    <row r="53" spans="2:18">
      <c r="B53" s="1148"/>
      <c r="C53" s="1148">
        <v>2</v>
      </c>
      <c r="D53" s="1149" t="s">
        <v>946</v>
      </c>
      <c r="E53" s="1150">
        <v>44770</v>
      </c>
      <c r="F53" s="1148" t="s">
        <v>953</v>
      </c>
      <c r="G53" s="1148" t="s">
        <v>954</v>
      </c>
      <c r="H53" s="1151" t="s">
        <v>432</v>
      </c>
      <c r="I53" s="1159">
        <v>112833</v>
      </c>
      <c r="J53" s="1159">
        <v>13822</v>
      </c>
      <c r="K53" s="1159">
        <v>99011</v>
      </c>
      <c r="L53" s="1151"/>
      <c r="R53" s="1156"/>
    </row>
    <row r="57" spans="2:18" ht="63.75" customHeight="1">
      <c r="B57" s="1488" t="s">
        <v>955</v>
      </c>
      <c r="C57" s="1488"/>
      <c r="D57" s="1488"/>
      <c r="E57" s="1488"/>
      <c r="F57" s="1488"/>
    </row>
    <row r="58" spans="2:18">
      <c r="B58" s="1483" t="s">
        <v>929</v>
      </c>
      <c r="C58" s="1484"/>
      <c r="D58" s="1484"/>
      <c r="E58" s="1485"/>
      <c r="F58" s="1483" t="s">
        <v>930</v>
      </c>
      <c r="G58" s="1484"/>
      <c r="H58" s="1485"/>
      <c r="I58" s="1483" t="s">
        <v>931</v>
      </c>
      <c r="J58" s="1484"/>
      <c r="K58" s="1485"/>
      <c r="L58" s="1145" t="s">
        <v>932</v>
      </c>
    </row>
    <row r="59" spans="2:18">
      <c r="B59" s="1146" t="s">
        <v>933</v>
      </c>
      <c r="C59" s="1147" t="s">
        <v>934</v>
      </c>
      <c r="D59" s="1147" t="s">
        <v>394</v>
      </c>
      <c r="E59" s="1147" t="s">
        <v>389</v>
      </c>
      <c r="F59" s="1147" t="s">
        <v>735</v>
      </c>
      <c r="G59" s="1147" t="s">
        <v>935</v>
      </c>
      <c r="H59" s="1147" t="s">
        <v>936</v>
      </c>
      <c r="I59" s="1147" t="s">
        <v>937</v>
      </c>
      <c r="J59" s="1147" t="s">
        <v>938</v>
      </c>
      <c r="K59" s="1147" t="s">
        <v>395</v>
      </c>
      <c r="L59" s="1147" t="s">
        <v>929</v>
      </c>
      <c r="N59" s="243">
        <v>0.03</v>
      </c>
    </row>
    <row r="60" spans="2:18">
      <c r="B60" s="1148"/>
      <c r="C60" s="1148">
        <v>4</v>
      </c>
      <c r="D60" s="1149" t="s">
        <v>939</v>
      </c>
      <c r="E60" s="1150">
        <v>44798</v>
      </c>
      <c r="F60" s="1148" t="s">
        <v>953</v>
      </c>
      <c r="G60" s="1148" t="s">
        <v>954</v>
      </c>
      <c r="H60" s="1151" t="s">
        <v>432</v>
      </c>
      <c r="I60" s="1159">
        <v>501425</v>
      </c>
      <c r="J60" s="1159">
        <v>61425</v>
      </c>
      <c r="K60" s="1159">
        <v>440000</v>
      </c>
      <c r="L60" s="1151"/>
      <c r="M60" s="1159">
        <f>+I60*0.1225</f>
        <v>61424.5625</v>
      </c>
      <c r="N60" s="1159">
        <f>+J60-M60</f>
        <v>0.4375</v>
      </c>
    </row>
    <row r="61" spans="2:18">
      <c r="B61" s="1480" t="s">
        <v>947</v>
      </c>
      <c r="C61" s="1481"/>
      <c r="D61" s="1481"/>
      <c r="E61" s="1481"/>
      <c r="F61" s="1481"/>
      <c r="G61" s="1481"/>
      <c r="H61" s="1482"/>
      <c r="I61" s="1159">
        <v>501425</v>
      </c>
      <c r="J61" s="1159">
        <v>61425</v>
      </c>
      <c r="K61" s="1159">
        <v>440000</v>
      </c>
      <c r="L61" s="1165"/>
      <c r="M61" s="890">
        <f>SUM(M58:M60)</f>
        <v>61424.5625</v>
      </c>
      <c r="N61" s="890">
        <f>SUM(N58:N60)</f>
        <v>0.46750000000000003</v>
      </c>
    </row>
    <row r="62" spans="2:18">
      <c r="M62" s="248" t="s">
        <v>948</v>
      </c>
      <c r="N62" s="1161">
        <f>+N61+M61</f>
        <v>61425.03</v>
      </c>
    </row>
    <row r="65" spans="2:14" ht="63.75" customHeight="1">
      <c r="B65" s="1488" t="s">
        <v>956</v>
      </c>
      <c r="C65" s="1488"/>
      <c r="D65" s="1488"/>
      <c r="E65" s="1488"/>
      <c r="F65" s="1488"/>
    </row>
    <row r="66" spans="2:14">
      <c r="B66" s="1483" t="s">
        <v>929</v>
      </c>
      <c r="C66" s="1484"/>
      <c r="D66" s="1484"/>
      <c r="E66" s="1485"/>
      <c r="F66" s="1483" t="s">
        <v>930</v>
      </c>
      <c r="G66" s="1484"/>
      <c r="H66" s="1485"/>
      <c r="I66" s="1483" t="s">
        <v>931</v>
      </c>
      <c r="J66" s="1484"/>
      <c r="K66" s="1485"/>
      <c r="L66" s="1145" t="s">
        <v>932</v>
      </c>
    </row>
    <row r="67" spans="2:14">
      <c r="B67" s="1146" t="s">
        <v>933</v>
      </c>
      <c r="C67" s="1147" t="s">
        <v>934</v>
      </c>
      <c r="D67" s="1147" t="s">
        <v>394</v>
      </c>
      <c r="E67" s="1147" t="s">
        <v>389</v>
      </c>
      <c r="F67" s="1147" t="s">
        <v>735</v>
      </c>
      <c r="G67" s="1147" t="s">
        <v>935</v>
      </c>
      <c r="H67" s="1147" t="s">
        <v>936</v>
      </c>
      <c r="I67" s="1147" t="s">
        <v>937</v>
      </c>
      <c r="J67" s="1147" t="s">
        <v>938</v>
      </c>
      <c r="K67" s="1147" t="s">
        <v>395</v>
      </c>
      <c r="L67" s="1147" t="s">
        <v>929</v>
      </c>
      <c r="N67" s="243">
        <v>0.03</v>
      </c>
    </row>
    <row r="68" spans="2:14">
      <c r="B68" s="1148"/>
      <c r="C68" s="1148">
        <v>3</v>
      </c>
      <c r="D68" s="1149" t="s">
        <v>939</v>
      </c>
      <c r="E68" s="1150">
        <v>44825</v>
      </c>
      <c r="F68" s="1148" t="s">
        <v>944</v>
      </c>
      <c r="G68" s="1148" t="s">
        <v>945</v>
      </c>
      <c r="H68" s="1151" t="s">
        <v>432</v>
      </c>
      <c r="I68" s="1159">
        <v>85470</v>
      </c>
      <c r="J68" s="1159">
        <v>10470</v>
      </c>
      <c r="K68" s="1159">
        <v>75000</v>
      </c>
      <c r="L68" s="1151"/>
      <c r="M68" s="1159">
        <f>+I68*0.1225</f>
        <v>10470.074999999999</v>
      </c>
      <c r="N68" s="1159">
        <f>+J68-M68</f>
        <v>-7.4999999998908606E-2</v>
      </c>
    </row>
    <row r="69" spans="2:14">
      <c r="B69" s="1480" t="s">
        <v>947</v>
      </c>
      <c r="C69" s="1481"/>
      <c r="D69" s="1481"/>
      <c r="E69" s="1481"/>
      <c r="F69" s="1481"/>
      <c r="G69" s="1481"/>
      <c r="H69" s="1482"/>
      <c r="I69" s="1159">
        <v>85470</v>
      </c>
      <c r="J69" s="1159">
        <v>10470</v>
      </c>
      <c r="K69" s="1159">
        <v>75000</v>
      </c>
      <c r="L69" s="1165"/>
      <c r="M69" s="890">
        <f>SUM(M66:M68)</f>
        <v>10470.074999999999</v>
      </c>
      <c r="N69" s="890">
        <f>SUM(N66:N68)</f>
        <v>-4.4999999998908607E-2</v>
      </c>
    </row>
    <row r="70" spans="2:14">
      <c r="M70" s="248" t="s">
        <v>948</v>
      </c>
      <c r="N70" s="1161">
        <f>+N69+M69</f>
        <v>10470.030000000001</v>
      </c>
    </row>
    <row r="73" spans="2:14" ht="34.5" customHeight="1">
      <c r="B73" s="1489" t="s">
        <v>957</v>
      </c>
      <c r="C73" s="1489"/>
      <c r="D73" s="1489"/>
      <c r="E73" s="1489"/>
      <c r="F73" s="1489"/>
    </row>
    <row r="74" spans="2:14">
      <c r="B74" s="1483" t="s">
        <v>929</v>
      </c>
      <c r="C74" s="1484"/>
      <c r="D74" s="1484"/>
      <c r="E74" s="1485"/>
      <c r="F74" s="1483" t="s">
        <v>930</v>
      </c>
      <c r="G74" s="1484"/>
      <c r="H74" s="1485"/>
      <c r="I74" s="1483" t="s">
        <v>931</v>
      </c>
      <c r="J74" s="1484"/>
      <c r="K74" s="1485"/>
      <c r="L74" s="1145" t="s">
        <v>932</v>
      </c>
    </row>
    <row r="75" spans="2:14">
      <c r="B75" s="1146" t="s">
        <v>933</v>
      </c>
      <c r="C75" s="1147" t="s">
        <v>934</v>
      </c>
      <c r="D75" s="1147" t="s">
        <v>394</v>
      </c>
      <c r="E75" s="1147" t="s">
        <v>389</v>
      </c>
      <c r="F75" s="1147" t="s">
        <v>735</v>
      </c>
      <c r="G75" s="1147" t="s">
        <v>935</v>
      </c>
      <c r="H75" s="1147" t="s">
        <v>936</v>
      </c>
      <c r="I75" s="1147" t="s">
        <v>937</v>
      </c>
      <c r="J75" s="1147" t="s">
        <v>938</v>
      </c>
      <c r="K75" s="1147" t="s">
        <v>395</v>
      </c>
      <c r="L75" s="1147" t="s">
        <v>929</v>
      </c>
      <c r="N75" s="243">
        <v>0.03</v>
      </c>
    </row>
    <row r="76" spans="2:14">
      <c r="B76" s="1148"/>
      <c r="C76" s="1148">
        <v>88</v>
      </c>
      <c r="D76" s="1149" t="s">
        <v>939</v>
      </c>
      <c r="E76" s="1150">
        <v>44864</v>
      </c>
      <c r="F76" s="1148" t="s">
        <v>940</v>
      </c>
      <c r="G76" s="1148" t="s">
        <v>941</v>
      </c>
      <c r="H76" s="1151" t="s">
        <v>432</v>
      </c>
      <c r="I76" s="1159">
        <v>3190883</v>
      </c>
      <c r="J76" s="1159">
        <v>486610</v>
      </c>
      <c r="K76" s="1159">
        <v>2704273</v>
      </c>
      <c r="L76" s="1151"/>
      <c r="M76" s="1159">
        <f>+I76*0.1225</f>
        <v>390883.16749999998</v>
      </c>
      <c r="N76" s="1159">
        <f>+J76-M76</f>
        <v>95726.832500000019</v>
      </c>
    </row>
    <row r="77" spans="2:14">
      <c r="B77" s="1148"/>
      <c r="C77" s="1148">
        <v>89</v>
      </c>
      <c r="D77" s="1149" t="s">
        <v>939</v>
      </c>
      <c r="E77" s="1150">
        <v>44864</v>
      </c>
      <c r="F77" s="1148" t="s">
        <v>940</v>
      </c>
      <c r="G77" s="1148" t="s">
        <v>941</v>
      </c>
      <c r="H77" s="1151" t="s">
        <v>432</v>
      </c>
      <c r="I77" s="1159">
        <v>569800</v>
      </c>
      <c r="J77" s="1159">
        <v>86895</v>
      </c>
      <c r="K77" s="1159">
        <v>482905</v>
      </c>
      <c r="L77" s="1151"/>
      <c r="M77" s="1159">
        <f>+I77*0.1225</f>
        <v>69800.5</v>
      </c>
      <c r="N77" s="1159">
        <f>+J77-M77</f>
        <v>17094.5</v>
      </c>
    </row>
    <row r="78" spans="2:14">
      <c r="B78" s="1148"/>
      <c r="C78" s="1148">
        <v>4</v>
      </c>
      <c r="D78" s="1149" t="s">
        <v>939</v>
      </c>
      <c r="E78" s="1150">
        <v>44864</v>
      </c>
      <c r="F78" s="1148" t="s">
        <v>944</v>
      </c>
      <c r="G78" s="1148" t="s">
        <v>945</v>
      </c>
      <c r="H78" s="1151" t="s">
        <v>432</v>
      </c>
      <c r="I78" s="1159">
        <v>1709402</v>
      </c>
      <c r="J78" s="1159">
        <v>209402</v>
      </c>
      <c r="K78" s="1159">
        <v>1500000</v>
      </c>
      <c r="L78" s="1151"/>
      <c r="M78" s="1159">
        <f>+I78*0.1225</f>
        <v>209401.745</v>
      </c>
      <c r="N78" s="1159">
        <f>+J78-M78</f>
        <v>0.25500000000465661</v>
      </c>
    </row>
    <row r="79" spans="2:14">
      <c r="B79" s="1480" t="s">
        <v>947</v>
      </c>
      <c r="C79" s="1481"/>
      <c r="D79" s="1481"/>
      <c r="E79" s="1481"/>
      <c r="F79" s="1481"/>
      <c r="G79" s="1481"/>
      <c r="H79" s="1482"/>
      <c r="I79" s="1159">
        <v>5470085</v>
      </c>
      <c r="J79" s="1162">
        <v>782907</v>
      </c>
      <c r="K79" s="1159">
        <v>4687178</v>
      </c>
      <c r="L79" s="1165"/>
      <c r="M79" s="1166">
        <f>SUM(M76:M78)</f>
        <v>670085.41249999998</v>
      </c>
      <c r="N79" s="890">
        <f>SUM(N76:N78)</f>
        <v>112821.58750000002</v>
      </c>
    </row>
    <row r="80" spans="2:14">
      <c r="M80" s="248" t="s">
        <v>948</v>
      </c>
      <c r="N80" s="1161">
        <f>+N79+M79</f>
        <v>782907</v>
      </c>
    </row>
    <row r="87" spans="2:14" ht="22.5" customHeight="1">
      <c r="B87" s="1488" t="s">
        <v>958</v>
      </c>
      <c r="C87" s="1488"/>
      <c r="D87" s="1488"/>
      <c r="E87" s="1488"/>
      <c r="F87" s="1488"/>
    </row>
    <row r="88" spans="2:14">
      <c r="B88" s="1483" t="s">
        <v>929</v>
      </c>
      <c r="C88" s="1484"/>
      <c r="D88" s="1484"/>
      <c r="E88" s="1485"/>
      <c r="F88" s="1483" t="s">
        <v>930</v>
      </c>
      <c r="G88" s="1484"/>
      <c r="H88" s="1485"/>
      <c r="I88" s="1483" t="s">
        <v>931</v>
      </c>
      <c r="J88" s="1484"/>
      <c r="K88" s="1485"/>
      <c r="L88" s="1145" t="s">
        <v>932</v>
      </c>
    </row>
    <row r="89" spans="2:14">
      <c r="B89" s="1146" t="s">
        <v>933</v>
      </c>
      <c r="C89" s="1147" t="s">
        <v>934</v>
      </c>
      <c r="D89" s="1147" t="s">
        <v>394</v>
      </c>
      <c r="E89" s="1147" t="s">
        <v>389</v>
      </c>
      <c r="F89" s="1147" t="s">
        <v>735</v>
      </c>
      <c r="G89" s="1147" t="s">
        <v>935</v>
      </c>
      <c r="H89" s="1147" t="s">
        <v>936</v>
      </c>
      <c r="I89" s="1147" t="s">
        <v>937</v>
      </c>
      <c r="J89" s="1147" t="s">
        <v>938</v>
      </c>
      <c r="K89" s="1147" t="s">
        <v>395</v>
      </c>
      <c r="L89" s="1147" t="s">
        <v>929</v>
      </c>
      <c r="N89" s="243">
        <v>0.03</v>
      </c>
    </row>
    <row r="90" spans="2:14" ht="22.5">
      <c r="B90" s="1148"/>
      <c r="C90" s="1148">
        <v>2</v>
      </c>
      <c r="D90" s="1149" t="s">
        <v>939</v>
      </c>
      <c r="E90" s="1150">
        <v>44915</v>
      </c>
      <c r="F90" s="1148" t="s">
        <v>959</v>
      </c>
      <c r="G90" s="1148" t="s">
        <v>960</v>
      </c>
      <c r="H90" s="1151" t="s">
        <v>432</v>
      </c>
      <c r="I90" s="1159">
        <v>85470</v>
      </c>
      <c r="J90" s="1159">
        <v>10470</v>
      </c>
      <c r="K90" s="1159">
        <v>75000</v>
      </c>
      <c r="L90" s="1151"/>
      <c r="M90" s="1159">
        <f>+I90*0.1225</f>
        <v>10470.074999999999</v>
      </c>
      <c r="N90" s="1159">
        <f>+J90-M90</f>
        <v>-7.4999999998908606E-2</v>
      </c>
    </row>
    <row r="91" spans="2:14">
      <c r="B91" s="1148"/>
      <c r="C91" s="1148">
        <v>5</v>
      </c>
      <c r="D91" s="1149" t="s">
        <v>939</v>
      </c>
      <c r="E91" s="1150">
        <v>44915</v>
      </c>
      <c r="F91" s="1148" t="s">
        <v>944</v>
      </c>
      <c r="G91" s="1148" t="s">
        <v>945</v>
      </c>
      <c r="H91" s="1151" t="s">
        <v>432</v>
      </c>
      <c r="I91" s="1159">
        <v>85470</v>
      </c>
      <c r="J91" s="1159">
        <v>10470</v>
      </c>
      <c r="K91" s="1159">
        <v>75000</v>
      </c>
      <c r="L91" s="1151"/>
      <c r="M91" s="1159">
        <f>+I91*0.1225</f>
        <v>10470.074999999999</v>
      </c>
      <c r="N91" s="1159">
        <f>+J91-M91</f>
        <v>-7.4999999998908606E-2</v>
      </c>
    </row>
    <row r="92" spans="2:14">
      <c r="B92" s="1148"/>
      <c r="C92" s="1148">
        <v>6</v>
      </c>
      <c r="D92" s="1149" t="s">
        <v>939</v>
      </c>
      <c r="E92" s="1150">
        <v>44923</v>
      </c>
      <c r="F92" s="1148" t="s">
        <v>944</v>
      </c>
      <c r="G92" s="1148" t="s">
        <v>945</v>
      </c>
      <c r="H92" s="1151" t="s">
        <v>432</v>
      </c>
      <c r="I92" s="1159">
        <v>500000</v>
      </c>
      <c r="J92" s="1159">
        <v>61250</v>
      </c>
      <c r="K92" s="1159">
        <v>438750</v>
      </c>
      <c r="L92" s="1151"/>
      <c r="M92" s="1159">
        <f>+I92*0.1225</f>
        <v>61250</v>
      </c>
      <c r="N92" s="1159">
        <f>+J92-M92</f>
        <v>0</v>
      </c>
    </row>
    <row r="93" spans="2:14">
      <c r="B93" s="1480" t="s">
        <v>947</v>
      </c>
      <c r="C93" s="1481"/>
      <c r="D93" s="1481"/>
      <c r="E93" s="1481"/>
      <c r="F93" s="1481"/>
      <c r="G93" s="1481"/>
      <c r="H93" s="1482"/>
      <c r="I93" s="1159">
        <v>670940</v>
      </c>
      <c r="J93" s="1159">
        <v>82190</v>
      </c>
      <c r="K93" s="1152" t="s">
        <v>961</v>
      </c>
      <c r="L93" s="1165"/>
      <c r="M93" s="1166">
        <f>SUM(M90:M92)</f>
        <v>82190.149999999994</v>
      </c>
      <c r="N93" s="890">
        <f>SUM(N90:N92)</f>
        <v>-0.14999999999781721</v>
      </c>
    </row>
    <row r="94" spans="2:14">
      <c r="M94" s="248" t="s">
        <v>948</v>
      </c>
      <c r="N94" s="1161">
        <f>+N93+M93</f>
        <v>82190</v>
      </c>
    </row>
  </sheetData>
  <mergeCells count="42">
    <mergeCell ref="B88:E88"/>
    <mergeCell ref="F88:H88"/>
    <mergeCell ref="I88:K88"/>
    <mergeCell ref="B93:H93"/>
    <mergeCell ref="B87:F87"/>
    <mergeCell ref="B74:E74"/>
    <mergeCell ref="F74:H74"/>
    <mergeCell ref="I74:K74"/>
    <mergeCell ref="B79:H79"/>
    <mergeCell ref="B73:F73"/>
    <mergeCell ref="B66:E66"/>
    <mergeCell ref="F66:H66"/>
    <mergeCell ref="I66:K66"/>
    <mergeCell ref="B69:H69"/>
    <mergeCell ref="B65:F65"/>
    <mergeCell ref="B58:E58"/>
    <mergeCell ref="F58:H58"/>
    <mergeCell ref="I58:K58"/>
    <mergeCell ref="B61:H61"/>
    <mergeCell ref="B57:F57"/>
    <mergeCell ref="I45:K45"/>
    <mergeCell ref="B50:H50"/>
    <mergeCell ref="B44:F44"/>
    <mergeCell ref="B30:F30"/>
    <mergeCell ref="B45:E45"/>
    <mergeCell ref="F45:H45"/>
    <mergeCell ref="B35:H35"/>
    <mergeCell ref="B2:C2"/>
    <mergeCell ref="D2:E2"/>
    <mergeCell ref="B3:E3"/>
    <mergeCell ref="F3:H3"/>
    <mergeCell ref="I3:K3"/>
    <mergeCell ref="B6:H6"/>
    <mergeCell ref="B31:E31"/>
    <mergeCell ref="F31:H31"/>
    <mergeCell ref="I31:K31"/>
    <mergeCell ref="B9:C9"/>
    <mergeCell ref="D9:E9"/>
    <mergeCell ref="B10:E10"/>
    <mergeCell ref="F10:H10"/>
    <mergeCell ref="I10:K10"/>
    <mergeCell ref="B20:H20"/>
  </mergeCells>
  <hyperlinks>
    <hyperlink ref="D12" r:id="rId1" display="javascript:void(0);" xr:uid="{00000000-0004-0000-1700-000000000000}"/>
    <hyperlink ref="D13" r:id="rId2" display="javascript:void(0);" xr:uid="{00000000-0004-0000-1700-000001000000}"/>
    <hyperlink ref="D14" r:id="rId3" display="javascript:void(0);" xr:uid="{00000000-0004-0000-1700-000002000000}"/>
    <hyperlink ref="D15" r:id="rId4" display="javascript:void(0);" xr:uid="{00000000-0004-0000-1700-000003000000}"/>
    <hyperlink ref="D16" r:id="rId5" display="javascript:void(0);" xr:uid="{00000000-0004-0000-1700-000004000000}"/>
    <hyperlink ref="D17" r:id="rId6" display="javascript:void(0);" xr:uid="{00000000-0004-0000-1700-000005000000}"/>
    <hyperlink ref="D18" r:id="rId7" display="javascript:void(0);" xr:uid="{00000000-0004-0000-1700-000006000000}"/>
    <hyperlink ref="D19" r:id="rId8" display="javascript:void(0);" xr:uid="{00000000-0004-0000-1700-000007000000}"/>
    <hyperlink ref="D27" r:id="rId9" display="javascript:void(0);" xr:uid="{00000000-0004-0000-1700-000008000000}"/>
    <hyperlink ref="D5" r:id="rId10" display="javascript:void(0);" xr:uid="{00000000-0004-0000-1700-000009000000}"/>
    <hyperlink ref="D39" r:id="rId11" display="javascript:void(0);" xr:uid="{00000000-0004-0000-1700-00000A000000}"/>
    <hyperlink ref="D34" r:id="rId12" display="javascript:void(0);" xr:uid="{00000000-0004-0000-1700-00000B000000}"/>
    <hyperlink ref="D47" r:id="rId13" display="javascript:void(0);" xr:uid="{00000000-0004-0000-1700-00000C000000}"/>
    <hyperlink ref="D53" r:id="rId14" display="javascript:void(0);" xr:uid="{00000000-0004-0000-1700-00000D000000}"/>
    <hyperlink ref="D49" r:id="rId15" display="javascript:void(0);" xr:uid="{00000000-0004-0000-1700-00000E000000}"/>
    <hyperlink ref="D60" r:id="rId16" display="javascript:void(0);" xr:uid="{00000000-0004-0000-1700-00000F000000}"/>
    <hyperlink ref="D68" r:id="rId17" display="javascript:void(0);" xr:uid="{00000000-0004-0000-1700-000010000000}"/>
    <hyperlink ref="D76" r:id="rId18" display="javascript:void(0);" xr:uid="{00000000-0004-0000-1700-000011000000}"/>
    <hyperlink ref="D77" r:id="rId19" display="javascript:void(0);" xr:uid="{00000000-0004-0000-1700-000012000000}"/>
    <hyperlink ref="D78" r:id="rId20" display="javascript:void(0);" xr:uid="{00000000-0004-0000-1700-000013000000}"/>
    <hyperlink ref="D90" r:id="rId21" display="javascript:void(0);" xr:uid="{00000000-0004-0000-1700-000014000000}"/>
    <hyperlink ref="D91" r:id="rId22" display="javascript:void(0);" xr:uid="{00000000-0004-0000-1700-000015000000}"/>
    <hyperlink ref="D92" r:id="rId23" display="javascript:void(0);" xr:uid="{00000000-0004-0000-1700-000016000000}"/>
  </hyperlinks>
  <pageMargins left="0.7" right="0.7" top="0.75" bottom="0.75" header="0.3" footer="0.3"/>
  <drawing r:id="rId2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3:M18"/>
  <sheetViews>
    <sheetView topLeftCell="A70" workbookViewId="0">
      <selection activeCell="M17" sqref="M17"/>
    </sheetView>
  </sheetViews>
  <sheetFormatPr baseColWidth="10" defaultRowHeight="12.75"/>
  <sheetData>
    <row r="3" spans="1:13" ht="18">
      <c r="A3" s="1386" t="s">
        <v>1025</v>
      </c>
    </row>
    <row r="4" spans="1:13" ht="13.5" thickBot="1">
      <c r="A4" s="1387"/>
    </row>
    <row r="5" spans="1:13" ht="13.5" thickBot="1">
      <c r="A5" s="1390"/>
      <c r="B5" s="1391" t="s">
        <v>1026</v>
      </c>
      <c r="C5" s="1391" t="s">
        <v>1027</v>
      </c>
      <c r="D5" s="1391" t="s">
        <v>1028</v>
      </c>
      <c r="E5" s="1391" t="s">
        <v>1029</v>
      </c>
      <c r="F5" s="1391" t="s">
        <v>1030</v>
      </c>
      <c r="G5" s="1391" t="s">
        <v>1031</v>
      </c>
      <c r="H5" s="1391" t="s">
        <v>1032</v>
      </c>
      <c r="I5" s="1391" t="s">
        <v>1033</v>
      </c>
      <c r="J5" s="1391" t="s">
        <v>1034</v>
      </c>
      <c r="K5" s="1391" t="s">
        <v>1035</v>
      </c>
      <c r="L5" s="1391" t="s">
        <v>1036</v>
      </c>
      <c r="M5" s="1392" t="s">
        <v>1037</v>
      </c>
    </row>
    <row r="6" spans="1:13" ht="13.5" thickBot="1">
      <c r="A6" s="1393" t="s">
        <v>1038</v>
      </c>
      <c r="B6" s="1388" t="s">
        <v>1039</v>
      </c>
      <c r="C6" s="1388" t="s">
        <v>1040</v>
      </c>
      <c r="D6" s="1388" t="s">
        <v>1041</v>
      </c>
      <c r="E6" s="1388" t="s">
        <v>1042</v>
      </c>
      <c r="F6" s="1388" t="s">
        <v>1043</v>
      </c>
      <c r="G6" s="1388" t="s">
        <v>1044</v>
      </c>
      <c r="H6" s="1388" t="s">
        <v>1043</v>
      </c>
      <c r="I6" s="1388" t="s">
        <v>1045</v>
      </c>
      <c r="J6" s="1388" t="s">
        <v>1046</v>
      </c>
      <c r="K6" s="1388" t="s">
        <v>1047</v>
      </c>
      <c r="L6" s="1388" t="s">
        <v>1048</v>
      </c>
      <c r="M6" s="1388" t="s">
        <v>1049</v>
      </c>
    </row>
    <row r="7" spans="1:13" ht="13.5" thickBot="1">
      <c r="A7" s="1393" t="s">
        <v>266</v>
      </c>
      <c r="B7" s="1388"/>
      <c r="C7" s="1388" t="s">
        <v>1050</v>
      </c>
      <c r="D7" s="1388" t="s">
        <v>1051</v>
      </c>
      <c r="E7" s="1388" t="s">
        <v>1052</v>
      </c>
      <c r="F7" s="1388" t="s">
        <v>1042</v>
      </c>
      <c r="G7" s="1388" t="s">
        <v>1053</v>
      </c>
      <c r="H7" s="1388" t="s">
        <v>1042</v>
      </c>
      <c r="I7" s="1388" t="s">
        <v>1054</v>
      </c>
      <c r="J7" s="1388" t="s">
        <v>1044</v>
      </c>
      <c r="K7" s="1388" t="s">
        <v>1055</v>
      </c>
      <c r="L7" s="1388" t="s">
        <v>1056</v>
      </c>
      <c r="M7" s="1388" t="s">
        <v>1057</v>
      </c>
    </row>
    <row r="8" spans="1:13" ht="13.5" thickBot="1">
      <c r="A8" s="1393" t="s">
        <v>1058</v>
      </c>
      <c r="B8" s="1388"/>
      <c r="C8" s="1388"/>
      <c r="D8" s="1388" t="s">
        <v>1059</v>
      </c>
      <c r="E8" s="1388" t="s">
        <v>1041</v>
      </c>
      <c r="F8" s="1388" t="s">
        <v>1060</v>
      </c>
      <c r="G8" s="1388" t="s">
        <v>1061</v>
      </c>
      <c r="H8" s="1388" t="s">
        <v>1060</v>
      </c>
      <c r="I8" s="1388" t="s">
        <v>1062</v>
      </c>
      <c r="J8" s="1388" t="s">
        <v>1052</v>
      </c>
      <c r="K8" s="1388" t="s">
        <v>1054</v>
      </c>
      <c r="L8" s="1388" t="s">
        <v>1046</v>
      </c>
      <c r="M8" s="1388" t="s">
        <v>1056</v>
      </c>
    </row>
    <row r="9" spans="1:13" ht="13.5" thickBot="1">
      <c r="A9" s="1393" t="s">
        <v>1063</v>
      </c>
      <c r="B9" s="1388"/>
      <c r="C9" s="1388"/>
      <c r="D9" s="1388"/>
      <c r="E9" s="1388" t="s">
        <v>1040</v>
      </c>
      <c r="F9" s="1388" t="s">
        <v>1064</v>
      </c>
      <c r="G9" s="1388" t="s">
        <v>1061</v>
      </c>
      <c r="H9" s="1388" t="s">
        <v>1064</v>
      </c>
      <c r="I9" s="1388" t="s">
        <v>1062</v>
      </c>
      <c r="J9" s="1388" t="s">
        <v>1052</v>
      </c>
      <c r="K9" s="1388" t="s">
        <v>1054</v>
      </c>
      <c r="L9" s="1388" t="s">
        <v>1065</v>
      </c>
      <c r="M9" s="1388" t="s">
        <v>1056</v>
      </c>
    </row>
    <row r="10" spans="1:13" ht="13.5" thickBot="1">
      <c r="A10" s="1393" t="s">
        <v>1066</v>
      </c>
      <c r="B10" s="1388"/>
      <c r="C10" s="1388"/>
      <c r="D10" s="1388"/>
      <c r="E10" s="1388"/>
      <c r="F10" s="1388" t="s">
        <v>1039</v>
      </c>
      <c r="G10" s="1388" t="s">
        <v>1067</v>
      </c>
      <c r="H10" s="1388" t="s">
        <v>1039</v>
      </c>
      <c r="I10" s="1388" t="s">
        <v>1068</v>
      </c>
      <c r="J10" s="1388" t="s">
        <v>1051</v>
      </c>
      <c r="K10" s="1388" t="s">
        <v>1064</v>
      </c>
      <c r="L10" s="1388" t="s">
        <v>1069</v>
      </c>
      <c r="M10" s="1388" t="s">
        <v>1044</v>
      </c>
    </row>
    <row r="11" spans="1:13" ht="13.5" thickBot="1">
      <c r="A11" s="1393" t="s">
        <v>1070</v>
      </c>
      <c r="B11" s="1388"/>
      <c r="C11" s="1388"/>
      <c r="D11" s="1388"/>
      <c r="E11" s="1388"/>
      <c r="F11" s="1388"/>
      <c r="G11" s="1388" t="s">
        <v>1071</v>
      </c>
      <c r="H11" s="1388" t="s">
        <v>1072</v>
      </c>
      <c r="I11" s="1388" t="s">
        <v>1039</v>
      </c>
      <c r="J11" s="1388" t="s">
        <v>1067</v>
      </c>
      <c r="K11" s="1388" t="s">
        <v>1040</v>
      </c>
      <c r="L11" s="1388" t="s">
        <v>1061</v>
      </c>
      <c r="M11" s="1388" t="s">
        <v>1053</v>
      </c>
    </row>
    <row r="12" spans="1:13" ht="13.5" thickBot="1">
      <c r="A12" s="1393" t="s">
        <v>1073</v>
      </c>
      <c r="B12" s="1388"/>
      <c r="C12" s="1388"/>
      <c r="D12" s="1388"/>
      <c r="E12" s="1388"/>
      <c r="F12" s="1388"/>
      <c r="G12" s="1388"/>
      <c r="H12" s="1388" t="s">
        <v>1074</v>
      </c>
      <c r="I12" s="1388" t="s">
        <v>1075</v>
      </c>
      <c r="J12" s="1388" t="s">
        <v>1039</v>
      </c>
      <c r="K12" s="1388" t="s">
        <v>1041</v>
      </c>
      <c r="L12" s="1388" t="s">
        <v>1064</v>
      </c>
      <c r="M12" s="1388" t="s">
        <v>1076</v>
      </c>
    </row>
    <row r="13" spans="1:13" ht="13.5" thickBot="1">
      <c r="A13" s="1393" t="s">
        <v>1077</v>
      </c>
      <c r="B13" s="1388"/>
      <c r="C13" s="1388"/>
      <c r="D13" s="1388"/>
      <c r="E13" s="1388"/>
      <c r="F13" s="1388"/>
      <c r="G13" s="1388"/>
      <c r="H13" s="1388"/>
      <c r="I13" s="1388" t="s">
        <v>1039</v>
      </c>
      <c r="J13" s="1388" t="s">
        <v>1078</v>
      </c>
      <c r="K13" s="1388" t="s">
        <v>1040</v>
      </c>
      <c r="L13" s="1388" t="s">
        <v>1079</v>
      </c>
      <c r="M13" s="1388" t="s">
        <v>1053</v>
      </c>
    </row>
    <row r="14" spans="1:13" ht="13.5" thickBot="1">
      <c r="A14" s="1393" t="s">
        <v>1080</v>
      </c>
      <c r="B14" s="1389"/>
      <c r="C14" s="1389"/>
      <c r="D14" s="1389"/>
      <c r="E14" s="1389"/>
      <c r="F14" s="1389"/>
      <c r="G14" s="1389"/>
      <c r="H14" s="1389"/>
      <c r="I14" s="1389"/>
      <c r="J14" s="1389" t="s">
        <v>1071</v>
      </c>
      <c r="K14" s="1389" t="s">
        <v>1050</v>
      </c>
      <c r="L14" s="1389" t="s">
        <v>1081</v>
      </c>
      <c r="M14" s="1389" t="s">
        <v>1082</v>
      </c>
    </row>
    <row r="15" spans="1:13" ht="13.5" thickBot="1">
      <c r="A15" s="1393" t="s">
        <v>1083</v>
      </c>
      <c r="B15" s="1388"/>
      <c r="C15" s="1388"/>
      <c r="D15" s="1388"/>
      <c r="E15" s="1388"/>
      <c r="F15" s="1388"/>
      <c r="G15" s="1388"/>
      <c r="H15" s="1388"/>
      <c r="I15" s="1388"/>
      <c r="J15" s="1388"/>
      <c r="K15" s="1388" t="s">
        <v>1051</v>
      </c>
      <c r="L15" s="1388" t="s">
        <v>1040</v>
      </c>
      <c r="M15" s="1388" t="s">
        <v>1069</v>
      </c>
    </row>
    <row r="16" spans="1:13" ht="13.5" thickBot="1">
      <c r="A16" s="1393" t="s">
        <v>1084</v>
      </c>
      <c r="B16" s="1388"/>
      <c r="C16" s="1388"/>
      <c r="D16" s="1388"/>
      <c r="E16" s="1388"/>
      <c r="F16" s="1388"/>
      <c r="G16" s="1388"/>
      <c r="H16" s="1388"/>
      <c r="I16" s="1388"/>
      <c r="J16" s="1388"/>
      <c r="K16" s="1388"/>
      <c r="L16" s="1388" t="s">
        <v>1067</v>
      </c>
      <c r="M16" s="1388" t="s">
        <v>1081</v>
      </c>
    </row>
    <row r="17" spans="1:13" ht="13.5" thickBot="1">
      <c r="A17" s="1393" t="s">
        <v>1085</v>
      </c>
      <c r="B17" s="1388"/>
      <c r="C17" s="1388"/>
      <c r="D17" s="1388"/>
      <c r="E17" s="1388"/>
      <c r="F17" s="1388"/>
      <c r="G17" s="1388"/>
      <c r="H17" s="1388"/>
      <c r="I17" s="1388"/>
      <c r="J17" s="1388"/>
      <c r="K17" s="1388"/>
      <c r="L17" s="1388"/>
      <c r="M17" s="1388" t="s">
        <v>1051</v>
      </c>
    </row>
    <row r="18" spans="1:13" ht="13.5" thickBot="1">
      <c r="A18" s="1394" t="s">
        <v>1086</v>
      </c>
      <c r="B18" s="1395"/>
      <c r="C18" s="1395"/>
      <c r="D18" s="1395"/>
      <c r="E18" s="1395"/>
      <c r="F18" s="1395"/>
      <c r="G18" s="1395"/>
      <c r="H18" s="1395"/>
      <c r="I18" s="1395"/>
      <c r="J18" s="1395"/>
      <c r="K18" s="1395"/>
      <c r="L18" s="1395"/>
      <c r="M18" s="139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11"/>
    <pageSetUpPr fitToPage="1"/>
  </sheetPr>
  <dimension ref="A1:R158"/>
  <sheetViews>
    <sheetView showGridLines="0" workbookViewId="0">
      <selection activeCell="J23" sqref="J23"/>
    </sheetView>
  </sheetViews>
  <sheetFormatPr baseColWidth="10" defaultRowHeight="11.25"/>
  <cols>
    <col min="1" max="1" width="6" style="1047" customWidth="1"/>
    <col min="2" max="2" width="14.28515625" style="1047" customWidth="1"/>
    <col min="3" max="3" width="22" style="1047" customWidth="1"/>
    <col min="4" max="4" width="13.5703125" style="1047" customWidth="1"/>
    <col min="5" max="5" width="17" style="1047" customWidth="1"/>
    <col min="6" max="6" width="16.140625" style="1047" customWidth="1"/>
    <col min="7" max="7" width="4" style="1047" customWidth="1"/>
    <col min="8" max="8" width="16.140625" style="1047" customWidth="1"/>
    <col min="9" max="10" width="17" style="1047" customWidth="1"/>
    <col min="11" max="11" width="14.28515625" style="1047" customWidth="1"/>
    <col min="12" max="13" width="11.42578125" style="1047"/>
    <col min="14" max="14" width="13.140625" style="1047" customWidth="1"/>
    <col min="15" max="16" width="11.42578125" style="1047"/>
    <col min="17" max="17" width="13.85546875" style="1047" customWidth="1"/>
    <col min="18" max="256" width="11.42578125" style="1047"/>
    <col min="257" max="257" width="6" style="1047" customWidth="1"/>
    <col min="258" max="258" width="14.28515625" style="1047" customWidth="1"/>
    <col min="259" max="259" width="22" style="1047" customWidth="1"/>
    <col min="260" max="260" width="13.5703125" style="1047" customWidth="1"/>
    <col min="261" max="261" width="13.140625" style="1047" customWidth="1"/>
    <col min="262" max="262" width="16.140625" style="1047" customWidth="1"/>
    <col min="263" max="263" width="4" style="1047" customWidth="1"/>
    <col min="264" max="264" width="16.140625" style="1047" customWidth="1"/>
    <col min="265" max="266" width="17" style="1047" customWidth="1"/>
    <col min="267" max="267" width="14.28515625" style="1047" customWidth="1"/>
    <col min="268" max="269" width="11.42578125" style="1047"/>
    <col min="270" max="270" width="13.140625" style="1047" customWidth="1"/>
    <col min="271" max="272" width="11.42578125" style="1047"/>
    <col min="273" max="273" width="13.85546875" style="1047" customWidth="1"/>
    <col min="274" max="512" width="11.42578125" style="1047"/>
    <col min="513" max="513" width="6" style="1047" customWidth="1"/>
    <col min="514" max="514" width="14.28515625" style="1047" customWidth="1"/>
    <col min="515" max="515" width="22" style="1047" customWidth="1"/>
    <col min="516" max="516" width="13.5703125" style="1047" customWidth="1"/>
    <col min="517" max="517" width="13.140625" style="1047" customWidth="1"/>
    <col min="518" max="518" width="16.140625" style="1047" customWidth="1"/>
    <col min="519" max="519" width="4" style="1047" customWidth="1"/>
    <col min="520" max="520" width="16.140625" style="1047" customWidth="1"/>
    <col min="521" max="522" width="17" style="1047" customWidth="1"/>
    <col min="523" max="523" width="14.28515625" style="1047" customWidth="1"/>
    <col min="524" max="525" width="11.42578125" style="1047"/>
    <col min="526" max="526" width="13.140625" style="1047" customWidth="1"/>
    <col min="527" max="528" width="11.42578125" style="1047"/>
    <col min="529" max="529" width="13.85546875" style="1047" customWidth="1"/>
    <col min="530" max="768" width="11.42578125" style="1047"/>
    <col min="769" max="769" width="6" style="1047" customWidth="1"/>
    <col min="770" max="770" width="14.28515625" style="1047" customWidth="1"/>
    <col min="771" max="771" width="22" style="1047" customWidth="1"/>
    <col min="772" max="772" width="13.5703125" style="1047" customWidth="1"/>
    <col min="773" max="773" width="13.140625" style="1047" customWidth="1"/>
    <col min="774" max="774" width="16.140625" style="1047" customWidth="1"/>
    <col min="775" max="775" width="4" style="1047" customWidth="1"/>
    <col min="776" max="776" width="16.140625" style="1047" customWidth="1"/>
    <col min="777" max="778" width="17" style="1047" customWidth="1"/>
    <col min="779" max="779" width="14.28515625" style="1047" customWidth="1"/>
    <col min="780" max="781" width="11.42578125" style="1047"/>
    <col min="782" max="782" width="13.140625" style="1047" customWidth="1"/>
    <col min="783" max="784" width="11.42578125" style="1047"/>
    <col min="785" max="785" width="13.85546875" style="1047" customWidth="1"/>
    <col min="786" max="1024" width="11.42578125" style="1047"/>
    <col min="1025" max="1025" width="6" style="1047" customWidth="1"/>
    <col min="1026" max="1026" width="14.28515625" style="1047" customWidth="1"/>
    <col min="1027" max="1027" width="22" style="1047" customWidth="1"/>
    <col min="1028" max="1028" width="13.5703125" style="1047" customWidth="1"/>
    <col min="1029" max="1029" width="13.140625" style="1047" customWidth="1"/>
    <col min="1030" max="1030" width="16.140625" style="1047" customWidth="1"/>
    <col min="1031" max="1031" width="4" style="1047" customWidth="1"/>
    <col min="1032" max="1032" width="16.140625" style="1047" customWidth="1"/>
    <col min="1033" max="1034" width="17" style="1047" customWidth="1"/>
    <col min="1035" max="1035" width="14.28515625" style="1047" customWidth="1"/>
    <col min="1036" max="1037" width="11.42578125" style="1047"/>
    <col min="1038" max="1038" width="13.140625" style="1047" customWidth="1"/>
    <col min="1039" max="1040" width="11.42578125" style="1047"/>
    <col min="1041" max="1041" width="13.85546875" style="1047" customWidth="1"/>
    <col min="1042" max="1280" width="11.42578125" style="1047"/>
    <col min="1281" max="1281" width="6" style="1047" customWidth="1"/>
    <col min="1282" max="1282" width="14.28515625" style="1047" customWidth="1"/>
    <col min="1283" max="1283" width="22" style="1047" customWidth="1"/>
    <col min="1284" max="1284" width="13.5703125" style="1047" customWidth="1"/>
    <col min="1285" max="1285" width="13.140625" style="1047" customWidth="1"/>
    <col min="1286" max="1286" width="16.140625" style="1047" customWidth="1"/>
    <col min="1287" max="1287" width="4" style="1047" customWidth="1"/>
    <col min="1288" max="1288" width="16.140625" style="1047" customWidth="1"/>
    <col min="1289" max="1290" width="17" style="1047" customWidth="1"/>
    <col min="1291" max="1291" width="14.28515625" style="1047" customWidth="1"/>
    <col min="1292" max="1293" width="11.42578125" style="1047"/>
    <col min="1294" max="1294" width="13.140625" style="1047" customWidth="1"/>
    <col min="1295" max="1296" width="11.42578125" style="1047"/>
    <col min="1297" max="1297" width="13.85546875" style="1047" customWidth="1"/>
    <col min="1298" max="1536" width="11.42578125" style="1047"/>
    <col min="1537" max="1537" width="6" style="1047" customWidth="1"/>
    <col min="1538" max="1538" width="14.28515625" style="1047" customWidth="1"/>
    <col min="1539" max="1539" width="22" style="1047" customWidth="1"/>
    <col min="1540" max="1540" width="13.5703125" style="1047" customWidth="1"/>
    <col min="1541" max="1541" width="13.140625" style="1047" customWidth="1"/>
    <col min="1542" max="1542" width="16.140625" style="1047" customWidth="1"/>
    <col min="1543" max="1543" width="4" style="1047" customWidth="1"/>
    <col min="1544" max="1544" width="16.140625" style="1047" customWidth="1"/>
    <col min="1545" max="1546" width="17" style="1047" customWidth="1"/>
    <col min="1547" max="1547" width="14.28515625" style="1047" customWidth="1"/>
    <col min="1548" max="1549" width="11.42578125" style="1047"/>
    <col min="1550" max="1550" width="13.140625" style="1047" customWidth="1"/>
    <col min="1551" max="1552" width="11.42578125" style="1047"/>
    <col min="1553" max="1553" width="13.85546875" style="1047" customWidth="1"/>
    <col min="1554" max="1792" width="11.42578125" style="1047"/>
    <col min="1793" max="1793" width="6" style="1047" customWidth="1"/>
    <col min="1794" max="1794" width="14.28515625" style="1047" customWidth="1"/>
    <col min="1795" max="1795" width="22" style="1047" customWidth="1"/>
    <col min="1796" max="1796" width="13.5703125" style="1047" customWidth="1"/>
    <col min="1797" max="1797" width="13.140625" style="1047" customWidth="1"/>
    <col min="1798" max="1798" width="16.140625" style="1047" customWidth="1"/>
    <col min="1799" max="1799" width="4" style="1047" customWidth="1"/>
    <col min="1800" max="1800" width="16.140625" style="1047" customWidth="1"/>
    <col min="1801" max="1802" width="17" style="1047" customWidth="1"/>
    <col min="1803" max="1803" width="14.28515625" style="1047" customWidth="1"/>
    <col min="1804" max="1805" width="11.42578125" style="1047"/>
    <col min="1806" max="1806" width="13.140625" style="1047" customWidth="1"/>
    <col min="1807" max="1808" width="11.42578125" style="1047"/>
    <col min="1809" max="1809" width="13.85546875" style="1047" customWidth="1"/>
    <col min="1810" max="2048" width="11.42578125" style="1047"/>
    <col min="2049" max="2049" width="6" style="1047" customWidth="1"/>
    <col min="2050" max="2050" width="14.28515625" style="1047" customWidth="1"/>
    <col min="2051" max="2051" width="22" style="1047" customWidth="1"/>
    <col min="2052" max="2052" width="13.5703125" style="1047" customWidth="1"/>
    <col min="2053" max="2053" width="13.140625" style="1047" customWidth="1"/>
    <col min="2054" max="2054" width="16.140625" style="1047" customWidth="1"/>
    <col min="2055" max="2055" width="4" style="1047" customWidth="1"/>
    <col min="2056" max="2056" width="16.140625" style="1047" customWidth="1"/>
    <col min="2057" max="2058" width="17" style="1047" customWidth="1"/>
    <col min="2059" max="2059" width="14.28515625" style="1047" customWidth="1"/>
    <col min="2060" max="2061" width="11.42578125" style="1047"/>
    <col min="2062" max="2062" width="13.140625" style="1047" customWidth="1"/>
    <col min="2063" max="2064" width="11.42578125" style="1047"/>
    <col min="2065" max="2065" width="13.85546875" style="1047" customWidth="1"/>
    <col min="2066" max="2304" width="11.42578125" style="1047"/>
    <col min="2305" max="2305" width="6" style="1047" customWidth="1"/>
    <col min="2306" max="2306" width="14.28515625" style="1047" customWidth="1"/>
    <col min="2307" max="2307" width="22" style="1047" customWidth="1"/>
    <col min="2308" max="2308" width="13.5703125" style="1047" customWidth="1"/>
    <col min="2309" max="2309" width="13.140625" style="1047" customWidth="1"/>
    <col min="2310" max="2310" width="16.140625" style="1047" customWidth="1"/>
    <col min="2311" max="2311" width="4" style="1047" customWidth="1"/>
    <col min="2312" max="2312" width="16.140625" style="1047" customWidth="1"/>
    <col min="2313" max="2314" width="17" style="1047" customWidth="1"/>
    <col min="2315" max="2315" width="14.28515625" style="1047" customWidth="1"/>
    <col min="2316" max="2317" width="11.42578125" style="1047"/>
    <col min="2318" max="2318" width="13.140625" style="1047" customWidth="1"/>
    <col min="2319" max="2320" width="11.42578125" style="1047"/>
    <col min="2321" max="2321" width="13.85546875" style="1047" customWidth="1"/>
    <col min="2322" max="2560" width="11.42578125" style="1047"/>
    <col min="2561" max="2561" width="6" style="1047" customWidth="1"/>
    <col min="2562" max="2562" width="14.28515625" style="1047" customWidth="1"/>
    <col min="2563" max="2563" width="22" style="1047" customWidth="1"/>
    <col min="2564" max="2564" width="13.5703125" style="1047" customWidth="1"/>
    <col min="2565" max="2565" width="13.140625" style="1047" customWidth="1"/>
    <col min="2566" max="2566" width="16.140625" style="1047" customWidth="1"/>
    <col min="2567" max="2567" width="4" style="1047" customWidth="1"/>
    <col min="2568" max="2568" width="16.140625" style="1047" customWidth="1"/>
    <col min="2569" max="2570" width="17" style="1047" customWidth="1"/>
    <col min="2571" max="2571" width="14.28515625" style="1047" customWidth="1"/>
    <col min="2572" max="2573" width="11.42578125" style="1047"/>
    <col min="2574" max="2574" width="13.140625" style="1047" customWidth="1"/>
    <col min="2575" max="2576" width="11.42578125" style="1047"/>
    <col min="2577" max="2577" width="13.85546875" style="1047" customWidth="1"/>
    <col min="2578" max="2816" width="11.42578125" style="1047"/>
    <col min="2817" max="2817" width="6" style="1047" customWidth="1"/>
    <col min="2818" max="2818" width="14.28515625" style="1047" customWidth="1"/>
    <col min="2819" max="2819" width="22" style="1047" customWidth="1"/>
    <col min="2820" max="2820" width="13.5703125" style="1047" customWidth="1"/>
    <col min="2821" max="2821" width="13.140625" style="1047" customWidth="1"/>
    <col min="2822" max="2822" width="16.140625" style="1047" customWidth="1"/>
    <col min="2823" max="2823" width="4" style="1047" customWidth="1"/>
    <col min="2824" max="2824" width="16.140625" style="1047" customWidth="1"/>
    <col min="2825" max="2826" width="17" style="1047" customWidth="1"/>
    <col min="2827" max="2827" width="14.28515625" style="1047" customWidth="1"/>
    <col min="2828" max="2829" width="11.42578125" style="1047"/>
    <col min="2830" max="2830" width="13.140625" style="1047" customWidth="1"/>
    <col min="2831" max="2832" width="11.42578125" style="1047"/>
    <col min="2833" max="2833" width="13.85546875" style="1047" customWidth="1"/>
    <col min="2834" max="3072" width="11.42578125" style="1047"/>
    <col min="3073" max="3073" width="6" style="1047" customWidth="1"/>
    <col min="3074" max="3074" width="14.28515625" style="1047" customWidth="1"/>
    <col min="3075" max="3075" width="22" style="1047" customWidth="1"/>
    <col min="3076" max="3076" width="13.5703125" style="1047" customWidth="1"/>
    <col min="3077" max="3077" width="13.140625" style="1047" customWidth="1"/>
    <col min="3078" max="3078" width="16.140625" style="1047" customWidth="1"/>
    <col min="3079" max="3079" width="4" style="1047" customWidth="1"/>
    <col min="3080" max="3080" width="16.140625" style="1047" customWidth="1"/>
    <col min="3081" max="3082" width="17" style="1047" customWidth="1"/>
    <col min="3083" max="3083" width="14.28515625" style="1047" customWidth="1"/>
    <col min="3084" max="3085" width="11.42578125" style="1047"/>
    <col min="3086" max="3086" width="13.140625" style="1047" customWidth="1"/>
    <col min="3087" max="3088" width="11.42578125" style="1047"/>
    <col min="3089" max="3089" width="13.85546875" style="1047" customWidth="1"/>
    <col min="3090" max="3328" width="11.42578125" style="1047"/>
    <col min="3329" max="3329" width="6" style="1047" customWidth="1"/>
    <col min="3330" max="3330" width="14.28515625" style="1047" customWidth="1"/>
    <col min="3331" max="3331" width="22" style="1047" customWidth="1"/>
    <col min="3332" max="3332" width="13.5703125" style="1047" customWidth="1"/>
    <col min="3333" max="3333" width="13.140625" style="1047" customWidth="1"/>
    <col min="3334" max="3334" width="16.140625" style="1047" customWidth="1"/>
    <col min="3335" max="3335" width="4" style="1047" customWidth="1"/>
    <col min="3336" max="3336" width="16.140625" style="1047" customWidth="1"/>
    <col min="3337" max="3338" width="17" style="1047" customWidth="1"/>
    <col min="3339" max="3339" width="14.28515625" style="1047" customWidth="1"/>
    <col min="3340" max="3341" width="11.42578125" style="1047"/>
    <col min="3342" max="3342" width="13.140625" style="1047" customWidth="1"/>
    <col min="3343" max="3344" width="11.42578125" style="1047"/>
    <col min="3345" max="3345" width="13.85546875" style="1047" customWidth="1"/>
    <col min="3346" max="3584" width="11.42578125" style="1047"/>
    <col min="3585" max="3585" width="6" style="1047" customWidth="1"/>
    <col min="3586" max="3586" width="14.28515625" style="1047" customWidth="1"/>
    <col min="3587" max="3587" width="22" style="1047" customWidth="1"/>
    <col min="3588" max="3588" width="13.5703125" style="1047" customWidth="1"/>
    <col min="3589" max="3589" width="13.140625" style="1047" customWidth="1"/>
    <col min="3590" max="3590" width="16.140625" style="1047" customWidth="1"/>
    <col min="3591" max="3591" width="4" style="1047" customWidth="1"/>
    <col min="3592" max="3592" width="16.140625" style="1047" customWidth="1"/>
    <col min="3593" max="3594" width="17" style="1047" customWidth="1"/>
    <col min="3595" max="3595" width="14.28515625" style="1047" customWidth="1"/>
    <col min="3596" max="3597" width="11.42578125" style="1047"/>
    <col min="3598" max="3598" width="13.140625" style="1047" customWidth="1"/>
    <col min="3599" max="3600" width="11.42578125" style="1047"/>
    <col min="3601" max="3601" width="13.85546875" style="1047" customWidth="1"/>
    <col min="3602" max="3840" width="11.42578125" style="1047"/>
    <col min="3841" max="3841" width="6" style="1047" customWidth="1"/>
    <col min="3842" max="3842" width="14.28515625" style="1047" customWidth="1"/>
    <col min="3843" max="3843" width="22" style="1047" customWidth="1"/>
    <col min="3844" max="3844" width="13.5703125" style="1047" customWidth="1"/>
    <col min="3845" max="3845" width="13.140625" style="1047" customWidth="1"/>
    <col min="3846" max="3846" width="16.140625" style="1047" customWidth="1"/>
    <col min="3847" max="3847" width="4" style="1047" customWidth="1"/>
    <col min="3848" max="3848" width="16.140625" style="1047" customWidth="1"/>
    <col min="3849" max="3850" width="17" style="1047" customWidth="1"/>
    <col min="3851" max="3851" width="14.28515625" style="1047" customWidth="1"/>
    <col min="3852" max="3853" width="11.42578125" style="1047"/>
    <col min="3854" max="3854" width="13.140625" style="1047" customWidth="1"/>
    <col min="3855" max="3856" width="11.42578125" style="1047"/>
    <col min="3857" max="3857" width="13.85546875" style="1047" customWidth="1"/>
    <col min="3858" max="4096" width="11.42578125" style="1047"/>
    <col min="4097" max="4097" width="6" style="1047" customWidth="1"/>
    <col min="4098" max="4098" width="14.28515625" style="1047" customWidth="1"/>
    <col min="4099" max="4099" width="22" style="1047" customWidth="1"/>
    <col min="4100" max="4100" width="13.5703125" style="1047" customWidth="1"/>
    <col min="4101" max="4101" width="13.140625" style="1047" customWidth="1"/>
    <col min="4102" max="4102" width="16.140625" style="1047" customWidth="1"/>
    <col min="4103" max="4103" width="4" style="1047" customWidth="1"/>
    <col min="4104" max="4104" width="16.140625" style="1047" customWidth="1"/>
    <col min="4105" max="4106" width="17" style="1047" customWidth="1"/>
    <col min="4107" max="4107" width="14.28515625" style="1047" customWidth="1"/>
    <col min="4108" max="4109" width="11.42578125" style="1047"/>
    <col min="4110" max="4110" width="13.140625" style="1047" customWidth="1"/>
    <col min="4111" max="4112" width="11.42578125" style="1047"/>
    <col min="4113" max="4113" width="13.85546875" style="1047" customWidth="1"/>
    <col min="4114" max="4352" width="11.42578125" style="1047"/>
    <col min="4353" max="4353" width="6" style="1047" customWidth="1"/>
    <col min="4354" max="4354" width="14.28515625" style="1047" customWidth="1"/>
    <col min="4355" max="4355" width="22" style="1047" customWidth="1"/>
    <col min="4356" max="4356" width="13.5703125" style="1047" customWidth="1"/>
    <col min="4357" max="4357" width="13.140625" style="1047" customWidth="1"/>
    <col min="4358" max="4358" width="16.140625" style="1047" customWidth="1"/>
    <col min="4359" max="4359" width="4" style="1047" customWidth="1"/>
    <col min="4360" max="4360" width="16.140625" style="1047" customWidth="1"/>
    <col min="4361" max="4362" width="17" style="1047" customWidth="1"/>
    <col min="4363" max="4363" width="14.28515625" style="1047" customWidth="1"/>
    <col min="4364" max="4365" width="11.42578125" style="1047"/>
    <col min="4366" max="4366" width="13.140625" style="1047" customWidth="1"/>
    <col min="4367" max="4368" width="11.42578125" style="1047"/>
    <col min="4369" max="4369" width="13.85546875" style="1047" customWidth="1"/>
    <col min="4370" max="4608" width="11.42578125" style="1047"/>
    <col min="4609" max="4609" width="6" style="1047" customWidth="1"/>
    <col min="4610" max="4610" width="14.28515625" style="1047" customWidth="1"/>
    <col min="4611" max="4611" width="22" style="1047" customWidth="1"/>
    <col min="4612" max="4612" width="13.5703125" style="1047" customWidth="1"/>
    <col min="4613" max="4613" width="13.140625" style="1047" customWidth="1"/>
    <col min="4614" max="4614" width="16.140625" style="1047" customWidth="1"/>
    <col min="4615" max="4615" width="4" style="1047" customWidth="1"/>
    <col min="4616" max="4616" width="16.140625" style="1047" customWidth="1"/>
    <col min="4617" max="4618" width="17" style="1047" customWidth="1"/>
    <col min="4619" max="4619" width="14.28515625" style="1047" customWidth="1"/>
    <col min="4620" max="4621" width="11.42578125" style="1047"/>
    <col min="4622" max="4622" width="13.140625" style="1047" customWidth="1"/>
    <col min="4623" max="4624" width="11.42578125" style="1047"/>
    <col min="4625" max="4625" width="13.85546875" style="1047" customWidth="1"/>
    <col min="4626" max="4864" width="11.42578125" style="1047"/>
    <col min="4865" max="4865" width="6" style="1047" customWidth="1"/>
    <col min="4866" max="4866" width="14.28515625" style="1047" customWidth="1"/>
    <col min="4867" max="4867" width="22" style="1047" customWidth="1"/>
    <col min="4868" max="4868" width="13.5703125" style="1047" customWidth="1"/>
    <col min="4869" max="4869" width="13.140625" style="1047" customWidth="1"/>
    <col min="4870" max="4870" width="16.140625" style="1047" customWidth="1"/>
    <col min="4871" max="4871" width="4" style="1047" customWidth="1"/>
    <col min="4872" max="4872" width="16.140625" style="1047" customWidth="1"/>
    <col min="4873" max="4874" width="17" style="1047" customWidth="1"/>
    <col min="4875" max="4875" width="14.28515625" style="1047" customWidth="1"/>
    <col min="4876" max="4877" width="11.42578125" style="1047"/>
    <col min="4878" max="4878" width="13.140625" style="1047" customWidth="1"/>
    <col min="4879" max="4880" width="11.42578125" style="1047"/>
    <col min="4881" max="4881" width="13.85546875" style="1047" customWidth="1"/>
    <col min="4882" max="5120" width="11.42578125" style="1047"/>
    <col min="5121" max="5121" width="6" style="1047" customWidth="1"/>
    <col min="5122" max="5122" width="14.28515625" style="1047" customWidth="1"/>
    <col min="5123" max="5123" width="22" style="1047" customWidth="1"/>
    <col min="5124" max="5124" width="13.5703125" style="1047" customWidth="1"/>
    <col min="5125" max="5125" width="13.140625" style="1047" customWidth="1"/>
    <col min="5126" max="5126" width="16.140625" style="1047" customWidth="1"/>
    <col min="5127" max="5127" width="4" style="1047" customWidth="1"/>
    <col min="5128" max="5128" width="16.140625" style="1047" customWidth="1"/>
    <col min="5129" max="5130" width="17" style="1047" customWidth="1"/>
    <col min="5131" max="5131" width="14.28515625" style="1047" customWidth="1"/>
    <col min="5132" max="5133" width="11.42578125" style="1047"/>
    <col min="5134" max="5134" width="13.140625" style="1047" customWidth="1"/>
    <col min="5135" max="5136" width="11.42578125" style="1047"/>
    <col min="5137" max="5137" width="13.85546875" style="1047" customWidth="1"/>
    <col min="5138" max="5376" width="11.42578125" style="1047"/>
    <col min="5377" max="5377" width="6" style="1047" customWidth="1"/>
    <col min="5378" max="5378" width="14.28515625" style="1047" customWidth="1"/>
    <col min="5379" max="5379" width="22" style="1047" customWidth="1"/>
    <col min="5380" max="5380" width="13.5703125" style="1047" customWidth="1"/>
    <col min="5381" max="5381" width="13.140625" style="1047" customWidth="1"/>
    <col min="5382" max="5382" width="16.140625" style="1047" customWidth="1"/>
    <col min="5383" max="5383" width="4" style="1047" customWidth="1"/>
    <col min="5384" max="5384" width="16.140625" style="1047" customWidth="1"/>
    <col min="5385" max="5386" width="17" style="1047" customWidth="1"/>
    <col min="5387" max="5387" width="14.28515625" style="1047" customWidth="1"/>
    <col min="5388" max="5389" width="11.42578125" style="1047"/>
    <col min="5390" max="5390" width="13.140625" style="1047" customWidth="1"/>
    <col min="5391" max="5392" width="11.42578125" style="1047"/>
    <col min="5393" max="5393" width="13.85546875" style="1047" customWidth="1"/>
    <col min="5394" max="5632" width="11.42578125" style="1047"/>
    <col min="5633" max="5633" width="6" style="1047" customWidth="1"/>
    <col min="5634" max="5634" width="14.28515625" style="1047" customWidth="1"/>
    <col min="5635" max="5635" width="22" style="1047" customWidth="1"/>
    <col min="5636" max="5636" width="13.5703125" style="1047" customWidth="1"/>
    <col min="5637" max="5637" width="13.140625" style="1047" customWidth="1"/>
    <col min="5638" max="5638" width="16.140625" style="1047" customWidth="1"/>
    <col min="5639" max="5639" width="4" style="1047" customWidth="1"/>
    <col min="5640" max="5640" width="16.140625" style="1047" customWidth="1"/>
    <col min="5641" max="5642" width="17" style="1047" customWidth="1"/>
    <col min="5643" max="5643" width="14.28515625" style="1047" customWidth="1"/>
    <col min="5644" max="5645" width="11.42578125" style="1047"/>
    <col min="5646" max="5646" width="13.140625" style="1047" customWidth="1"/>
    <col min="5647" max="5648" width="11.42578125" style="1047"/>
    <col min="5649" max="5649" width="13.85546875" style="1047" customWidth="1"/>
    <col min="5650" max="5888" width="11.42578125" style="1047"/>
    <col min="5889" max="5889" width="6" style="1047" customWidth="1"/>
    <col min="5890" max="5890" width="14.28515625" style="1047" customWidth="1"/>
    <col min="5891" max="5891" width="22" style="1047" customWidth="1"/>
    <col min="5892" max="5892" width="13.5703125" style="1047" customWidth="1"/>
    <col min="5893" max="5893" width="13.140625" style="1047" customWidth="1"/>
    <col min="5894" max="5894" width="16.140625" style="1047" customWidth="1"/>
    <col min="5895" max="5895" width="4" style="1047" customWidth="1"/>
    <col min="5896" max="5896" width="16.140625" style="1047" customWidth="1"/>
    <col min="5897" max="5898" width="17" style="1047" customWidth="1"/>
    <col min="5899" max="5899" width="14.28515625" style="1047" customWidth="1"/>
    <col min="5900" max="5901" width="11.42578125" style="1047"/>
    <col min="5902" max="5902" width="13.140625" style="1047" customWidth="1"/>
    <col min="5903" max="5904" width="11.42578125" style="1047"/>
    <col min="5905" max="5905" width="13.85546875" style="1047" customWidth="1"/>
    <col min="5906" max="6144" width="11.42578125" style="1047"/>
    <col min="6145" max="6145" width="6" style="1047" customWidth="1"/>
    <col min="6146" max="6146" width="14.28515625" style="1047" customWidth="1"/>
    <col min="6147" max="6147" width="22" style="1047" customWidth="1"/>
    <col min="6148" max="6148" width="13.5703125" style="1047" customWidth="1"/>
    <col min="6149" max="6149" width="13.140625" style="1047" customWidth="1"/>
    <col min="6150" max="6150" width="16.140625" style="1047" customWidth="1"/>
    <col min="6151" max="6151" width="4" style="1047" customWidth="1"/>
    <col min="6152" max="6152" width="16.140625" style="1047" customWidth="1"/>
    <col min="6153" max="6154" width="17" style="1047" customWidth="1"/>
    <col min="6155" max="6155" width="14.28515625" style="1047" customWidth="1"/>
    <col min="6156" max="6157" width="11.42578125" style="1047"/>
    <col min="6158" max="6158" width="13.140625" style="1047" customWidth="1"/>
    <col min="6159" max="6160" width="11.42578125" style="1047"/>
    <col min="6161" max="6161" width="13.85546875" style="1047" customWidth="1"/>
    <col min="6162" max="6400" width="11.42578125" style="1047"/>
    <col min="6401" max="6401" width="6" style="1047" customWidth="1"/>
    <col min="6402" max="6402" width="14.28515625" style="1047" customWidth="1"/>
    <col min="6403" max="6403" width="22" style="1047" customWidth="1"/>
    <col min="6404" max="6404" width="13.5703125" style="1047" customWidth="1"/>
    <col min="6405" max="6405" width="13.140625" style="1047" customWidth="1"/>
    <col min="6406" max="6406" width="16.140625" style="1047" customWidth="1"/>
    <col min="6407" max="6407" width="4" style="1047" customWidth="1"/>
    <col min="6408" max="6408" width="16.140625" style="1047" customWidth="1"/>
    <col min="6409" max="6410" width="17" style="1047" customWidth="1"/>
    <col min="6411" max="6411" width="14.28515625" style="1047" customWidth="1"/>
    <col min="6412" max="6413" width="11.42578125" style="1047"/>
    <col min="6414" max="6414" width="13.140625" style="1047" customWidth="1"/>
    <col min="6415" max="6416" width="11.42578125" style="1047"/>
    <col min="6417" max="6417" width="13.85546875" style="1047" customWidth="1"/>
    <col min="6418" max="6656" width="11.42578125" style="1047"/>
    <col min="6657" max="6657" width="6" style="1047" customWidth="1"/>
    <col min="6658" max="6658" width="14.28515625" style="1047" customWidth="1"/>
    <col min="6659" max="6659" width="22" style="1047" customWidth="1"/>
    <col min="6660" max="6660" width="13.5703125" style="1047" customWidth="1"/>
    <col min="6661" max="6661" width="13.140625" style="1047" customWidth="1"/>
    <col min="6662" max="6662" width="16.140625" style="1047" customWidth="1"/>
    <col min="6663" max="6663" width="4" style="1047" customWidth="1"/>
    <col min="6664" max="6664" width="16.140625" style="1047" customWidth="1"/>
    <col min="6665" max="6666" width="17" style="1047" customWidth="1"/>
    <col min="6667" max="6667" width="14.28515625" style="1047" customWidth="1"/>
    <col min="6668" max="6669" width="11.42578125" style="1047"/>
    <col min="6670" max="6670" width="13.140625" style="1047" customWidth="1"/>
    <col min="6671" max="6672" width="11.42578125" style="1047"/>
    <col min="6673" max="6673" width="13.85546875" style="1047" customWidth="1"/>
    <col min="6674" max="6912" width="11.42578125" style="1047"/>
    <col min="6913" max="6913" width="6" style="1047" customWidth="1"/>
    <col min="6914" max="6914" width="14.28515625" style="1047" customWidth="1"/>
    <col min="6915" max="6915" width="22" style="1047" customWidth="1"/>
    <col min="6916" max="6916" width="13.5703125" style="1047" customWidth="1"/>
    <col min="6917" max="6917" width="13.140625" style="1047" customWidth="1"/>
    <col min="6918" max="6918" width="16.140625" style="1047" customWidth="1"/>
    <col min="6919" max="6919" width="4" style="1047" customWidth="1"/>
    <col min="6920" max="6920" width="16.140625" style="1047" customWidth="1"/>
    <col min="6921" max="6922" width="17" style="1047" customWidth="1"/>
    <col min="6923" max="6923" width="14.28515625" style="1047" customWidth="1"/>
    <col min="6924" max="6925" width="11.42578125" style="1047"/>
    <col min="6926" max="6926" width="13.140625" style="1047" customWidth="1"/>
    <col min="6927" max="6928" width="11.42578125" style="1047"/>
    <col min="6929" max="6929" width="13.85546875" style="1047" customWidth="1"/>
    <col min="6930" max="7168" width="11.42578125" style="1047"/>
    <col min="7169" max="7169" width="6" style="1047" customWidth="1"/>
    <col min="7170" max="7170" width="14.28515625" style="1047" customWidth="1"/>
    <col min="7171" max="7171" width="22" style="1047" customWidth="1"/>
    <col min="7172" max="7172" width="13.5703125" style="1047" customWidth="1"/>
    <col min="7173" max="7173" width="13.140625" style="1047" customWidth="1"/>
    <col min="7174" max="7174" width="16.140625" style="1047" customWidth="1"/>
    <col min="7175" max="7175" width="4" style="1047" customWidth="1"/>
    <col min="7176" max="7176" width="16.140625" style="1047" customWidth="1"/>
    <col min="7177" max="7178" width="17" style="1047" customWidth="1"/>
    <col min="7179" max="7179" width="14.28515625" style="1047" customWidth="1"/>
    <col min="7180" max="7181" width="11.42578125" style="1047"/>
    <col min="7182" max="7182" width="13.140625" style="1047" customWidth="1"/>
    <col min="7183" max="7184" width="11.42578125" style="1047"/>
    <col min="7185" max="7185" width="13.85546875" style="1047" customWidth="1"/>
    <col min="7186" max="7424" width="11.42578125" style="1047"/>
    <col min="7425" max="7425" width="6" style="1047" customWidth="1"/>
    <col min="7426" max="7426" width="14.28515625" style="1047" customWidth="1"/>
    <col min="7427" max="7427" width="22" style="1047" customWidth="1"/>
    <col min="7428" max="7428" width="13.5703125" style="1047" customWidth="1"/>
    <col min="7429" max="7429" width="13.140625" style="1047" customWidth="1"/>
    <col min="7430" max="7430" width="16.140625" style="1047" customWidth="1"/>
    <col min="7431" max="7431" width="4" style="1047" customWidth="1"/>
    <col min="7432" max="7432" width="16.140625" style="1047" customWidth="1"/>
    <col min="7433" max="7434" width="17" style="1047" customWidth="1"/>
    <col min="7435" max="7435" width="14.28515625" style="1047" customWidth="1"/>
    <col min="7436" max="7437" width="11.42578125" style="1047"/>
    <col min="7438" max="7438" width="13.140625" style="1047" customWidth="1"/>
    <col min="7439" max="7440" width="11.42578125" style="1047"/>
    <col min="7441" max="7441" width="13.85546875" style="1047" customWidth="1"/>
    <col min="7442" max="7680" width="11.42578125" style="1047"/>
    <col min="7681" max="7681" width="6" style="1047" customWidth="1"/>
    <col min="7682" max="7682" width="14.28515625" style="1047" customWidth="1"/>
    <col min="7683" max="7683" width="22" style="1047" customWidth="1"/>
    <col min="7684" max="7684" width="13.5703125" style="1047" customWidth="1"/>
    <col min="7685" max="7685" width="13.140625" style="1047" customWidth="1"/>
    <col min="7686" max="7686" width="16.140625" style="1047" customWidth="1"/>
    <col min="7687" max="7687" width="4" style="1047" customWidth="1"/>
    <col min="7688" max="7688" width="16.140625" style="1047" customWidth="1"/>
    <col min="7689" max="7690" width="17" style="1047" customWidth="1"/>
    <col min="7691" max="7691" width="14.28515625" style="1047" customWidth="1"/>
    <col min="7692" max="7693" width="11.42578125" style="1047"/>
    <col min="7694" max="7694" width="13.140625" style="1047" customWidth="1"/>
    <col min="7695" max="7696" width="11.42578125" style="1047"/>
    <col min="7697" max="7697" width="13.85546875" style="1047" customWidth="1"/>
    <col min="7698" max="7936" width="11.42578125" style="1047"/>
    <col min="7937" max="7937" width="6" style="1047" customWidth="1"/>
    <col min="7938" max="7938" width="14.28515625" style="1047" customWidth="1"/>
    <col min="7939" max="7939" width="22" style="1047" customWidth="1"/>
    <col min="7940" max="7940" width="13.5703125" style="1047" customWidth="1"/>
    <col min="7941" max="7941" width="13.140625" style="1047" customWidth="1"/>
    <col min="7942" max="7942" width="16.140625" style="1047" customWidth="1"/>
    <col min="7943" max="7943" width="4" style="1047" customWidth="1"/>
    <col min="7944" max="7944" width="16.140625" style="1047" customWidth="1"/>
    <col min="7945" max="7946" width="17" style="1047" customWidth="1"/>
    <col min="7947" max="7947" width="14.28515625" style="1047" customWidth="1"/>
    <col min="7948" max="7949" width="11.42578125" style="1047"/>
    <col min="7950" max="7950" width="13.140625" style="1047" customWidth="1"/>
    <col min="7951" max="7952" width="11.42578125" style="1047"/>
    <col min="7953" max="7953" width="13.85546875" style="1047" customWidth="1"/>
    <col min="7954" max="8192" width="11.42578125" style="1047"/>
    <col min="8193" max="8193" width="6" style="1047" customWidth="1"/>
    <col min="8194" max="8194" width="14.28515625" style="1047" customWidth="1"/>
    <col min="8195" max="8195" width="22" style="1047" customWidth="1"/>
    <col min="8196" max="8196" width="13.5703125" style="1047" customWidth="1"/>
    <col min="8197" max="8197" width="13.140625" style="1047" customWidth="1"/>
    <col min="8198" max="8198" width="16.140625" style="1047" customWidth="1"/>
    <col min="8199" max="8199" width="4" style="1047" customWidth="1"/>
    <col min="8200" max="8200" width="16.140625" style="1047" customWidth="1"/>
    <col min="8201" max="8202" width="17" style="1047" customWidth="1"/>
    <col min="8203" max="8203" width="14.28515625" style="1047" customWidth="1"/>
    <col min="8204" max="8205" width="11.42578125" style="1047"/>
    <col min="8206" max="8206" width="13.140625" style="1047" customWidth="1"/>
    <col min="8207" max="8208" width="11.42578125" style="1047"/>
    <col min="8209" max="8209" width="13.85546875" style="1047" customWidth="1"/>
    <col min="8210" max="8448" width="11.42578125" style="1047"/>
    <col min="8449" max="8449" width="6" style="1047" customWidth="1"/>
    <col min="8450" max="8450" width="14.28515625" style="1047" customWidth="1"/>
    <col min="8451" max="8451" width="22" style="1047" customWidth="1"/>
    <col min="8452" max="8452" width="13.5703125" style="1047" customWidth="1"/>
    <col min="8453" max="8453" width="13.140625" style="1047" customWidth="1"/>
    <col min="8454" max="8454" width="16.140625" style="1047" customWidth="1"/>
    <col min="8455" max="8455" width="4" style="1047" customWidth="1"/>
    <col min="8456" max="8456" width="16.140625" style="1047" customWidth="1"/>
    <col min="8457" max="8458" width="17" style="1047" customWidth="1"/>
    <col min="8459" max="8459" width="14.28515625" style="1047" customWidth="1"/>
    <col min="8460" max="8461" width="11.42578125" style="1047"/>
    <col min="8462" max="8462" width="13.140625" style="1047" customWidth="1"/>
    <col min="8463" max="8464" width="11.42578125" style="1047"/>
    <col min="8465" max="8465" width="13.85546875" style="1047" customWidth="1"/>
    <col min="8466" max="8704" width="11.42578125" style="1047"/>
    <col min="8705" max="8705" width="6" style="1047" customWidth="1"/>
    <col min="8706" max="8706" width="14.28515625" style="1047" customWidth="1"/>
    <col min="8707" max="8707" width="22" style="1047" customWidth="1"/>
    <col min="8708" max="8708" width="13.5703125" style="1047" customWidth="1"/>
    <col min="8709" max="8709" width="13.140625" style="1047" customWidth="1"/>
    <col min="8710" max="8710" width="16.140625" style="1047" customWidth="1"/>
    <col min="8711" max="8711" width="4" style="1047" customWidth="1"/>
    <col min="8712" max="8712" width="16.140625" style="1047" customWidth="1"/>
    <col min="8713" max="8714" width="17" style="1047" customWidth="1"/>
    <col min="8715" max="8715" width="14.28515625" style="1047" customWidth="1"/>
    <col min="8716" max="8717" width="11.42578125" style="1047"/>
    <col min="8718" max="8718" width="13.140625" style="1047" customWidth="1"/>
    <col min="8719" max="8720" width="11.42578125" style="1047"/>
    <col min="8721" max="8721" width="13.85546875" style="1047" customWidth="1"/>
    <col min="8722" max="8960" width="11.42578125" style="1047"/>
    <col min="8961" max="8961" width="6" style="1047" customWidth="1"/>
    <col min="8962" max="8962" width="14.28515625" style="1047" customWidth="1"/>
    <col min="8963" max="8963" width="22" style="1047" customWidth="1"/>
    <col min="8964" max="8964" width="13.5703125" style="1047" customWidth="1"/>
    <col min="8965" max="8965" width="13.140625" style="1047" customWidth="1"/>
    <col min="8966" max="8966" width="16.140625" style="1047" customWidth="1"/>
    <col min="8967" max="8967" width="4" style="1047" customWidth="1"/>
    <col min="8968" max="8968" width="16.140625" style="1047" customWidth="1"/>
    <col min="8969" max="8970" width="17" style="1047" customWidth="1"/>
    <col min="8971" max="8971" width="14.28515625" style="1047" customWidth="1"/>
    <col min="8972" max="8973" width="11.42578125" style="1047"/>
    <col min="8974" max="8974" width="13.140625" style="1047" customWidth="1"/>
    <col min="8975" max="8976" width="11.42578125" style="1047"/>
    <col min="8977" max="8977" width="13.85546875" style="1047" customWidth="1"/>
    <col min="8978" max="9216" width="11.42578125" style="1047"/>
    <col min="9217" max="9217" width="6" style="1047" customWidth="1"/>
    <col min="9218" max="9218" width="14.28515625" style="1047" customWidth="1"/>
    <col min="9219" max="9219" width="22" style="1047" customWidth="1"/>
    <col min="9220" max="9220" width="13.5703125" style="1047" customWidth="1"/>
    <col min="9221" max="9221" width="13.140625" style="1047" customWidth="1"/>
    <col min="9222" max="9222" width="16.140625" style="1047" customWidth="1"/>
    <col min="9223" max="9223" width="4" style="1047" customWidth="1"/>
    <col min="9224" max="9224" width="16.140625" style="1047" customWidth="1"/>
    <col min="9225" max="9226" width="17" style="1047" customWidth="1"/>
    <col min="9227" max="9227" width="14.28515625" style="1047" customWidth="1"/>
    <col min="9228" max="9229" width="11.42578125" style="1047"/>
    <col min="9230" max="9230" width="13.140625" style="1047" customWidth="1"/>
    <col min="9231" max="9232" width="11.42578125" style="1047"/>
    <col min="9233" max="9233" width="13.85546875" style="1047" customWidth="1"/>
    <col min="9234" max="9472" width="11.42578125" style="1047"/>
    <col min="9473" max="9473" width="6" style="1047" customWidth="1"/>
    <col min="9474" max="9474" width="14.28515625" style="1047" customWidth="1"/>
    <col min="9475" max="9475" width="22" style="1047" customWidth="1"/>
    <col min="9476" max="9476" width="13.5703125" style="1047" customWidth="1"/>
    <col min="9477" max="9477" width="13.140625" style="1047" customWidth="1"/>
    <col min="9478" max="9478" width="16.140625" style="1047" customWidth="1"/>
    <col min="9479" max="9479" width="4" style="1047" customWidth="1"/>
    <col min="9480" max="9480" width="16.140625" style="1047" customWidth="1"/>
    <col min="9481" max="9482" width="17" style="1047" customWidth="1"/>
    <col min="9483" max="9483" width="14.28515625" style="1047" customWidth="1"/>
    <col min="9484" max="9485" width="11.42578125" style="1047"/>
    <col min="9486" max="9486" width="13.140625" style="1047" customWidth="1"/>
    <col min="9487" max="9488" width="11.42578125" style="1047"/>
    <col min="9489" max="9489" width="13.85546875" style="1047" customWidth="1"/>
    <col min="9490" max="9728" width="11.42578125" style="1047"/>
    <col min="9729" max="9729" width="6" style="1047" customWidth="1"/>
    <col min="9730" max="9730" width="14.28515625" style="1047" customWidth="1"/>
    <col min="9731" max="9731" width="22" style="1047" customWidth="1"/>
    <col min="9732" max="9732" width="13.5703125" style="1047" customWidth="1"/>
    <col min="9733" max="9733" width="13.140625" style="1047" customWidth="1"/>
    <col min="9734" max="9734" width="16.140625" style="1047" customWidth="1"/>
    <col min="9735" max="9735" width="4" style="1047" customWidth="1"/>
    <col min="9736" max="9736" width="16.140625" style="1047" customWidth="1"/>
    <col min="9737" max="9738" width="17" style="1047" customWidth="1"/>
    <col min="9739" max="9739" width="14.28515625" style="1047" customWidth="1"/>
    <col min="9740" max="9741" width="11.42578125" style="1047"/>
    <col min="9742" max="9742" width="13.140625" style="1047" customWidth="1"/>
    <col min="9743" max="9744" width="11.42578125" style="1047"/>
    <col min="9745" max="9745" width="13.85546875" style="1047" customWidth="1"/>
    <col min="9746" max="9984" width="11.42578125" style="1047"/>
    <col min="9985" max="9985" width="6" style="1047" customWidth="1"/>
    <col min="9986" max="9986" width="14.28515625" style="1047" customWidth="1"/>
    <col min="9987" max="9987" width="22" style="1047" customWidth="1"/>
    <col min="9988" max="9988" width="13.5703125" style="1047" customWidth="1"/>
    <col min="9989" max="9989" width="13.140625" style="1047" customWidth="1"/>
    <col min="9990" max="9990" width="16.140625" style="1047" customWidth="1"/>
    <col min="9991" max="9991" width="4" style="1047" customWidth="1"/>
    <col min="9992" max="9992" width="16.140625" style="1047" customWidth="1"/>
    <col min="9993" max="9994" width="17" style="1047" customWidth="1"/>
    <col min="9995" max="9995" width="14.28515625" style="1047" customWidth="1"/>
    <col min="9996" max="9997" width="11.42578125" style="1047"/>
    <col min="9998" max="9998" width="13.140625" style="1047" customWidth="1"/>
    <col min="9999" max="10000" width="11.42578125" style="1047"/>
    <col min="10001" max="10001" width="13.85546875" style="1047" customWidth="1"/>
    <col min="10002" max="10240" width="11.42578125" style="1047"/>
    <col min="10241" max="10241" width="6" style="1047" customWidth="1"/>
    <col min="10242" max="10242" width="14.28515625" style="1047" customWidth="1"/>
    <col min="10243" max="10243" width="22" style="1047" customWidth="1"/>
    <col min="10244" max="10244" width="13.5703125" style="1047" customWidth="1"/>
    <col min="10245" max="10245" width="13.140625" style="1047" customWidth="1"/>
    <col min="10246" max="10246" width="16.140625" style="1047" customWidth="1"/>
    <col min="10247" max="10247" width="4" style="1047" customWidth="1"/>
    <col min="10248" max="10248" width="16.140625" style="1047" customWidth="1"/>
    <col min="10249" max="10250" width="17" style="1047" customWidth="1"/>
    <col min="10251" max="10251" width="14.28515625" style="1047" customWidth="1"/>
    <col min="10252" max="10253" width="11.42578125" style="1047"/>
    <col min="10254" max="10254" width="13.140625" style="1047" customWidth="1"/>
    <col min="10255" max="10256" width="11.42578125" style="1047"/>
    <col min="10257" max="10257" width="13.85546875" style="1047" customWidth="1"/>
    <col min="10258" max="10496" width="11.42578125" style="1047"/>
    <col min="10497" max="10497" width="6" style="1047" customWidth="1"/>
    <col min="10498" max="10498" width="14.28515625" style="1047" customWidth="1"/>
    <col min="10499" max="10499" width="22" style="1047" customWidth="1"/>
    <col min="10500" max="10500" width="13.5703125" style="1047" customWidth="1"/>
    <col min="10501" max="10501" width="13.140625" style="1047" customWidth="1"/>
    <col min="10502" max="10502" width="16.140625" style="1047" customWidth="1"/>
    <col min="10503" max="10503" width="4" style="1047" customWidth="1"/>
    <col min="10504" max="10504" width="16.140625" style="1047" customWidth="1"/>
    <col min="10505" max="10506" width="17" style="1047" customWidth="1"/>
    <col min="10507" max="10507" width="14.28515625" style="1047" customWidth="1"/>
    <col min="10508" max="10509" width="11.42578125" style="1047"/>
    <col min="10510" max="10510" width="13.140625" style="1047" customWidth="1"/>
    <col min="10511" max="10512" width="11.42578125" style="1047"/>
    <col min="10513" max="10513" width="13.85546875" style="1047" customWidth="1"/>
    <col min="10514" max="10752" width="11.42578125" style="1047"/>
    <col min="10753" max="10753" width="6" style="1047" customWidth="1"/>
    <col min="10754" max="10754" width="14.28515625" style="1047" customWidth="1"/>
    <col min="10755" max="10755" width="22" style="1047" customWidth="1"/>
    <col min="10756" max="10756" width="13.5703125" style="1047" customWidth="1"/>
    <col min="10757" max="10757" width="13.140625" style="1047" customWidth="1"/>
    <col min="10758" max="10758" width="16.140625" style="1047" customWidth="1"/>
    <col min="10759" max="10759" width="4" style="1047" customWidth="1"/>
    <col min="10760" max="10760" width="16.140625" style="1047" customWidth="1"/>
    <col min="10761" max="10762" width="17" style="1047" customWidth="1"/>
    <col min="10763" max="10763" width="14.28515625" style="1047" customWidth="1"/>
    <col min="10764" max="10765" width="11.42578125" style="1047"/>
    <col min="10766" max="10766" width="13.140625" style="1047" customWidth="1"/>
    <col min="10767" max="10768" width="11.42578125" style="1047"/>
    <col min="10769" max="10769" width="13.85546875" style="1047" customWidth="1"/>
    <col min="10770" max="11008" width="11.42578125" style="1047"/>
    <col min="11009" max="11009" width="6" style="1047" customWidth="1"/>
    <col min="11010" max="11010" width="14.28515625" style="1047" customWidth="1"/>
    <col min="11011" max="11011" width="22" style="1047" customWidth="1"/>
    <col min="11012" max="11012" width="13.5703125" style="1047" customWidth="1"/>
    <col min="11013" max="11013" width="13.140625" style="1047" customWidth="1"/>
    <col min="11014" max="11014" width="16.140625" style="1047" customWidth="1"/>
    <col min="11015" max="11015" width="4" style="1047" customWidth="1"/>
    <col min="11016" max="11016" width="16.140625" style="1047" customWidth="1"/>
    <col min="11017" max="11018" width="17" style="1047" customWidth="1"/>
    <col min="11019" max="11019" width="14.28515625" style="1047" customWidth="1"/>
    <col min="11020" max="11021" width="11.42578125" style="1047"/>
    <col min="11022" max="11022" width="13.140625" style="1047" customWidth="1"/>
    <col min="11023" max="11024" width="11.42578125" style="1047"/>
    <col min="11025" max="11025" width="13.85546875" style="1047" customWidth="1"/>
    <col min="11026" max="11264" width="11.42578125" style="1047"/>
    <col min="11265" max="11265" width="6" style="1047" customWidth="1"/>
    <col min="11266" max="11266" width="14.28515625" style="1047" customWidth="1"/>
    <col min="11267" max="11267" width="22" style="1047" customWidth="1"/>
    <col min="11268" max="11268" width="13.5703125" style="1047" customWidth="1"/>
    <col min="11269" max="11269" width="13.140625" style="1047" customWidth="1"/>
    <col min="11270" max="11270" width="16.140625" style="1047" customWidth="1"/>
    <col min="11271" max="11271" width="4" style="1047" customWidth="1"/>
    <col min="11272" max="11272" width="16.140625" style="1047" customWidth="1"/>
    <col min="11273" max="11274" width="17" style="1047" customWidth="1"/>
    <col min="11275" max="11275" width="14.28515625" style="1047" customWidth="1"/>
    <col min="11276" max="11277" width="11.42578125" style="1047"/>
    <col min="11278" max="11278" width="13.140625" style="1047" customWidth="1"/>
    <col min="11279" max="11280" width="11.42578125" style="1047"/>
    <col min="11281" max="11281" width="13.85546875" style="1047" customWidth="1"/>
    <col min="11282" max="11520" width="11.42578125" style="1047"/>
    <col min="11521" max="11521" width="6" style="1047" customWidth="1"/>
    <col min="11522" max="11522" width="14.28515625" style="1047" customWidth="1"/>
    <col min="11523" max="11523" width="22" style="1047" customWidth="1"/>
    <col min="11524" max="11524" width="13.5703125" style="1047" customWidth="1"/>
    <col min="11525" max="11525" width="13.140625" style="1047" customWidth="1"/>
    <col min="11526" max="11526" width="16.140625" style="1047" customWidth="1"/>
    <col min="11527" max="11527" width="4" style="1047" customWidth="1"/>
    <col min="11528" max="11528" width="16.140625" style="1047" customWidth="1"/>
    <col min="11529" max="11530" width="17" style="1047" customWidth="1"/>
    <col min="11531" max="11531" width="14.28515625" style="1047" customWidth="1"/>
    <col min="11532" max="11533" width="11.42578125" style="1047"/>
    <col min="11534" max="11534" width="13.140625" style="1047" customWidth="1"/>
    <col min="11535" max="11536" width="11.42578125" style="1047"/>
    <col min="11537" max="11537" width="13.85546875" style="1047" customWidth="1"/>
    <col min="11538" max="11776" width="11.42578125" style="1047"/>
    <col min="11777" max="11777" width="6" style="1047" customWidth="1"/>
    <col min="11778" max="11778" width="14.28515625" style="1047" customWidth="1"/>
    <col min="11779" max="11779" width="22" style="1047" customWidth="1"/>
    <col min="11780" max="11780" width="13.5703125" style="1047" customWidth="1"/>
    <col min="11781" max="11781" width="13.140625" style="1047" customWidth="1"/>
    <col min="11782" max="11782" width="16.140625" style="1047" customWidth="1"/>
    <col min="11783" max="11783" width="4" style="1047" customWidth="1"/>
    <col min="11784" max="11784" width="16.140625" style="1047" customWidth="1"/>
    <col min="11785" max="11786" width="17" style="1047" customWidth="1"/>
    <col min="11787" max="11787" width="14.28515625" style="1047" customWidth="1"/>
    <col min="11788" max="11789" width="11.42578125" style="1047"/>
    <col min="11790" max="11790" width="13.140625" style="1047" customWidth="1"/>
    <col min="11791" max="11792" width="11.42578125" style="1047"/>
    <col min="11793" max="11793" width="13.85546875" style="1047" customWidth="1"/>
    <col min="11794" max="12032" width="11.42578125" style="1047"/>
    <col min="12033" max="12033" width="6" style="1047" customWidth="1"/>
    <col min="12034" max="12034" width="14.28515625" style="1047" customWidth="1"/>
    <col min="12035" max="12035" width="22" style="1047" customWidth="1"/>
    <col min="12036" max="12036" width="13.5703125" style="1047" customWidth="1"/>
    <col min="12037" max="12037" width="13.140625" style="1047" customWidth="1"/>
    <col min="12038" max="12038" width="16.140625" style="1047" customWidth="1"/>
    <col min="12039" max="12039" width="4" style="1047" customWidth="1"/>
    <col min="12040" max="12040" width="16.140625" style="1047" customWidth="1"/>
    <col min="12041" max="12042" width="17" style="1047" customWidth="1"/>
    <col min="12043" max="12043" width="14.28515625" style="1047" customWidth="1"/>
    <col min="12044" max="12045" width="11.42578125" style="1047"/>
    <col min="12046" max="12046" width="13.140625" style="1047" customWidth="1"/>
    <col min="12047" max="12048" width="11.42578125" style="1047"/>
    <col min="12049" max="12049" width="13.85546875" style="1047" customWidth="1"/>
    <col min="12050" max="12288" width="11.42578125" style="1047"/>
    <col min="12289" max="12289" width="6" style="1047" customWidth="1"/>
    <col min="12290" max="12290" width="14.28515625" style="1047" customWidth="1"/>
    <col min="12291" max="12291" width="22" style="1047" customWidth="1"/>
    <col min="12292" max="12292" width="13.5703125" style="1047" customWidth="1"/>
    <col min="12293" max="12293" width="13.140625" style="1047" customWidth="1"/>
    <col min="12294" max="12294" width="16.140625" style="1047" customWidth="1"/>
    <col min="12295" max="12295" width="4" style="1047" customWidth="1"/>
    <col min="12296" max="12296" width="16.140625" style="1047" customWidth="1"/>
    <col min="12297" max="12298" width="17" style="1047" customWidth="1"/>
    <col min="12299" max="12299" width="14.28515625" style="1047" customWidth="1"/>
    <col min="12300" max="12301" width="11.42578125" style="1047"/>
    <col min="12302" max="12302" width="13.140625" style="1047" customWidth="1"/>
    <col min="12303" max="12304" width="11.42578125" style="1047"/>
    <col min="12305" max="12305" width="13.85546875" style="1047" customWidth="1"/>
    <col min="12306" max="12544" width="11.42578125" style="1047"/>
    <col min="12545" max="12545" width="6" style="1047" customWidth="1"/>
    <col min="12546" max="12546" width="14.28515625" style="1047" customWidth="1"/>
    <col min="12547" max="12547" width="22" style="1047" customWidth="1"/>
    <col min="12548" max="12548" width="13.5703125" style="1047" customWidth="1"/>
    <col min="12549" max="12549" width="13.140625" style="1047" customWidth="1"/>
    <col min="12550" max="12550" width="16.140625" style="1047" customWidth="1"/>
    <col min="12551" max="12551" width="4" style="1047" customWidth="1"/>
    <col min="12552" max="12552" width="16.140625" style="1047" customWidth="1"/>
    <col min="12553" max="12554" width="17" style="1047" customWidth="1"/>
    <col min="12555" max="12555" width="14.28515625" style="1047" customWidth="1"/>
    <col min="12556" max="12557" width="11.42578125" style="1047"/>
    <col min="12558" max="12558" width="13.140625" style="1047" customWidth="1"/>
    <col min="12559" max="12560" width="11.42578125" style="1047"/>
    <col min="12561" max="12561" width="13.85546875" style="1047" customWidth="1"/>
    <col min="12562" max="12800" width="11.42578125" style="1047"/>
    <col min="12801" max="12801" width="6" style="1047" customWidth="1"/>
    <col min="12802" max="12802" width="14.28515625" style="1047" customWidth="1"/>
    <col min="12803" max="12803" width="22" style="1047" customWidth="1"/>
    <col min="12804" max="12804" width="13.5703125" style="1047" customWidth="1"/>
    <col min="12805" max="12805" width="13.140625" style="1047" customWidth="1"/>
    <col min="12806" max="12806" width="16.140625" style="1047" customWidth="1"/>
    <col min="12807" max="12807" width="4" style="1047" customWidth="1"/>
    <col min="12808" max="12808" width="16.140625" style="1047" customWidth="1"/>
    <col min="12809" max="12810" width="17" style="1047" customWidth="1"/>
    <col min="12811" max="12811" width="14.28515625" style="1047" customWidth="1"/>
    <col min="12812" max="12813" width="11.42578125" style="1047"/>
    <col min="12814" max="12814" width="13.140625" style="1047" customWidth="1"/>
    <col min="12815" max="12816" width="11.42578125" style="1047"/>
    <col min="12817" max="12817" width="13.85546875" style="1047" customWidth="1"/>
    <col min="12818" max="13056" width="11.42578125" style="1047"/>
    <col min="13057" max="13057" width="6" style="1047" customWidth="1"/>
    <col min="13058" max="13058" width="14.28515625" style="1047" customWidth="1"/>
    <col min="13059" max="13059" width="22" style="1047" customWidth="1"/>
    <col min="13060" max="13060" width="13.5703125" style="1047" customWidth="1"/>
    <col min="13061" max="13061" width="13.140625" style="1047" customWidth="1"/>
    <col min="13062" max="13062" width="16.140625" style="1047" customWidth="1"/>
    <col min="13063" max="13063" width="4" style="1047" customWidth="1"/>
    <col min="13064" max="13064" width="16.140625" style="1047" customWidth="1"/>
    <col min="13065" max="13066" width="17" style="1047" customWidth="1"/>
    <col min="13067" max="13067" width="14.28515625" style="1047" customWidth="1"/>
    <col min="13068" max="13069" width="11.42578125" style="1047"/>
    <col min="13070" max="13070" width="13.140625" style="1047" customWidth="1"/>
    <col min="13071" max="13072" width="11.42578125" style="1047"/>
    <col min="13073" max="13073" width="13.85546875" style="1047" customWidth="1"/>
    <col min="13074" max="13312" width="11.42578125" style="1047"/>
    <col min="13313" max="13313" width="6" style="1047" customWidth="1"/>
    <col min="13314" max="13314" width="14.28515625" style="1047" customWidth="1"/>
    <col min="13315" max="13315" width="22" style="1047" customWidth="1"/>
    <col min="13316" max="13316" width="13.5703125" style="1047" customWidth="1"/>
    <col min="13317" max="13317" width="13.140625" style="1047" customWidth="1"/>
    <col min="13318" max="13318" width="16.140625" style="1047" customWidth="1"/>
    <col min="13319" max="13319" width="4" style="1047" customWidth="1"/>
    <col min="13320" max="13320" width="16.140625" style="1047" customWidth="1"/>
    <col min="13321" max="13322" width="17" style="1047" customWidth="1"/>
    <col min="13323" max="13323" width="14.28515625" style="1047" customWidth="1"/>
    <col min="13324" max="13325" width="11.42578125" style="1047"/>
    <col min="13326" max="13326" width="13.140625" style="1047" customWidth="1"/>
    <col min="13327" max="13328" width="11.42578125" style="1047"/>
    <col min="13329" max="13329" width="13.85546875" style="1047" customWidth="1"/>
    <col min="13330" max="13568" width="11.42578125" style="1047"/>
    <col min="13569" max="13569" width="6" style="1047" customWidth="1"/>
    <col min="13570" max="13570" width="14.28515625" style="1047" customWidth="1"/>
    <col min="13571" max="13571" width="22" style="1047" customWidth="1"/>
    <col min="13572" max="13572" width="13.5703125" style="1047" customWidth="1"/>
    <col min="13573" max="13573" width="13.140625" style="1047" customWidth="1"/>
    <col min="13574" max="13574" width="16.140625" style="1047" customWidth="1"/>
    <col min="13575" max="13575" width="4" style="1047" customWidth="1"/>
    <col min="13576" max="13576" width="16.140625" style="1047" customWidth="1"/>
    <col min="13577" max="13578" width="17" style="1047" customWidth="1"/>
    <col min="13579" max="13579" width="14.28515625" style="1047" customWidth="1"/>
    <col min="13580" max="13581" width="11.42578125" style="1047"/>
    <col min="13582" max="13582" width="13.140625" style="1047" customWidth="1"/>
    <col min="13583" max="13584" width="11.42578125" style="1047"/>
    <col min="13585" max="13585" width="13.85546875" style="1047" customWidth="1"/>
    <col min="13586" max="13824" width="11.42578125" style="1047"/>
    <col min="13825" max="13825" width="6" style="1047" customWidth="1"/>
    <col min="13826" max="13826" width="14.28515625" style="1047" customWidth="1"/>
    <col min="13827" max="13827" width="22" style="1047" customWidth="1"/>
    <col min="13828" max="13828" width="13.5703125" style="1047" customWidth="1"/>
    <col min="13829" max="13829" width="13.140625" style="1047" customWidth="1"/>
    <col min="13830" max="13830" width="16.140625" style="1047" customWidth="1"/>
    <col min="13831" max="13831" width="4" style="1047" customWidth="1"/>
    <col min="13832" max="13832" width="16.140625" style="1047" customWidth="1"/>
    <col min="13833" max="13834" width="17" style="1047" customWidth="1"/>
    <col min="13835" max="13835" width="14.28515625" style="1047" customWidth="1"/>
    <col min="13836" max="13837" width="11.42578125" style="1047"/>
    <col min="13838" max="13838" width="13.140625" style="1047" customWidth="1"/>
    <col min="13839" max="13840" width="11.42578125" style="1047"/>
    <col min="13841" max="13841" width="13.85546875" style="1047" customWidth="1"/>
    <col min="13842" max="14080" width="11.42578125" style="1047"/>
    <col min="14081" max="14081" width="6" style="1047" customWidth="1"/>
    <col min="14082" max="14082" width="14.28515625" style="1047" customWidth="1"/>
    <col min="14083" max="14083" width="22" style="1047" customWidth="1"/>
    <col min="14084" max="14084" width="13.5703125" style="1047" customWidth="1"/>
    <col min="14085" max="14085" width="13.140625" style="1047" customWidth="1"/>
    <col min="14086" max="14086" width="16.140625" style="1047" customWidth="1"/>
    <col min="14087" max="14087" width="4" style="1047" customWidth="1"/>
    <col min="14088" max="14088" width="16.140625" style="1047" customWidth="1"/>
    <col min="14089" max="14090" width="17" style="1047" customWidth="1"/>
    <col min="14091" max="14091" width="14.28515625" style="1047" customWidth="1"/>
    <col min="14092" max="14093" width="11.42578125" style="1047"/>
    <col min="14094" max="14094" width="13.140625" style="1047" customWidth="1"/>
    <col min="14095" max="14096" width="11.42578125" style="1047"/>
    <col min="14097" max="14097" width="13.85546875" style="1047" customWidth="1"/>
    <col min="14098" max="14336" width="11.42578125" style="1047"/>
    <col min="14337" max="14337" width="6" style="1047" customWidth="1"/>
    <col min="14338" max="14338" width="14.28515625" style="1047" customWidth="1"/>
    <col min="14339" max="14339" width="22" style="1047" customWidth="1"/>
    <col min="14340" max="14340" width="13.5703125" style="1047" customWidth="1"/>
    <col min="14341" max="14341" width="13.140625" style="1047" customWidth="1"/>
    <col min="14342" max="14342" width="16.140625" style="1047" customWidth="1"/>
    <col min="14343" max="14343" width="4" style="1047" customWidth="1"/>
    <col min="14344" max="14344" width="16.140625" style="1047" customWidth="1"/>
    <col min="14345" max="14346" width="17" style="1047" customWidth="1"/>
    <col min="14347" max="14347" width="14.28515625" style="1047" customWidth="1"/>
    <col min="14348" max="14349" width="11.42578125" style="1047"/>
    <col min="14350" max="14350" width="13.140625" style="1047" customWidth="1"/>
    <col min="14351" max="14352" width="11.42578125" style="1047"/>
    <col min="14353" max="14353" width="13.85546875" style="1047" customWidth="1"/>
    <col min="14354" max="14592" width="11.42578125" style="1047"/>
    <col min="14593" max="14593" width="6" style="1047" customWidth="1"/>
    <col min="14594" max="14594" width="14.28515625" style="1047" customWidth="1"/>
    <col min="14595" max="14595" width="22" style="1047" customWidth="1"/>
    <col min="14596" max="14596" width="13.5703125" style="1047" customWidth="1"/>
    <col min="14597" max="14597" width="13.140625" style="1047" customWidth="1"/>
    <col min="14598" max="14598" width="16.140625" style="1047" customWidth="1"/>
    <col min="14599" max="14599" width="4" style="1047" customWidth="1"/>
    <col min="14600" max="14600" width="16.140625" style="1047" customWidth="1"/>
    <col min="14601" max="14602" width="17" style="1047" customWidth="1"/>
    <col min="14603" max="14603" width="14.28515625" style="1047" customWidth="1"/>
    <col min="14604" max="14605" width="11.42578125" style="1047"/>
    <col min="14606" max="14606" width="13.140625" style="1047" customWidth="1"/>
    <col min="14607" max="14608" width="11.42578125" style="1047"/>
    <col min="14609" max="14609" width="13.85546875" style="1047" customWidth="1"/>
    <col min="14610" max="14848" width="11.42578125" style="1047"/>
    <col min="14849" max="14849" width="6" style="1047" customWidth="1"/>
    <col min="14850" max="14850" width="14.28515625" style="1047" customWidth="1"/>
    <col min="14851" max="14851" width="22" style="1047" customWidth="1"/>
    <col min="14852" max="14852" width="13.5703125" style="1047" customWidth="1"/>
    <col min="14853" max="14853" width="13.140625" style="1047" customWidth="1"/>
    <col min="14854" max="14854" width="16.140625" style="1047" customWidth="1"/>
    <col min="14855" max="14855" width="4" style="1047" customWidth="1"/>
    <col min="14856" max="14856" width="16.140625" style="1047" customWidth="1"/>
    <col min="14857" max="14858" width="17" style="1047" customWidth="1"/>
    <col min="14859" max="14859" width="14.28515625" style="1047" customWidth="1"/>
    <col min="14860" max="14861" width="11.42578125" style="1047"/>
    <col min="14862" max="14862" width="13.140625" style="1047" customWidth="1"/>
    <col min="14863" max="14864" width="11.42578125" style="1047"/>
    <col min="14865" max="14865" width="13.85546875" style="1047" customWidth="1"/>
    <col min="14866" max="15104" width="11.42578125" style="1047"/>
    <col min="15105" max="15105" width="6" style="1047" customWidth="1"/>
    <col min="15106" max="15106" width="14.28515625" style="1047" customWidth="1"/>
    <col min="15107" max="15107" width="22" style="1047" customWidth="1"/>
    <col min="15108" max="15108" width="13.5703125" style="1047" customWidth="1"/>
    <col min="15109" max="15109" width="13.140625" style="1047" customWidth="1"/>
    <col min="15110" max="15110" width="16.140625" style="1047" customWidth="1"/>
    <col min="15111" max="15111" width="4" style="1047" customWidth="1"/>
    <col min="15112" max="15112" width="16.140625" style="1047" customWidth="1"/>
    <col min="15113" max="15114" width="17" style="1047" customWidth="1"/>
    <col min="15115" max="15115" width="14.28515625" style="1047" customWidth="1"/>
    <col min="15116" max="15117" width="11.42578125" style="1047"/>
    <col min="15118" max="15118" width="13.140625" style="1047" customWidth="1"/>
    <col min="15119" max="15120" width="11.42578125" style="1047"/>
    <col min="15121" max="15121" width="13.85546875" style="1047" customWidth="1"/>
    <col min="15122" max="15360" width="11.42578125" style="1047"/>
    <col min="15361" max="15361" width="6" style="1047" customWidth="1"/>
    <col min="15362" max="15362" width="14.28515625" style="1047" customWidth="1"/>
    <col min="15363" max="15363" width="22" style="1047" customWidth="1"/>
    <col min="15364" max="15364" width="13.5703125" style="1047" customWidth="1"/>
    <col min="15365" max="15365" width="13.140625" style="1047" customWidth="1"/>
    <col min="15366" max="15366" width="16.140625" style="1047" customWidth="1"/>
    <col min="15367" max="15367" width="4" style="1047" customWidth="1"/>
    <col min="15368" max="15368" width="16.140625" style="1047" customWidth="1"/>
    <col min="15369" max="15370" width="17" style="1047" customWidth="1"/>
    <col min="15371" max="15371" width="14.28515625" style="1047" customWidth="1"/>
    <col min="15372" max="15373" width="11.42578125" style="1047"/>
    <col min="15374" max="15374" width="13.140625" style="1047" customWidth="1"/>
    <col min="15375" max="15376" width="11.42578125" style="1047"/>
    <col min="15377" max="15377" width="13.85546875" style="1047" customWidth="1"/>
    <col min="15378" max="15616" width="11.42578125" style="1047"/>
    <col min="15617" max="15617" width="6" style="1047" customWidth="1"/>
    <col min="15618" max="15618" width="14.28515625" style="1047" customWidth="1"/>
    <col min="15619" max="15619" width="22" style="1047" customWidth="1"/>
    <col min="15620" max="15620" width="13.5703125" style="1047" customWidth="1"/>
    <col min="15621" max="15621" width="13.140625" style="1047" customWidth="1"/>
    <col min="15622" max="15622" width="16.140625" style="1047" customWidth="1"/>
    <col min="15623" max="15623" width="4" style="1047" customWidth="1"/>
    <col min="15624" max="15624" width="16.140625" style="1047" customWidth="1"/>
    <col min="15625" max="15626" width="17" style="1047" customWidth="1"/>
    <col min="15627" max="15627" width="14.28515625" style="1047" customWidth="1"/>
    <col min="15628" max="15629" width="11.42578125" style="1047"/>
    <col min="15630" max="15630" width="13.140625" style="1047" customWidth="1"/>
    <col min="15631" max="15632" width="11.42578125" style="1047"/>
    <col min="15633" max="15633" width="13.85546875" style="1047" customWidth="1"/>
    <col min="15634" max="15872" width="11.42578125" style="1047"/>
    <col min="15873" max="15873" width="6" style="1047" customWidth="1"/>
    <col min="15874" max="15874" width="14.28515625" style="1047" customWidth="1"/>
    <col min="15875" max="15875" width="22" style="1047" customWidth="1"/>
    <col min="15876" max="15876" width="13.5703125" style="1047" customWidth="1"/>
    <col min="15877" max="15877" width="13.140625" style="1047" customWidth="1"/>
    <col min="15878" max="15878" width="16.140625" style="1047" customWidth="1"/>
    <col min="15879" max="15879" width="4" style="1047" customWidth="1"/>
    <col min="15880" max="15880" width="16.140625" style="1047" customWidth="1"/>
    <col min="15881" max="15882" width="17" style="1047" customWidth="1"/>
    <col min="15883" max="15883" width="14.28515625" style="1047" customWidth="1"/>
    <col min="15884" max="15885" width="11.42578125" style="1047"/>
    <col min="15886" max="15886" width="13.140625" style="1047" customWidth="1"/>
    <col min="15887" max="15888" width="11.42578125" style="1047"/>
    <col min="15889" max="15889" width="13.85546875" style="1047" customWidth="1"/>
    <col min="15890" max="16128" width="11.42578125" style="1047"/>
    <col min="16129" max="16129" width="6" style="1047" customWidth="1"/>
    <col min="16130" max="16130" width="14.28515625" style="1047" customWidth="1"/>
    <col min="16131" max="16131" width="22" style="1047" customWidth="1"/>
    <col min="16132" max="16132" width="13.5703125" style="1047" customWidth="1"/>
    <col min="16133" max="16133" width="13.140625" style="1047" customWidth="1"/>
    <col min="16134" max="16134" width="16.140625" style="1047" customWidth="1"/>
    <col min="16135" max="16135" width="4" style="1047" customWidth="1"/>
    <col min="16136" max="16136" width="16.140625" style="1047" customWidth="1"/>
    <col min="16137" max="16138" width="17" style="1047" customWidth="1"/>
    <col min="16139" max="16139" width="14.28515625" style="1047" customWidth="1"/>
    <col min="16140" max="16141" width="11.42578125" style="1047"/>
    <col min="16142" max="16142" width="13.140625" style="1047" customWidth="1"/>
    <col min="16143" max="16144" width="11.42578125" style="1047"/>
    <col min="16145" max="16145" width="13.85546875" style="1047" customWidth="1"/>
    <col min="16146" max="16384" width="11.42578125" style="1047"/>
  </cols>
  <sheetData>
    <row r="1" spans="1:18" ht="23.25">
      <c r="B1" s="1368" t="s">
        <v>649</v>
      </c>
      <c r="I1" s="1332"/>
      <c r="J1" s="1332"/>
    </row>
    <row r="2" spans="1:18" ht="12.75">
      <c r="B2" s="442" t="s">
        <v>732</v>
      </c>
    </row>
    <row r="3" spans="1:18" ht="15">
      <c r="A3" s="1230"/>
      <c r="B3" s="1362" t="s">
        <v>650</v>
      </c>
      <c r="I3" s="1367"/>
    </row>
    <row r="4" spans="1:18" ht="12.75">
      <c r="A4" s="1228"/>
      <c r="B4" s="536">
        <v>0</v>
      </c>
      <c r="I4" s="1332"/>
      <c r="K4" s="1229"/>
      <c r="L4" s="1228"/>
      <c r="M4" s="1228"/>
      <c r="N4" s="1228"/>
      <c r="O4" s="1228"/>
      <c r="P4" s="1228"/>
      <c r="Q4" s="1228"/>
      <c r="R4" s="1228"/>
    </row>
    <row r="5" spans="1:18" ht="12.75">
      <c r="A5" s="1227"/>
      <c r="I5" s="1332"/>
      <c r="K5" s="1226"/>
      <c r="L5" s="1226"/>
      <c r="M5" s="1226"/>
      <c r="N5" s="1226"/>
      <c r="O5" s="1226"/>
      <c r="P5" s="1226"/>
      <c r="Q5" s="1226"/>
      <c r="R5" s="1049"/>
    </row>
    <row r="6" spans="1:18" ht="12.75">
      <c r="A6" s="1227"/>
      <c r="F6" s="430"/>
      <c r="G6" s="430"/>
      <c r="H6" s="430"/>
      <c r="I6" s="1332"/>
      <c r="K6" s="1226" t="s">
        <v>971</v>
      </c>
      <c r="L6" s="1226"/>
      <c r="M6" s="1226"/>
      <c r="N6" s="1226"/>
      <c r="O6" s="1226"/>
      <c r="P6" s="1226"/>
      <c r="Q6" s="1226"/>
      <c r="R6" s="1049"/>
    </row>
    <row r="7" spans="1:18" ht="12.75">
      <c r="A7" s="1227"/>
      <c r="B7" s="1230"/>
      <c r="I7" s="1332"/>
      <c r="K7" s="1226"/>
      <c r="L7" s="1226"/>
      <c r="N7" s="1226"/>
      <c r="O7" s="1226"/>
      <c r="P7" s="1226"/>
      <c r="Q7" s="1226"/>
      <c r="R7" s="1049"/>
    </row>
    <row r="8" spans="1:18" ht="12.75">
      <c r="A8" s="1227"/>
      <c r="I8" s="1332"/>
      <c r="K8" s="1226"/>
      <c r="L8" s="1226"/>
      <c r="N8" s="1226"/>
      <c r="O8" s="1226"/>
      <c r="P8" s="1226"/>
      <c r="Q8" s="1226"/>
      <c r="R8" s="1049"/>
    </row>
    <row r="9" spans="1:18" ht="15">
      <c r="A9" s="1227"/>
      <c r="B9" s="1490" t="s">
        <v>382</v>
      </c>
      <c r="C9" s="1490"/>
      <c r="D9" s="1490"/>
      <c r="E9" s="1490"/>
      <c r="F9" s="1490"/>
      <c r="G9" s="1490"/>
      <c r="H9" s="1490"/>
      <c r="I9" s="1490"/>
      <c r="J9" s="1490"/>
      <c r="K9" s="1226"/>
      <c r="L9" s="1226"/>
      <c r="M9" s="1226"/>
      <c r="N9" s="1226"/>
      <c r="O9" s="1226"/>
      <c r="P9" s="1226"/>
      <c r="Q9" s="1226"/>
      <c r="R9" s="1049"/>
    </row>
    <row r="10" spans="1:18" ht="15">
      <c r="B10" s="1490" t="s">
        <v>1011</v>
      </c>
      <c r="C10" s="1490"/>
      <c r="D10" s="1490"/>
      <c r="E10" s="1490"/>
      <c r="F10" s="1490"/>
      <c r="G10" s="1490"/>
      <c r="H10" s="1490"/>
      <c r="I10" s="1490"/>
      <c r="J10" s="1490"/>
      <c r="K10" s="1049"/>
      <c r="L10" s="1049"/>
      <c r="M10" s="1049"/>
      <c r="N10" s="1049"/>
      <c r="O10" s="1049"/>
      <c r="P10" s="1049"/>
      <c r="Q10" s="1049"/>
      <c r="R10" s="1049"/>
    </row>
    <row r="11" spans="1:18" ht="15">
      <c r="B11" s="1490" t="s">
        <v>383</v>
      </c>
      <c r="C11" s="1490"/>
      <c r="D11" s="1490"/>
      <c r="E11" s="1490"/>
      <c r="F11" s="1490"/>
      <c r="G11" s="1490"/>
      <c r="H11" s="1490"/>
      <c r="I11" s="1490"/>
      <c r="J11" s="1490"/>
    </row>
    <row r="12" spans="1:18" ht="26.25">
      <c r="A12" s="1230"/>
      <c r="B12" s="1366" t="s">
        <v>1010</v>
      </c>
      <c r="C12" s="1364"/>
      <c r="D12" s="1364"/>
      <c r="E12" s="1365"/>
      <c r="F12" s="1365"/>
      <c r="G12" s="1365"/>
      <c r="H12" s="1365"/>
      <c r="I12" s="1364"/>
      <c r="J12" s="430"/>
    </row>
    <row r="13" spans="1:18" ht="15">
      <c r="A13" s="1228"/>
      <c r="B13" s="1363" t="s">
        <v>1009</v>
      </c>
      <c r="E13" s="1284"/>
      <c r="F13" s="1284"/>
      <c r="G13" s="1284"/>
      <c r="H13" s="1284"/>
      <c r="I13" s="1284"/>
      <c r="K13" s="1229"/>
      <c r="L13" s="1228"/>
      <c r="M13" s="1228"/>
      <c r="N13" s="1228"/>
      <c r="O13" s="1228"/>
      <c r="P13" s="1228"/>
      <c r="Q13" s="1228"/>
      <c r="R13" s="1228"/>
    </row>
    <row r="14" spans="1:18" ht="15">
      <c r="A14" s="1227"/>
      <c r="B14" s="1362"/>
      <c r="E14" s="1284">
        <f>+C17*24</f>
        <v>92982036.239999995</v>
      </c>
      <c r="F14" s="1284"/>
      <c r="G14" s="1284"/>
      <c r="H14" s="1284">
        <v>4538237</v>
      </c>
      <c r="I14" s="1284"/>
      <c r="K14" s="1226"/>
      <c r="L14" s="1226"/>
      <c r="M14" s="1226"/>
      <c r="N14" s="1226"/>
      <c r="O14" s="1226"/>
      <c r="P14" s="1226"/>
      <c r="Q14" s="1226"/>
      <c r="R14" s="1049"/>
    </row>
    <row r="15" spans="1:18" ht="12.75">
      <c r="A15" s="1227"/>
      <c r="B15" s="1357" t="s">
        <v>384</v>
      </c>
      <c r="C15" s="1361">
        <v>1.239735E-2</v>
      </c>
      <c r="D15" s="1226"/>
      <c r="E15" s="1284">
        <f>+E14+C19</f>
        <v>12982036.061000004</v>
      </c>
      <c r="F15" s="1360"/>
      <c r="G15" s="1360"/>
      <c r="H15" s="1360">
        <v>24</v>
      </c>
      <c r="I15" s="1284"/>
      <c r="J15" s="1049"/>
      <c r="K15" s="1226"/>
    </row>
    <row r="16" spans="1:18" ht="12.75">
      <c r="A16" s="1227"/>
      <c r="B16" s="1357" t="s">
        <v>385</v>
      </c>
      <c r="C16" s="430">
        <v>24</v>
      </c>
      <c r="D16" s="1284"/>
      <c r="E16" s="1284"/>
      <c r="F16" s="1284"/>
      <c r="G16" s="1284"/>
      <c r="H16" s="1284">
        <f>+H14*H15</f>
        <v>108917688</v>
      </c>
      <c r="I16" s="1284">
        <f>+D23-E23</f>
        <v>2882463.51</v>
      </c>
      <c r="J16" s="1049"/>
      <c r="K16" s="1226"/>
    </row>
    <row r="17" spans="1:17" ht="12.75">
      <c r="B17" s="1359" t="s">
        <v>386</v>
      </c>
      <c r="C17" s="1284">
        <f>ROUND(PMT(C15,C16,C18),2)</f>
        <v>3874251.51</v>
      </c>
      <c r="D17" s="1049">
        <v>1238744</v>
      </c>
      <c r="E17" s="1284">
        <f>+C17-D17</f>
        <v>2635507.5099999998</v>
      </c>
      <c r="F17" s="1284"/>
      <c r="G17" s="1284"/>
      <c r="H17" s="1284"/>
      <c r="I17" s="1284"/>
      <c r="J17" s="1049"/>
      <c r="K17" s="1049"/>
    </row>
    <row r="18" spans="1:17" ht="12.75">
      <c r="B18" s="1357" t="s">
        <v>387</v>
      </c>
      <c r="C18" s="1332">
        <v>-80000000</v>
      </c>
      <c r="E18" s="1284"/>
      <c r="F18" s="1284"/>
      <c r="G18" s="1284"/>
      <c r="H18" s="1284"/>
      <c r="I18" s="1284"/>
      <c r="J18" s="1358"/>
    </row>
    <row r="19" spans="1:17" ht="13.5" thickBot="1">
      <c r="A19" s="1230"/>
      <c r="B19" s="1357" t="s">
        <v>1008</v>
      </c>
      <c r="C19" s="1332">
        <f>-H51-0.2</f>
        <v>-80000000.17899999</v>
      </c>
    </row>
    <row r="20" spans="1:17" ht="12.75">
      <c r="A20" s="1228"/>
      <c r="B20" s="1356" t="s">
        <v>388</v>
      </c>
      <c r="C20" s="1355" t="s">
        <v>389</v>
      </c>
      <c r="D20" s="1355" t="s">
        <v>1007</v>
      </c>
      <c r="E20" s="1354" t="s">
        <v>1006</v>
      </c>
      <c r="F20" s="1353" t="s">
        <v>1005</v>
      </c>
      <c r="G20" s="1353"/>
      <c r="H20" s="1353" t="s">
        <v>1005</v>
      </c>
      <c r="I20" s="1352" t="s">
        <v>1004</v>
      </c>
      <c r="J20" s="1351" t="s">
        <v>1003</v>
      </c>
      <c r="K20" s="1229"/>
    </row>
    <row r="21" spans="1:17" ht="12.75">
      <c r="A21" s="1227"/>
      <c r="B21" s="1350"/>
      <c r="C21" s="1349" t="s">
        <v>1002</v>
      </c>
      <c r="D21" s="1347" t="s">
        <v>1001</v>
      </c>
      <c r="E21" s="1347" t="s">
        <v>999</v>
      </c>
      <c r="F21" s="1347" t="s">
        <v>155</v>
      </c>
      <c r="G21" s="1348"/>
      <c r="H21" s="1347" t="s">
        <v>999</v>
      </c>
      <c r="I21" s="1346" t="s">
        <v>155</v>
      </c>
      <c r="J21" s="1345" t="s">
        <v>1000</v>
      </c>
      <c r="K21" s="1226"/>
      <c r="L21" s="1049"/>
    </row>
    <row r="22" spans="1:17" ht="13.5" thickBot="1">
      <c r="A22" s="1227"/>
      <c r="B22" s="1344"/>
      <c r="C22" s="1343"/>
      <c r="D22" s="1342"/>
      <c r="E22" s="1340"/>
      <c r="F22" s="1341" t="s">
        <v>999</v>
      </c>
      <c r="G22" s="1271"/>
      <c r="H22" s="1341" t="s">
        <v>998</v>
      </c>
      <c r="I22" s="1340"/>
      <c r="J22" s="1339"/>
      <c r="K22" s="1226"/>
      <c r="L22" s="1049"/>
    </row>
    <row r="23" spans="1:17" ht="12.75">
      <c r="A23" s="1227"/>
      <c r="B23" s="1338">
        <v>1</v>
      </c>
      <c r="C23" s="1337">
        <v>42039</v>
      </c>
      <c r="D23" s="1305">
        <f t="shared" ref="D23:D46" si="0">+$C$17</f>
        <v>3874251.51</v>
      </c>
      <c r="E23" s="1327">
        <f t="shared" ref="E23:E46" si="1">ROUND((IPMT($C$15,B23,$C$16,$C$18)*1),3)</f>
        <v>991788</v>
      </c>
      <c r="F23" s="1306">
        <f t="shared" ref="F23:F46" si="2">PPMT($C$15,B23,$C$16,$C$18)</f>
        <v>2882463.5108646741</v>
      </c>
      <c r="G23" s="1336"/>
      <c r="H23" s="1305">
        <f t="shared" ref="H23:H46" si="3">+D23-E23</f>
        <v>2882463.51</v>
      </c>
      <c r="I23" s="1335">
        <f>-C18-F23</f>
        <v>77117536.489135325</v>
      </c>
      <c r="J23" s="1334">
        <f>-C19-H23</f>
        <v>77117536.668999985</v>
      </c>
      <c r="K23" s="1284">
        <v>597072</v>
      </c>
      <c r="L23" s="1049">
        <f>+E23-K23</f>
        <v>394716</v>
      </c>
      <c r="M23" s="1049">
        <f>+D23-E23</f>
        <v>2882463.51</v>
      </c>
      <c r="Q23" s="1260">
        <v>40889</v>
      </c>
    </row>
    <row r="24" spans="1:17" ht="12.75">
      <c r="A24" s="1227"/>
      <c r="B24" s="1289">
        <f t="shared" ref="B24:B46" si="4">+B23+1</f>
        <v>2</v>
      </c>
      <c r="C24" s="1331">
        <f t="shared" ref="C24:C33" si="5">+C23+30</f>
        <v>42069</v>
      </c>
      <c r="D24" s="1302">
        <f t="shared" si="0"/>
        <v>3874251.51</v>
      </c>
      <c r="E24" s="1327">
        <f t="shared" si="1"/>
        <v>956053.09100000001</v>
      </c>
      <c r="F24" s="1306">
        <f t="shared" si="2"/>
        <v>2918198.4198710928</v>
      </c>
      <c r="G24" s="1287"/>
      <c r="H24" s="1302">
        <f t="shared" si="3"/>
        <v>2918198.4189999998</v>
      </c>
      <c r="I24" s="1286">
        <f t="shared" ref="I24:I46" si="6">+I23-F24</f>
        <v>74199338.069264233</v>
      </c>
      <c r="J24" s="1285">
        <f t="shared" ref="J24:J46" si="7">+J23-H24</f>
        <v>74199338.249999985</v>
      </c>
      <c r="K24" s="1284">
        <v>535564</v>
      </c>
      <c r="L24" s="1049">
        <f>+E24-K24</f>
        <v>420489.09100000001</v>
      </c>
      <c r="Q24" s="1260">
        <v>40909</v>
      </c>
    </row>
    <row r="25" spans="1:17" ht="12.75">
      <c r="A25" s="1227"/>
      <c r="B25" s="1289">
        <f t="shared" si="4"/>
        <v>3</v>
      </c>
      <c r="C25" s="1331">
        <f t="shared" si="5"/>
        <v>42099</v>
      </c>
      <c r="D25" s="1305">
        <f t="shared" si="0"/>
        <v>3874251.51</v>
      </c>
      <c r="E25" s="1327">
        <f t="shared" si="1"/>
        <v>919875.16399999999</v>
      </c>
      <c r="F25" s="1306">
        <f t="shared" si="2"/>
        <v>2954376.347051682</v>
      </c>
      <c r="G25" s="1287"/>
      <c r="H25" s="1305">
        <f t="shared" si="3"/>
        <v>2954376.3459999999</v>
      </c>
      <c r="I25" s="1286">
        <f t="shared" si="6"/>
        <v>71244961.722212553</v>
      </c>
      <c r="J25" s="1285">
        <f t="shared" si="7"/>
        <v>71244961.903999984</v>
      </c>
      <c r="K25" s="1284"/>
      <c r="L25" s="1049"/>
      <c r="Q25" s="1260">
        <v>40929</v>
      </c>
    </row>
    <row r="26" spans="1:17" ht="12.75">
      <c r="B26" s="1289">
        <f t="shared" si="4"/>
        <v>4</v>
      </c>
      <c r="C26" s="1331">
        <f t="shared" si="5"/>
        <v>42129</v>
      </c>
      <c r="D26" s="1302">
        <f t="shared" si="0"/>
        <v>3874251.51</v>
      </c>
      <c r="E26" s="1327">
        <f t="shared" si="1"/>
        <v>883248.72600000002</v>
      </c>
      <c r="F26" s="1306">
        <f t="shared" si="2"/>
        <v>2991002.7846578034</v>
      </c>
      <c r="G26" s="1287"/>
      <c r="H26" s="1302">
        <f t="shared" si="3"/>
        <v>2991002.784</v>
      </c>
      <c r="I26" s="1286">
        <f t="shared" si="6"/>
        <v>68253958.937554747</v>
      </c>
      <c r="J26" s="1285">
        <f t="shared" si="7"/>
        <v>68253959.11999999</v>
      </c>
      <c r="K26" s="1284"/>
      <c r="L26" s="1049"/>
      <c r="Q26" s="1260">
        <v>40949</v>
      </c>
    </row>
    <row r="27" spans="1:17" ht="12.75">
      <c r="B27" s="1289">
        <f t="shared" si="4"/>
        <v>5</v>
      </c>
      <c r="C27" s="1331">
        <f t="shared" si="5"/>
        <v>42159</v>
      </c>
      <c r="D27" s="1305">
        <f t="shared" si="0"/>
        <v>3874251.51</v>
      </c>
      <c r="E27" s="1327">
        <f t="shared" si="1"/>
        <v>846168.21799999999</v>
      </c>
      <c r="F27" s="1306">
        <f t="shared" si="2"/>
        <v>3028083.2930301805</v>
      </c>
      <c r="G27" s="1287"/>
      <c r="H27" s="1305">
        <f t="shared" si="3"/>
        <v>3028083.2919999999</v>
      </c>
      <c r="I27" s="1286">
        <f t="shared" si="6"/>
        <v>65225875.644524567</v>
      </c>
      <c r="J27" s="1285">
        <f t="shared" si="7"/>
        <v>65225875.827999987</v>
      </c>
      <c r="K27" s="1284"/>
      <c r="L27" s="1049"/>
      <c r="Q27" s="1260">
        <v>40969</v>
      </c>
    </row>
    <row r="28" spans="1:17" ht="12.75">
      <c r="A28" s="1230"/>
      <c r="B28" s="1289">
        <f t="shared" si="4"/>
        <v>6</v>
      </c>
      <c r="C28" s="1331">
        <f t="shared" si="5"/>
        <v>42189</v>
      </c>
      <c r="D28" s="1302">
        <f t="shared" si="0"/>
        <v>3874251.51</v>
      </c>
      <c r="E28" s="1327">
        <f t="shared" si="1"/>
        <v>808628.00899999996</v>
      </c>
      <c r="F28" s="1306">
        <f t="shared" si="2"/>
        <v>3065623.501443028</v>
      </c>
      <c r="G28" s="1287"/>
      <c r="H28" s="1302">
        <f t="shared" si="3"/>
        <v>3065623.5009999997</v>
      </c>
      <c r="I28" s="1286">
        <f t="shared" si="6"/>
        <v>62160252.143081538</v>
      </c>
      <c r="J28" s="1285">
        <f t="shared" si="7"/>
        <v>62160252.326999985</v>
      </c>
      <c r="K28" s="1284"/>
      <c r="L28" s="1049"/>
      <c r="Q28" s="1260">
        <v>40989</v>
      </c>
    </row>
    <row r="29" spans="1:17" ht="12.75">
      <c r="A29" s="1230"/>
      <c r="B29" s="1289">
        <f t="shared" si="4"/>
        <v>7</v>
      </c>
      <c r="C29" s="1331">
        <f t="shared" si="5"/>
        <v>42219</v>
      </c>
      <c r="D29" s="1305">
        <f t="shared" si="0"/>
        <v>3874251.51</v>
      </c>
      <c r="E29" s="1327">
        <f t="shared" si="1"/>
        <v>770622.402</v>
      </c>
      <c r="F29" s="1306">
        <f t="shared" si="2"/>
        <v>3103629.1089586425</v>
      </c>
      <c r="G29" s="1287"/>
      <c r="H29" s="1305">
        <f t="shared" si="3"/>
        <v>3103629.108</v>
      </c>
      <c r="I29" s="1286">
        <f t="shared" si="6"/>
        <v>59056623.034122899</v>
      </c>
      <c r="J29" s="1285">
        <f t="shared" si="7"/>
        <v>59056623.218999982</v>
      </c>
      <c r="K29" s="1284"/>
      <c r="L29" s="1049"/>
      <c r="Q29" s="1260"/>
    </row>
    <row r="30" spans="1:17" ht="12.75">
      <c r="A30" s="1230"/>
      <c r="B30" s="1289">
        <f t="shared" si="4"/>
        <v>8</v>
      </c>
      <c r="C30" s="1331">
        <f t="shared" si="5"/>
        <v>42249</v>
      </c>
      <c r="D30" s="1302">
        <f t="shared" si="0"/>
        <v>3874251.51</v>
      </c>
      <c r="E30" s="1327">
        <f t="shared" si="1"/>
        <v>732145.62600000005</v>
      </c>
      <c r="F30" s="1306">
        <f t="shared" si="2"/>
        <v>3142105.8852925915</v>
      </c>
      <c r="G30" s="1287"/>
      <c r="H30" s="1302">
        <f t="shared" si="3"/>
        <v>3142105.8839999996</v>
      </c>
      <c r="I30" s="1286">
        <f t="shared" si="6"/>
        <v>55914517.14883031</v>
      </c>
      <c r="J30" s="1285">
        <f t="shared" si="7"/>
        <v>55914517.334999979</v>
      </c>
      <c r="K30" s="1333">
        <f>SUM(E23:E33)</f>
        <v>8869305.7119999994</v>
      </c>
      <c r="L30" s="1049"/>
      <c r="Q30" s="1260"/>
    </row>
    <row r="31" spans="1:17" ht="12.75">
      <c r="A31" s="1230"/>
      <c r="B31" s="1289">
        <f t="shared" si="4"/>
        <v>9</v>
      </c>
      <c r="C31" s="1331">
        <f t="shared" si="5"/>
        <v>42279</v>
      </c>
      <c r="D31" s="1305">
        <f t="shared" si="0"/>
        <v>3874251.51</v>
      </c>
      <c r="E31" s="1327">
        <f t="shared" si="1"/>
        <v>693191.83900000004</v>
      </c>
      <c r="F31" s="1306">
        <f t="shared" si="2"/>
        <v>3181059.6716896235</v>
      </c>
      <c r="G31" s="1287"/>
      <c r="H31" s="1305">
        <f t="shared" si="3"/>
        <v>3181059.6709999996</v>
      </c>
      <c r="I31" s="1286">
        <f t="shared" si="6"/>
        <v>52733457.477140687</v>
      </c>
      <c r="J31" s="1285">
        <f t="shared" si="7"/>
        <v>52733457.663999982</v>
      </c>
      <c r="K31" s="1332"/>
      <c r="L31" s="1049"/>
      <c r="Q31" s="1260"/>
    </row>
    <row r="32" spans="1:17" ht="12.75">
      <c r="A32" s="1230"/>
      <c r="B32" s="1289">
        <f t="shared" si="4"/>
        <v>10</v>
      </c>
      <c r="C32" s="1331">
        <f t="shared" si="5"/>
        <v>42309</v>
      </c>
      <c r="D32" s="1302">
        <f t="shared" si="0"/>
        <v>3874251.51</v>
      </c>
      <c r="E32" s="1327">
        <f t="shared" si="1"/>
        <v>653755.12899999996</v>
      </c>
      <c r="F32" s="1306">
        <f t="shared" si="2"/>
        <v>3220496.3818104449</v>
      </c>
      <c r="G32" s="1287"/>
      <c r="H32" s="1302">
        <f t="shared" si="3"/>
        <v>3220496.3810000001</v>
      </c>
      <c r="I32" s="1286">
        <f t="shared" si="6"/>
        <v>49512961.095330246</v>
      </c>
      <c r="J32" s="1285">
        <f t="shared" si="7"/>
        <v>49512961.282999985</v>
      </c>
      <c r="K32" s="1330"/>
      <c r="L32" s="1049"/>
      <c r="Q32" s="1260"/>
    </row>
    <row r="33" spans="1:17" ht="13.5" thickBot="1">
      <c r="A33" s="1230"/>
      <c r="B33" s="1329">
        <f t="shared" si="4"/>
        <v>11</v>
      </c>
      <c r="C33" s="1328">
        <f t="shared" si="5"/>
        <v>42339</v>
      </c>
      <c r="D33" s="1324">
        <f t="shared" si="0"/>
        <v>3874251.51</v>
      </c>
      <c r="E33" s="1327">
        <f t="shared" si="1"/>
        <v>613829.50800000003</v>
      </c>
      <c r="F33" s="1326">
        <f t="shared" si="2"/>
        <v>3260422.0026294822</v>
      </c>
      <c r="G33" s="1325"/>
      <c r="H33" s="1324">
        <f t="shared" si="3"/>
        <v>3260422.0019999999</v>
      </c>
      <c r="I33" s="1323">
        <f t="shared" si="6"/>
        <v>46252539.092700765</v>
      </c>
      <c r="J33" s="1322">
        <f t="shared" si="7"/>
        <v>46252539.280999988</v>
      </c>
      <c r="K33" s="1284"/>
      <c r="L33" s="1049"/>
      <c r="Q33" s="1260"/>
    </row>
    <row r="34" spans="1:17" ht="12.75">
      <c r="A34" s="1230"/>
      <c r="B34" s="1321">
        <f t="shared" si="4"/>
        <v>12</v>
      </c>
      <c r="C34" s="1320">
        <f>+C33+30+4</f>
        <v>42373</v>
      </c>
      <c r="D34" s="1319">
        <f t="shared" si="0"/>
        <v>3874251.51</v>
      </c>
      <c r="E34" s="1302">
        <f t="shared" si="1"/>
        <v>573408.91599999997</v>
      </c>
      <c r="F34" s="1317">
        <f t="shared" si="2"/>
        <v>3300842.5953437812</v>
      </c>
      <c r="G34" s="1318"/>
      <c r="H34" s="1317">
        <f t="shared" si="3"/>
        <v>3300842.5939999996</v>
      </c>
      <c r="I34" s="1316">
        <f t="shared" si="6"/>
        <v>42951696.497356981</v>
      </c>
      <c r="J34" s="1315">
        <f t="shared" si="7"/>
        <v>42951696.686999992</v>
      </c>
      <c r="K34" s="1284"/>
      <c r="L34" s="1049"/>
      <c r="Q34" s="1260"/>
    </row>
    <row r="35" spans="1:17" ht="13.5" thickBot="1">
      <c r="A35" s="1230"/>
      <c r="B35" s="1289">
        <f t="shared" si="4"/>
        <v>13</v>
      </c>
      <c r="C35" s="1307">
        <f t="shared" ref="C35:C41" si="8">+C34+30</f>
        <v>42403</v>
      </c>
      <c r="D35" s="1314">
        <f t="shared" si="0"/>
        <v>3874251.51</v>
      </c>
      <c r="E35" s="1302">
        <f t="shared" si="1"/>
        <v>532487.21499999997</v>
      </c>
      <c r="F35" s="1312">
        <f t="shared" si="2"/>
        <v>3341764.2962931655</v>
      </c>
      <c r="G35" s="1313"/>
      <c r="H35" s="1312">
        <f t="shared" si="3"/>
        <v>3341764.2949999999</v>
      </c>
      <c r="I35" s="1311">
        <f t="shared" si="6"/>
        <v>39609932.201063812</v>
      </c>
      <c r="J35" s="1310">
        <f t="shared" si="7"/>
        <v>39609932.39199999</v>
      </c>
      <c r="K35" s="1284"/>
      <c r="L35" s="1049"/>
      <c r="Q35" s="1260"/>
    </row>
    <row r="36" spans="1:17" ht="12.75">
      <c r="A36" s="1230"/>
      <c r="B36" s="1289">
        <f t="shared" si="4"/>
        <v>14</v>
      </c>
      <c r="C36" s="1307">
        <f t="shared" si="8"/>
        <v>42433</v>
      </c>
      <c r="D36" s="1308">
        <f t="shared" si="0"/>
        <v>3874251.51</v>
      </c>
      <c r="E36" s="1302">
        <f t="shared" si="1"/>
        <v>491058.19300000003</v>
      </c>
      <c r="F36" s="1309">
        <f t="shared" si="2"/>
        <v>3383193.3178918161</v>
      </c>
      <c r="G36" s="1292"/>
      <c r="H36" s="1308">
        <f t="shared" si="3"/>
        <v>3383193.3169999998</v>
      </c>
      <c r="I36" s="1291">
        <f t="shared" si="6"/>
        <v>36226738.883171998</v>
      </c>
      <c r="J36" s="1290">
        <f t="shared" si="7"/>
        <v>36226739.074999988</v>
      </c>
      <c r="K36" s="1296" t="s">
        <v>997</v>
      </c>
      <c r="L36" s="1049"/>
      <c r="Q36" s="1260"/>
    </row>
    <row r="37" spans="1:17" ht="12.75">
      <c r="A37" s="1230"/>
      <c r="B37" s="1289">
        <f t="shared" si="4"/>
        <v>15</v>
      </c>
      <c r="C37" s="1307">
        <f t="shared" si="8"/>
        <v>42463</v>
      </c>
      <c r="D37" s="1305">
        <f t="shared" si="0"/>
        <v>3874251.51</v>
      </c>
      <c r="E37" s="1302">
        <f t="shared" si="1"/>
        <v>449115.56099999999</v>
      </c>
      <c r="F37" s="1306">
        <f t="shared" si="2"/>
        <v>3425135.9495713827</v>
      </c>
      <c r="G37" s="1287"/>
      <c r="H37" s="1305">
        <f t="shared" si="3"/>
        <v>3425135.949</v>
      </c>
      <c r="I37" s="1286">
        <f t="shared" si="6"/>
        <v>32801602.933600616</v>
      </c>
      <c r="J37" s="1285">
        <f t="shared" si="7"/>
        <v>32801603.125999987</v>
      </c>
      <c r="K37" s="1296" t="s">
        <v>997</v>
      </c>
      <c r="L37" s="1049"/>
      <c r="Q37" s="1260"/>
    </row>
    <row r="38" spans="1:17" ht="12.75">
      <c r="A38" s="1230"/>
      <c r="B38" s="1289">
        <f t="shared" si="4"/>
        <v>16</v>
      </c>
      <c r="C38" s="1307">
        <f t="shared" si="8"/>
        <v>42493</v>
      </c>
      <c r="D38" s="1302">
        <f t="shared" si="0"/>
        <v>3874251.51</v>
      </c>
      <c r="E38" s="1302">
        <f t="shared" si="1"/>
        <v>406652.95199999999</v>
      </c>
      <c r="F38" s="1306">
        <f t="shared" si="2"/>
        <v>3467598.5587358014</v>
      </c>
      <c r="G38" s="1287"/>
      <c r="H38" s="1302">
        <f t="shared" si="3"/>
        <v>3467598.5579999997</v>
      </c>
      <c r="I38" s="1286">
        <f t="shared" si="6"/>
        <v>29334004.374864813</v>
      </c>
      <c r="J38" s="1285">
        <f t="shared" si="7"/>
        <v>29334004.567999989</v>
      </c>
      <c r="K38" s="1296" t="s">
        <v>997</v>
      </c>
      <c r="L38" s="1049"/>
      <c r="Q38" s="1260"/>
    </row>
    <row r="39" spans="1:17" ht="12.75">
      <c r="A39" s="1230"/>
      <c r="B39" s="1289">
        <f t="shared" si="4"/>
        <v>17</v>
      </c>
      <c r="C39" s="1307">
        <f t="shared" si="8"/>
        <v>42523</v>
      </c>
      <c r="D39" s="1305">
        <f t="shared" si="0"/>
        <v>3874251.51</v>
      </c>
      <c r="E39" s="1302">
        <f t="shared" si="1"/>
        <v>363663.91899999999</v>
      </c>
      <c r="F39" s="1306">
        <f t="shared" si="2"/>
        <v>3510587.5917279446</v>
      </c>
      <c r="G39" s="1287"/>
      <c r="H39" s="1305">
        <f t="shared" si="3"/>
        <v>3510587.591</v>
      </c>
      <c r="I39" s="1286">
        <f t="shared" si="6"/>
        <v>25823416.783136867</v>
      </c>
      <c r="J39" s="1285">
        <f t="shared" si="7"/>
        <v>25823416.976999991</v>
      </c>
      <c r="K39" s="1296" t="s">
        <v>997</v>
      </c>
      <c r="L39" s="1049"/>
      <c r="Q39" s="1260"/>
    </row>
    <row r="40" spans="1:17" ht="12.75">
      <c r="A40" s="1230"/>
      <c r="B40" s="1289">
        <f t="shared" si="4"/>
        <v>18</v>
      </c>
      <c r="C40" s="1307">
        <f t="shared" si="8"/>
        <v>42553</v>
      </c>
      <c r="D40" s="1302">
        <f t="shared" si="0"/>
        <v>3874251.51</v>
      </c>
      <c r="E40" s="1302">
        <f t="shared" si="1"/>
        <v>320141.93599999999</v>
      </c>
      <c r="F40" s="1306">
        <f t="shared" si="2"/>
        <v>3554109.574808253</v>
      </c>
      <c r="G40" s="1287"/>
      <c r="H40" s="1302">
        <f t="shared" si="3"/>
        <v>3554109.574</v>
      </c>
      <c r="I40" s="1286">
        <f t="shared" si="6"/>
        <v>22269307.208328612</v>
      </c>
      <c r="J40" s="1285">
        <f t="shared" si="7"/>
        <v>22269307.40299999</v>
      </c>
      <c r="K40" s="1296" t="s">
        <v>997</v>
      </c>
      <c r="L40" s="1049"/>
      <c r="Q40" s="1260"/>
    </row>
    <row r="41" spans="1:17" ht="12.75">
      <c r="A41" s="1230"/>
      <c r="B41" s="1289">
        <f t="shared" si="4"/>
        <v>19</v>
      </c>
      <c r="C41" s="1307">
        <f t="shared" si="8"/>
        <v>42583</v>
      </c>
      <c r="D41" s="1305">
        <f t="shared" si="0"/>
        <v>3874251.51</v>
      </c>
      <c r="E41" s="1302">
        <f t="shared" si="1"/>
        <v>276080.39600000001</v>
      </c>
      <c r="F41" s="1306">
        <f t="shared" si="2"/>
        <v>3598171.1151455021</v>
      </c>
      <c r="G41" s="1287"/>
      <c r="H41" s="1305">
        <f t="shared" si="3"/>
        <v>3598171.1139999996</v>
      </c>
      <c r="I41" s="1286">
        <f t="shared" si="6"/>
        <v>18671136.093183111</v>
      </c>
      <c r="J41" s="1285">
        <f t="shared" si="7"/>
        <v>18671136.28899999</v>
      </c>
      <c r="K41" s="1296" t="s">
        <v>997</v>
      </c>
      <c r="L41" s="1049"/>
      <c r="Q41" s="1260"/>
    </row>
    <row r="42" spans="1:17" ht="12.75">
      <c r="A42" s="1230"/>
      <c r="B42" s="1289">
        <f t="shared" si="4"/>
        <v>20</v>
      </c>
      <c r="C42" s="1307">
        <f>+C41+30+5</f>
        <v>42618</v>
      </c>
      <c r="D42" s="1302">
        <f t="shared" si="0"/>
        <v>3874251.51</v>
      </c>
      <c r="E42" s="1302">
        <f t="shared" si="1"/>
        <v>231472.609</v>
      </c>
      <c r="F42" s="1306">
        <f t="shared" si="2"/>
        <v>3642778.9018198512</v>
      </c>
      <c r="G42" s="1287"/>
      <c r="H42" s="1302">
        <f t="shared" si="3"/>
        <v>3642778.9009999996</v>
      </c>
      <c r="I42" s="1286">
        <f t="shared" si="6"/>
        <v>15028357.19136326</v>
      </c>
      <c r="J42" s="1285">
        <f t="shared" si="7"/>
        <v>15028357.387999989</v>
      </c>
      <c r="K42" s="1296" t="s">
        <v>997</v>
      </c>
      <c r="L42" s="1049"/>
      <c r="Q42" s="1260"/>
    </row>
    <row r="43" spans="1:17" ht="12.75">
      <c r="A43" s="1230"/>
      <c r="B43" s="1289">
        <f t="shared" si="4"/>
        <v>21</v>
      </c>
      <c r="C43" s="1307">
        <f>+C42+30</f>
        <v>42648</v>
      </c>
      <c r="D43" s="1305">
        <f t="shared" si="0"/>
        <v>3874251.51</v>
      </c>
      <c r="E43" s="1302">
        <f t="shared" si="1"/>
        <v>186311.804</v>
      </c>
      <c r="F43" s="1306">
        <f t="shared" si="2"/>
        <v>3687939.706838327</v>
      </c>
      <c r="G43" s="1287"/>
      <c r="H43" s="1305">
        <f t="shared" si="3"/>
        <v>3687939.7059999998</v>
      </c>
      <c r="I43" s="1286">
        <f t="shared" si="6"/>
        <v>11340417.484524934</v>
      </c>
      <c r="J43" s="1285">
        <f t="shared" si="7"/>
        <v>11340417.681999989</v>
      </c>
      <c r="K43" s="1296" t="s">
        <v>997</v>
      </c>
      <c r="L43" s="1049"/>
      <c r="Q43" s="1260"/>
    </row>
    <row r="44" spans="1:17" ht="12.75">
      <c r="A44" s="1230"/>
      <c r="B44" s="1289">
        <f t="shared" si="4"/>
        <v>22</v>
      </c>
      <c r="C44" s="1307">
        <f>+C43+30</f>
        <v>42678</v>
      </c>
      <c r="D44" s="1302">
        <f t="shared" si="0"/>
        <v>3874251.51</v>
      </c>
      <c r="E44" s="1302">
        <f t="shared" si="1"/>
        <v>140591.125</v>
      </c>
      <c r="F44" s="1306">
        <f t="shared" si="2"/>
        <v>3733660.386162899</v>
      </c>
      <c r="G44" s="1287"/>
      <c r="H44" s="1302">
        <f t="shared" si="3"/>
        <v>3733660.3849999998</v>
      </c>
      <c r="I44" s="1286">
        <f t="shared" si="6"/>
        <v>7606757.0983620342</v>
      </c>
      <c r="J44" s="1285">
        <f t="shared" si="7"/>
        <v>7606757.2969999891</v>
      </c>
      <c r="K44" s="1296" t="s">
        <v>997</v>
      </c>
      <c r="L44" s="1049"/>
      <c r="Q44" s="1260"/>
    </row>
    <row r="45" spans="1:17" ht="12.75">
      <c r="A45" s="1230"/>
      <c r="B45" s="1289">
        <f t="shared" si="4"/>
        <v>23</v>
      </c>
      <c r="C45" s="1307">
        <f>+C44+30</f>
        <v>42708</v>
      </c>
      <c r="D45" s="1305">
        <f t="shared" si="0"/>
        <v>3874251.51</v>
      </c>
      <c r="E45" s="1302">
        <f t="shared" si="1"/>
        <v>94303.63</v>
      </c>
      <c r="F45" s="1306">
        <f t="shared" si="2"/>
        <v>3779947.8807512964</v>
      </c>
      <c r="G45" s="1287"/>
      <c r="H45" s="1305">
        <f t="shared" si="3"/>
        <v>3779947.88</v>
      </c>
      <c r="I45" s="1286">
        <f t="shared" si="6"/>
        <v>3826809.2176107378</v>
      </c>
      <c r="J45" s="1285">
        <f t="shared" si="7"/>
        <v>3826809.4169999892</v>
      </c>
      <c r="K45" s="1296" t="s">
        <v>997</v>
      </c>
      <c r="L45" s="1049"/>
      <c r="Q45" s="1260"/>
    </row>
    <row r="46" spans="1:17" ht="13.5" thickBot="1">
      <c r="A46" s="1230"/>
      <c r="B46" s="1304">
        <f t="shared" si="4"/>
        <v>24</v>
      </c>
      <c r="C46" s="1303">
        <f>+C45+30</f>
        <v>42738</v>
      </c>
      <c r="D46" s="1299">
        <f t="shared" si="0"/>
        <v>3874251.51</v>
      </c>
      <c r="E46" s="1302">
        <f t="shared" si="1"/>
        <v>47442.292999999998</v>
      </c>
      <c r="F46" s="1301">
        <f t="shared" si="2"/>
        <v>3826809.2176107285</v>
      </c>
      <c r="G46" s="1300"/>
      <c r="H46" s="1299">
        <f t="shared" si="3"/>
        <v>3826809.2169999997</v>
      </c>
      <c r="I46" s="1298">
        <f t="shared" si="6"/>
        <v>9.3132257461547852E-9</v>
      </c>
      <c r="J46" s="1297">
        <f t="shared" si="7"/>
        <v>0.19999998947605491</v>
      </c>
      <c r="K46" s="1296" t="s">
        <v>997</v>
      </c>
      <c r="L46" s="1049"/>
      <c r="Q46" s="1260"/>
    </row>
    <row r="47" spans="1:17" ht="12.75">
      <c r="A47" s="1230"/>
      <c r="B47" s="1295"/>
      <c r="C47" s="1294"/>
      <c r="D47" s="1291"/>
      <c r="E47" s="1293"/>
      <c r="F47" s="1291"/>
      <c r="G47" s="1292"/>
      <c r="H47" s="1291"/>
      <c r="I47" s="1291"/>
      <c r="J47" s="1290"/>
      <c r="K47" s="1284"/>
      <c r="L47" s="1049"/>
      <c r="Q47" s="1260"/>
    </row>
    <row r="48" spans="1:17" ht="12.75">
      <c r="A48" s="1230"/>
      <c r="B48" s="1289"/>
      <c r="C48" s="1288"/>
      <c r="D48" s="1286"/>
      <c r="E48" s="1286"/>
      <c r="F48" s="1286"/>
      <c r="G48" s="1287"/>
      <c r="H48" s="1286"/>
      <c r="I48" s="1286"/>
      <c r="J48" s="1285"/>
      <c r="K48" s="1284"/>
      <c r="L48" s="1049"/>
      <c r="Q48" s="1260"/>
    </row>
    <row r="49" spans="1:18" ht="12.75">
      <c r="A49" s="1230"/>
      <c r="B49" s="1289"/>
      <c r="C49" s="1288"/>
      <c r="D49" s="1286"/>
      <c r="E49" s="1286"/>
      <c r="F49" s="1286"/>
      <c r="G49" s="1287"/>
      <c r="H49" s="1286"/>
      <c r="I49" s="1286"/>
      <c r="J49" s="1285"/>
      <c r="K49" s="1284"/>
      <c r="L49" s="1049"/>
      <c r="Q49" s="1260"/>
    </row>
    <row r="50" spans="1:18" ht="12.75">
      <c r="B50" s="1283"/>
      <c r="C50" s="1282"/>
      <c r="D50" s="1281"/>
      <c r="E50" s="1281"/>
      <c r="F50" s="1281"/>
      <c r="G50" s="1281"/>
      <c r="H50" s="1281"/>
      <c r="I50" s="1280"/>
      <c r="J50" s="1279"/>
      <c r="P50" s="1228">
        <v>13</v>
      </c>
      <c r="Q50" s="1260">
        <v>41369</v>
      </c>
    </row>
    <row r="51" spans="1:18" ht="12.75">
      <c r="A51" s="1230"/>
      <c r="B51" s="1278"/>
      <c r="C51" s="763"/>
      <c r="D51" s="1276">
        <f>SUM(D23:D49)</f>
        <v>92982036.24000001</v>
      </c>
      <c r="E51" s="1276">
        <f>SUM(E23:E49)</f>
        <v>12982036.260999998</v>
      </c>
      <c r="F51" s="1277">
        <f>SUM(F23:F49)</f>
        <v>80000000</v>
      </c>
      <c r="G51" s="1277"/>
      <c r="H51" s="1276">
        <f>SUM(H23:H49)</f>
        <v>79999999.978999987</v>
      </c>
      <c r="I51" s="1275"/>
      <c r="J51" s="1274"/>
      <c r="P51" s="1228">
        <v>14</v>
      </c>
      <c r="Q51" s="1260">
        <v>41389</v>
      </c>
    </row>
    <row r="52" spans="1:18" ht="13.5" thickBot="1">
      <c r="A52" s="1228"/>
      <c r="B52" s="1273"/>
      <c r="C52" s="1272"/>
      <c r="D52" s="1271"/>
      <c r="E52" s="1270"/>
      <c r="F52" s="1270"/>
      <c r="G52" s="1270"/>
      <c r="H52" s="1270"/>
      <c r="I52" s="1269"/>
      <c r="J52" s="1268"/>
      <c r="K52" s="1229"/>
      <c r="P52" s="1228">
        <v>0.16</v>
      </c>
      <c r="Q52" s="1260">
        <v>41409</v>
      </c>
    </row>
    <row r="53" spans="1:18" ht="12.75">
      <c r="C53" s="1267" t="s">
        <v>996</v>
      </c>
      <c r="D53" s="1265">
        <f>SUM(D34:D46)</f>
        <v>50365269.62999998</v>
      </c>
      <c r="E53" s="1265">
        <f>SUM(E34:E46)</f>
        <v>4112730.5490000001</v>
      </c>
      <c r="F53" s="1265"/>
      <c r="G53" s="1266"/>
      <c r="H53" s="1265">
        <f>SUM(H34:H46)</f>
        <v>46252539.081</v>
      </c>
      <c r="J53" s="1049"/>
      <c r="P53" s="1228">
        <v>16</v>
      </c>
      <c r="Q53" s="1260">
        <v>41429</v>
      </c>
    </row>
    <row r="54" spans="1:18" ht="12.75">
      <c r="B54" s="1049"/>
      <c r="C54" s="1264" t="s">
        <v>995</v>
      </c>
      <c r="D54" s="1263">
        <v>0</v>
      </c>
      <c r="E54" s="1263">
        <v>0</v>
      </c>
      <c r="F54" s="1263">
        <v>0</v>
      </c>
      <c r="G54" s="1261"/>
      <c r="H54" s="1261"/>
      <c r="I54" s="1049"/>
      <c r="J54" s="1049"/>
      <c r="P54" s="1228">
        <v>17</v>
      </c>
      <c r="Q54" s="1260">
        <v>41449</v>
      </c>
      <c r="R54" s="1049"/>
    </row>
    <row r="55" spans="1:18" ht="12.75">
      <c r="B55" s="1049"/>
      <c r="C55" s="1049"/>
      <c r="D55" s="1049"/>
      <c r="E55" s="1049"/>
      <c r="F55" s="1261"/>
      <c r="G55" s="1261"/>
      <c r="H55" s="1261"/>
      <c r="I55" s="1049"/>
      <c r="J55" s="1049"/>
      <c r="P55" s="1228"/>
      <c r="Q55" s="1260"/>
      <c r="R55" s="1049"/>
    </row>
    <row r="56" spans="1:18" ht="12.75">
      <c r="B56" s="1049"/>
      <c r="C56" s="1049"/>
      <c r="D56" s="1049"/>
      <c r="E56" s="1049"/>
      <c r="F56" s="1262">
        <f>+D51-F51</f>
        <v>12982036.24000001</v>
      </c>
      <c r="G56" s="1261"/>
      <c r="H56" s="1261"/>
      <c r="I56" s="1049"/>
      <c r="J56" s="1049"/>
      <c r="P56" s="1228"/>
      <c r="Q56" s="1260"/>
      <c r="R56" s="1049"/>
    </row>
    <row r="57" spans="1:18" ht="12.75">
      <c r="B57" s="1049"/>
      <c r="C57" s="1049"/>
      <c r="D57" s="1049"/>
      <c r="E57" s="1049"/>
      <c r="F57" s="1261"/>
      <c r="G57" s="1261"/>
      <c r="H57" s="1261"/>
      <c r="I57" s="1049"/>
      <c r="J57" s="1049"/>
      <c r="P57" s="1228"/>
      <c r="Q57" s="1260"/>
      <c r="R57" s="1049"/>
    </row>
    <row r="58" spans="1:18" ht="12.75">
      <c r="B58" s="1049"/>
      <c r="C58" s="1049"/>
      <c r="D58" s="1258" t="s">
        <v>992</v>
      </c>
      <c r="E58" s="1258" t="s">
        <v>991</v>
      </c>
      <c r="F58" s="1258"/>
      <c r="G58" s="1258"/>
      <c r="H58" s="1258"/>
      <c r="I58" s="1258"/>
      <c r="J58" s="1049"/>
      <c r="M58" s="1049"/>
      <c r="N58" s="1049"/>
      <c r="O58" s="1049"/>
      <c r="P58" s="1228">
        <v>18</v>
      </c>
      <c r="Q58" s="1260">
        <v>41469</v>
      </c>
      <c r="R58" s="1049"/>
    </row>
    <row r="59" spans="1:18" ht="12.75">
      <c r="B59" s="1049">
        <v>11101</v>
      </c>
      <c r="C59" s="1255" t="s">
        <v>994</v>
      </c>
      <c r="D59" s="1256">
        <f>+H53</f>
        <v>46252539.081</v>
      </c>
      <c r="E59" s="1256"/>
      <c r="F59" s="1255"/>
      <c r="G59" s="1255"/>
      <c r="H59" s="1255"/>
      <c r="I59" s="1255"/>
      <c r="J59" s="1049"/>
      <c r="M59" s="1049"/>
      <c r="N59" s="1049"/>
      <c r="O59" s="1049"/>
      <c r="P59" s="1228">
        <v>19</v>
      </c>
      <c r="Q59" s="1260">
        <v>41489</v>
      </c>
      <c r="R59" s="1049"/>
    </row>
    <row r="60" spans="1:18" ht="12.75">
      <c r="B60" s="1049">
        <v>13013</v>
      </c>
      <c r="C60" s="1233" t="s">
        <v>993</v>
      </c>
      <c r="D60" s="1234">
        <f>+E53</f>
        <v>4112730.5490000001</v>
      </c>
      <c r="E60" s="1234"/>
      <c r="F60" s="1233"/>
      <c r="G60" s="1233"/>
      <c r="H60" s="1233"/>
      <c r="I60" s="1233"/>
      <c r="J60" s="1049"/>
      <c r="M60" s="1049"/>
      <c r="N60" s="1049"/>
      <c r="O60" s="1049"/>
      <c r="P60" s="1228"/>
      <c r="Q60" s="1260"/>
      <c r="R60" s="1049"/>
    </row>
    <row r="61" spans="1:18" ht="12.75">
      <c r="B61" s="1049">
        <v>22118</v>
      </c>
      <c r="C61" s="1233" t="s">
        <v>990</v>
      </c>
      <c r="D61" s="1234"/>
      <c r="E61" s="1234">
        <f>+D59+D60</f>
        <v>50365269.630000003</v>
      </c>
      <c r="F61" s="1233"/>
      <c r="G61" s="1233"/>
      <c r="H61" s="1233"/>
      <c r="I61" s="1233"/>
      <c r="J61" s="1049"/>
      <c r="M61" s="1049"/>
      <c r="N61" s="1049"/>
      <c r="O61" s="1049"/>
      <c r="P61" s="1228"/>
      <c r="Q61" s="1260"/>
      <c r="R61" s="1049"/>
    </row>
    <row r="62" spans="1:18" ht="12.75">
      <c r="B62" s="1049"/>
      <c r="C62" s="1233"/>
      <c r="D62" s="1234"/>
      <c r="E62" s="1234"/>
      <c r="F62" s="1233"/>
      <c r="G62" s="1233"/>
      <c r="H62" s="1233"/>
      <c r="I62" s="1233"/>
      <c r="J62" s="1049"/>
      <c r="M62" s="1049"/>
      <c r="N62" s="1049"/>
      <c r="O62" s="1049"/>
      <c r="P62" s="1228"/>
      <c r="Q62" s="1260"/>
      <c r="R62" s="1049"/>
    </row>
    <row r="63" spans="1:18" ht="13.5" thickBot="1">
      <c r="C63" s="1232" t="s">
        <v>212</v>
      </c>
      <c r="D63" s="1231">
        <f>SUM(D58:D62)</f>
        <v>50365269.630000003</v>
      </c>
      <c r="E63" s="1231">
        <f>SUM(E58:E62)</f>
        <v>50365269.630000003</v>
      </c>
      <c r="F63" s="1231"/>
      <c r="G63" s="1231"/>
      <c r="H63" s="1231"/>
      <c r="I63" s="1231"/>
      <c r="P63" s="1228">
        <v>22</v>
      </c>
      <c r="Q63" s="1260">
        <v>41549</v>
      </c>
    </row>
    <row r="64" spans="1:18" ht="13.5" thickTop="1">
      <c r="A64" s="1230"/>
      <c r="P64" s="1228">
        <v>23</v>
      </c>
      <c r="Q64" s="1260">
        <v>41569</v>
      </c>
    </row>
    <row r="65" spans="1:18" ht="12.75">
      <c r="A65" s="1228"/>
      <c r="B65" s="1228"/>
      <c r="C65" s="1228"/>
      <c r="D65" s="1228"/>
      <c r="E65" s="1228"/>
      <c r="F65" s="1228"/>
      <c r="G65" s="1228"/>
      <c r="H65" s="1228"/>
      <c r="I65" s="1228"/>
      <c r="J65" s="1228"/>
      <c r="K65" s="1229"/>
      <c r="L65" s="1228"/>
      <c r="M65" s="1228"/>
      <c r="N65" s="1228"/>
      <c r="O65" s="1228"/>
      <c r="P65" s="1228">
        <v>24</v>
      </c>
      <c r="Q65" s="1260">
        <v>41589</v>
      </c>
      <c r="R65" s="1228"/>
    </row>
    <row r="66" spans="1:18">
      <c r="B66" s="1049"/>
      <c r="C66" s="1049"/>
      <c r="D66" s="1259">
        <v>2016</v>
      </c>
      <c r="E66" s="1049"/>
      <c r="F66" s="1049"/>
      <c r="G66" s="1049"/>
      <c r="H66" s="1049"/>
      <c r="I66" s="1049"/>
      <c r="J66" s="1049"/>
      <c r="L66" s="1049"/>
      <c r="M66" s="1049"/>
      <c r="N66" s="1049"/>
      <c r="O66" s="1049"/>
      <c r="P66" s="1049"/>
      <c r="R66" s="1049"/>
    </row>
    <row r="67" spans="1:18">
      <c r="B67" s="1049"/>
      <c r="C67" s="1049"/>
      <c r="D67" s="1049"/>
      <c r="E67" s="1049"/>
      <c r="F67" s="1049"/>
      <c r="G67" s="1049"/>
      <c r="H67" s="1049"/>
      <c r="I67" s="1049"/>
      <c r="J67" s="1049"/>
      <c r="L67" s="1049"/>
      <c r="M67" s="1049"/>
      <c r="N67" s="1049"/>
      <c r="O67" s="1049"/>
      <c r="P67" s="1049"/>
      <c r="R67" s="1049"/>
    </row>
    <row r="68" spans="1:18" ht="13.5" thickBot="1">
      <c r="B68" s="1049"/>
      <c r="C68" s="1049"/>
      <c r="D68" s="1258" t="s">
        <v>992</v>
      </c>
      <c r="E68" s="1258" t="s">
        <v>991</v>
      </c>
      <c r="F68" s="1258"/>
      <c r="G68" s="1258"/>
      <c r="H68" s="1258"/>
      <c r="I68" s="1258"/>
      <c r="J68" s="1049"/>
      <c r="L68" s="1049"/>
      <c r="M68" s="1049"/>
      <c r="N68" s="1049"/>
      <c r="O68" s="1049"/>
      <c r="P68" s="1049"/>
      <c r="R68" s="1049"/>
    </row>
    <row r="69" spans="1:18">
      <c r="B69" s="1049">
        <v>11101</v>
      </c>
      <c r="C69" s="1257" t="s">
        <v>990</v>
      </c>
      <c r="D69" s="1251">
        <f>ROUND(SUM(D34:D35),0)</f>
        <v>7748503</v>
      </c>
      <c r="E69" s="1256"/>
      <c r="F69" s="1255"/>
      <c r="G69" s="1255"/>
      <c r="H69" s="1255"/>
      <c r="I69" s="1255"/>
      <c r="J69" s="1049"/>
      <c r="L69" s="1049"/>
      <c r="M69" s="1049"/>
      <c r="N69" s="1049"/>
      <c r="O69" s="1049"/>
      <c r="P69" s="1049"/>
      <c r="R69" s="1049"/>
    </row>
    <row r="70" spans="1:18" ht="13.5" thickBot="1">
      <c r="B70" s="1049">
        <v>13013</v>
      </c>
      <c r="C70" s="1254" t="s">
        <v>249</v>
      </c>
      <c r="D70" s="1253"/>
      <c r="E70" s="1235">
        <f>+D69</f>
        <v>7748503</v>
      </c>
      <c r="F70" s="1233"/>
      <c r="G70" s="1233"/>
      <c r="H70" s="1233"/>
      <c r="I70" s="1233"/>
      <c r="J70" s="1049"/>
      <c r="L70" s="1049"/>
      <c r="M70" s="1049"/>
      <c r="N70" s="1049"/>
      <c r="O70" s="1049"/>
      <c r="P70" s="1049"/>
      <c r="R70" s="1049"/>
    </row>
    <row r="71" spans="1:18">
      <c r="B71" s="1049"/>
      <c r="C71" s="1252" t="s">
        <v>990</v>
      </c>
      <c r="D71" s="1251">
        <f>ROUND(SUM(D36:D46),0)</f>
        <v>42616767</v>
      </c>
      <c r="E71" s="1235"/>
      <c r="F71" s="1233"/>
      <c r="G71" s="1233"/>
      <c r="H71" s="1233"/>
      <c r="I71" s="1233"/>
      <c r="J71" s="1049"/>
      <c r="L71" s="1049"/>
      <c r="M71" s="1049"/>
      <c r="N71" s="1049"/>
      <c r="O71" s="1049"/>
      <c r="P71" s="1049"/>
      <c r="R71" s="1049"/>
    </row>
    <row r="72" spans="1:18" ht="13.5" thickBot="1">
      <c r="B72" s="1049"/>
      <c r="C72" s="1250" t="s">
        <v>249</v>
      </c>
      <c r="D72" s="1249"/>
      <c r="E72" s="1235">
        <f>+D71</f>
        <v>42616767</v>
      </c>
      <c r="F72" s="1233"/>
      <c r="G72" s="1233"/>
      <c r="H72" s="1233"/>
      <c r="I72" s="1233"/>
      <c r="J72" s="1049"/>
      <c r="L72" s="1049"/>
      <c r="M72" s="1049"/>
      <c r="N72" s="1049"/>
      <c r="O72" s="1049"/>
      <c r="P72" s="1049"/>
      <c r="R72" s="1049"/>
    </row>
    <row r="73" spans="1:18" ht="13.5" thickBot="1">
      <c r="B73" s="1049"/>
      <c r="C73" s="1248"/>
      <c r="D73" s="1247">
        <f>SUM(D69:D72)</f>
        <v>50365270</v>
      </c>
      <c r="E73" s="1247">
        <f>SUM(E69:E72)</f>
        <v>50365270</v>
      </c>
      <c r="F73" s="1246"/>
      <c r="G73" s="1246"/>
      <c r="H73" s="1246"/>
      <c r="I73" s="1245"/>
      <c r="J73" s="1049"/>
      <c r="L73" s="1049"/>
      <c r="M73" s="1049"/>
      <c r="N73" s="1049"/>
      <c r="O73" s="1049"/>
      <c r="P73" s="1049"/>
      <c r="R73" s="1049"/>
    </row>
    <row r="74" spans="1:18">
      <c r="B74" s="1049"/>
      <c r="C74" s="1049"/>
      <c r="D74" s="1049"/>
      <c r="E74" s="1049"/>
      <c r="F74" s="1049"/>
      <c r="G74" s="1049"/>
      <c r="H74" s="1049"/>
      <c r="I74" s="1049"/>
      <c r="J74" s="1049"/>
      <c r="L74" s="1049"/>
      <c r="M74" s="1049"/>
      <c r="N74" s="1049"/>
      <c r="O74" s="1049"/>
      <c r="P74" s="1049"/>
      <c r="R74" s="1049"/>
    </row>
    <row r="75" spans="1:18" ht="16.5" customHeight="1" thickBot="1">
      <c r="A75" s="1049"/>
      <c r="B75" s="1049"/>
      <c r="C75" s="1049"/>
      <c r="D75" s="1049"/>
      <c r="E75" s="1049"/>
      <c r="F75" s="1049"/>
      <c r="G75" s="1049"/>
      <c r="H75" s="1049"/>
      <c r="I75" s="1049"/>
      <c r="J75" s="1049"/>
      <c r="L75" s="1049"/>
      <c r="M75" s="1049"/>
      <c r="N75" s="1049"/>
      <c r="O75" s="1049"/>
      <c r="P75" s="1049"/>
      <c r="R75" s="1049"/>
    </row>
    <row r="76" spans="1:18">
      <c r="B76" s="1049"/>
      <c r="C76" s="1244" t="s">
        <v>211</v>
      </c>
      <c r="D76" s="1243">
        <f>+D60</f>
        <v>4112730.5490000001</v>
      </c>
      <c r="E76" s="1243"/>
      <c r="F76" s="1242"/>
      <c r="G76" s="1242"/>
      <c r="H76" s="1242"/>
      <c r="I76" s="1241"/>
      <c r="J76" s="1049"/>
      <c r="L76" s="1049"/>
      <c r="M76" s="1049"/>
      <c r="N76" s="1049"/>
      <c r="O76" s="1049"/>
      <c r="P76" s="1049"/>
      <c r="R76" s="1049"/>
    </row>
    <row r="77" spans="1:18" ht="12" thickBot="1">
      <c r="B77" s="1049"/>
      <c r="C77" s="1240" t="s">
        <v>989</v>
      </c>
      <c r="D77" s="1239"/>
      <c r="E77" s="1238">
        <f>+D60</f>
        <v>4112730.5490000001</v>
      </c>
      <c r="F77" s="1237"/>
      <c r="G77" s="1237"/>
      <c r="H77" s="1237"/>
      <c r="I77" s="1236"/>
      <c r="J77" s="1049"/>
      <c r="L77" s="1049"/>
      <c r="M77" s="1049"/>
      <c r="N77" s="1049"/>
      <c r="O77" s="1049"/>
      <c r="P77" s="1049"/>
      <c r="R77" s="1049"/>
    </row>
    <row r="78" spans="1:18">
      <c r="B78" s="1049"/>
      <c r="C78" s="1233"/>
      <c r="D78" s="1234"/>
      <c r="E78" s="1235"/>
      <c r="F78" s="1233"/>
      <c r="G78" s="1233"/>
      <c r="H78" s="1233"/>
      <c r="I78" s="1233"/>
      <c r="J78" s="1049"/>
      <c r="L78" s="1049"/>
      <c r="M78" s="1049"/>
      <c r="N78" s="1049"/>
      <c r="O78" s="1049"/>
      <c r="P78" s="1049"/>
      <c r="R78" s="1049"/>
    </row>
    <row r="79" spans="1:18">
      <c r="B79" s="1049"/>
      <c r="C79" s="1233"/>
      <c r="D79" s="1234"/>
      <c r="E79" s="1234"/>
      <c r="F79" s="1233"/>
      <c r="G79" s="1233"/>
      <c r="H79" s="1233"/>
      <c r="I79" s="1233"/>
      <c r="J79" s="1049"/>
      <c r="R79" s="1049"/>
    </row>
    <row r="80" spans="1:18" ht="12" thickBot="1">
      <c r="C80" s="1232" t="s">
        <v>212</v>
      </c>
      <c r="D80" s="1231">
        <f>SUM(D68:D79)</f>
        <v>104843270.54899999</v>
      </c>
      <c r="E80" s="1231">
        <f>SUM(E68:E79)</f>
        <v>104843270.54899999</v>
      </c>
      <c r="F80" s="1231"/>
      <c r="G80" s="1231"/>
      <c r="H80" s="1231"/>
      <c r="I80" s="1231"/>
      <c r="J80" s="1049"/>
      <c r="R80" s="1049"/>
    </row>
    <row r="81" spans="1:18" ht="12" thickTop="1">
      <c r="J81" s="1049"/>
      <c r="R81" s="1049"/>
    </row>
    <row r="82" spans="1:18">
      <c r="B82" s="1049"/>
      <c r="C82" s="1049"/>
      <c r="D82" s="1049"/>
      <c r="E82" s="1049"/>
      <c r="F82" s="1049"/>
      <c r="G82" s="1049"/>
      <c r="H82" s="1049"/>
      <c r="I82" s="1049"/>
      <c r="J82" s="1049"/>
      <c r="K82" s="1049"/>
      <c r="L82" s="1049"/>
      <c r="M82" s="1049"/>
      <c r="N82" s="1049"/>
      <c r="O82" s="1049"/>
      <c r="P82" s="1049"/>
      <c r="Q82" s="1049"/>
      <c r="R82" s="1049"/>
    </row>
    <row r="84" spans="1:18" ht="12.75">
      <c r="A84" s="1230"/>
    </row>
    <row r="85" spans="1:18">
      <c r="A85" s="1228"/>
      <c r="B85" s="1228"/>
      <c r="C85" s="1228"/>
      <c r="D85" s="1228"/>
      <c r="E85" s="1228"/>
      <c r="F85" s="1228"/>
      <c r="G85" s="1228"/>
      <c r="H85" s="1228"/>
      <c r="I85" s="1228"/>
      <c r="J85" s="1228"/>
      <c r="K85" s="1229"/>
      <c r="L85" s="1228"/>
      <c r="M85" s="1228"/>
      <c r="N85" s="1228"/>
      <c r="O85" s="1228"/>
      <c r="P85" s="1228"/>
      <c r="Q85" s="1228"/>
      <c r="R85" s="1228"/>
    </row>
    <row r="86" spans="1:18">
      <c r="B86" s="1049"/>
      <c r="C86" s="1049"/>
      <c r="D86" s="1049"/>
      <c r="E86" s="1049"/>
      <c r="F86" s="1049"/>
      <c r="G86" s="1049"/>
      <c r="H86" s="1049"/>
      <c r="I86" s="1049"/>
      <c r="J86" s="1049"/>
      <c r="R86" s="1049"/>
    </row>
    <row r="87" spans="1:18">
      <c r="B87" s="1049"/>
      <c r="C87" s="1049"/>
      <c r="D87" s="1049"/>
      <c r="E87" s="1049"/>
      <c r="F87" s="1049"/>
      <c r="G87" s="1049"/>
      <c r="H87" s="1049"/>
      <c r="I87" s="1049"/>
      <c r="J87" s="1049"/>
      <c r="R87" s="1049"/>
    </row>
    <row r="88" spans="1:18">
      <c r="B88" s="1049"/>
      <c r="C88" s="1049"/>
      <c r="D88" s="1049"/>
      <c r="E88" s="1049"/>
      <c r="F88" s="1049"/>
      <c r="G88" s="1049"/>
      <c r="H88" s="1049"/>
      <c r="I88" s="1049"/>
      <c r="J88" s="1049"/>
      <c r="R88" s="1049"/>
    </row>
    <row r="89" spans="1:18">
      <c r="B89" s="1049"/>
      <c r="C89" s="1049"/>
      <c r="D89" s="1049"/>
      <c r="E89" s="1049"/>
      <c r="F89" s="1049"/>
      <c r="G89" s="1049"/>
      <c r="H89" s="1049"/>
      <c r="I89" s="1049"/>
      <c r="J89" s="1049"/>
      <c r="R89" s="1049"/>
    </row>
    <row r="90" spans="1:18">
      <c r="B90" s="1049"/>
      <c r="C90" s="1049"/>
      <c r="D90" s="1049"/>
      <c r="E90" s="1049"/>
      <c r="F90" s="1049"/>
      <c r="G90" s="1049"/>
      <c r="H90" s="1049"/>
      <c r="I90" s="1049"/>
      <c r="J90" s="1049"/>
      <c r="R90" s="1049"/>
    </row>
    <row r="91" spans="1:18">
      <c r="B91" s="1049"/>
      <c r="C91" s="1049"/>
      <c r="D91" s="1049"/>
      <c r="E91" s="1049"/>
      <c r="F91" s="1049"/>
      <c r="G91" s="1049"/>
      <c r="H91" s="1049"/>
      <c r="I91" s="1049"/>
      <c r="J91" s="1049"/>
      <c r="R91" s="1049"/>
    </row>
    <row r="92" spans="1:18">
      <c r="B92" s="1049"/>
      <c r="C92" s="1049"/>
      <c r="D92" s="1049"/>
      <c r="E92" s="1049"/>
      <c r="F92" s="1049"/>
      <c r="G92" s="1049"/>
      <c r="H92" s="1049"/>
      <c r="I92" s="1049"/>
      <c r="J92" s="1049"/>
      <c r="R92" s="1049"/>
    </row>
    <row r="93" spans="1:18">
      <c r="B93" s="1049"/>
      <c r="C93" s="1049"/>
      <c r="D93" s="1049"/>
      <c r="E93" s="1049"/>
      <c r="F93" s="1049"/>
      <c r="G93" s="1049"/>
      <c r="H93" s="1049"/>
      <c r="I93" s="1049"/>
      <c r="J93" s="1049"/>
      <c r="R93" s="1049"/>
    </row>
    <row r="94" spans="1:18">
      <c r="B94" s="1049"/>
      <c r="C94" s="1049"/>
      <c r="D94" s="1049"/>
      <c r="E94" s="1049"/>
      <c r="F94" s="1049"/>
      <c r="G94" s="1049"/>
      <c r="H94" s="1049"/>
      <c r="I94" s="1049"/>
      <c r="J94" s="1049"/>
      <c r="R94" s="1049"/>
    </row>
    <row r="95" spans="1:18">
      <c r="B95" s="1049"/>
      <c r="C95" s="1049"/>
      <c r="D95" s="1049"/>
      <c r="E95" s="1049"/>
      <c r="F95" s="1049"/>
      <c r="G95" s="1049"/>
      <c r="H95" s="1049"/>
      <c r="I95" s="1049"/>
      <c r="J95" s="1049"/>
      <c r="R95" s="1049"/>
    </row>
    <row r="96" spans="1:18">
      <c r="B96" s="1049"/>
      <c r="C96" s="1049"/>
      <c r="D96" s="1049"/>
      <c r="E96" s="1049"/>
      <c r="F96" s="1049"/>
      <c r="G96" s="1049"/>
      <c r="H96" s="1049"/>
      <c r="I96" s="1049"/>
      <c r="J96" s="1049"/>
      <c r="R96" s="1049"/>
    </row>
    <row r="97" spans="1:18">
      <c r="B97" s="1049"/>
      <c r="C97" s="1049"/>
      <c r="D97" s="1049"/>
      <c r="E97" s="1049"/>
      <c r="F97" s="1049"/>
      <c r="G97" s="1049"/>
      <c r="H97" s="1049"/>
      <c r="I97" s="1049"/>
      <c r="J97" s="1049"/>
      <c r="R97" s="1049"/>
    </row>
    <row r="98" spans="1:18">
      <c r="B98" s="1049"/>
      <c r="C98" s="1049"/>
      <c r="D98" s="1049"/>
      <c r="E98" s="1049"/>
      <c r="F98" s="1049"/>
      <c r="G98" s="1049"/>
      <c r="H98" s="1049"/>
      <c r="I98" s="1049"/>
      <c r="J98" s="1049"/>
      <c r="R98" s="1049"/>
    </row>
    <row r="99" spans="1:18">
      <c r="B99" s="1049"/>
      <c r="C99" s="1049"/>
      <c r="D99" s="1049"/>
      <c r="E99" s="1049"/>
      <c r="F99" s="1049"/>
      <c r="G99" s="1049"/>
      <c r="H99" s="1049"/>
      <c r="I99" s="1049"/>
      <c r="J99" s="1049"/>
      <c r="R99" s="1049"/>
    </row>
    <row r="100" spans="1:18">
      <c r="B100" s="1049"/>
      <c r="C100" s="1049"/>
      <c r="D100" s="1049"/>
      <c r="E100" s="1049"/>
      <c r="F100" s="1049"/>
      <c r="G100" s="1049"/>
      <c r="H100" s="1049"/>
      <c r="I100" s="1049"/>
      <c r="J100" s="1049"/>
      <c r="R100" s="1049"/>
    </row>
    <row r="101" spans="1:18">
      <c r="B101" s="1049"/>
      <c r="C101" s="1049"/>
      <c r="D101" s="1049"/>
      <c r="E101" s="1049"/>
      <c r="F101" s="1049"/>
      <c r="G101" s="1049"/>
      <c r="H101" s="1049"/>
      <c r="I101" s="1049"/>
      <c r="J101" s="1049"/>
      <c r="R101" s="1049"/>
    </row>
    <row r="102" spans="1:18">
      <c r="B102" s="1049"/>
      <c r="C102" s="1049"/>
      <c r="D102" s="1049"/>
      <c r="E102" s="1049"/>
      <c r="F102" s="1049"/>
      <c r="G102" s="1049"/>
      <c r="H102" s="1049"/>
      <c r="I102" s="1049"/>
      <c r="J102" s="1049"/>
      <c r="R102" s="1049"/>
    </row>
    <row r="103" spans="1:18">
      <c r="B103" s="1049"/>
      <c r="C103" s="1049"/>
      <c r="D103" s="1049"/>
      <c r="E103" s="1049"/>
      <c r="F103" s="1049"/>
      <c r="G103" s="1049"/>
      <c r="H103" s="1049"/>
      <c r="I103" s="1049"/>
      <c r="J103" s="1049"/>
      <c r="K103" s="1049"/>
      <c r="L103" s="1049"/>
      <c r="M103" s="1049"/>
      <c r="N103" s="1049"/>
      <c r="O103" s="1049"/>
      <c r="P103" s="1049"/>
      <c r="Q103" s="1049"/>
      <c r="R103" s="1049"/>
    </row>
    <row r="105" spans="1:18" ht="12.75">
      <c r="A105" s="1230"/>
    </row>
    <row r="106" spans="1:18">
      <c r="A106" s="1228"/>
      <c r="B106" s="1228"/>
      <c r="C106" s="1228"/>
      <c r="D106" s="1228"/>
      <c r="E106" s="1228"/>
      <c r="F106" s="1228"/>
      <c r="G106" s="1228"/>
      <c r="H106" s="1228"/>
      <c r="I106" s="1228"/>
      <c r="J106" s="1228"/>
      <c r="K106" s="1229"/>
      <c r="L106" s="1228"/>
      <c r="M106" s="1228"/>
      <c r="N106" s="1228"/>
      <c r="O106" s="1228"/>
      <c r="P106" s="1228"/>
      <c r="Q106" s="1228"/>
      <c r="R106" s="1228"/>
    </row>
    <row r="107" spans="1:18">
      <c r="B107" s="1049"/>
      <c r="C107" s="1049"/>
      <c r="D107" s="1049"/>
      <c r="E107" s="1049"/>
      <c r="F107" s="1049"/>
      <c r="G107" s="1049"/>
      <c r="H107" s="1049"/>
      <c r="I107" s="1049"/>
      <c r="J107" s="1049"/>
      <c r="R107" s="1049"/>
    </row>
    <row r="108" spans="1:18">
      <c r="B108" s="1049"/>
      <c r="C108" s="1049"/>
      <c r="D108" s="1049"/>
      <c r="E108" s="1049"/>
      <c r="F108" s="1049"/>
      <c r="G108" s="1049"/>
      <c r="H108" s="1049"/>
      <c r="I108" s="1049"/>
      <c r="J108" s="1049"/>
      <c r="R108" s="1049"/>
    </row>
    <row r="109" spans="1:18">
      <c r="B109" s="1049"/>
      <c r="C109" s="1049"/>
      <c r="D109" s="1049"/>
      <c r="E109" s="1049"/>
      <c r="F109" s="1049"/>
      <c r="G109" s="1049"/>
      <c r="H109" s="1049"/>
      <c r="I109" s="1049"/>
      <c r="J109" s="1049"/>
      <c r="R109" s="1049"/>
    </row>
    <row r="110" spans="1:18">
      <c r="B110" s="1049"/>
      <c r="C110" s="1049"/>
      <c r="D110" s="1049"/>
      <c r="E110" s="1049"/>
      <c r="F110" s="1049"/>
      <c r="G110" s="1049"/>
      <c r="H110" s="1049"/>
      <c r="I110" s="1049"/>
      <c r="J110" s="1049"/>
      <c r="R110" s="1049"/>
    </row>
    <row r="111" spans="1:18">
      <c r="B111" s="1049"/>
      <c r="C111" s="1049"/>
      <c r="D111" s="1049"/>
      <c r="E111" s="1049"/>
      <c r="F111" s="1049"/>
      <c r="G111" s="1049"/>
      <c r="H111" s="1049"/>
      <c r="I111" s="1049"/>
      <c r="J111" s="1049"/>
      <c r="R111" s="1049"/>
    </row>
    <row r="112" spans="1:18">
      <c r="B112" s="1049"/>
      <c r="C112" s="1049"/>
      <c r="D112" s="1049"/>
      <c r="E112" s="1049"/>
      <c r="F112" s="1049"/>
      <c r="G112" s="1049"/>
      <c r="H112" s="1049"/>
      <c r="I112" s="1049"/>
      <c r="J112" s="1049"/>
      <c r="R112" s="1049"/>
    </row>
    <row r="113" spans="1:18">
      <c r="B113" s="1049"/>
      <c r="C113" s="1049"/>
      <c r="D113" s="1049"/>
      <c r="E113" s="1049"/>
      <c r="F113" s="1049"/>
      <c r="G113" s="1049"/>
      <c r="H113" s="1049"/>
      <c r="I113" s="1049"/>
      <c r="J113" s="1049"/>
      <c r="R113" s="1049"/>
    </row>
    <row r="114" spans="1:18">
      <c r="B114" s="1049"/>
      <c r="C114" s="1049"/>
      <c r="D114" s="1049"/>
      <c r="E114" s="1049"/>
      <c r="F114" s="1049"/>
      <c r="G114" s="1049"/>
      <c r="H114" s="1049"/>
      <c r="I114" s="1049"/>
      <c r="J114" s="1049"/>
      <c r="R114" s="1049"/>
    </row>
    <row r="115" spans="1:18">
      <c r="B115" s="1049"/>
      <c r="C115" s="1049"/>
      <c r="D115" s="1049"/>
      <c r="E115" s="1049"/>
      <c r="F115" s="1049"/>
      <c r="G115" s="1049"/>
      <c r="H115" s="1049"/>
      <c r="I115" s="1049"/>
      <c r="J115" s="1049"/>
      <c r="R115" s="1049"/>
    </row>
    <row r="116" spans="1:18">
      <c r="B116" s="1049"/>
      <c r="C116" s="1049"/>
      <c r="D116" s="1049"/>
      <c r="E116" s="1049"/>
      <c r="F116" s="1049"/>
      <c r="G116" s="1049"/>
      <c r="H116" s="1049"/>
      <c r="I116" s="1049"/>
      <c r="J116" s="1049"/>
      <c r="R116" s="1049"/>
    </row>
    <row r="117" spans="1:18">
      <c r="B117" s="1049"/>
      <c r="C117" s="1049"/>
      <c r="D117" s="1049"/>
      <c r="E117" s="1049"/>
      <c r="F117" s="1049"/>
      <c r="G117" s="1049"/>
      <c r="H117" s="1049"/>
      <c r="I117" s="1049"/>
      <c r="J117" s="1049"/>
      <c r="R117" s="1049"/>
    </row>
    <row r="118" spans="1:18">
      <c r="B118" s="1049"/>
      <c r="C118" s="1049"/>
      <c r="D118" s="1049"/>
      <c r="E118" s="1049"/>
      <c r="F118" s="1049"/>
      <c r="G118" s="1049"/>
      <c r="H118" s="1049"/>
      <c r="I118" s="1049"/>
      <c r="J118" s="1049"/>
      <c r="R118" s="1049"/>
    </row>
    <row r="119" spans="1:18">
      <c r="B119" s="1049"/>
      <c r="C119" s="1049"/>
      <c r="D119" s="1049"/>
      <c r="E119" s="1049"/>
      <c r="F119" s="1049"/>
      <c r="G119" s="1049"/>
      <c r="H119" s="1049"/>
      <c r="I119" s="1049"/>
      <c r="J119" s="1049"/>
      <c r="R119" s="1049"/>
    </row>
    <row r="120" spans="1:18">
      <c r="B120" s="1049"/>
      <c r="C120" s="1049"/>
      <c r="D120" s="1049"/>
      <c r="E120" s="1049"/>
      <c r="F120" s="1049"/>
      <c r="G120" s="1049"/>
      <c r="H120" s="1049"/>
      <c r="I120" s="1049"/>
      <c r="J120" s="1049"/>
      <c r="K120" s="1049"/>
      <c r="L120" s="1049"/>
      <c r="M120" s="1049"/>
      <c r="N120" s="1049"/>
      <c r="O120" s="1049"/>
      <c r="P120" s="1049"/>
      <c r="Q120" s="1049"/>
      <c r="R120" s="1049"/>
    </row>
    <row r="122" spans="1:18" ht="12.75">
      <c r="A122" s="1230"/>
    </row>
    <row r="123" spans="1:18">
      <c r="A123" s="1228"/>
      <c r="B123" s="1228"/>
      <c r="C123" s="1228"/>
      <c r="D123" s="1228"/>
      <c r="E123" s="1228"/>
      <c r="F123" s="1228"/>
      <c r="G123" s="1228"/>
      <c r="H123" s="1228"/>
      <c r="I123" s="1228"/>
      <c r="J123" s="1228"/>
      <c r="K123" s="1229"/>
      <c r="L123" s="1228"/>
      <c r="M123" s="1228"/>
      <c r="N123" s="1228"/>
      <c r="O123" s="1228"/>
      <c r="P123" s="1228"/>
      <c r="Q123" s="1228"/>
      <c r="R123" s="1228"/>
    </row>
    <row r="124" spans="1:18">
      <c r="A124" s="1227"/>
      <c r="B124" s="1226"/>
      <c r="C124" s="1226"/>
      <c r="D124" s="1226"/>
      <c r="E124" s="1226"/>
      <c r="F124" s="1226"/>
      <c r="G124" s="1226"/>
      <c r="H124" s="1226"/>
      <c r="I124" s="1226"/>
      <c r="J124" s="1226"/>
      <c r="K124" s="1226"/>
      <c r="L124" s="1226"/>
      <c r="M124" s="1226"/>
      <c r="N124" s="1226"/>
      <c r="O124" s="1226"/>
      <c r="P124" s="1226"/>
      <c r="Q124" s="1226"/>
      <c r="R124" s="1049"/>
    </row>
    <row r="125" spans="1:18">
      <c r="A125" s="1227"/>
      <c r="B125" s="1226"/>
      <c r="C125" s="1226"/>
      <c r="D125" s="1226"/>
      <c r="E125" s="1226"/>
      <c r="F125" s="1226"/>
      <c r="G125" s="1226"/>
      <c r="H125" s="1226"/>
      <c r="I125" s="1226"/>
      <c r="J125" s="1226"/>
      <c r="K125" s="1226"/>
      <c r="L125" s="1226"/>
      <c r="M125" s="1226"/>
      <c r="N125" s="1226"/>
      <c r="O125" s="1226"/>
      <c r="P125" s="1226"/>
      <c r="Q125" s="1226"/>
      <c r="R125" s="1049"/>
    </row>
    <row r="126" spans="1:18">
      <c r="A126" s="1227"/>
      <c r="B126" s="1226"/>
      <c r="C126" s="1226"/>
      <c r="D126" s="1226"/>
      <c r="E126" s="1226"/>
      <c r="F126" s="1226"/>
      <c r="G126" s="1226"/>
      <c r="H126" s="1226"/>
      <c r="I126" s="1226"/>
      <c r="J126" s="1226"/>
      <c r="K126" s="1226"/>
      <c r="L126" s="1226"/>
      <c r="M126" s="1226"/>
      <c r="N126" s="1226"/>
      <c r="O126" s="1226"/>
      <c r="P126" s="1226"/>
      <c r="Q126" s="1226"/>
      <c r="R126" s="1049"/>
    </row>
    <row r="127" spans="1:18">
      <c r="A127" s="1227"/>
      <c r="B127" s="1226"/>
      <c r="C127" s="1226"/>
      <c r="D127" s="1226"/>
      <c r="E127" s="1226"/>
      <c r="F127" s="1226"/>
      <c r="G127" s="1226"/>
      <c r="H127" s="1226"/>
      <c r="I127" s="1226"/>
      <c r="J127" s="1226"/>
      <c r="K127" s="1226"/>
      <c r="L127" s="1226"/>
      <c r="M127" s="1226"/>
      <c r="N127" s="1226"/>
      <c r="O127" s="1226"/>
      <c r="P127" s="1226"/>
      <c r="Q127" s="1226"/>
      <c r="R127" s="1049"/>
    </row>
    <row r="128" spans="1:18">
      <c r="A128" s="1227"/>
      <c r="B128" s="1226"/>
      <c r="C128" s="1226"/>
      <c r="D128" s="1226"/>
      <c r="E128" s="1226"/>
      <c r="F128" s="1226"/>
      <c r="G128" s="1226"/>
      <c r="H128" s="1226"/>
      <c r="I128" s="1226"/>
      <c r="J128" s="1226"/>
      <c r="K128" s="1226"/>
      <c r="L128" s="1226"/>
      <c r="M128" s="1226"/>
      <c r="N128" s="1226"/>
      <c r="O128" s="1226"/>
      <c r="P128" s="1226"/>
      <c r="Q128" s="1226"/>
      <c r="R128" s="1049"/>
    </row>
    <row r="129" spans="1:18">
      <c r="A129" s="1227"/>
      <c r="B129" s="1226"/>
      <c r="C129" s="1226"/>
      <c r="D129" s="1226"/>
      <c r="E129" s="1226"/>
      <c r="F129" s="1226"/>
      <c r="G129" s="1226"/>
      <c r="H129" s="1226"/>
      <c r="I129" s="1226"/>
      <c r="J129" s="1226"/>
      <c r="K129" s="1226"/>
      <c r="L129" s="1226"/>
      <c r="M129" s="1226"/>
      <c r="N129" s="1226"/>
      <c r="O129" s="1226"/>
      <c r="P129" s="1226"/>
      <c r="Q129" s="1226"/>
      <c r="R129" s="1049"/>
    </row>
    <row r="130" spans="1:18">
      <c r="A130" s="1227"/>
      <c r="B130" s="1226"/>
      <c r="C130" s="1226"/>
      <c r="D130" s="1226"/>
      <c r="E130" s="1226"/>
      <c r="F130" s="1226"/>
      <c r="G130" s="1226"/>
      <c r="H130" s="1226"/>
      <c r="I130" s="1226"/>
      <c r="J130" s="1226"/>
      <c r="K130" s="1226"/>
      <c r="L130" s="1226"/>
      <c r="M130" s="1226"/>
      <c r="N130" s="1226"/>
      <c r="O130" s="1226"/>
      <c r="P130" s="1226"/>
      <c r="Q130" s="1226"/>
      <c r="R130" s="1049"/>
    </row>
    <row r="131" spans="1:18">
      <c r="A131" s="1227"/>
      <c r="B131" s="1226"/>
      <c r="C131" s="1226"/>
      <c r="D131" s="1226"/>
      <c r="E131" s="1226"/>
      <c r="F131" s="1226"/>
      <c r="G131" s="1226"/>
      <c r="H131" s="1226"/>
      <c r="I131" s="1226"/>
      <c r="J131" s="1226"/>
      <c r="K131" s="1226"/>
      <c r="L131" s="1226"/>
      <c r="M131" s="1226"/>
      <c r="N131" s="1226"/>
      <c r="O131" s="1226"/>
      <c r="P131" s="1226"/>
      <c r="Q131" s="1226"/>
      <c r="R131" s="1049"/>
    </row>
    <row r="132" spans="1:18">
      <c r="A132" s="1227"/>
      <c r="B132" s="1226"/>
      <c r="C132" s="1226"/>
      <c r="D132" s="1226"/>
      <c r="E132" s="1226"/>
      <c r="F132" s="1226"/>
      <c r="G132" s="1226"/>
      <c r="H132" s="1226"/>
      <c r="I132" s="1226"/>
      <c r="J132" s="1226"/>
      <c r="K132" s="1226"/>
      <c r="L132" s="1226"/>
      <c r="M132" s="1226"/>
      <c r="N132" s="1226"/>
      <c r="O132" s="1226"/>
      <c r="P132" s="1226"/>
      <c r="Q132" s="1226"/>
      <c r="R132" s="1049"/>
    </row>
    <row r="133" spans="1:18">
      <c r="A133" s="1227"/>
      <c r="B133" s="1226"/>
      <c r="C133" s="1226"/>
      <c r="D133" s="1226"/>
      <c r="E133" s="1226"/>
      <c r="F133" s="1226"/>
      <c r="G133" s="1226"/>
      <c r="H133" s="1226"/>
      <c r="I133" s="1226"/>
      <c r="J133" s="1226"/>
      <c r="K133" s="1226"/>
      <c r="L133" s="1226"/>
      <c r="M133" s="1226"/>
      <c r="N133" s="1226"/>
      <c r="O133" s="1226"/>
      <c r="P133" s="1226"/>
      <c r="Q133" s="1226"/>
      <c r="R133" s="1049"/>
    </row>
    <row r="134" spans="1:18">
      <c r="A134" s="1227"/>
      <c r="B134" s="1226"/>
      <c r="C134" s="1226"/>
      <c r="D134" s="1226"/>
      <c r="E134" s="1226"/>
      <c r="F134" s="1226"/>
      <c r="G134" s="1226"/>
      <c r="H134" s="1226"/>
      <c r="I134" s="1226"/>
      <c r="J134" s="1226"/>
      <c r="K134" s="1226"/>
      <c r="L134" s="1226"/>
      <c r="M134" s="1226"/>
      <c r="N134" s="1226"/>
      <c r="O134" s="1226"/>
      <c r="P134" s="1226"/>
      <c r="Q134" s="1226"/>
      <c r="R134" s="1049"/>
    </row>
    <row r="135" spans="1:18">
      <c r="A135" s="1227"/>
      <c r="B135" s="1226"/>
      <c r="C135" s="1226"/>
      <c r="D135" s="1226"/>
      <c r="E135" s="1226"/>
      <c r="F135" s="1226"/>
      <c r="G135" s="1226"/>
      <c r="H135" s="1226"/>
      <c r="I135" s="1226"/>
      <c r="J135" s="1226"/>
      <c r="K135" s="1226"/>
      <c r="L135" s="1226"/>
      <c r="M135" s="1226"/>
      <c r="N135" s="1226"/>
      <c r="O135" s="1226"/>
      <c r="P135" s="1226"/>
      <c r="Q135" s="1226"/>
      <c r="R135" s="1049"/>
    </row>
    <row r="136" spans="1:18">
      <c r="A136" s="1227"/>
      <c r="B136" s="1049"/>
      <c r="C136" s="1049"/>
      <c r="D136" s="1049"/>
      <c r="E136" s="1049"/>
      <c r="F136" s="1049"/>
      <c r="G136" s="1049"/>
      <c r="H136" s="1049"/>
      <c r="I136" s="1049"/>
      <c r="J136" s="1049"/>
      <c r="K136" s="1049"/>
      <c r="L136" s="1049"/>
      <c r="M136" s="1049"/>
      <c r="N136" s="1049"/>
      <c r="O136" s="1049"/>
      <c r="P136" s="1049"/>
      <c r="Q136" s="1049"/>
      <c r="R136" s="1049"/>
    </row>
    <row r="137" spans="1:18">
      <c r="B137" s="1049"/>
      <c r="C137" s="1049"/>
      <c r="D137" s="1049"/>
      <c r="E137" s="1049"/>
      <c r="F137" s="1049"/>
      <c r="G137" s="1049"/>
      <c r="H137" s="1049"/>
      <c r="I137" s="1049"/>
      <c r="J137" s="1049"/>
      <c r="K137" s="1049"/>
      <c r="L137" s="1049"/>
      <c r="M137" s="1049"/>
      <c r="N137" s="1049"/>
      <c r="O137" s="1049"/>
      <c r="P137" s="1049"/>
      <c r="Q137" s="1049"/>
      <c r="R137" s="1049"/>
    </row>
    <row r="139" spans="1:18" ht="12.75">
      <c r="A139" s="1230"/>
    </row>
    <row r="140" spans="1:18">
      <c r="A140" s="1228"/>
      <c r="B140" s="1228"/>
      <c r="C140" s="1228"/>
      <c r="D140" s="1228"/>
      <c r="E140" s="1228"/>
      <c r="F140" s="1228"/>
      <c r="G140" s="1228"/>
      <c r="H140" s="1228"/>
      <c r="I140" s="1228"/>
      <c r="J140" s="1228"/>
      <c r="K140" s="1229"/>
      <c r="L140" s="1228"/>
      <c r="M140" s="1228"/>
      <c r="N140" s="1228"/>
      <c r="O140" s="1228"/>
      <c r="P140" s="1228"/>
      <c r="Q140" s="1228"/>
      <c r="R140" s="1228"/>
    </row>
    <row r="141" spans="1:18">
      <c r="A141" s="1227"/>
      <c r="B141" s="1226"/>
      <c r="C141" s="1226"/>
      <c r="D141" s="1226"/>
      <c r="E141" s="1226"/>
      <c r="F141" s="1226"/>
      <c r="G141" s="1226"/>
      <c r="H141" s="1226"/>
      <c r="I141" s="1226"/>
      <c r="J141" s="1226"/>
      <c r="K141" s="1226"/>
      <c r="L141" s="1226"/>
      <c r="M141" s="1226"/>
      <c r="N141" s="1226"/>
      <c r="O141" s="1226"/>
      <c r="P141" s="1226"/>
      <c r="Q141" s="1226"/>
      <c r="R141" s="1049"/>
    </row>
    <row r="142" spans="1:18">
      <c r="A142" s="1227"/>
      <c r="B142" s="1226"/>
      <c r="C142" s="1226"/>
      <c r="D142" s="1226"/>
      <c r="E142" s="1226"/>
      <c r="F142" s="1226"/>
      <c r="G142" s="1226"/>
      <c r="H142" s="1226"/>
      <c r="I142" s="1226"/>
      <c r="J142" s="1226"/>
      <c r="K142" s="1226"/>
      <c r="L142" s="1226"/>
      <c r="M142" s="1226"/>
      <c r="N142" s="1226"/>
      <c r="O142" s="1226"/>
      <c r="P142" s="1226"/>
      <c r="Q142" s="1226"/>
      <c r="R142" s="1049"/>
    </row>
    <row r="143" spans="1:18">
      <c r="A143" s="1227"/>
      <c r="B143" s="1226"/>
      <c r="C143" s="1226"/>
      <c r="D143" s="1226"/>
      <c r="E143" s="1226"/>
      <c r="F143" s="1226"/>
      <c r="G143" s="1226"/>
      <c r="H143" s="1226"/>
      <c r="I143" s="1226"/>
      <c r="J143" s="1226"/>
      <c r="K143" s="1226"/>
      <c r="L143" s="1226"/>
      <c r="M143" s="1226"/>
      <c r="N143" s="1226"/>
      <c r="O143" s="1226"/>
      <c r="P143" s="1226"/>
      <c r="Q143" s="1226"/>
      <c r="R143" s="1049"/>
    </row>
    <row r="144" spans="1:18">
      <c r="A144" s="1227"/>
      <c r="B144" s="1226"/>
      <c r="C144" s="1226"/>
      <c r="D144" s="1226"/>
      <c r="E144" s="1226"/>
      <c r="F144" s="1226"/>
      <c r="G144" s="1226"/>
      <c r="H144" s="1226"/>
      <c r="I144" s="1226"/>
      <c r="J144" s="1226"/>
      <c r="K144" s="1226"/>
      <c r="L144" s="1226"/>
      <c r="M144" s="1226"/>
      <c r="N144" s="1226"/>
      <c r="O144" s="1226"/>
      <c r="P144" s="1226"/>
      <c r="Q144" s="1226"/>
      <c r="R144" s="1049"/>
    </row>
    <row r="145" spans="1:18">
      <c r="A145" s="1227"/>
      <c r="B145" s="1226"/>
      <c r="C145" s="1226"/>
      <c r="D145" s="1226"/>
      <c r="E145" s="1226"/>
      <c r="F145" s="1226"/>
      <c r="G145" s="1226"/>
      <c r="H145" s="1226"/>
      <c r="I145" s="1226"/>
      <c r="J145" s="1226"/>
      <c r="K145" s="1226"/>
      <c r="L145" s="1226"/>
      <c r="M145" s="1226"/>
      <c r="N145" s="1226"/>
      <c r="O145" s="1226"/>
      <c r="P145" s="1226"/>
      <c r="Q145" s="1226"/>
      <c r="R145" s="1049"/>
    </row>
    <row r="146" spans="1:18">
      <c r="A146" s="1227"/>
      <c r="B146" s="1226"/>
      <c r="C146" s="1226"/>
      <c r="D146" s="1226"/>
      <c r="E146" s="1226"/>
      <c r="F146" s="1226"/>
      <c r="G146" s="1226"/>
      <c r="H146" s="1226"/>
      <c r="I146" s="1226"/>
      <c r="J146" s="1226"/>
      <c r="K146" s="1226"/>
      <c r="L146" s="1226"/>
      <c r="M146" s="1226"/>
      <c r="N146" s="1226"/>
      <c r="O146" s="1226"/>
      <c r="P146" s="1226"/>
      <c r="Q146" s="1226"/>
      <c r="R146" s="1049"/>
    </row>
    <row r="147" spans="1:18">
      <c r="A147" s="1227"/>
      <c r="B147" s="1226"/>
      <c r="C147" s="1226"/>
      <c r="D147" s="1226"/>
      <c r="E147" s="1226"/>
      <c r="F147" s="1226"/>
      <c r="G147" s="1226"/>
      <c r="H147" s="1226"/>
      <c r="I147" s="1226"/>
      <c r="J147" s="1226"/>
      <c r="K147" s="1226"/>
      <c r="L147" s="1226"/>
      <c r="M147" s="1226"/>
      <c r="N147" s="1226"/>
      <c r="O147" s="1226"/>
      <c r="P147" s="1226"/>
      <c r="Q147" s="1226"/>
      <c r="R147" s="1049"/>
    </row>
    <row r="148" spans="1:18">
      <c r="A148" s="1227"/>
      <c r="B148" s="1226"/>
      <c r="C148" s="1226"/>
      <c r="D148" s="1226"/>
      <c r="E148" s="1226"/>
      <c r="F148" s="1226"/>
      <c r="G148" s="1226"/>
      <c r="H148" s="1226"/>
      <c r="I148" s="1226"/>
      <c r="J148" s="1226"/>
      <c r="K148" s="1226"/>
      <c r="L148" s="1226"/>
      <c r="M148" s="1226"/>
      <c r="N148" s="1226"/>
      <c r="O148" s="1226"/>
      <c r="P148" s="1226"/>
      <c r="Q148" s="1226"/>
      <c r="R148" s="1049"/>
    </row>
    <row r="149" spans="1:18">
      <c r="A149" s="1227"/>
      <c r="B149" s="1226"/>
      <c r="C149" s="1226"/>
      <c r="D149" s="1226"/>
      <c r="E149" s="1226"/>
      <c r="F149" s="1226"/>
      <c r="G149" s="1226"/>
      <c r="H149" s="1226"/>
      <c r="I149" s="1226"/>
      <c r="J149" s="1226"/>
      <c r="K149" s="1226"/>
      <c r="L149" s="1226"/>
      <c r="M149" s="1226"/>
      <c r="N149" s="1226"/>
      <c r="O149" s="1226"/>
      <c r="P149" s="1226"/>
      <c r="Q149" s="1226"/>
      <c r="R149" s="1049"/>
    </row>
    <row r="150" spans="1:18">
      <c r="A150" s="1227"/>
      <c r="B150" s="1226"/>
      <c r="C150" s="1226"/>
      <c r="D150" s="1226"/>
      <c r="E150" s="1226"/>
      <c r="F150" s="1226"/>
      <c r="G150" s="1226"/>
      <c r="H150" s="1226"/>
      <c r="I150" s="1226"/>
      <c r="J150" s="1226"/>
      <c r="K150" s="1226"/>
      <c r="L150" s="1226"/>
      <c r="M150" s="1226"/>
      <c r="N150" s="1226"/>
      <c r="O150" s="1226"/>
      <c r="P150" s="1226"/>
      <c r="Q150" s="1226"/>
      <c r="R150" s="1049"/>
    </row>
    <row r="151" spans="1:18">
      <c r="A151" s="1227"/>
      <c r="B151" s="1226"/>
      <c r="C151" s="1226"/>
      <c r="D151" s="1226"/>
      <c r="E151" s="1226"/>
      <c r="F151" s="1226"/>
      <c r="G151" s="1226"/>
      <c r="H151" s="1226"/>
      <c r="I151" s="1226"/>
      <c r="J151" s="1226"/>
      <c r="K151" s="1226"/>
      <c r="L151" s="1226"/>
      <c r="M151" s="1226"/>
      <c r="N151" s="1226"/>
      <c r="O151" s="1226"/>
      <c r="P151" s="1226"/>
      <c r="Q151" s="1226"/>
      <c r="R151" s="1049"/>
    </row>
    <row r="152" spans="1:18">
      <c r="A152" s="1227"/>
      <c r="B152" s="1226"/>
      <c r="C152" s="1226"/>
      <c r="D152" s="1226"/>
      <c r="E152" s="1226"/>
      <c r="F152" s="1226"/>
      <c r="G152" s="1226"/>
      <c r="H152" s="1226"/>
      <c r="I152" s="1226"/>
      <c r="J152" s="1226"/>
      <c r="K152" s="1226"/>
      <c r="L152" s="1226"/>
      <c r="M152" s="1226"/>
      <c r="N152" s="1226"/>
      <c r="O152" s="1226"/>
      <c r="P152" s="1226"/>
      <c r="Q152" s="1226"/>
      <c r="R152" s="1049"/>
    </row>
    <row r="153" spans="1:18">
      <c r="A153" s="1227"/>
      <c r="B153" s="1226"/>
      <c r="C153" s="1226"/>
      <c r="D153" s="1226"/>
      <c r="E153" s="1226"/>
      <c r="F153" s="1226"/>
      <c r="G153" s="1226"/>
      <c r="H153" s="1226"/>
      <c r="I153" s="1226"/>
      <c r="J153" s="1226"/>
      <c r="K153" s="1226"/>
      <c r="L153" s="1226"/>
      <c r="M153" s="1226"/>
      <c r="N153" s="1226"/>
      <c r="O153" s="1226"/>
      <c r="P153" s="1226"/>
      <c r="Q153" s="1226"/>
      <c r="R153" s="1049"/>
    </row>
    <row r="154" spans="1:18">
      <c r="A154" s="1227"/>
      <c r="B154" s="1226"/>
      <c r="C154" s="1226"/>
      <c r="D154" s="1226"/>
      <c r="E154" s="1226"/>
      <c r="F154" s="1226"/>
      <c r="G154" s="1226"/>
      <c r="H154" s="1226"/>
      <c r="I154" s="1226"/>
      <c r="J154" s="1226"/>
      <c r="K154" s="1226"/>
      <c r="L154" s="1226"/>
      <c r="M154" s="1226"/>
      <c r="N154" s="1226"/>
      <c r="O154" s="1226"/>
      <c r="P154" s="1226"/>
      <c r="Q154" s="1226"/>
      <c r="R154" s="1049"/>
    </row>
    <row r="155" spans="1:18">
      <c r="A155" s="1227"/>
      <c r="B155" s="1226"/>
      <c r="C155" s="1226"/>
      <c r="D155" s="1226"/>
      <c r="E155" s="1226"/>
      <c r="F155" s="1226"/>
      <c r="G155" s="1226"/>
      <c r="H155" s="1226"/>
      <c r="I155" s="1226"/>
      <c r="J155" s="1226"/>
      <c r="K155" s="1226"/>
      <c r="L155" s="1226"/>
      <c r="M155" s="1226"/>
      <c r="N155" s="1226"/>
      <c r="O155" s="1226"/>
      <c r="P155" s="1226"/>
      <c r="Q155" s="1226"/>
      <c r="R155" s="1049"/>
    </row>
    <row r="156" spans="1:18">
      <c r="A156" s="1227"/>
      <c r="B156" s="1226"/>
      <c r="C156" s="1226"/>
      <c r="D156" s="1226"/>
      <c r="E156" s="1226"/>
      <c r="F156" s="1226"/>
      <c r="G156" s="1226"/>
      <c r="H156" s="1226"/>
      <c r="I156" s="1226"/>
      <c r="J156" s="1226"/>
      <c r="K156" s="1226"/>
      <c r="L156" s="1226"/>
      <c r="M156" s="1226"/>
      <c r="N156" s="1226"/>
      <c r="O156" s="1226"/>
      <c r="P156" s="1226"/>
      <c r="Q156" s="1226"/>
      <c r="R156" s="1049"/>
    </row>
    <row r="157" spans="1:18">
      <c r="A157" s="1227"/>
      <c r="B157" s="1226"/>
      <c r="C157" s="1226"/>
      <c r="D157" s="1226"/>
      <c r="E157" s="1226"/>
      <c r="F157" s="1226"/>
      <c r="G157" s="1226"/>
      <c r="H157" s="1226"/>
      <c r="I157" s="1226"/>
      <c r="J157" s="1226"/>
      <c r="K157" s="1226"/>
      <c r="L157" s="1226"/>
      <c r="M157" s="1226"/>
      <c r="N157" s="1226"/>
      <c r="O157" s="1226"/>
      <c r="P157" s="1226"/>
      <c r="Q157" s="1226"/>
      <c r="R157" s="1049"/>
    </row>
    <row r="158" spans="1:18">
      <c r="B158" s="1049"/>
      <c r="C158" s="1049"/>
      <c r="D158" s="1049"/>
      <c r="E158" s="1049"/>
      <c r="F158" s="1049"/>
      <c r="G158" s="1049"/>
      <c r="H158" s="1049"/>
      <c r="I158" s="1049"/>
      <c r="J158" s="1049"/>
      <c r="K158" s="1049"/>
      <c r="L158" s="1049"/>
      <c r="M158" s="1049"/>
      <c r="N158" s="1049"/>
      <c r="O158" s="1049"/>
      <c r="P158" s="1049"/>
      <c r="Q158" s="1049"/>
      <c r="R158" s="1049"/>
    </row>
  </sheetData>
  <mergeCells count="3">
    <mergeCell ref="B9:J9"/>
    <mergeCell ref="B10:J10"/>
    <mergeCell ref="B11:J11"/>
  </mergeCells>
  <printOptions horizontalCentered="1"/>
  <pageMargins left="0.39370078740157483" right="0.39370078740157483" top="0.61" bottom="0.39370078740157483" header="0" footer="0"/>
  <pageSetup scale="21" orientation="portrait" r:id="rId1"/>
  <headerFooter alignWithMargins="0"/>
  <rowBreaks count="1" manualBreakCount="1">
    <brk id="83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91"/>
  <sheetViews>
    <sheetView workbookViewId="0">
      <selection activeCell="H66" sqref="H66"/>
    </sheetView>
  </sheetViews>
  <sheetFormatPr baseColWidth="10" defaultRowHeight="12.75"/>
  <cols>
    <col min="8" max="8" width="16" customWidth="1"/>
    <col min="9" max="9" width="14" customWidth="1"/>
    <col min="10" max="10" width="13.140625" customWidth="1"/>
  </cols>
  <sheetData>
    <row r="1" spans="1:11">
      <c r="A1" s="1138" t="str">
        <f>+DATOS!B1</f>
        <v>SOCIEDAD COMERCIAL SOLMET SpA</v>
      </c>
      <c r="B1" s="1138"/>
      <c r="C1" s="1138"/>
      <c r="D1" s="1138"/>
      <c r="E1" s="1138"/>
    </row>
    <row r="2" spans="1:11">
      <c r="A2" s="1138" t="str">
        <f>+DATOS!B2</f>
        <v>BOMBEROS SALAS #1445 OFC 601B</v>
      </c>
      <c r="B2" s="1138"/>
      <c r="C2" s="1138"/>
      <c r="D2" s="1138"/>
      <c r="E2" s="1138"/>
    </row>
    <row r="3" spans="1:11">
      <c r="A3" s="1138" t="str">
        <f>+DATOS!B3</f>
        <v>RUT: 76.541.377-K</v>
      </c>
      <c r="B3" s="1138"/>
      <c r="C3" s="1138"/>
      <c r="D3" s="1138"/>
      <c r="E3" s="1138"/>
    </row>
    <row r="6" spans="1:11" ht="18">
      <c r="E6" s="1130" t="s">
        <v>1023</v>
      </c>
      <c r="F6" s="1130"/>
    </row>
    <row r="8" spans="1:11" ht="13.5" thickBot="1">
      <c r="C8" s="1131">
        <v>44562</v>
      </c>
    </row>
    <row r="9" spans="1:11">
      <c r="B9" s="1132" t="s">
        <v>569</v>
      </c>
      <c r="C9" s="1133" t="s">
        <v>907</v>
      </c>
      <c r="D9" s="1133" t="s">
        <v>908</v>
      </c>
      <c r="E9" s="1133" t="s">
        <v>909</v>
      </c>
      <c r="F9" s="1133" t="s">
        <v>910</v>
      </c>
      <c r="G9" s="1133" t="s">
        <v>911</v>
      </c>
      <c r="H9" s="1134" t="s">
        <v>912</v>
      </c>
      <c r="I9" s="1135" t="s">
        <v>913</v>
      </c>
      <c r="J9" s="1136" t="s">
        <v>442</v>
      </c>
    </row>
    <row r="10" spans="1:11">
      <c r="B10" s="540" t="s">
        <v>914</v>
      </c>
      <c r="C10" s="1137">
        <v>88868</v>
      </c>
      <c r="D10" s="1137">
        <v>14588</v>
      </c>
      <c r="E10" s="1137">
        <v>2625</v>
      </c>
      <c r="F10" s="1137">
        <v>21031</v>
      </c>
      <c r="G10" s="1137">
        <v>30429</v>
      </c>
      <c r="H10" s="1137">
        <v>788541</v>
      </c>
      <c r="I10" s="190">
        <f>+C14+E14</f>
        <v>532629</v>
      </c>
      <c r="J10" s="190">
        <f>+D14+F14+G14</f>
        <v>160515</v>
      </c>
    </row>
    <row r="11" spans="1:11">
      <c r="B11" s="540" t="s">
        <v>918</v>
      </c>
      <c r="C11" s="1137">
        <v>43202</v>
      </c>
      <c r="D11" s="1137">
        <v>7554</v>
      </c>
      <c r="E11" s="1137">
        <v>0</v>
      </c>
      <c r="F11" s="1137">
        <v>12250</v>
      </c>
      <c r="G11" s="1137"/>
      <c r="H11" s="1137">
        <v>408333</v>
      </c>
    </row>
    <row r="12" spans="1:11">
      <c r="B12" s="540" t="s">
        <v>916</v>
      </c>
      <c r="C12" s="1137">
        <v>184403</v>
      </c>
      <c r="D12" s="1137">
        <v>31913</v>
      </c>
      <c r="E12" s="1137">
        <v>9000</v>
      </c>
      <c r="F12" s="1137">
        <v>42750</v>
      </c>
      <c r="G12" s="1137"/>
      <c r="H12" s="1137">
        <v>1725000</v>
      </c>
    </row>
    <row r="13" spans="1:11">
      <c r="B13" s="540" t="s">
        <v>917</v>
      </c>
      <c r="C13" s="1137">
        <v>204531</v>
      </c>
      <c r="D13" s="1137"/>
      <c r="E13" s="1137"/>
      <c r="F13" s="1137"/>
      <c r="G13" s="6"/>
      <c r="H13" s="1137"/>
    </row>
    <row r="14" spans="1:11">
      <c r="B14" s="540" t="s">
        <v>187</v>
      </c>
      <c r="C14" s="771">
        <f t="shared" ref="C14:H14" si="0">SUM(C9:C13)</f>
        <v>521004</v>
      </c>
      <c r="D14" s="771">
        <f t="shared" si="0"/>
        <v>54055</v>
      </c>
      <c r="E14" s="771">
        <f t="shared" si="0"/>
        <v>11625</v>
      </c>
      <c r="F14" s="771">
        <f t="shared" si="0"/>
        <v>76031</v>
      </c>
      <c r="G14" s="771">
        <f t="shared" si="0"/>
        <v>30429</v>
      </c>
      <c r="H14" s="771">
        <f t="shared" si="0"/>
        <v>2921874</v>
      </c>
      <c r="K14" s="190"/>
    </row>
    <row r="16" spans="1:11" ht="13.5" thickBot="1">
      <c r="C16" s="1131">
        <v>44593</v>
      </c>
    </row>
    <row r="17" spans="2:10">
      <c r="B17" s="1132" t="s">
        <v>569</v>
      </c>
      <c r="C17" s="1133" t="s">
        <v>907</v>
      </c>
      <c r="D17" s="1133" t="s">
        <v>908</v>
      </c>
      <c r="E17" s="1133" t="s">
        <v>909</v>
      </c>
      <c r="F17" s="1133" t="s">
        <v>910</v>
      </c>
      <c r="G17" s="1133" t="s">
        <v>911</v>
      </c>
      <c r="H17" s="1134" t="s">
        <v>912</v>
      </c>
      <c r="I17" s="1135" t="s">
        <v>913</v>
      </c>
      <c r="J17" s="1136" t="s">
        <v>442</v>
      </c>
    </row>
    <row r="18" spans="2:10">
      <c r="B18" s="540" t="s">
        <v>914</v>
      </c>
      <c r="C18" s="1137">
        <v>95325</v>
      </c>
      <c r="D18" s="1137">
        <v>15648</v>
      </c>
      <c r="E18" s="1137">
        <v>2625</v>
      </c>
      <c r="F18" s="1137">
        <v>22750</v>
      </c>
      <c r="G18" s="1137">
        <v>28590</v>
      </c>
      <c r="H18" s="1137">
        <v>845834</v>
      </c>
      <c r="I18" s="190">
        <f>+C24+E24</f>
        <v>627675</v>
      </c>
      <c r="J18" s="190">
        <f>+D24+F24+G24</f>
        <v>201232</v>
      </c>
    </row>
    <row r="19" spans="2:10">
      <c r="B19" s="540" t="s">
        <v>915</v>
      </c>
      <c r="C19" s="1137">
        <v>42315</v>
      </c>
      <c r="D19" s="1137">
        <v>7950</v>
      </c>
      <c r="E19" s="1137">
        <v>0</v>
      </c>
      <c r="F19" s="1137">
        <v>12892</v>
      </c>
      <c r="G19" s="1137"/>
      <c r="H19" s="1137">
        <v>379166</v>
      </c>
    </row>
    <row r="20" spans="2:10">
      <c r="B20" s="540" t="s">
        <v>918</v>
      </c>
      <c r="C20" s="1137">
        <v>38573</v>
      </c>
      <c r="D20" s="1137">
        <v>7869</v>
      </c>
      <c r="E20" s="1137">
        <v>0</v>
      </c>
      <c r="F20" s="1137">
        <v>12760</v>
      </c>
      <c r="G20" s="1137"/>
      <c r="H20" s="1137">
        <v>364584</v>
      </c>
    </row>
    <row r="21" spans="2:10">
      <c r="B21" s="540" t="s">
        <v>916</v>
      </c>
      <c r="C21" s="1137">
        <f>110285+101644</f>
        <v>211929</v>
      </c>
      <c r="D21" s="1137">
        <f>21651+17590</f>
        <v>39241</v>
      </c>
      <c r="E21" s="1137">
        <f>3565+5705</f>
        <v>9270</v>
      </c>
      <c r="F21" s="1137">
        <f>30712+22820</f>
        <v>53532</v>
      </c>
      <c r="G21" s="1137"/>
      <c r="H21" s="1137">
        <f>1031666+950834</f>
        <v>1982500</v>
      </c>
    </row>
    <row r="22" spans="2:10">
      <c r="B22" s="540" t="s">
        <v>919</v>
      </c>
      <c r="C22" s="1137">
        <v>85742</v>
      </c>
      <c r="D22" s="1137"/>
      <c r="E22" s="1137"/>
      <c r="F22" s="1137"/>
      <c r="G22" s="1137"/>
      <c r="H22" s="1137"/>
    </row>
    <row r="23" spans="2:10">
      <c r="B23" s="540" t="s">
        <v>917</v>
      </c>
      <c r="C23" s="1137">
        <v>141896</v>
      </c>
      <c r="D23" s="1137"/>
      <c r="E23" s="1137"/>
      <c r="F23" s="1137"/>
      <c r="G23" s="1137"/>
      <c r="H23" s="1137"/>
    </row>
    <row r="24" spans="2:10">
      <c r="B24" s="540" t="s">
        <v>187</v>
      </c>
      <c r="C24" s="771">
        <f t="shared" ref="C24:H24" si="1">SUM(C18:C23)</f>
        <v>615780</v>
      </c>
      <c r="D24" s="771">
        <f t="shared" si="1"/>
        <v>70708</v>
      </c>
      <c r="E24" s="771">
        <f t="shared" si="1"/>
        <v>11895</v>
      </c>
      <c r="F24" s="771">
        <f t="shared" si="1"/>
        <v>101934</v>
      </c>
      <c r="G24" s="771">
        <f t="shared" si="1"/>
        <v>28590</v>
      </c>
      <c r="H24" s="771">
        <f t="shared" si="1"/>
        <v>3572084</v>
      </c>
    </row>
    <row r="26" spans="2:10" ht="13.5" thickBot="1">
      <c r="C26" s="1131">
        <v>44621</v>
      </c>
    </row>
    <row r="27" spans="2:10">
      <c r="B27" s="1132" t="s">
        <v>569</v>
      </c>
      <c r="C27" s="1133" t="s">
        <v>907</v>
      </c>
      <c r="D27" s="1133" t="s">
        <v>908</v>
      </c>
      <c r="E27" s="1133" t="s">
        <v>909</v>
      </c>
      <c r="F27" s="1133" t="s">
        <v>910</v>
      </c>
      <c r="G27" s="1133" t="s">
        <v>911</v>
      </c>
      <c r="H27" s="1134" t="s">
        <v>912</v>
      </c>
      <c r="I27" s="1135" t="s">
        <v>913</v>
      </c>
      <c r="J27" s="1136" t="s">
        <v>442</v>
      </c>
    </row>
    <row r="28" spans="2:10">
      <c r="B28" s="540" t="s">
        <v>914</v>
      </c>
      <c r="C28" s="1137">
        <v>136414</v>
      </c>
      <c r="D28" s="1137">
        <v>15918</v>
      </c>
      <c r="E28" s="1137">
        <v>5162</v>
      </c>
      <c r="F28" s="1137">
        <v>20650</v>
      </c>
      <c r="G28" s="1137">
        <v>29400</v>
      </c>
      <c r="H28" s="1137">
        <v>1210416</v>
      </c>
      <c r="I28" s="190">
        <f>+C33+E33</f>
        <v>631243</v>
      </c>
      <c r="J28" s="190">
        <f>+D33+F33+G33</f>
        <v>148878</v>
      </c>
    </row>
    <row r="29" spans="2:10">
      <c r="B29" s="540" t="s">
        <v>915</v>
      </c>
      <c r="C29" s="1137">
        <v>48825</v>
      </c>
      <c r="D29" s="1137">
        <v>8094</v>
      </c>
      <c r="E29" s="1137">
        <v>2625</v>
      </c>
      <c r="F29" s="1137">
        <v>10500</v>
      </c>
      <c r="G29" s="1137"/>
      <c r="H29" s="1137">
        <v>437500</v>
      </c>
    </row>
    <row r="30" spans="2:10">
      <c r="B30" s="540" t="s">
        <v>916</v>
      </c>
      <c r="C30" s="1137">
        <v>161775</v>
      </c>
      <c r="D30" s="1137">
        <v>27996</v>
      </c>
      <c r="E30" s="1137">
        <v>9080</v>
      </c>
      <c r="F30" s="1137">
        <v>36320</v>
      </c>
      <c r="G30" s="1137"/>
      <c r="H30" s="1137">
        <v>1513334</v>
      </c>
    </row>
    <row r="31" spans="2:10">
      <c r="B31" s="540" t="s">
        <v>919</v>
      </c>
      <c r="C31" s="1137">
        <v>112633</v>
      </c>
      <c r="D31" s="1137"/>
      <c r="E31" s="1137"/>
      <c r="F31" s="1137"/>
      <c r="G31" s="1137"/>
      <c r="H31" s="1137"/>
    </row>
    <row r="32" spans="2:10">
      <c r="B32" s="540" t="s">
        <v>917</v>
      </c>
      <c r="C32" s="1137">
        <v>154729</v>
      </c>
      <c r="D32" s="1137"/>
      <c r="E32" s="1137"/>
      <c r="F32" s="1137"/>
      <c r="G32" s="1137"/>
      <c r="H32" s="1137"/>
    </row>
    <row r="33" spans="2:10">
      <c r="B33" s="540" t="s">
        <v>187</v>
      </c>
      <c r="C33" s="771">
        <f t="shared" ref="C33:H33" si="2">SUM(C28:C32)</f>
        <v>614376</v>
      </c>
      <c r="D33" s="771">
        <f t="shared" si="2"/>
        <v>52008</v>
      </c>
      <c r="E33" s="771">
        <f t="shared" si="2"/>
        <v>16867</v>
      </c>
      <c r="F33" s="771">
        <f t="shared" si="2"/>
        <v>67470</v>
      </c>
      <c r="G33" s="771">
        <f t="shared" si="2"/>
        <v>29400</v>
      </c>
      <c r="H33" s="771">
        <f t="shared" si="2"/>
        <v>3161250</v>
      </c>
    </row>
    <row r="35" spans="2:10" ht="13.5" thickBot="1">
      <c r="C35" s="1131">
        <v>44652</v>
      </c>
    </row>
    <row r="36" spans="2:10">
      <c r="B36" s="1132" t="s">
        <v>569</v>
      </c>
      <c r="C36" s="1133" t="s">
        <v>907</v>
      </c>
      <c r="D36" s="1133" t="s">
        <v>908</v>
      </c>
      <c r="E36" s="1133" t="s">
        <v>909</v>
      </c>
      <c r="F36" s="1133" t="s">
        <v>910</v>
      </c>
      <c r="G36" s="1133" t="s">
        <v>911</v>
      </c>
      <c r="H36" s="1134" t="s">
        <v>912</v>
      </c>
      <c r="I36" s="1135" t="s">
        <v>913</v>
      </c>
      <c r="J36" s="1136" t="s">
        <v>442</v>
      </c>
    </row>
    <row r="37" spans="2:10">
      <c r="B37" s="540" t="s">
        <v>914</v>
      </c>
      <c r="C37" s="1137">
        <v>98612</v>
      </c>
      <c r="D37" s="1137">
        <v>16276</v>
      </c>
      <c r="E37" s="1137">
        <v>2625</v>
      </c>
      <c r="F37" s="1137">
        <v>23625</v>
      </c>
      <c r="G37" s="1137">
        <v>26813</v>
      </c>
      <c r="H37" s="1137">
        <v>875000</v>
      </c>
      <c r="I37" s="190">
        <f>+C42+E42</f>
        <v>530039</v>
      </c>
      <c r="J37" s="190">
        <f>+D42+F42+G42</f>
        <v>134145</v>
      </c>
    </row>
    <row r="38" spans="2:10">
      <c r="B38" s="540" t="s">
        <v>915</v>
      </c>
      <c r="C38" s="1137">
        <v>9765</v>
      </c>
      <c r="D38" s="1137">
        <v>1628</v>
      </c>
      <c r="E38" s="1137">
        <v>0</v>
      </c>
      <c r="F38" s="1137">
        <v>2625</v>
      </c>
      <c r="G38" s="1137"/>
      <c r="H38" s="1137">
        <v>87500</v>
      </c>
    </row>
    <row r="39" spans="2:10">
      <c r="B39" s="540" t="s">
        <v>916</v>
      </c>
      <c r="C39" s="1137">
        <v>158537</v>
      </c>
      <c r="D39" s="1137">
        <v>27585</v>
      </c>
      <c r="E39" s="1137">
        <v>8898</v>
      </c>
      <c r="F39" s="1137">
        <v>35593</v>
      </c>
      <c r="G39" s="1137"/>
      <c r="H39" s="1137">
        <v>1483042</v>
      </c>
    </row>
    <row r="40" spans="2:10">
      <c r="B40" s="540" t="s">
        <v>919</v>
      </c>
      <c r="C40" s="1137">
        <v>114227</v>
      </c>
      <c r="D40" s="1137"/>
      <c r="E40" s="1137"/>
      <c r="F40" s="1137"/>
      <c r="G40" s="1137"/>
      <c r="H40" s="1137"/>
    </row>
    <row r="41" spans="2:10">
      <c r="B41" s="540" t="s">
        <v>917</v>
      </c>
      <c r="C41" s="1137">
        <v>137375</v>
      </c>
      <c r="D41" s="1137"/>
      <c r="E41" s="1137"/>
      <c r="F41" s="1137"/>
      <c r="G41" s="1137"/>
      <c r="H41" s="1137"/>
    </row>
    <row r="42" spans="2:10">
      <c r="B42" s="540" t="s">
        <v>187</v>
      </c>
      <c r="C42" s="771">
        <f t="shared" ref="C42:H42" si="3">SUM(C37:C41)</f>
        <v>518516</v>
      </c>
      <c r="D42" s="771">
        <f t="shared" si="3"/>
        <v>45489</v>
      </c>
      <c r="E42" s="771">
        <f t="shared" si="3"/>
        <v>11523</v>
      </c>
      <c r="F42" s="771">
        <f t="shared" si="3"/>
        <v>61843</v>
      </c>
      <c r="G42" s="771">
        <f t="shared" si="3"/>
        <v>26813</v>
      </c>
      <c r="H42" s="771">
        <f t="shared" si="3"/>
        <v>2445542</v>
      </c>
    </row>
    <row r="44" spans="2:10" ht="13.5" thickBot="1">
      <c r="C44" s="1131">
        <v>44682</v>
      </c>
    </row>
    <row r="45" spans="2:10">
      <c r="B45" s="1132" t="s">
        <v>569</v>
      </c>
      <c r="C45" s="1133" t="s">
        <v>907</v>
      </c>
      <c r="D45" s="1133" t="s">
        <v>908</v>
      </c>
      <c r="E45" s="1133" t="s">
        <v>909</v>
      </c>
      <c r="F45" s="1133" t="s">
        <v>910</v>
      </c>
      <c r="G45" s="1133" t="s">
        <v>911</v>
      </c>
      <c r="H45" s="1134" t="s">
        <v>912</v>
      </c>
      <c r="I45" s="1135" t="s">
        <v>913</v>
      </c>
      <c r="J45" s="1136" t="s">
        <v>442</v>
      </c>
    </row>
    <row r="46" spans="2:10">
      <c r="B46" s="540" t="s">
        <v>914</v>
      </c>
      <c r="C46" s="1137">
        <v>53533</v>
      </c>
      <c r="D46" s="1137">
        <v>8835</v>
      </c>
      <c r="E46" s="1137">
        <v>2850</v>
      </c>
      <c r="F46" s="1137">
        <v>11400</v>
      </c>
      <c r="G46" s="1137">
        <v>27053</v>
      </c>
      <c r="H46" s="1137">
        <v>475000</v>
      </c>
      <c r="I46" s="190">
        <f>+C51+E51</f>
        <v>522541</v>
      </c>
      <c r="J46" s="190">
        <f>+D51+F51+G51</f>
        <v>133581</v>
      </c>
    </row>
    <row r="47" spans="2:10">
      <c r="B47" s="540" t="s">
        <v>915</v>
      </c>
      <c r="C47" s="1137">
        <v>54388</v>
      </c>
      <c r="D47" s="1137">
        <v>8835</v>
      </c>
      <c r="E47" s="1137">
        <v>0</v>
      </c>
      <c r="F47" s="1137">
        <v>14250</v>
      </c>
      <c r="G47" s="1137"/>
      <c r="H47" s="1137">
        <v>475000</v>
      </c>
    </row>
    <row r="48" spans="2:10">
      <c r="B48" s="540" t="s">
        <v>916</v>
      </c>
      <c r="C48" s="1137">
        <v>158613</v>
      </c>
      <c r="D48" s="1137">
        <v>27598</v>
      </c>
      <c r="E48" s="1137">
        <v>8903</v>
      </c>
      <c r="F48" s="1137">
        <v>35610</v>
      </c>
      <c r="G48" s="1137"/>
      <c r="H48" s="1137">
        <v>1483750</v>
      </c>
    </row>
    <row r="49" spans="2:10">
      <c r="B49" s="540" t="s">
        <v>919</v>
      </c>
      <c r="C49" s="1137">
        <v>116012</v>
      </c>
      <c r="D49" s="1137"/>
      <c r="E49" s="1137"/>
      <c r="F49" s="1137"/>
      <c r="G49" s="1137"/>
      <c r="H49" s="1137"/>
    </row>
    <row r="50" spans="2:10">
      <c r="B50" s="540" t="s">
        <v>917</v>
      </c>
      <c r="C50" s="1137">
        <v>128242</v>
      </c>
      <c r="D50" s="1137"/>
      <c r="E50" s="1137"/>
      <c r="F50" s="1137"/>
      <c r="G50" s="1137"/>
      <c r="H50" s="1137"/>
    </row>
    <row r="51" spans="2:10">
      <c r="B51" s="540" t="s">
        <v>187</v>
      </c>
      <c r="C51" s="771">
        <f t="shared" ref="C51:H51" si="4">SUM(C46:C50)</f>
        <v>510788</v>
      </c>
      <c r="D51" s="771">
        <f t="shared" si="4"/>
        <v>45268</v>
      </c>
      <c r="E51" s="771">
        <f t="shared" si="4"/>
        <v>11753</v>
      </c>
      <c r="F51" s="771">
        <f t="shared" si="4"/>
        <v>61260</v>
      </c>
      <c r="G51" s="771">
        <f t="shared" si="4"/>
        <v>27053</v>
      </c>
      <c r="H51" s="771">
        <f t="shared" si="4"/>
        <v>2433750</v>
      </c>
    </row>
    <row r="53" spans="2:10" ht="13.5" thickBot="1">
      <c r="C53" s="1131">
        <v>44713</v>
      </c>
    </row>
    <row r="54" spans="2:10">
      <c r="B54" s="1132" t="s">
        <v>569</v>
      </c>
      <c r="C54" s="1133" t="s">
        <v>907</v>
      </c>
      <c r="D54" s="1133" t="s">
        <v>908</v>
      </c>
      <c r="E54" s="1133" t="s">
        <v>909</v>
      </c>
      <c r="F54" s="1133" t="s">
        <v>910</v>
      </c>
      <c r="G54" s="1133" t="s">
        <v>911</v>
      </c>
      <c r="H54" s="1134" t="s">
        <v>912</v>
      </c>
      <c r="I54" s="1135" t="s">
        <v>913</v>
      </c>
      <c r="J54" s="1136" t="s">
        <v>442</v>
      </c>
    </row>
    <row r="55" spans="2:10">
      <c r="B55" s="540" t="s">
        <v>914</v>
      </c>
      <c r="C55" s="1137">
        <v>53533</v>
      </c>
      <c r="D55" s="1137">
        <v>8835</v>
      </c>
      <c r="E55" s="1137">
        <v>2850</v>
      </c>
      <c r="F55" s="1137">
        <v>11400</v>
      </c>
      <c r="G55" s="1137">
        <v>22518</v>
      </c>
      <c r="H55" s="1137">
        <v>475000</v>
      </c>
      <c r="I55" s="190">
        <f>+C59+E59</f>
        <v>412428</v>
      </c>
      <c r="J55" s="190">
        <f>+D59+F59+G59</f>
        <v>105425</v>
      </c>
    </row>
    <row r="56" spans="2:10">
      <c r="B56" s="540" t="s">
        <v>916</v>
      </c>
      <c r="C56" s="1137">
        <v>157267</v>
      </c>
      <c r="D56" s="1137">
        <v>27364</v>
      </c>
      <c r="E56" s="1137">
        <v>8827</v>
      </c>
      <c r="F56" s="1137">
        <v>35308</v>
      </c>
      <c r="G56" s="1137"/>
      <c r="H56" s="1137">
        <v>1471166</v>
      </c>
    </row>
    <row r="57" spans="2:10">
      <c r="B57" s="540" t="s">
        <v>919</v>
      </c>
      <c r="C57" s="1137">
        <v>117326</v>
      </c>
      <c r="D57" s="1137"/>
      <c r="E57" s="1137"/>
      <c r="F57" s="1137"/>
      <c r="G57" s="1137"/>
      <c r="H57" s="1137"/>
    </row>
    <row r="58" spans="2:10">
      <c r="B58" s="540" t="s">
        <v>917</v>
      </c>
      <c r="C58" s="1137">
        <v>72625</v>
      </c>
      <c r="D58" s="1137"/>
      <c r="E58" s="1137"/>
      <c r="F58" s="1137"/>
      <c r="G58" s="1137"/>
      <c r="H58" s="1137"/>
    </row>
    <row r="59" spans="2:10">
      <c r="B59" s="540" t="s">
        <v>920</v>
      </c>
      <c r="C59" s="771">
        <f t="shared" ref="C59:H59" si="5">SUM(C55:C58)</f>
        <v>400751</v>
      </c>
      <c r="D59" s="771">
        <f t="shared" si="5"/>
        <v>36199</v>
      </c>
      <c r="E59" s="771">
        <f t="shared" si="5"/>
        <v>11677</v>
      </c>
      <c r="F59" s="771">
        <f t="shared" si="5"/>
        <v>46708</v>
      </c>
      <c r="G59" s="771">
        <f t="shared" si="5"/>
        <v>22518</v>
      </c>
      <c r="H59" s="771">
        <f t="shared" si="5"/>
        <v>1946166</v>
      </c>
    </row>
    <row r="61" spans="2:10" ht="13.5" thickBot="1">
      <c r="C61" s="1131">
        <v>44743</v>
      </c>
    </row>
    <row r="62" spans="2:10">
      <c r="B62" s="1132" t="s">
        <v>569</v>
      </c>
      <c r="C62" s="1133" t="s">
        <v>907</v>
      </c>
      <c r="D62" s="1133" t="s">
        <v>908</v>
      </c>
      <c r="E62" s="1133" t="s">
        <v>909</v>
      </c>
      <c r="F62" s="1133" t="s">
        <v>910</v>
      </c>
      <c r="G62" s="1133" t="s">
        <v>911</v>
      </c>
      <c r="H62" s="1134" t="s">
        <v>912</v>
      </c>
      <c r="I62" s="1135" t="s">
        <v>913</v>
      </c>
      <c r="J62" s="1136" t="s">
        <v>442</v>
      </c>
    </row>
    <row r="63" spans="2:10">
      <c r="B63" s="540" t="s">
        <v>914</v>
      </c>
      <c r="C63" s="1137">
        <v>53533</v>
      </c>
      <c r="D63" s="1137">
        <v>8740</v>
      </c>
      <c r="E63" s="1137">
        <v>2850</v>
      </c>
      <c r="F63" s="1137">
        <v>11400</v>
      </c>
      <c r="G63" s="1137">
        <v>22518</v>
      </c>
      <c r="H63" s="1137">
        <v>475000</v>
      </c>
      <c r="I63" s="190">
        <f>+C67+E67</f>
        <v>192514</v>
      </c>
      <c r="J63" s="190">
        <f>+D67+F67+G67</f>
        <v>66508</v>
      </c>
    </row>
    <row r="64" spans="2:10">
      <c r="B64" s="540" t="s">
        <v>916</v>
      </c>
      <c r="C64" s="1137">
        <v>60131</v>
      </c>
      <c r="D64" s="1137">
        <v>10350</v>
      </c>
      <c r="E64" s="1137">
        <v>3375</v>
      </c>
      <c r="F64" s="1137">
        <v>13500</v>
      </c>
      <c r="G64" s="1137"/>
      <c r="H64" s="1137">
        <v>562500</v>
      </c>
    </row>
    <row r="65" spans="2:10">
      <c r="B65" s="540" t="s">
        <v>919</v>
      </c>
      <c r="C65" s="1137">
        <v>0</v>
      </c>
      <c r="D65" s="1137"/>
      <c r="E65" s="1137"/>
      <c r="F65" s="1137"/>
      <c r="G65" s="1137"/>
      <c r="H65" s="1137"/>
    </row>
    <row r="66" spans="2:10">
      <c r="B66" s="540" t="s">
        <v>917</v>
      </c>
      <c r="C66" s="1137">
        <v>72625</v>
      </c>
      <c r="D66" s="1137"/>
      <c r="E66" s="1137"/>
      <c r="F66" s="1137"/>
      <c r="G66" s="1137"/>
      <c r="H66" s="1137"/>
    </row>
    <row r="67" spans="2:10">
      <c r="B67" s="540" t="s">
        <v>920</v>
      </c>
      <c r="C67" s="771">
        <f t="shared" ref="C67:H67" si="6">SUM(C63:C66)</f>
        <v>186289</v>
      </c>
      <c r="D67" s="771">
        <f t="shared" si="6"/>
        <v>19090</v>
      </c>
      <c r="E67" s="771">
        <f t="shared" si="6"/>
        <v>6225</v>
      </c>
      <c r="F67" s="771">
        <f t="shared" si="6"/>
        <v>24900</v>
      </c>
      <c r="G67" s="771">
        <f t="shared" si="6"/>
        <v>22518</v>
      </c>
      <c r="H67" s="771">
        <f t="shared" si="6"/>
        <v>1037500</v>
      </c>
    </row>
    <row r="69" spans="2:10" ht="13.5" thickBot="1">
      <c r="C69" s="1131">
        <v>44774</v>
      </c>
    </row>
    <row r="70" spans="2:10">
      <c r="B70" s="1132" t="s">
        <v>569</v>
      </c>
      <c r="C70" s="1133" t="s">
        <v>907</v>
      </c>
      <c r="D70" s="1133" t="s">
        <v>908</v>
      </c>
      <c r="E70" s="1133" t="s">
        <v>909</v>
      </c>
      <c r="F70" s="1133" t="s">
        <v>910</v>
      </c>
      <c r="G70" s="1133" t="s">
        <v>911</v>
      </c>
      <c r="H70" s="1134" t="s">
        <v>912</v>
      </c>
      <c r="I70" s="1135" t="s">
        <v>913</v>
      </c>
      <c r="J70" s="1136" t="s">
        <v>442</v>
      </c>
    </row>
    <row r="71" spans="2:10">
      <c r="B71" s="540" t="s">
        <v>914</v>
      </c>
      <c r="C71" s="1137">
        <v>53533</v>
      </c>
      <c r="D71" s="1137">
        <v>8740</v>
      </c>
      <c r="E71" s="1137">
        <v>2850</v>
      </c>
      <c r="F71" s="1137">
        <v>11400</v>
      </c>
      <c r="G71" s="1137">
        <v>22518</v>
      </c>
      <c r="H71" s="1137">
        <v>475000</v>
      </c>
      <c r="I71" s="190">
        <f>+C75+E75</f>
        <v>192514</v>
      </c>
      <c r="J71" s="190">
        <f>+D75+F75+G75</f>
        <v>66508</v>
      </c>
    </row>
    <row r="72" spans="2:10">
      <c r="B72" s="540" t="s">
        <v>916</v>
      </c>
      <c r="C72" s="1137">
        <v>60131</v>
      </c>
      <c r="D72" s="1137">
        <v>10350</v>
      </c>
      <c r="E72" s="1137">
        <v>3375</v>
      </c>
      <c r="F72" s="1137">
        <v>13500</v>
      </c>
      <c r="G72" s="1137"/>
      <c r="H72" s="1137">
        <v>562500</v>
      </c>
    </row>
    <row r="73" spans="2:10">
      <c r="B73" s="540" t="s">
        <v>919</v>
      </c>
      <c r="C73" s="1137">
        <v>0</v>
      </c>
      <c r="D73" s="1137"/>
      <c r="E73" s="1137"/>
      <c r="F73" s="1137"/>
      <c r="G73" s="1137"/>
      <c r="H73" s="1137"/>
    </row>
    <row r="74" spans="2:10">
      <c r="B74" s="540" t="s">
        <v>917</v>
      </c>
      <c r="C74" s="1137">
        <v>72625</v>
      </c>
      <c r="D74" s="1137"/>
      <c r="E74" s="1137"/>
      <c r="F74" s="1137"/>
      <c r="G74" s="1137"/>
      <c r="H74" s="1137"/>
    </row>
    <row r="75" spans="2:10">
      <c r="B75" s="540" t="s">
        <v>920</v>
      </c>
      <c r="C75" s="771">
        <f t="shared" ref="C75:H75" si="7">SUM(C71:C74)</f>
        <v>186289</v>
      </c>
      <c r="D75" s="771">
        <f t="shared" si="7"/>
        <v>19090</v>
      </c>
      <c r="E75" s="771">
        <f t="shared" si="7"/>
        <v>6225</v>
      </c>
      <c r="F75" s="771">
        <f t="shared" si="7"/>
        <v>24900</v>
      </c>
      <c r="G75" s="771">
        <f t="shared" si="7"/>
        <v>22518</v>
      </c>
      <c r="H75" s="771">
        <f t="shared" si="7"/>
        <v>1037500</v>
      </c>
    </row>
    <row r="77" spans="2:10" ht="13.5" thickBot="1">
      <c r="C77" s="1131">
        <v>44805</v>
      </c>
    </row>
    <row r="78" spans="2:10">
      <c r="B78" s="1132" t="s">
        <v>569</v>
      </c>
      <c r="C78" s="1133" t="s">
        <v>907</v>
      </c>
      <c r="D78" s="1133" t="s">
        <v>908</v>
      </c>
      <c r="E78" s="1133" t="s">
        <v>909</v>
      </c>
      <c r="F78" s="1133" t="s">
        <v>910</v>
      </c>
      <c r="G78" s="1133" t="s">
        <v>911</v>
      </c>
      <c r="H78" s="1134" t="s">
        <v>912</v>
      </c>
      <c r="I78" s="1135" t="s">
        <v>913</v>
      </c>
      <c r="J78" s="1136" t="s">
        <v>442</v>
      </c>
    </row>
    <row r="79" spans="2:10">
      <c r="B79" s="540" t="s">
        <v>914</v>
      </c>
      <c r="C79" s="1137">
        <v>53533</v>
      </c>
      <c r="D79" s="1137">
        <v>8740</v>
      </c>
      <c r="E79" s="1137">
        <v>2850</v>
      </c>
      <c r="F79" s="1137">
        <v>11400</v>
      </c>
      <c r="G79" s="1137">
        <v>22518</v>
      </c>
      <c r="H79" s="1137">
        <v>475000</v>
      </c>
      <c r="I79" s="190">
        <f>+C83+E83</f>
        <v>192514</v>
      </c>
      <c r="J79" s="190">
        <f>+D83+F83+G83</f>
        <v>66508</v>
      </c>
    </row>
    <row r="80" spans="2:10">
      <c r="B80" s="540" t="s">
        <v>916</v>
      </c>
      <c r="C80" s="1137">
        <v>60131</v>
      </c>
      <c r="D80" s="1137">
        <v>10350</v>
      </c>
      <c r="E80" s="1137">
        <v>3375</v>
      </c>
      <c r="F80" s="1137">
        <v>13500</v>
      </c>
      <c r="G80" s="1137"/>
      <c r="H80" s="1137">
        <v>562500</v>
      </c>
    </row>
    <row r="81" spans="2:10">
      <c r="B81" s="540" t="s">
        <v>919</v>
      </c>
      <c r="C81" s="1137">
        <v>0</v>
      </c>
      <c r="D81" s="1137"/>
      <c r="E81" s="1137"/>
      <c r="F81" s="1137"/>
      <c r="G81" s="1137"/>
      <c r="H81" s="1137"/>
    </row>
    <row r="82" spans="2:10">
      <c r="B82" s="540" t="s">
        <v>917</v>
      </c>
      <c r="C82" s="1137">
        <v>72625</v>
      </c>
      <c r="D82" s="1137"/>
      <c r="E82" s="1137"/>
      <c r="F82" s="1137"/>
      <c r="G82" s="1137"/>
      <c r="H82" s="1137"/>
    </row>
    <row r="83" spans="2:10">
      <c r="B83" s="540" t="s">
        <v>920</v>
      </c>
      <c r="C83" s="771">
        <f t="shared" ref="C83:H83" si="8">SUM(C79:C82)</f>
        <v>186289</v>
      </c>
      <c r="D83" s="771">
        <f t="shared" si="8"/>
        <v>19090</v>
      </c>
      <c r="E83" s="771">
        <f t="shared" si="8"/>
        <v>6225</v>
      </c>
      <c r="F83" s="771">
        <f t="shared" si="8"/>
        <v>24900</v>
      </c>
      <c r="G83" s="771">
        <f t="shared" si="8"/>
        <v>22518</v>
      </c>
      <c r="H83" s="771">
        <f t="shared" si="8"/>
        <v>1037500</v>
      </c>
    </row>
    <row r="85" spans="2:10" ht="13.5" thickBot="1">
      <c r="C85" s="1131">
        <v>44835</v>
      </c>
    </row>
    <row r="86" spans="2:10">
      <c r="B86" s="1132" t="s">
        <v>569</v>
      </c>
      <c r="C86" s="1133" t="s">
        <v>907</v>
      </c>
      <c r="D86" s="1133" t="s">
        <v>908</v>
      </c>
      <c r="E86" s="1133" t="s">
        <v>909</v>
      </c>
      <c r="F86" s="1133" t="s">
        <v>910</v>
      </c>
      <c r="G86" s="1133" t="s">
        <v>911</v>
      </c>
      <c r="H86" s="1134" t="s">
        <v>912</v>
      </c>
      <c r="I86" s="1135" t="s">
        <v>913</v>
      </c>
      <c r="J86" s="1136" t="s">
        <v>442</v>
      </c>
    </row>
    <row r="87" spans="2:10">
      <c r="B87" s="540" t="s">
        <v>914</v>
      </c>
      <c r="C87" s="1137">
        <v>53533</v>
      </c>
      <c r="D87" s="1137">
        <v>8740</v>
      </c>
      <c r="E87" s="1137">
        <v>2850</v>
      </c>
      <c r="F87" s="1137">
        <v>11400</v>
      </c>
      <c r="G87" s="1137">
        <v>22518</v>
      </c>
      <c r="H87" s="1137">
        <v>475000</v>
      </c>
      <c r="I87" s="190">
        <f>+C91+E91</f>
        <v>192514</v>
      </c>
      <c r="J87" s="190">
        <f>+D91+F91+G91</f>
        <v>66508</v>
      </c>
    </row>
    <row r="88" spans="2:10">
      <c r="B88" s="540" t="s">
        <v>916</v>
      </c>
      <c r="C88" s="1137">
        <v>60131</v>
      </c>
      <c r="D88" s="1137">
        <v>10350</v>
      </c>
      <c r="E88" s="1137">
        <v>3375</v>
      </c>
      <c r="F88" s="1137">
        <v>13500</v>
      </c>
      <c r="G88" s="1137"/>
      <c r="H88" s="1137">
        <v>562500</v>
      </c>
    </row>
    <row r="89" spans="2:10">
      <c r="B89" s="540" t="s">
        <v>919</v>
      </c>
      <c r="C89" s="1137">
        <v>0</v>
      </c>
      <c r="D89" s="1137"/>
      <c r="E89" s="1137"/>
      <c r="F89" s="1137"/>
      <c r="G89" s="1137"/>
      <c r="H89" s="1137"/>
    </row>
    <row r="90" spans="2:10">
      <c r="B90" s="540" t="s">
        <v>917</v>
      </c>
      <c r="C90" s="1137">
        <v>72625</v>
      </c>
      <c r="D90" s="1137"/>
      <c r="E90" s="1137"/>
      <c r="F90" s="1137"/>
      <c r="G90" s="1137"/>
      <c r="H90" s="1137"/>
    </row>
    <row r="91" spans="2:10">
      <c r="B91" s="540" t="s">
        <v>920</v>
      </c>
      <c r="C91" s="771">
        <f t="shared" ref="C91:H91" si="9">SUM(C87:C90)</f>
        <v>186289</v>
      </c>
      <c r="D91" s="771">
        <f t="shared" si="9"/>
        <v>19090</v>
      </c>
      <c r="E91" s="771">
        <f t="shared" si="9"/>
        <v>6225</v>
      </c>
      <c r="F91" s="771">
        <f t="shared" si="9"/>
        <v>24900</v>
      </c>
      <c r="G91" s="771">
        <f t="shared" si="9"/>
        <v>22518</v>
      </c>
      <c r="H91" s="771">
        <f t="shared" si="9"/>
        <v>1037500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indexed="10"/>
    <pageSetUpPr fitToPage="1"/>
  </sheetPr>
  <dimension ref="A1:Q185"/>
  <sheetViews>
    <sheetView workbookViewId="0">
      <selection activeCell="H6" sqref="H6"/>
    </sheetView>
  </sheetViews>
  <sheetFormatPr baseColWidth="10" defaultColWidth="11.42578125" defaultRowHeight="15"/>
  <cols>
    <col min="1" max="1" width="3.140625" style="287" customWidth="1"/>
    <col min="2" max="2" width="5" style="287" customWidth="1"/>
    <col min="3" max="3" width="11.42578125" style="287"/>
    <col min="4" max="4" width="13.85546875" style="287" customWidth="1"/>
    <col min="5" max="5" width="33.28515625" style="287" customWidth="1"/>
    <col min="6" max="6" width="12.5703125" style="287" customWidth="1"/>
    <col min="7" max="7" width="10.5703125" style="287" customWidth="1"/>
    <col min="8" max="8" width="10.28515625" style="287" customWidth="1"/>
    <col min="9" max="9" width="12.28515625" style="287" customWidth="1"/>
    <col min="10" max="10" width="10" style="287" customWidth="1"/>
    <col min="11" max="11" width="13.28515625" style="287" customWidth="1"/>
    <col min="12" max="12" width="11.42578125" style="287"/>
    <col min="13" max="13" width="18.5703125" style="287" customWidth="1"/>
    <col min="14" max="14" width="16.5703125" style="287" customWidth="1"/>
    <col min="15" max="15" width="6.85546875" style="287" customWidth="1"/>
    <col min="16" max="16" width="11.7109375" style="287" customWidth="1"/>
    <col min="17" max="16384" width="11.42578125" style="287"/>
  </cols>
  <sheetData>
    <row r="1" spans="3:14" ht="18">
      <c r="C1" s="547" t="str">
        <f>+[2]MAYOR!B1</f>
        <v>Asesorias Legales de Tránsito Ltda.</v>
      </c>
      <c r="D1" s="430"/>
      <c r="E1" s="430"/>
      <c r="F1" s="430"/>
      <c r="G1" s="430"/>
      <c r="H1" s="430"/>
      <c r="I1" s="430"/>
    </row>
    <row r="2" spans="3:14">
      <c r="C2" s="548" t="str">
        <f>+[2]MAYOR!B2</f>
        <v>Sotero del Rio 508 609</v>
      </c>
      <c r="D2" s="430"/>
      <c r="E2" s="430"/>
      <c r="F2" s="430"/>
      <c r="G2" s="430"/>
      <c r="H2" s="430"/>
      <c r="I2" s="430"/>
    </row>
    <row r="3" spans="3:14">
      <c r="C3" s="548" t="str">
        <f>+[2]MAYOR!B3</f>
        <v>RUT: 76.307.410-2</v>
      </c>
      <c r="D3" s="430"/>
      <c r="E3" s="430"/>
      <c r="F3" s="430"/>
      <c r="G3" s="430"/>
      <c r="H3" s="430"/>
      <c r="I3" s="430"/>
    </row>
    <row r="4" spans="3:14" ht="15" customHeight="1" thickBot="1">
      <c r="C4" s="548" t="str">
        <f>+[2]MAYOR!B4</f>
        <v>ASESORIAS DE TRANSITO</v>
      </c>
      <c r="D4" s="430"/>
      <c r="E4" s="430"/>
      <c r="F4" s="430"/>
      <c r="G4" s="430"/>
      <c r="H4" s="430"/>
      <c r="I4" s="430"/>
    </row>
    <row r="5" spans="3:14" ht="12.75" customHeight="1" thickBot="1">
      <c r="C5" s="430"/>
      <c r="D5" s="430"/>
      <c r="E5" s="430"/>
      <c r="F5" s="430"/>
      <c r="G5" s="430"/>
      <c r="H5" s="430"/>
      <c r="I5" s="430"/>
      <c r="J5" s="288"/>
      <c r="K5" s="288"/>
      <c r="L5" s="419">
        <v>1.038</v>
      </c>
      <c r="M5" s="290" t="s">
        <v>266</v>
      </c>
      <c r="N5" s="549"/>
    </row>
    <row r="6" spans="3:14" ht="12.75" customHeight="1" thickBot="1">
      <c r="C6" s="430"/>
      <c r="D6" s="430"/>
      <c r="E6" s="430"/>
      <c r="F6" s="430"/>
      <c r="G6" s="430"/>
      <c r="H6" s="430"/>
      <c r="I6" s="430"/>
      <c r="J6" s="288"/>
      <c r="K6" s="288"/>
      <c r="L6" s="419">
        <v>1.0349999999999999</v>
      </c>
      <c r="M6" s="293" t="s">
        <v>268</v>
      </c>
      <c r="N6" s="549"/>
    </row>
    <row r="7" spans="3:14" ht="12.75" customHeight="1" thickBot="1">
      <c r="C7" s="430"/>
      <c r="D7" s="430"/>
      <c r="E7" s="430"/>
      <c r="F7" s="430"/>
      <c r="G7" s="430"/>
      <c r="H7" s="430"/>
      <c r="I7" s="430"/>
      <c r="J7" s="288"/>
      <c r="K7" s="288"/>
      <c r="L7" s="419">
        <v>1.0329999999999999</v>
      </c>
      <c r="M7" s="293" t="s">
        <v>270</v>
      </c>
      <c r="N7" s="549"/>
    </row>
    <row r="8" spans="3:14" ht="12.75" customHeight="1" thickBot="1">
      <c r="C8" s="430"/>
      <c r="D8" s="430"/>
      <c r="E8" s="550" t="s">
        <v>272</v>
      </c>
      <c r="F8" s="430"/>
      <c r="G8" s="430"/>
      <c r="H8" s="430"/>
      <c r="I8" s="430"/>
      <c r="J8" s="288"/>
      <c r="K8" s="288"/>
      <c r="L8" s="419">
        <v>1.0249999999999999</v>
      </c>
      <c r="M8" s="293" t="s">
        <v>273</v>
      </c>
      <c r="N8" s="549"/>
    </row>
    <row r="9" spans="3:14" ht="12.75" customHeight="1" thickBot="1">
      <c r="C9" s="430"/>
      <c r="D9" s="430"/>
      <c r="E9" s="550" t="s">
        <v>275</v>
      </c>
      <c r="F9" s="430"/>
      <c r="G9" s="430"/>
      <c r="H9" s="430"/>
      <c r="I9" s="430"/>
      <c r="J9" s="288"/>
      <c r="K9" s="288"/>
      <c r="L9" s="420">
        <v>1.022</v>
      </c>
      <c r="M9" s="295" t="s">
        <v>276</v>
      </c>
      <c r="N9" s="549"/>
    </row>
    <row r="10" spans="3:14" ht="12.75" customHeight="1" thickBot="1">
      <c r="C10" s="430"/>
      <c r="D10" s="551" t="s">
        <v>507</v>
      </c>
      <c r="E10" s="552"/>
      <c r="F10" s="553"/>
      <c r="G10" s="430"/>
      <c r="I10" s="430"/>
      <c r="J10" s="288"/>
      <c r="K10" s="288"/>
      <c r="L10" s="421">
        <v>1.018</v>
      </c>
      <c r="M10" s="293" t="s">
        <v>279</v>
      </c>
      <c r="N10" s="549"/>
    </row>
    <row r="11" spans="3:14" ht="12.75" customHeight="1" thickBot="1">
      <c r="C11" s="430"/>
      <c r="D11" s="430"/>
      <c r="E11" s="430"/>
      <c r="F11" s="430"/>
      <c r="G11" s="430"/>
      <c r="I11" s="430"/>
      <c r="J11" s="288"/>
      <c r="K11" s="288"/>
      <c r="L11" s="419">
        <v>1.016</v>
      </c>
      <c r="M11" s="293" t="s">
        <v>281</v>
      </c>
      <c r="N11" s="549"/>
    </row>
    <row r="12" spans="3:14" ht="12.75" customHeight="1" thickBot="1">
      <c r="C12" s="554" t="s">
        <v>117</v>
      </c>
      <c r="D12" s="555" t="s">
        <v>61</v>
      </c>
      <c r="E12" s="556" t="s">
        <v>60</v>
      </c>
      <c r="F12" s="555" t="s">
        <v>61</v>
      </c>
      <c r="G12" s="557" t="s">
        <v>64</v>
      </c>
      <c r="H12" s="287" t="s">
        <v>508</v>
      </c>
      <c r="I12" s="430"/>
      <c r="J12" s="288"/>
      <c r="K12" s="288"/>
      <c r="L12" s="422">
        <v>1.0149999999999999</v>
      </c>
      <c r="M12" s="293" t="s">
        <v>283</v>
      </c>
      <c r="N12" s="549"/>
    </row>
    <row r="13" spans="3:14" ht="12.75" customHeight="1" thickBot="1">
      <c r="C13" s="558"/>
      <c r="D13" s="559" t="s">
        <v>118</v>
      </c>
      <c r="E13" s="560" t="s">
        <v>64</v>
      </c>
      <c r="F13" s="559" t="s">
        <v>285</v>
      </c>
      <c r="G13" s="561"/>
      <c r="H13" s="287" t="s">
        <v>509</v>
      </c>
      <c r="I13" s="430"/>
      <c r="J13" s="288"/>
      <c r="K13" s="288"/>
      <c r="L13" s="423">
        <v>1.0129999999999999</v>
      </c>
      <c r="M13" s="293" t="s">
        <v>286</v>
      </c>
      <c r="N13" s="549"/>
    </row>
    <row r="14" spans="3:14" ht="12.75" customHeight="1" thickBot="1">
      <c r="C14" s="428">
        <v>40179</v>
      </c>
      <c r="D14" s="562">
        <v>449556</v>
      </c>
      <c r="E14" s="563">
        <v>1.038</v>
      </c>
      <c r="F14" s="562">
        <f t="shared" ref="F14:F25" si="0">ROUND(D14*E14,0)</f>
        <v>466639</v>
      </c>
      <c r="G14" s="564">
        <f t="shared" ref="G14:G25" si="1">ROUND(F14-D14,0)</f>
        <v>17083</v>
      </c>
      <c r="H14" s="565">
        <f>+H42</f>
        <v>449556</v>
      </c>
      <c r="I14" s="566">
        <f>+D14-H14</f>
        <v>0</v>
      </c>
      <c r="J14" s="430">
        <v>449556</v>
      </c>
      <c r="K14" s="288"/>
      <c r="L14" s="419">
        <v>1.008</v>
      </c>
      <c r="M14" s="293" t="s">
        <v>288</v>
      </c>
      <c r="N14" s="549"/>
    </row>
    <row r="15" spans="3:14" ht="12.75" customHeight="1" thickBot="1">
      <c r="C15" s="428">
        <v>40210</v>
      </c>
      <c r="D15" s="562">
        <v>511778</v>
      </c>
      <c r="E15" s="563">
        <v>1.0349999999999999</v>
      </c>
      <c r="F15" s="562">
        <f t="shared" si="0"/>
        <v>529690</v>
      </c>
      <c r="G15" s="564">
        <f t="shared" si="1"/>
        <v>17912</v>
      </c>
      <c r="H15" s="565">
        <f>+H52</f>
        <v>511778</v>
      </c>
      <c r="I15" s="566">
        <f t="shared" ref="I15:I25" si="2">+D15-H15</f>
        <v>0</v>
      </c>
      <c r="J15" s="430">
        <v>511778</v>
      </c>
      <c r="K15" s="288"/>
      <c r="L15" s="424">
        <v>1.0029999999999999</v>
      </c>
      <c r="M15" s="293" t="s">
        <v>290</v>
      </c>
      <c r="N15" s="549"/>
    </row>
    <row r="16" spans="3:14" ht="12.75" customHeight="1" thickBot="1">
      <c r="C16" s="428">
        <v>40238</v>
      </c>
      <c r="D16" s="562">
        <v>257333</v>
      </c>
      <c r="E16" s="563">
        <v>1.0329999999999999</v>
      </c>
      <c r="F16" s="562">
        <f t="shared" si="0"/>
        <v>265825</v>
      </c>
      <c r="G16" s="564">
        <f t="shared" si="1"/>
        <v>8492</v>
      </c>
      <c r="H16" s="565">
        <f>+H61</f>
        <v>257333</v>
      </c>
      <c r="I16" s="566">
        <f t="shared" si="2"/>
        <v>0</v>
      </c>
      <c r="J16" s="430">
        <v>257333</v>
      </c>
      <c r="K16" s="288"/>
      <c r="L16" s="419">
        <v>1</v>
      </c>
      <c r="M16" s="293" t="s">
        <v>292</v>
      </c>
      <c r="N16" s="549"/>
    </row>
    <row r="17" spans="1:17" ht="12.75" customHeight="1" thickBot="1">
      <c r="C17" s="428">
        <v>40269</v>
      </c>
      <c r="D17" s="562">
        <v>212889</v>
      </c>
      <c r="E17" s="563">
        <v>1.0249999999999999</v>
      </c>
      <c r="F17" s="562">
        <f t="shared" si="0"/>
        <v>218211</v>
      </c>
      <c r="G17" s="564">
        <f t="shared" si="1"/>
        <v>5322</v>
      </c>
      <c r="H17" s="565">
        <v>212889</v>
      </c>
      <c r="I17" s="566">
        <f t="shared" si="2"/>
        <v>0</v>
      </c>
      <c r="J17" s="430">
        <v>212889</v>
      </c>
      <c r="K17" s="288"/>
      <c r="L17" s="419">
        <v>1</v>
      </c>
      <c r="M17" s="537" t="s">
        <v>317</v>
      </c>
      <c r="N17" s="549"/>
    </row>
    <row r="18" spans="1:17" ht="12" customHeight="1">
      <c r="C18" s="428">
        <v>40299</v>
      </c>
      <c r="D18" s="562">
        <v>562840</v>
      </c>
      <c r="E18" s="567">
        <v>1.022</v>
      </c>
      <c r="F18" s="562">
        <f t="shared" si="0"/>
        <v>575222</v>
      </c>
      <c r="G18" s="564">
        <f t="shared" si="1"/>
        <v>12382</v>
      </c>
      <c r="H18" s="565">
        <f>+H84</f>
        <v>562840</v>
      </c>
      <c r="I18" s="566">
        <f t="shared" si="2"/>
        <v>0</v>
      </c>
      <c r="J18" s="430">
        <v>562840</v>
      </c>
      <c r="K18" s="288"/>
    </row>
    <row r="19" spans="1:17" ht="12" customHeight="1">
      <c r="C19" s="428">
        <v>40330</v>
      </c>
      <c r="D19" s="562">
        <v>373102</v>
      </c>
      <c r="E19" s="568">
        <v>1.018</v>
      </c>
      <c r="F19" s="562">
        <f t="shared" si="0"/>
        <v>379818</v>
      </c>
      <c r="G19" s="564">
        <f t="shared" si="1"/>
        <v>6716</v>
      </c>
      <c r="H19" s="565">
        <f>+H93</f>
        <v>373102</v>
      </c>
      <c r="I19" s="566">
        <f t="shared" si="2"/>
        <v>0</v>
      </c>
      <c r="J19" s="430">
        <v>373102</v>
      </c>
      <c r="K19" s="288"/>
    </row>
    <row r="20" spans="1:17" ht="12" customHeight="1">
      <c r="C20" s="428">
        <v>40360</v>
      </c>
      <c r="D20" s="562">
        <v>269556</v>
      </c>
      <c r="E20" s="563">
        <v>1.016</v>
      </c>
      <c r="F20" s="562">
        <f t="shared" si="0"/>
        <v>273869</v>
      </c>
      <c r="G20" s="564">
        <f t="shared" si="1"/>
        <v>4313</v>
      </c>
      <c r="H20" s="565">
        <f>+H106</f>
        <v>269555.90000000002</v>
      </c>
      <c r="I20" s="566">
        <f t="shared" si="2"/>
        <v>9.9999999976716936E-2</v>
      </c>
      <c r="J20" s="430">
        <v>269556</v>
      </c>
      <c r="K20" s="288"/>
    </row>
    <row r="21" spans="1:17" ht="12" customHeight="1">
      <c r="C21" s="428">
        <v>40391</v>
      </c>
      <c r="D21" s="562">
        <v>271778</v>
      </c>
      <c r="E21" s="569">
        <v>1.0149999999999999</v>
      </c>
      <c r="F21" s="562">
        <f t="shared" si="0"/>
        <v>275855</v>
      </c>
      <c r="G21" s="564">
        <f t="shared" si="1"/>
        <v>4077</v>
      </c>
      <c r="H21" s="565">
        <f>+H115</f>
        <v>271778.09999999998</v>
      </c>
      <c r="I21" s="566">
        <f t="shared" si="2"/>
        <v>-9.9999999976716936E-2</v>
      </c>
      <c r="J21" s="430">
        <v>271778</v>
      </c>
      <c r="K21" s="288"/>
    </row>
    <row r="22" spans="1:17" ht="12" customHeight="1">
      <c r="C22" s="428">
        <v>40422</v>
      </c>
      <c r="D22" s="562">
        <v>227333</v>
      </c>
      <c r="E22" s="570">
        <v>1.0129999999999999</v>
      </c>
      <c r="F22" s="562">
        <f t="shared" si="0"/>
        <v>230288</v>
      </c>
      <c r="G22" s="564">
        <f t="shared" si="1"/>
        <v>2955</v>
      </c>
      <c r="H22" s="565">
        <f>+H126</f>
        <v>227333</v>
      </c>
      <c r="I22" s="566">
        <f t="shared" si="2"/>
        <v>0</v>
      </c>
      <c r="J22" s="430">
        <v>227333</v>
      </c>
    </row>
    <row r="23" spans="1:17" ht="12" customHeight="1">
      <c r="C23" s="428">
        <v>40452</v>
      </c>
      <c r="D23" s="562">
        <v>278445</v>
      </c>
      <c r="E23" s="563">
        <v>1.008</v>
      </c>
      <c r="F23" s="562">
        <f t="shared" si="0"/>
        <v>280673</v>
      </c>
      <c r="G23" s="564">
        <f t="shared" si="1"/>
        <v>2228</v>
      </c>
      <c r="H23" s="565">
        <f>+H137</f>
        <v>278445</v>
      </c>
      <c r="I23" s="566">
        <f t="shared" si="2"/>
        <v>0</v>
      </c>
      <c r="J23" s="430">
        <v>278445</v>
      </c>
    </row>
    <row r="24" spans="1:17" ht="12" customHeight="1">
      <c r="C24" s="428">
        <v>40483</v>
      </c>
      <c r="D24" s="562">
        <v>197778</v>
      </c>
      <c r="E24" s="571">
        <v>1.0029999999999999</v>
      </c>
      <c r="F24" s="562">
        <f t="shared" si="0"/>
        <v>198371</v>
      </c>
      <c r="G24" s="564">
        <f t="shared" si="1"/>
        <v>593</v>
      </c>
      <c r="H24" s="565">
        <f>+H144</f>
        <v>197778</v>
      </c>
      <c r="I24" s="566">
        <f t="shared" si="2"/>
        <v>0</v>
      </c>
      <c r="J24" s="430">
        <v>197778</v>
      </c>
    </row>
    <row r="25" spans="1:17" ht="12" customHeight="1">
      <c r="C25" s="428">
        <v>40513</v>
      </c>
      <c r="D25" s="562">
        <v>244939</v>
      </c>
      <c r="E25" s="563">
        <v>1</v>
      </c>
      <c r="F25" s="562">
        <f t="shared" si="0"/>
        <v>244939</v>
      </c>
      <c r="G25" s="564">
        <f t="shared" si="1"/>
        <v>0</v>
      </c>
      <c r="H25" s="565">
        <f>+H156</f>
        <v>244939</v>
      </c>
      <c r="I25" s="566">
        <f t="shared" si="2"/>
        <v>0</v>
      </c>
      <c r="J25" s="430">
        <v>244939</v>
      </c>
    </row>
    <row r="26" spans="1:17" ht="12" customHeight="1">
      <c r="C26" s="428"/>
      <c r="D26" s="562"/>
      <c r="E26" s="563">
        <v>1</v>
      </c>
      <c r="F26" s="562"/>
      <c r="G26" s="564"/>
      <c r="I26" s="430"/>
    </row>
    <row r="27" spans="1:17" ht="12" customHeight="1">
      <c r="C27" s="572"/>
      <c r="D27" s="573"/>
      <c r="E27" s="574"/>
      <c r="F27" s="562"/>
      <c r="G27" s="564"/>
      <c r="I27" s="430"/>
    </row>
    <row r="28" spans="1:17">
      <c r="C28" s="429"/>
      <c r="D28" s="575">
        <f>SUM(D14:D27)</f>
        <v>3857327</v>
      </c>
      <c r="E28" s="576"/>
      <c r="F28" s="575">
        <f>SUM(F14:F27)</f>
        <v>3939400</v>
      </c>
      <c r="G28" s="575">
        <f>SUM(G14:G27)</f>
        <v>82073</v>
      </c>
      <c r="I28" s="430"/>
    </row>
    <row r="29" spans="1:17">
      <c r="E29" s="296"/>
    </row>
    <row r="30" spans="1:17">
      <c r="A30" s="297"/>
      <c r="B30" s="297"/>
      <c r="C30" s="297"/>
      <c r="D30" s="297"/>
      <c r="E30" s="298"/>
      <c r="F30" s="297"/>
      <c r="G30" s="297"/>
      <c r="H30" s="297"/>
      <c r="I30" s="297"/>
      <c r="J30" s="297"/>
      <c r="K30" s="297"/>
      <c r="L30" s="297"/>
      <c r="M30" s="297"/>
    </row>
    <row r="31" spans="1:17" ht="12.75" customHeight="1"/>
    <row r="32" spans="1:17" ht="12.75" customHeight="1">
      <c r="E32" s="296"/>
      <c r="Q32" s="300"/>
    </row>
    <row r="33" spans="2:17" ht="12.75" customHeight="1">
      <c r="E33" s="296"/>
      <c r="Q33" s="300"/>
    </row>
    <row r="34" spans="2:17" ht="12.75" customHeight="1">
      <c r="B34" s="577">
        <v>13</v>
      </c>
      <c r="C34" s="578">
        <v>41665</v>
      </c>
      <c r="D34" s="577" t="s">
        <v>510</v>
      </c>
      <c r="E34" s="577" t="s">
        <v>511</v>
      </c>
      <c r="F34" s="579" t="s">
        <v>432</v>
      </c>
      <c r="G34" s="580">
        <v>333333</v>
      </c>
      <c r="H34" s="580">
        <v>33333</v>
      </c>
      <c r="I34" s="580">
        <v>300000</v>
      </c>
      <c r="Q34" s="300"/>
    </row>
    <row r="35" spans="2:17" ht="12.75" customHeight="1">
      <c r="B35" s="577">
        <v>57</v>
      </c>
      <c r="C35" s="578">
        <v>41666</v>
      </c>
      <c r="D35" s="577" t="s">
        <v>512</v>
      </c>
      <c r="E35" s="577" t="s">
        <v>513</v>
      </c>
      <c r="F35" s="579" t="s">
        <v>432</v>
      </c>
      <c r="G35" s="580">
        <v>1077778</v>
      </c>
      <c r="H35" s="580">
        <v>107778</v>
      </c>
      <c r="I35" s="580">
        <v>970000</v>
      </c>
      <c r="Q35" s="300"/>
    </row>
    <row r="36" spans="2:17" ht="12.75" customHeight="1">
      <c r="B36" s="577">
        <v>42</v>
      </c>
      <c r="C36" s="578">
        <v>41667</v>
      </c>
      <c r="D36" s="577" t="s">
        <v>514</v>
      </c>
      <c r="E36" s="577" t="s">
        <v>515</v>
      </c>
      <c r="F36" s="579" t="s">
        <v>432</v>
      </c>
      <c r="G36" s="580">
        <v>555556</v>
      </c>
      <c r="H36" s="580">
        <v>55556</v>
      </c>
      <c r="I36" s="580">
        <v>500000</v>
      </c>
      <c r="Q36" s="300"/>
    </row>
    <row r="37" spans="2:17" ht="12.75" customHeight="1">
      <c r="B37" s="577">
        <v>77</v>
      </c>
      <c r="C37" s="578">
        <v>41668</v>
      </c>
      <c r="D37" s="577" t="s">
        <v>516</v>
      </c>
      <c r="E37" s="577" t="s">
        <v>517</v>
      </c>
      <c r="F37" s="579" t="s">
        <v>432</v>
      </c>
      <c r="G37" s="580">
        <v>100000</v>
      </c>
      <c r="H37" s="580">
        <v>10000</v>
      </c>
      <c r="I37" s="580">
        <v>90000</v>
      </c>
      <c r="Q37" s="300"/>
    </row>
    <row r="38" spans="2:17" ht="12.75" customHeight="1">
      <c r="B38" s="577">
        <v>87</v>
      </c>
      <c r="C38" s="578">
        <v>41669</v>
      </c>
      <c r="D38" s="577" t="s">
        <v>518</v>
      </c>
      <c r="E38" s="577" t="s">
        <v>519</v>
      </c>
      <c r="F38" s="579" t="s">
        <v>432</v>
      </c>
      <c r="G38" s="580">
        <v>1062222</v>
      </c>
      <c r="H38" s="580">
        <v>106222</v>
      </c>
      <c r="I38" s="580">
        <v>956000</v>
      </c>
      <c r="Q38" s="300"/>
    </row>
    <row r="39" spans="2:17" ht="12.75" customHeight="1">
      <c r="B39" s="577">
        <v>11</v>
      </c>
      <c r="C39" s="578">
        <v>41670</v>
      </c>
      <c r="D39" s="577" t="s">
        <v>520</v>
      </c>
      <c r="E39" s="577" t="s">
        <v>521</v>
      </c>
      <c r="F39" s="597" t="s">
        <v>432</v>
      </c>
      <c r="G39" s="580">
        <v>200000</v>
      </c>
      <c r="H39" s="580">
        <v>20000</v>
      </c>
      <c r="I39" s="580">
        <f>+G39-H39</f>
        <v>180000</v>
      </c>
      <c r="Q39" s="300"/>
    </row>
    <row r="40" spans="2:17" ht="12.75" customHeight="1">
      <c r="B40" s="577">
        <v>10</v>
      </c>
      <c r="C40" s="578">
        <v>41669</v>
      </c>
      <c r="D40" s="577" t="s">
        <v>522</v>
      </c>
      <c r="E40" s="577" t="s">
        <v>523</v>
      </c>
      <c r="F40" s="579" t="s">
        <v>432</v>
      </c>
      <c r="G40" s="580">
        <v>444444</v>
      </c>
      <c r="H40" s="580">
        <v>44444</v>
      </c>
      <c r="I40" s="580">
        <f>+G40-H40</f>
        <v>400000</v>
      </c>
      <c r="Q40" s="300"/>
    </row>
    <row r="41" spans="2:17" ht="12.75" customHeight="1">
      <c r="B41" s="577">
        <v>299</v>
      </c>
      <c r="C41" s="578">
        <v>41789</v>
      </c>
      <c r="D41" s="577" t="s">
        <v>524</v>
      </c>
      <c r="E41" s="577" t="s">
        <v>525</v>
      </c>
      <c r="F41" s="579" t="s">
        <v>432</v>
      </c>
      <c r="G41" s="580">
        <v>722223</v>
      </c>
      <c r="H41" s="580">
        <v>72223</v>
      </c>
      <c r="I41" s="580">
        <f>+G41-H41</f>
        <v>650000</v>
      </c>
      <c r="Q41" s="300"/>
    </row>
    <row r="42" spans="2:17" ht="12.75" customHeight="1">
      <c r="B42" s="296"/>
      <c r="H42" s="581">
        <f>SUM(H34:H41)</f>
        <v>449556</v>
      </c>
      <c r="Q42" s="300"/>
    </row>
    <row r="43" spans="2:17" ht="12.75" customHeight="1">
      <c r="B43" s="296"/>
      <c r="Q43" s="300"/>
    </row>
    <row r="44" spans="2:17" ht="12.75" customHeight="1">
      <c r="B44" s="577">
        <v>22</v>
      </c>
      <c r="C44" s="578">
        <v>41688</v>
      </c>
      <c r="D44" s="577" t="s">
        <v>526</v>
      </c>
      <c r="E44" s="577" t="s">
        <v>527</v>
      </c>
      <c r="F44" s="579" t="s">
        <v>432</v>
      </c>
      <c r="G44" s="580">
        <v>500000</v>
      </c>
      <c r="H44" s="580">
        <v>50000</v>
      </c>
      <c r="I44" s="580">
        <v>450000</v>
      </c>
      <c r="Q44" s="300"/>
    </row>
    <row r="45" spans="2:17" ht="12.75" customHeight="1">
      <c r="B45" s="577">
        <v>14</v>
      </c>
      <c r="C45" s="578">
        <v>41697</v>
      </c>
      <c r="D45" s="577" t="s">
        <v>510</v>
      </c>
      <c r="E45" s="577" t="s">
        <v>511</v>
      </c>
      <c r="F45" s="579" t="s">
        <v>432</v>
      </c>
      <c r="G45" s="580">
        <v>333333</v>
      </c>
      <c r="H45" s="580">
        <v>33333</v>
      </c>
      <c r="I45" s="580">
        <v>300000</v>
      </c>
      <c r="Q45" s="300"/>
    </row>
    <row r="46" spans="2:17" ht="12.75" customHeight="1">
      <c r="B46" s="577">
        <v>58</v>
      </c>
      <c r="C46" s="578">
        <v>41697</v>
      </c>
      <c r="D46" s="577" t="s">
        <v>512</v>
      </c>
      <c r="E46" s="577" t="s">
        <v>513</v>
      </c>
      <c r="F46" s="579" t="s">
        <v>432</v>
      </c>
      <c r="G46" s="580">
        <v>1077778</v>
      </c>
      <c r="H46" s="580">
        <v>107778</v>
      </c>
      <c r="I46" s="580">
        <v>970000</v>
      </c>
      <c r="Q46" s="300"/>
    </row>
    <row r="47" spans="2:17" ht="12.75" customHeight="1">
      <c r="B47" s="577">
        <v>88</v>
      </c>
      <c r="C47" s="578">
        <v>41698</v>
      </c>
      <c r="D47" s="577" t="s">
        <v>518</v>
      </c>
      <c r="E47" s="577" t="s">
        <v>519</v>
      </c>
      <c r="F47" s="579" t="s">
        <v>432</v>
      </c>
      <c r="G47" s="580">
        <v>1062222</v>
      </c>
      <c r="H47" s="580">
        <v>106222</v>
      </c>
      <c r="I47" s="580">
        <v>956000</v>
      </c>
      <c r="Q47" s="300"/>
    </row>
    <row r="48" spans="2:17" ht="12.75" customHeight="1">
      <c r="B48" s="577">
        <v>43</v>
      </c>
      <c r="C48" s="578">
        <v>41698</v>
      </c>
      <c r="D48" s="577" t="s">
        <v>514</v>
      </c>
      <c r="E48" s="577" t="s">
        <v>515</v>
      </c>
      <c r="F48" s="579" t="s">
        <v>432</v>
      </c>
      <c r="G48" s="580">
        <v>555556</v>
      </c>
      <c r="H48" s="580">
        <v>55556</v>
      </c>
      <c r="I48" s="580">
        <v>500000</v>
      </c>
      <c r="Q48" s="300"/>
    </row>
    <row r="49" spans="2:17" ht="12.75" customHeight="1">
      <c r="B49" s="577">
        <v>1</v>
      </c>
      <c r="C49" s="578">
        <v>41698</v>
      </c>
      <c r="D49" s="577" t="s">
        <v>528</v>
      </c>
      <c r="E49" s="577" t="s">
        <v>529</v>
      </c>
      <c r="F49" s="579" t="s">
        <v>432</v>
      </c>
      <c r="G49" s="580">
        <v>277778</v>
      </c>
      <c r="H49" s="580">
        <v>27778</v>
      </c>
      <c r="I49" s="582" t="s">
        <v>530</v>
      </c>
      <c r="Q49" s="300"/>
    </row>
    <row r="50" spans="2:17" ht="12.75" customHeight="1">
      <c r="B50" s="583">
        <v>12</v>
      </c>
      <c r="C50" s="584">
        <v>41698</v>
      </c>
      <c r="D50" s="583" t="s">
        <v>531</v>
      </c>
      <c r="E50" s="585" t="s">
        <v>521</v>
      </c>
      <c r="F50" s="586"/>
      <c r="G50" s="587">
        <v>200000</v>
      </c>
      <c r="H50" s="587">
        <f>+G50*0.1</f>
        <v>20000</v>
      </c>
      <c r="I50" s="587">
        <f>+G50-H50</f>
        <v>180000</v>
      </c>
      <c r="Q50" s="300"/>
    </row>
    <row r="51" spans="2:17" ht="12.75" customHeight="1">
      <c r="B51" s="577">
        <v>299</v>
      </c>
      <c r="C51" s="578">
        <v>41789</v>
      </c>
      <c r="D51" s="577" t="s">
        <v>524</v>
      </c>
      <c r="E51" s="577" t="s">
        <v>525</v>
      </c>
      <c r="F51" s="579" t="s">
        <v>432</v>
      </c>
      <c r="G51" s="580">
        <v>1111111</v>
      </c>
      <c r="H51" s="580">
        <v>111111</v>
      </c>
      <c r="I51" s="580">
        <f>+G51-H51</f>
        <v>1000000</v>
      </c>
      <c r="Q51" s="300"/>
    </row>
    <row r="52" spans="2:17" ht="12.75" customHeight="1">
      <c r="B52" s="296"/>
      <c r="H52" s="581">
        <f>SUM(H44:H51)</f>
        <v>511778</v>
      </c>
      <c r="Q52" s="300"/>
    </row>
    <row r="53" spans="2:17" ht="12.75" customHeight="1">
      <c r="B53" s="296"/>
      <c r="H53" s="300"/>
    </row>
    <row r="54" spans="2:17" ht="12.75" customHeight="1">
      <c r="B54" s="296"/>
    </row>
    <row r="55" spans="2:17" ht="12.75" customHeight="1">
      <c r="B55" s="577">
        <v>15</v>
      </c>
      <c r="C55" s="578">
        <v>41726</v>
      </c>
      <c r="D55" s="577" t="s">
        <v>510</v>
      </c>
      <c r="E55" s="577" t="s">
        <v>511</v>
      </c>
      <c r="F55" s="579" t="s">
        <v>432</v>
      </c>
      <c r="G55" s="580">
        <v>333333</v>
      </c>
      <c r="H55" s="580">
        <v>33333</v>
      </c>
      <c r="I55" s="580">
        <v>333333</v>
      </c>
    </row>
    <row r="56" spans="2:17" ht="12.75" customHeight="1">
      <c r="B56" s="577">
        <v>89</v>
      </c>
      <c r="C56" s="578">
        <v>41729</v>
      </c>
      <c r="D56" s="577" t="s">
        <v>518</v>
      </c>
      <c r="E56" s="577" t="s">
        <v>519</v>
      </c>
      <c r="F56" s="579" t="s">
        <v>432</v>
      </c>
      <c r="G56" s="580">
        <v>1062222</v>
      </c>
      <c r="H56" s="580">
        <v>106222</v>
      </c>
      <c r="I56" s="580">
        <v>1062222</v>
      </c>
    </row>
    <row r="57" spans="2:17" ht="12.75" customHeight="1">
      <c r="B57" s="577">
        <v>44</v>
      </c>
      <c r="C57" s="578">
        <v>41729</v>
      </c>
      <c r="D57" s="577" t="s">
        <v>514</v>
      </c>
      <c r="E57" s="577" t="s">
        <v>515</v>
      </c>
      <c r="F57" s="579" t="s">
        <v>432</v>
      </c>
      <c r="G57" s="580">
        <v>655556</v>
      </c>
      <c r="H57" s="580">
        <v>65556</v>
      </c>
      <c r="I57" s="580">
        <v>655556</v>
      </c>
    </row>
    <row r="58" spans="2:17" ht="12.75" customHeight="1">
      <c r="B58" s="577">
        <v>77</v>
      </c>
      <c r="C58" s="578">
        <v>41729</v>
      </c>
      <c r="D58" s="577" t="s">
        <v>532</v>
      </c>
      <c r="E58" s="577" t="s">
        <v>533</v>
      </c>
      <c r="F58" s="579" t="s">
        <v>432</v>
      </c>
      <c r="G58" s="580">
        <v>44444</v>
      </c>
      <c r="H58" s="580">
        <v>4444</v>
      </c>
      <c r="I58" s="580">
        <v>44444</v>
      </c>
    </row>
    <row r="59" spans="2:17" ht="12.75" customHeight="1">
      <c r="B59" s="577">
        <v>2</v>
      </c>
      <c r="C59" s="578">
        <v>41729</v>
      </c>
      <c r="D59" s="577" t="s">
        <v>528</v>
      </c>
      <c r="E59" s="577" t="s">
        <v>529</v>
      </c>
      <c r="F59" s="579" t="s">
        <v>432</v>
      </c>
      <c r="G59" s="580">
        <v>277778</v>
      </c>
      <c r="H59" s="580">
        <v>27778</v>
      </c>
      <c r="I59" s="580">
        <v>277778</v>
      </c>
    </row>
    <row r="60" spans="2:17" ht="12.75" customHeight="1">
      <c r="B60" s="577">
        <v>13</v>
      </c>
      <c r="C60" s="578" t="s">
        <v>534</v>
      </c>
      <c r="D60" s="577" t="s">
        <v>535</v>
      </c>
      <c r="E60" s="577" t="s">
        <v>536</v>
      </c>
      <c r="F60" s="579" t="s">
        <v>432</v>
      </c>
      <c r="G60" s="580">
        <v>200000</v>
      </c>
      <c r="H60" s="580">
        <v>20000</v>
      </c>
      <c r="I60" s="580">
        <f>+G60-H60</f>
        <v>180000</v>
      </c>
    </row>
    <row r="61" spans="2:17" ht="12.75" customHeight="1">
      <c r="B61" s="296"/>
      <c r="H61" s="581">
        <f>SUM(H55:H60)</f>
        <v>257333</v>
      </c>
    </row>
    <row r="62" spans="2:17" ht="12.75" customHeight="1">
      <c r="B62" s="296"/>
    </row>
    <row r="63" spans="2:17" ht="12.75" customHeight="1">
      <c r="B63" s="296"/>
    </row>
    <row r="64" spans="2:17" ht="12.75" customHeight="1">
      <c r="B64" s="577">
        <v>33</v>
      </c>
      <c r="C64" s="578">
        <v>41754</v>
      </c>
      <c r="D64" s="577" t="s">
        <v>537</v>
      </c>
      <c r="E64" s="577" t="s">
        <v>538</v>
      </c>
      <c r="F64" s="579" t="s">
        <v>432</v>
      </c>
      <c r="G64" s="580">
        <v>77778</v>
      </c>
      <c r="H64" s="580">
        <v>7778</v>
      </c>
      <c r="I64" s="580">
        <v>70000</v>
      </c>
    </row>
    <row r="65" spans="2:12" ht="12.75" customHeight="1">
      <c r="B65" s="577">
        <v>45</v>
      </c>
      <c r="C65" s="578">
        <v>41756</v>
      </c>
      <c r="D65" s="577" t="s">
        <v>514</v>
      </c>
      <c r="E65" s="577" t="s">
        <v>515</v>
      </c>
      <c r="F65" s="579" t="s">
        <v>432</v>
      </c>
      <c r="G65" s="580">
        <v>655556</v>
      </c>
      <c r="H65" s="580">
        <v>65556</v>
      </c>
      <c r="I65" s="580">
        <v>590000</v>
      </c>
    </row>
    <row r="66" spans="2:12" ht="12.75" customHeight="1">
      <c r="B66" s="577">
        <v>16</v>
      </c>
      <c r="C66" s="578">
        <v>41757</v>
      </c>
      <c r="D66" s="577" t="s">
        <v>510</v>
      </c>
      <c r="E66" s="577" t="s">
        <v>511</v>
      </c>
      <c r="F66" s="579" t="s">
        <v>432</v>
      </c>
      <c r="G66" s="580">
        <v>333333</v>
      </c>
      <c r="H66" s="580">
        <v>33333</v>
      </c>
      <c r="I66" s="580">
        <v>300000</v>
      </c>
      <c r="K66" s="430"/>
      <c r="L66" s="430"/>
    </row>
    <row r="67" spans="2:12" ht="12.75" customHeight="1">
      <c r="B67" s="577">
        <v>90</v>
      </c>
      <c r="C67" s="578">
        <v>41759</v>
      </c>
      <c r="D67" s="577" t="s">
        <v>518</v>
      </c>
      <c r="E67" s="577" t="s">
        <v>519</v>
      </c>
      <c r="F67" s="579" t="s">
        <v>432</v>
      </c>
      <c r="G67" s="580">
        <v>1062222</v>
      </c>
      <c r="H67" s="580">
        <v>106222</v>
      </c>
      <c r="I67" s="580">
        <v>956000</v>
      </c>
    </row>
    <row r="68" spans="2:12" ht="12.75" customHeight="1">
      <c r="B68" s="296"/>
      <c r="H68" s="581">
        <f>SUM(H64:H67)</f>
        <v>212889</v>
      </c>
    </row>
    <row r="69" spans="2:12" ht="12.75" customHeight="1">
      <c r="B69" s="296"/>
    </row>
    <row r="70" spans="2:12" ht="12.75" customHeight="1">
      <c r="B70" s="296"/>
    </row>
    <row r="71" spans="2:12" ht="12.75" customHeight="1">
      <c r="B71" s="296"/>
    </row>
    <row r="72" spans="2:12" ht="12.75" customHeight="1">
      <c r="B72" s="577">
        <v>60</v>
      </c>
      <c r="C72" s="578">
        <v>41764</v>
      </c>
      <c r="D72" s="577" t="s">
        <v>512</v>
      </c>
      <c r="E72" s="577" t="s">
        <v>513</v>
      </c>
      <c r="F72" s="579" t="s">
        <v>432</v>
      </c>
      <c r="G72" s="580">
        <v>1732851</v>
      </c>
      <c r="H72" s="580">
        <v>173285</v>
      </c>
      <c r="I72" s="580">
        <v>1559566</v>
      </c>
    </row>
    <row r="73" spans="2:12" ht="12.75" customHeight="1">
      <c r="B73" s="577">
        <v>61</v>
      </c>
      <c r="C73" s="578">
        <v>41778</v>
      </c>
      <c r="D73" s="577" t="s">
        <v>512</v>
      </c>
      <c r="E73" s="577" t="s">
        <v>513</v>
      </c>
      <c r="F73" s="579" t="s">
        <v>432</v>
      </c>
      <c r="G73" s="580">
        <v>55556</v>
      </c>
      <c r="H73" s="580">
        <v>5556</v>
      </c>
      <c r="I73" s="580">
        <v>50000</v>
      </c>
    </row>
    <row r="74" spans="2:12" ht="12.75" customHeight="1">
      <c r="B74" s="577">
        <v>46</v>
      </c>
      <c r="C74" s="578">
        <v>41785</v>
      </c>
      <c r="D74" s="577" t="s">
        <v>514</v>
      </c>
      <c r="E74" s="577" t="s">
        <v>515</v>
      </c>
      <c r="F74" s="579" t="s">
        <v>432</v>
      </c>
      <c r="G74" s="580">
        <v>655556</v>
      </c>
      <c r="H74" s="580">
        <v>65556</v>
      </c>
      <c r="I74" s="580">
        <v>590000</v>
      </c>
    </row>
    <row r="75" spans="2:12" ht="12.75" customHeight="1">
      <c r="B75" s="577">
        <v>17</v>
      </c>
      <c r="C75" s="578">
        <v>41785</v>
      </c>
      <c r="D75" s="577" t="s">
        <v>510</v>
      </c>
      <c r="E75" s="577" t="s">
        <v>511</v>
      </c>
      <c r="F75" s="579" t="s">
        <v>432</v>
      </c>
      <c r="G75" s="580">
        <v>333333</v>
      </c>
      <c r="H75" s="580">
        <v>33333</v>
      </c>
      <c r="I75" s="580">
        <v>300000</v>
      </c>
    </row>
    <row r="76" spans="2:12" ht="12.75" customHeight="1">
      <c r="B76" s="577">
        <v>91</v>
      </c>
      <c r="C76" s="578">
        <v>41786</v>
      </c>
      <c r="D76" s="577" t="s">
        <v>518</v>
      </c>
      <c r="E76" s="577" t="s">
        <v>519</v>
      </c>
      <c r="F76" s="579" t="s">
        <v>432</v>
      </c>
      <c r="G76" s="580">
        <v>1062222</v>
      </c>
      <c r="H76" s="580">
        <v>106222</v>
      </c>
      <c r="I76" s="580">
        <v>956000</v>
      </c>
    </row>
    <row r="77" spans="2:12" ht="12.75" customHeight="1">
      <c r="B77" s="577">
        <v>153</v>
      </c>
      <c r="C77" s="578">
        <v>41789</v>
      </c>
      <c r="D77" s="577" t="s">
        <v>524</v>
      </c>
      <c r="E77" s="577" t="s">
        <v>525</v>
      </c>
      <c r="F77" s="579" t="s">
        <v>432</v>
      </c>
      <c r="G77" s="580">
        <v>222222</v>
      </c>
      <c r="H77" s="580">
        <v>22222</v>
      </c>
      <c r="I77" s="580">
        <v>200000</v>
      </c>
    </row>
    <row r="78" spans="2:12" ht="12.75" customHeight="1">
      <c r="B78" s="583">
        <v>14</v>
      </c>
      <c r="C78" s="578">
        <v>41761</v>
      </c>
      <c r="D78" s="577" t="s">
        <v>539</v>
      </c>
      <c r="E78" s="577" t="s">
        <v>540</v>
      </c>
      <c r="F78" s="579" t="s">
        <v>432</v>
      </c>
      <c r="G78" s="580">
        <v>200000</v>
      </c>
      <c r="H78" s="580">
        <v>20000</v>
      </c>
      <c r="I78" s="580">
        <v>180000</v>
      </c>
    </row>
    <row r="79" spans="2:12" ht="12.75" customHeight="1">
      <c r="B79" s="583">
        <v>15</v>
      </c>
      <c r="C79" s="578">
        <v>41764</v>
      </c>
      <c r="D79" s="577" t="s">
        <v>541</v>
      </c>
      <c r="E79" s="577" t="s">
        <v>542</v>
      </c>
      <c r="F79" s="579" t="s">
        <v>432</v>
      </c>
      <c r="G79" s="580">
        <v>277778</v>
      </c>
      <c r="H79" s="580">
        <v>27778</v>
      </c>
      <c r="I79" s="580">
        <v>250000.2</v>
      </c>
    </row>
    <row r="80" spans="2:12" ht="12.75" customHeight="1">
      <c r="B80" s="583">
        <v>16</v>
      </c>
      <c r="C80" s="578">
        <v>41785</v>
      </c>
      <c r="D80" s="577" t="s">
        <v>539</v>
      </c>
      <c r="E80" s="577" t="s">
        <v>540</v>
      </c>
      <c r="F80" s="579" t="s">
        <v>432</v>
      </c>
      <c r="G80" s="580">
        <v>200000</v>
      </c>
      <c r="H80" s="580">
        <v>20000</v>
      </c>
      <c r="I80" s="580">
        <v>180000</v>
      </c>
    </row>
    <row r="81" spans="2:9" ht="12.75" customHeight="1">
      <c r="B81" s="583">
        <v>17</v>
      </c>
      <c r="C81" s="578">
        <v>41787</v>
      </c>
      <c r="D81" s="577" t="s">
        <v>543</v>
      </c>
      <c r="E81" s="577" t="s">
        <v>544</v>
      </c>
      <c r="F81" s="579" t="s">
        <v>432</v>
      </c>
      <c r="G81" s="580">
        <v>388889</v>
      </c>
      <c r="H81" s="580">
        <v>38889</v>
      </c>
      <c r="I81" s="580">
        <v>350000.1</v>
      </c>
    </row>
    <row r="82" spans="2:9" ht="12.75" customHeight="1">
      <c r="B82" s="583">
        <v>18</v>
      </c>
      <c r="C82" s="578">
        <v>41788</v>
      </c>
      <c r="D82" s="577" t="s">
        <v>541</v>
      </c>
      <c r="E82" s="577" t="s">
        <v>542</v>
      </c>
      <c r="F82" s="579" t="s">
        <v>432</v>
      </c>
      <c r="G82" s="580">
        <v>277778</v>
      </c>
      <c r="H82" s="580">
        <v>27778</v>
      </c>
      <c r="I82" s="580">
        <v>250000.2</v>
      </c>
    </row>
    <row r="83" spans="2:9" ht="12.75" customHeight="1">
      <c r="B83" s="588">
        <v>199</v>
      </c>
      <c r="C83" s="578">
        <v>41789</v>
      </c>
      <c r="D83" s="577" t="s">
        <v>524</v>
      </c>
      <c r="E83" s="577" t="s">
        <v>525</v>
      </c>
      <c r="F83" s="579" t="s">
        <v>432</v>
      </c>
      <c r="G83" s="580">
        <v>222222</v>
      </c>
      <c r="H83" s="580">
        <v>22221</v>
      </c>
      <c r="I83" s="580">
        <v>200000</v>
      </c>
    </row>
    <row r="84" spans="2:9" ht="12.75" customHeight="1">
      <c r="B84" s="296"/>
      <c r="H84" s="581">
        <f>SUM(H72:H83)</f>
        <v>562840</v>
      </c>
    </row>
    <row r="85" spans="2:9" ht="12.75" customHeight="1">
      <c r="B85" s="296"/>
    </row>
    <row r="86" spans="2:9" ht="12.75" customHeight="1">
      <c r="B86" s="296"/>
    </row>
    <row r="87" spans="2:9" ht="12.75" customHeight="1">
      <c r="B87" s="577">
        <v>62</v>
      </c>
      <c r="C87" s="578">
        <v>41793</v>
      </c>
      <c r="D87" s="577" t="s">
        <v>512</v>
      </c>
      <c r="E87" s="577" t="s">
        <v>513</v>
      </c>
      <c r="F87" s="579" t="s">
        <v>432</v>
      </c>
      <c r="G87" s="580">
        <v>1202125</v>
      </c>
      <c r="H87" s="580">
        <v>120213</v>
      </c>
      <c r="I87" s="580">
        <v>1081912</v>
      </c>
    </row>
    <row r="88" spans="2:9" ht="12.75" customHeight="1">
      <c r="B88" s="577">
        <v>157</v>
      </c>
      <c r="C88" s="578">
        <v>41804</v>
      </c>
      <c r="D88" s="577" t="s">
        <v>524</v>
      </c>
      <c r="E88" s="577" t="s">
        <v>525</v>
      </c>
      <c r="F88" s="579" t="s">
        <v>432</v>
      </c>
      <c r="G88" s="580">
        <v>222222</v>
      </c>
      <c r="H88" s="580">
        <v>22222</v>
      </c>
      <c r="I88" s="580">
        <v>200000</v>
      </c>
    </row>
    <row r="89" spans="2:9" ht="12.75" customHeight="1">
      <c r="B89" s="577">
        <v>47</v>
      </c>
      <c r="C89" s="578">
        <v>41816</v>
      </c>
      <c r="D89" s="577" t="s">
        <v>514</v>
      </c>
      <c r="E89" s="577" t="s">
        <v>515</v>
      </c>
      <c r="F89" s="579" t="s">
        <v>432</v>
      </c>
      <c r="G89" s="580">
        <v>655556</v>
      </c>
      <c r="H89" s="580">
        <v>65556</v>
      </c>
      <c r="I89" s="580">
        <v>590000</v>
      </c>
    </row>
    <row r="90" spans="2:9" ht="12.75" customHeight="1">
      <c r="B90" s="577">
        <v>92</v>
      </c>
      <c r="C90" s="578">
        <v>41820</v>
      </c>
      <c r="D90" s="577" t="s">
        <v>518</v>
      </c>
      <c r="E90" s="577" t="s">
        <v>519</v>
      </c>
      <c r="F90" s="579" t="s">
        <v>432</v>
      </c>
      <c r="G90" s="580">
        <v>1062222</v>
      </c>
      <c r="H90" s="580">
        <v>106222</v>
      </c>
      <c r="I90" s="580">
        <v>956000</v>
      </c>
    </row>
    <row r="91" spans="2:9" ht="12.75" customHeight="1">
      <c r="B91" s="577">
        <v>18</v>
      </c>
      <c r="C91" s="578">
        <v>41820</v>
      </c>
      <c r="D91" s="577" t="s">
        <v>510</v>
      </c>
      <c r="E91" s="577" t="s">
        <v>511</v>
      </c>
      <c r="F91" s="579" t="s">
        <v>432</v>
      </c>
      <c r="G91" s="580">
        <v>388889</v>
      </c>
      <c r="H91" s="580">
        <v>38889</v>
      </c>
      <c r="I91" s="580">
        <v>350000</v>
      </c>
    </row>
    <row r="92" spans="2:9" ht="12.75" customHeight="1">
      <c r="B92" s="577">
        <v>19</v>
      </c>
      <c r="C92" s="578">
        <v>41816</v>
      </c>
      <c r="D92" s="577" t="s">
        <v>539</v>
      </c>
      <c r="E92" s="577" t="s">
        <v>545</v>
      </c>
      <c r="F92" s="579"/>
      <c r="G92" s="580">
        <v>200000</v>
      </c>
      <c r="H92" s="580">
        <f>+G92*0.1</f>
        <v>20000</v>
      </c>
      <c r="I92" s="580">
        <f>+G92-H92</f>
        <v>180000</v>
      </c>
    </row>
    <row r="93" spans="2:9" ht="12.75" customHeight="1">
      <c r="B93" s="296"/>
      <c r="H93" s="581">
        <f>SUM(H87:H92)</f>
        <v>373102</v>
      </c>
    </row>
    <row r="94" spans="2:9" ht="12.75" customHeight="1">
      <c r="B94" s="296"/>
    </row>
    <row r="95" spans="2:9" ht="12.75" customHeight="1">
      <c r="B95" s="296"/>
    </row>
    <row r="96" spans="2:9" ht="12.75" customHeight="1">
      <c r="B96" s="296"/>
    </row>
    <row r="97" spans="2:9" ht="12.75" customHeight="1">
      <c r="B97" s="296"/>
    </row>
    <row r="98" spans="2:9" ht="12.75" customHeight="1">
      <c r="B98" s="296"/>
    </row>
    <row r="99" spans="2:9" ht="12.75" customHeight="1">
      <c r="B99" s="577">
        <v>1</v>
      </c>
      <c r="C99" s="578">
        <v>41821</v>
      </c>
      <c r="D99" s="577" t="s">
        <v>546</v>
      </c>
      <c r="E99" s="577" t="s">
        <v>547</v>
      </c>
      <c r="F99" s="579" t="s">
        <v>432</v>
      </c>
      <c r="G99" s="580">
        <v>277778</v>
      </c>
      <c r="H99" s="580">
        <v>27778</v>
      </c>
      <c r="I99" s="580">
        <v>250000</v>
      </c>
    </row>
    <row r="100" spans="2:9" ht="12.75" customHeight="1">
      <c r="B100" s="577">
        <v>48</v>
      </c>
      <c r="C100" s="578">
        <v>41845</v>
      </c>
      <c r="D100" s="577" t="s">
        <v>514</v>
      </c>
      <c r="E100" s="577" t="s">
        <v>515</v>
      </c>
      <c r="F100" s="579" t="s">
        <v>432</v>
      </c>
      <c r="G100" s="580">
        <v>655556</v>
      </c>
      <c r="H100" s="580">
        <v>65556</v>
      </c>
      <c r="I100" s="580">
        <v>590000</v>
      </c>
    </row>
    <row r="101" spans="2:9" ht="12.75" customHeight="1">
      <c r="B101" s="577">
        <v>93</v>
      </c>
      <c r="C101" s="578">
        <v>41851</v>
      </c>
      <c r="D101" s="577" t="s">
        <v>518</v>
      </c>
      <c r="E101" s="577" t="s">
        <v>519</v>
      </c>
      <c r="F101" s="579" t="s">
        <v>432</v>
      </c>
      <c r="G101" s="580">
        <v>1062222</v>
      </c>
      <c r="H101" s="580">
        <v>106222</v>
      </c>
      <c r="I101" s="580">
        <v>956000</v>
      </c>
    </row>
    <row r="102" spans="2:9" ht="12.75" customHeight="1">
      <c r="B102" s="577">
        <v>74</v>
      </c>
      <c r="C102" s="578">
        <v>41851</v>
      </c>
      <c r="D102" s="577" t="s">
        <v>548</v>
      </c>
      <c r="E102" s="577" t="s">
        <v>549</v>
      </c>
      <c r="F102" s="579" t="s">
        <v>432</v>
      </c>
      <c r="G102" s="580">
        <v>88889</v>
      </c>
      <c r="H102" s="580">
        <v>8889</v>
      </c>
      <c r="I102" s="580">
        <v>80000</v>
      </c>
    </row>
    <row r="103" spans="2:9" ht="12.75" customHeight="1">
      <c r="B103" s="577">
        <v>20</v>
      </c>
      <c r="C103" s="578">
        <v>41851</v>
      </c>
      <c r="D103" s="577" t="s">
        <v>543</v>
      </c>
      <c r="E103" s="577" t="s">
        <v>544</v>
      </c>
      <c r="F103" s="579" t="s">
        <v>432</v>
      </c>
      <c r="G103" s="580">
        <v>388889</v>
      </c>
      <c r="H103" s="580">
        <f>+G103*0.1</f>
        <v>38888.9</v>
      </c>
      <c r="I103" s="580">
        <f>+G103-H103</f>
        <v>350000.1</v>
      </c>
    </row>
    <row r="104" spans="2:9" ht="12.75" customHeight="1">
      <c r="B104" s="577">
        <v>33</v>
      </c>
      <c r="C104" s="578">
        <v>41851</v>
      </c>
      <c r="D104" s="577" t="s">
        <v>524</v>
      </c>
      <c r="E104" s="577" t="s">
        <v>550</v>
      </c>
      <c r="F104" s="579" t="s">
        <v>432</v>
      </c>
      <c r="G104" s="580">
        <v>222222</v>
      </c>
      <c r="H104" s="580">
        <v>22222</v>
      </c>
      <c r="I104" s="580">
        <f>+G104-H104</f>
        <v>200000</v>
      </c>
    </row>
    <row r="105" spans="2:9" ht="12.75" customHeight="1">
      <c r="B105" s="589"/>
      <c r="C105" s="590"/>
      <c r="D105" s="589"/>
      <c r="E105" s="589"/>
      <c r="F105" s="591"/>
      <c r="G105" s="592"/>
      <c r="H105" s="592"/>
      <c r="I105" s="592"/>
    </row>
    <row r="106" spans="2:9" ht="12.75" customHeight="1">
      <c r="B106" s="296"/>
      <c r="H106" s="581">
        <f>SUM(H99:H104)</f>
        <v>269555.90000000002</v>
      </c>
    </row>
    <row r="107" spans="2:9" ht="12.75" customHeight="1">
      <c r="B107" s="296"/>
      <c r="H107" s="300">
        <f>+H106-D20</f>
        <v>-9.9999999976716936E-2</v>
      </c>
    </row>
    <row r="108" spans="2:9" ht="12.75" customHeight="1">
      <c r="B108" s="296"/>
    </row>
    <row r="109" spans="2:9" ht="12.75" customHeight="1">
      <c r="B109" s="577">
        <v>19</v>
      </c>
      <c r="C109" s="578">
        <v>41852</v>
      </c>
      <c r="D109" s="577" t="s">
        <v>510</v>
      </c>
      <c r="E109" s="577" t="s">
        <v>511</v>
      </c>
      <c r="F109" s="579" t="s">
        <v>432</v>
      </c>
      <c r="G109" s="580">
        <v>388889</v>
      </c>
      <c r="H109" s="580"/>
      <c r="I109" s="580">
        <v>350000</v>
      </c>
    </row>
    <row r="110" spans="2:9" ht="12.75" customHeight="1">
      <c r="B110" s="577">
        <v>49</v>
      </c>
      <c r="C110" s="578">
        <v>41879</v>
      </c>
      <c r="D110" s="577" t="s">
        <v>514</v>
      </c>
      <c r="E110" s="577" t="s">
        <v>515</v>
      </c>
      <c r="F110" s="579" t="s">
        <v>432</v>
      </c>
      <c r="G110" s="580">
        <v>655556</v>
      </c>
      <c r="H110" s="580">
        <v>65556</v>
      </c>
      <c r="I110" s="580">
        <v>590000</v>
      </c>
    </row>
    <row r="111" spans="2:9" ht="12.75" customHeight="1">
      <c r="B111" s="577">
        <v>20</v>
      </c>
      <c r="C111" s="578">
        <v>41879</v>
      </c>
      <c r="D111" s="577" t="s">
        <v>510</v>
      </c>
      <c r="E111" s="577" t="s">
        <v>511</v>
      </c>
      <c r="F111" s="579" t="s">
        <v>432</v>
      </c>
      <c r="G111" s="580">
        <v>388889</v>
      </c>
      <c r="H111" s="580">
        <v>38889</v>
      </c>
      <c r="I111" s="580">
        <v>350000</v>
      </c>
    </row>
    <row r="112" spans="2:9" ht="12.75" customHeight="1">
      <c r="B112" s="577">
        <v>33</v>
      </c>
      <c r="C112" s="578">
        <v>41882</v>
      </c>
      <c r="D112" s="577"/>
      <c r="E112" s="577" t="s">
        <v>551</v>
      </c>
      <c r="F112" s="579"/>
      <c r="G112" s="580">
        <v>222222</v>
      </c>
      <c r="H112" s="580">
        <f>+G112*0.1</f>
        <v>22222.2</v>
      </c>
      <c r="I112" s="580">
        <f>+G112-H112</f>
        <v>199999.8</v>
      </c>
    </row>
    <row r="113" spans="2:9" ht="12.75" customHeight="1">
      <c r="B113" s="577">
        <v>19</v>
      </c>
      <c r="C113" s="578">
        <v>41852</v>
      </c>
      <c r="D113" s="577" t="s">
        <v>510</v>
      </c>
      <c r="E113" s="577" t="s">
        <v>552</v>
      </c>
      <c r="F113" s="579"/>
      <c r="G113" s="580">
        <v>388889</v>
      </c>
      <c r="H113" s="580">
        <f>+G113*0.1</f>
        <v>38888.9</v>
      </c>
      <c r="I113" s="580">
        <f>+G113-H113</f>
        <v>350000.1</v>
      </c>
    </row>
    <row r="114" spans="2:9" ht="12.75" customHeight="1">
      <c r="B114" s="577">
        <v>20</v>
      </c>
      <c r="C114" s="578">
        <v>41882</v>
      </c>
      <c r="D114" s="577" t="s">
        <v>518</v>
      </c>
      <c r="E114" s="577" t="s">
        <v>553</v>
      </c>
      <c r="F114" s="579"/>
      <c r="G114" s="580">
        <v>1062222</v>
      </c>
      <c r="H114" s="580">
        <v>106222</v>
      </c>
      <c r="I114" s="580">
        <v>956000</v>
      </c>
    </row>
    <row r="115" spans="2:9" ht="12.75" customHeight="1">
      <c r="B115" s="296"/>
      <c r="H115" s="581">
        <f>SUM(H109:H114)</f>
        <v>271778.09999999998</v>
      </c>
    </row>
    <row r="116" spans="2:9" ht="12.75" customHeight="1">
      <c r="B116" s="296"/>
    </row>
    <row r="117" spans="2:9" ht="12.75" customHeight="1">
      <c r="B117" s="296"/>
    </row>
    <row r="118" spans="2:9" ht="12.75" customHeight="1">
      <c r="B118" s="296"/>
    </row>
    <row r="119" spans="2:9" ht="12.75" customHeight="1">
      <c r="B119" s="296"/>
    </row>
    <row r="120" spans="2:9" ht="12.75" customHeight="1">
      <c r="B120" s="296"/>
    </row>
    <row r="121" spans="2:9" ht="12.75" customHeight="1">
      <c r="B121" s="296"/>
    </row>
    <row r="122" spans="2:9" ht="12.75" customHeight="1">
      <c r="B122" s="577">
        <v>94</v>
      </c>
      <c r="C122" s="578">
        <v>41908</v>
      </c>
      <c r="D122" s="577" t="s">
        <v>518</v>
      </c>
      <c r="E122" s="577" t="s">
        <v>519</v>
      </c>
      <c r="F122" s="579" t="s">
        <v>432</v>
      </c>
      <c r="G122" s="580">
        <v>1006667</v>
      </c>
      <c r="H122" s="580">
        <v>100667</v>
      </c>
      <c r="I122" s="580">
        <v>906000</v>
      </c>
    </row>
    <row r="123" spans="2:9" ht="12.75" customHeight="1">
      <c r="B123" s="577">
        <v>21</v>
      </c>
      <c r="C123" s="578">
        <v>41910</v>
      </c>
      <c r="D123" s="577" t="s">
        <v>510</v>
      </c>
      <c r="E123" s="577" t="s">
        <v>511</v>
      </c>
      <c r="F123" s="579" t="s">
        <v>432</v>
      </c>
      <c r="G123" s="580">
        <v>388889</v>
      </c>
      <c r="H123" s="580">
        <v>38889</v>
      </c>
      <c r="I123" s="580">
        <v>350000</v>
      </c>
    </row>
    <row r="124" spans="2:9" ht="12.75" customHeight="1">
      <c r="B124" s="577">
        <v>50</v>
      </c>
      <c r="C124" s="578">
        <v>41912</v>
      </c>
      <c r="D124" s="577" t="s">
        <v>514</v>
      </c>
      <c r="E124" s="577" t="s">
        <v>515</v>
      </c>
      <c r="F124" s="579" t="s">
        <v>432</v>
      </c>
      <c r="G124" s="580">
        <v>655556</v>
      </c>
      <c r="H124" s="580">
        <v>65556</v>
      </c>
      <c r="I124" s="580">
        <v>590000</v>
      </c>
    </row>
    <row r="125" spans="2:9" ht="12.75" customHeight="1">
      <c r="B125" s="577">
        <v>52</v>
      </c>
      <c r="C125" s="578">
        <v>41973</v>
      </c>
      <c r="D125" s="577" t="s">
        <v>524</v>
      </c>
      <c r="E125" s="577" t="s">
        <v>551</v>
      </c>
      <c r="F125" s="579"/>
      <c r="G125" s="580">
        <f>222222</f>
        <v>222222</v>
      </c>
      <c r="H125" s="580">
        <f>22221</f>
        <v>22221</v>
      </c>
      <c r="I125" s="580">
        <f>+G125-H125</f>
        <v>200001</v>
      </c>
    </row>
    <row r="126" spans="2:9" ht="12.75" customHeight="1">
      <c r="B126" s="296"/>
      <c r="H126" s="581">
        <f>SUM(H122:H125)</f>
        <v>227333</v>
      </c>
    </row>
    <row r="127" spans="2:9" ht="12.75" customHeight="1">
      <c r="B127" s="296"/>
    </row>
    <row r="128" spans="2:9" ht="12.75" customHeight="1">
      <c r="B128" s="296"/>
    </row>
    <row r="129" spans="2:9" ht="12.75" customHeight="1">
      <c r="B129" s="577">
        <v>64</v>
      </c>
      <c r="C129" s="578">
        <v>41919</v>
      </c>
      <c r="D129" s="577" t="s">
        <v>512</v>
      </c>
      <c r="E129" s="577" t="s">
        <v>513</v>
      </c>
      <c r="F129" s="579" t="s">
        <v>432</v>
      </c>
      <c r="G129" s="580">
        <v>111111</v>
      </c>
      <c r="H129" s="580">
        <v>11111</v>
      </c>
      <c r="I129" s="580">
        <v>100000</v>
      </c>
    </row>
    <row r="130" spans="2:9" ht="12.75" customHeight="1">
      <c r="B130" s="577">
        <v>163</v>
      </c>
      <c r="C130" s="578">
        <v>41935</v>
      </c>
      <c r="D130" s="577" t="s">
        <v>554</v>
      </c>
      <c r="E130" s="577" t="s">
        <v>555</v>
      </c>
      <c r="F130" s="579" t="s">
        <v>432</v>
      </c>
      <c r="G130" s="580">
        <v>600000</v>
      </c>
      <c r="H130" s="582">
        <v>0</v>
      </c>
      <c r="I130" s="580">
        <v>600000</v>
      </c>
    </row>
    <row r="131" spans="2:9" ht="12.75" customHeight="1">
      <c r="B131" s="577">
        <v>164</v>
      </c>
      <c r="C131" s="578">
        <v>41935</v>
      </c>
      <c r="D131" s="577" t="s">
        <v>554</v>
      </c>
      <c r="E131" s="577" t="s">
        <v>555</v>
      </c>
      <c r="F131" s="579" t="s">
        <v>432</v>
      </c>
      <c r="G131" s="580">
        <v>60000</v>
      </c>
      <c r="H131" s="582">
        <v>0</v>
      </c>
      <c r="I131" s="580">
        <v>60000</v>
      </c>
    </row>
    <row r="132" spans="2:9" ht="12.75" customHeight="1">
      <c r="B132" s="577">
        <v>95</v>
      </c>
      <c r="C132" s="578">
        <v>41939</v>
      </c>
      <c r="D132" s="577" t="s">
        <v>518</v>
      </c>
      <c r="E132" s="577" t="s">
        <v>519</v>
      </c>
      <c r="F132" s="579" t="s">
        <v>432</v>
      </c>
      <c r="G132" s="580">
        <v>1006667</v>
      </c>
      <c r="H132" s="580">
        <v>100667</v>
      </c>
      <c r="I132" s="580">
        <v>906000</v>
      </c>
    </row>
    <row r="133" spans="2:9" ht="12.75" customHeight="1">
      <c r="B133" s="577">
        <v>66</v>
      </c>
      <c r="C133" s="578">
        <v>41941</v>
      </c>
      <c r="D133" s="577" t="s">
        <v>512</v>
      </c>
      <c r="E133" s="577" t="s">
        <v>513</v>
      </c>
      <c r="F133" s="579" t="s">
        <v>432</v>
      </c>
      <c r="G133" s="580">
        <v>555556</v>
      </c>
      <c r="H133" s="580">
        <v>55556</v>
      </c>
      <c r="I133" s="580">
        <v>500000</v>
      </c>
    </row>
    <row r="134" spans="2:9" ht="12.75" customHeight="1">
      <c r="B134" s="577">
        <v>51</v>
      </c>
      <c r="C134" s="578">
        <v>41943</v>
      </c>
      <c r="D134" s="577" t="s">
        <v>514</v>
      </c>
      <c r="E134" s="577" t="s">
        <v>515</v>
      </c>
      <c r="F134" s="579" t="s">
        <v>432</v>
      </c>
      <c r="G134" s="580">
        <v>655556</v>
      </c>
      <c r="H134" s="580">
        <v>65556</v>
      </c>
      <c r="I134" s="580">
        <v>590000</v>
      </c>
    </row>
    <row r="135" spans="2:9" ht="12.75" customHeight="1">
      <c r="B135" s="577">
        <v>52</v>
      </c>
      <c r="C135" s="578">
        <v>41973</v>
      </c>
      <c r="D135" s="577" t="s">
        <v>524</v>
      </c>
      <c r="E135" s="577" t="s">
        <v>551</v>
      </c>
      <c r="F135" s="579"/>
      <c r="G135" s="580">
        <f>222222+33333</f>
        <v>255555</v>
      </c>
      <c r="H135" s="580">
        <f>22222+3333</f>
        <v>25555</v>
      </c>
      <c r="I135" s="580">
        <f>+G135-H135</f>
        <v>230000</v>
      </c>
    </row>
    <row r="136" spans="2:9" ht="12.75" customHeight="1">
      <c r="B136" s="577">
        <v>21</v>
      </c>
      <c r="C136" s="578">
        <v>41942</v>
      </c>
      <c r="D136" s="577" t="s">
        <v>556</v>
      </c>
      <c r="E136" s="577" t="s">
        <v>557</v>
      </c>
      <c r="F136" s="579"/>
      <c r="G136" s="580">
        <v>200000</v>
      </c>
      <c r="H136" s="580">
        <f>+G136*0.1</f>
        <v>20000</v>
      </c>
      <c r="I136" s="580">
        <f>+G136-H136</f>
        <v>180000</v>
      </c>
    </row>
    <row r="137" spans="2:9" ht="12.75" customHeight="1">
      <c r="B137" s="296"/>
      <c r="H137" s="581">
        <f>SUM(H129:H136)</f>
        <v>278445</v>
      </c>
    </row>
    <row r="138" spans="2:9" ht="12.75" customHeight="1">
      <c r="B138" s="296"/>
    </row>
    <row r="139" spans="2:9" ht="12.75" customHeight="1">
      <c r="B139" s="296"/>
    </row>
    <row r="140" spans="2:9" ht="12.75" customHeight="1">
      <c r="B140" s="577">
        <v>166</v>
      </c>
      <c r="C140" s="578">
        <v>41960</v>
      </c>
      <c r="D140" s="577" t="s">
        <v>554</v>
      </c>
      <c r="E140" s="577" t="s">
        <v>555</v>
      </c>
      <c r="F140" s="579" t="s">
        <v>432</v>
      </c>
      <c r="G140" s="580">
        <v>60000</v>
      </c>
      <c r="H140" s="580">
        <v>6000</v>
      </c>
      <c r="I140" s="580">
        <v>54000</v>
      </c>
    </row>
    <row r="141" spans="2:9" ht="12.75" customHeight="1">
      <c r="B141" s="577">
        <v>96</v>
      </c>
      <c r="C141" s="578">
        <v>41969</v>
      </c>
      <c r="D141" s="577" t="s">
        <v>518</v>
      </c>
      <c r="E141" s="577" t="s">
        <v>519</v>
      </c>
      <c r="F141" s="579" t="s">
        <v>432</v>
      </c>
      <c r="G141" s="580">
        <v>1006667</v>
      </c>
      <c r="H141" s="580">
        <v>100667</v>
      </c>
      <c r="I141" s="580">
        <v>906000</v>
      </c>
    </row>
    <row r="142" spans="2:9">
      <c r="B142" s="577">
        <v>52</v>
      </c>
      <c r="C142" s="578">
        <v>41973</v>
      </c>
      <c r="D142" s="577" t="s">
        <v>514</v>
      </c>
      <c r="E142" s="577" t="s">
        <v>515</v>
      </c>
      <c r="F142" s="579" t="s">
        <v>432</v>
      </c>
      <c r="G142" s="580">
        <v>655556</v>
      </c>
      <c r="H142" s="580">
        <v>65556</v>
      </c>
      <c r="I142" s="580">
        <v>590000</v>
      </c>
    </row>
    <row r="143" spans="2:9">
      <c r="B143" s="577">
        <v>52</v>
      </c>
      <c r="C143" s="578">
        <v>41973</v>
      </c>
      <c r="D143" s="577" t="s">
        <v>524</v>
      </c>
      <c r="E143" s="577" t="s">
        <v>551</v>
      </c>
      <c r="F143" s="579"/>
      <c r="G143" s="580">
        <f>222222+33333</f>
        <v>255555</v>
      </c>
      <c r="H143" s="580">
        <f>22222+3333</f>
        <v>25555</v>
      </c>
      <c r="I143" s="580">
        <f>+G143-H143</f>
        <v>230000</v>
      </c>
    </row>
    <row r="144" spans="2:9">
      <c r="B144" s="296"/>
      <c r="H144" s="581">
        <f>SUM(H140:H143)</f>
        <v>197778</v>
      </c>
    </row>
    <row r="145" spans="2:9">
      <c r="B145" s="296"/>
    </row>
    <row r="146" spans="2:9">
      <c r="B146" s="296"/>
    </row>
    <row r="147" spans="2:9">
      <c r="B147" s="296"/>
    </row>
    <row r="148" spans="2:9">
      <c r="B148" s="296"/>
    </row>
    <row r="149" spans="2:9" ht="15" customHeight="1">
      <c r="B149" s="296"/>
    </row>
    <row r="150" spans="2:9" ht="15" customHeight="1">
      <c r="B150" s="577">
        <v>53</v>
      </c>
      <c r="C150" s="578">
        <v>41996</v>
      </c>
      <c r="D150" s="577" t="s">
        <v>558</v>
      </c>
      <c r="E150" s="577" t="s">
        <v>559</v>
      </c>
      <c r="F150" s="579" t="s">
        <v>432</v>
      </c>
      <c r="G150" s="580">
        <v>220500</v>
      </c>
      <c r="H150" s="580">
        <v>22050</v>
      </c>
      <c r="I150" s="580">
        <v>198450</v>
      </c>
    </row>
    <row r="151" spans="2:9" ht="15" customHeight="1">
      <c r="B151" s="577">
        <v>53</v>
      </c>
      <c r="C151" s="578">
        <v>42002</v>
      </c>
      <c r="D151" s="577" t="s">
        <v>514</v>
      </c>
      <c r="E151" s="577" t="s">
        <v>515</v>
      </c>
      <c r="F151" s="579" t="s">
        <v>432</v>
      </c>
      <c r="G151" s="580">
        <v>655556</v>
      </c>
      <c r="H151" s="580">
        <v>65556</v>
      </c>
      <c r="I151" s="580">
        <v>590000</v>
      </c>
    </row>
    <row r="152" spans="2:9" ht="15" customHeight="1">
      <c r="B152" s="577">
        <v>1</v>
      </c>
      <c r="C152" s="578">
        <v>42003</v>
      </c>
      <c r="D152" s="577" t="s">
        <v>560</v>
      </c>
      <c r="E152" s="577" t="s">
        <v>561</v>
      </c>
      <c r="F152" s="579" t="s">
        <v>432</v>
      </c>
      <c r="G152" s="580">
        <v>200000</v>
      </c>
      <c r="H152" s="580">
        <v>20000</v>
      </c>
      <c r="I152" s="580">
        <v>180000</v>
      </c>
    </row>
    <row r="153" spans="2:9" ht="15" customHeight="1">
      <c r="B153" s="577">
        <v>73</v>
      </c>
      <c r="C153" s="578">
        <v>42004</v>
      </c>
      <c r="D153" s="577" t="s">
        <v>512</v>
      </c>
      <c r="E153" s="577" t="s">
        <v>513</v>
      </c>
      <c r="F153" s="579" t="s">
        <v>432</v>
      </c>
      <c r="G153" s="580">
        <v>144445</v>
      </c>
      <c r="H153" s="580">
        <v>14445</v>
      </c>
      <c r="I153" s="580">
        <v>130000</v>
      </c>
    </row>
    <row r="154" spans="2:9" ht="15" customHeight="1">
      <c r="B154" s="577">
        <v>33</v>
      </c>
      <c r="C154" s="577" t="s">
        <v>562</v>
      </c>
      <c r="D154" s="577" t="s">
        <v>518</v>
      </c>
      <c r="E154" s="577" t="s">
        <v>553</v>
      </c>
      <c r="F154" s="579"/>
      <c r="G154" s="580">
        <v>1006667</v>
      </c>
      <c r="H154" s="580">
        <v>100666</v>
      </c>
      <c r="I154" s="580">
        <v>906000.3</v>
      </c>
    </row>
    <row r="155" spans="2:9" ht="15" customHeight="1">
      <c r="B155" s="577">
        <v>33</v>
      </c>
      <c r="C155" s="578"/>
      <c r="D155" s="577" t="s">
        <v>524</v>
      </c>
      <c r="E155" s="577" t="s">
        <v>551</v>
      </c>
      <c r="F155" s="579"/>
      <c r="G155" s="580">
        <v>222222</v>
      </c>
      <c r="H155" s="580">
        <v>22222</v>
      </c>
      <c r="I155" s="580">
        <v>199999.8</v>
      </c>
    </row>
    <row r="156" spans="2:9" ht="15" customHeight="1">
      <c r="H156" s="581">
        <f>SUM(H150:H155)</f>
        <v>244939</v>
      </c>
    </row>
    <row r="157" spans="2:9" ht="15" customHeight="1"/>
    <row r="158" spans="2:9" ht="15" customHeight="1"/>
    <row r="159" spans="2:9" ht="15" customHeight="1"/>
    <row r="160" spans="2:9" ht="15" customHeight="1"/>
    <row r="161" spans="1:13" ht="17.25" customHeight="1"/>
    <row r="162" spans="1:13" ht="17.25" customHeight="1"/>
    <row r="163" spans="1:13" ht="17.25" customHeight="1" thickBot="1"/>
    <row r="164" spans="1:13" ht="17.25" customHeight="1" thickBot="1">
      <c r="A164" s="297">
        <v>2</v>
      </c>
      <c r="B164" s="593">
        <v>38</v>
      </c>
      <c r="C164" s="594">
        <v>40571</v>
      </c>
      <c r="D164" s="593" t="s">
        <v>293</v>
      </c>
      <c r="E164" s="296" t="s">
        <v>294</v>
      </c>
      <c r="F164" s="595">
        <v>25000</v>
      </c>
      <c r="G164" s="419">
        <v>1.0349999999999999</v>
      </c>
      <c r="H164" s="299">
        <f t="shared" ref="H164:H185" si="3">ROUND(+F164*G164,0)</f>
        <v>25875</v>
      </c>
      <c r="J164" s="423">
        <v>1.038</v>
      </c>
      <c r="K164" s="290" t="s">
        <v>266</v>
      </c>
      <c r="L164" s="291" t="s">
        <v>267</v>
      </c>
      <c r="M164" s="292">
        <v>0</v>
      </c>
    </row>
    <row r="165" spans="1:13" ht="17.25" customHeight="1" thickBot="1">
      <c r="A165" s="297">
        <v>2</v>
      </c>
      <c r="B165" s="593">
        <v>40</v>
      </c>
      <c r="C165" s="594">
        <v>40602</v>
      </c>
      <c r="D165" s="593" t="s">
        <v>293</v>
      </c>
      <c r="E165" s="296" t="s">
        <v>294</v>
      </c>
      <c r="F165" s="595">
        <v>27778</v>
      </c>
      <c r="G165" s="419">
        <v>1.0349999999999999</v>
      </c>
      <c r="H165" s="299">
        <f t="shared" si="3"/>
        <v>28750</v>
      </c>
      <c r="J165" s="596">
        <v>1.0349999999999999</v>
      </c>
      <c r="K165" s="293" t="s">
        <v>268</v>
      </c>
      <c r="L165" s="291" t="s">
        <v>269</v>
      </c>
      <c r="M165" s="292">
        <v>145778</v>
      </c>
    </row>
    <row r="166" spans="1:13" ht="17.25" customHeight="1" thickBot="1">
      <c r="A166" s="297">
        <v>2</v>
      </c>
      <c r="B166" s="593">
        <v>37</v>
      </c>
      <c r="C166" s="594">
        <v>40571</v>
      </c>
      <c r="D166" s="593" t="s">
        <v>295</v>
      </c>
      <c r="E166" s="296" t="s">
        <v>296</v>
      </c>
      <c r="F166" s="595">
        <v>25000</v>
      </c>
      <c r="G166" s="419">
        <v>1.0349999999999999</v>
      </c>
      <c r="H166" s="299">
        <f t="shared" si="3"/>
        <v>25875</v>
      </c>
      <c r="J166" s="419">
        <v>1.0329999999999999</v>
      </c>
      <c r="K166" s="293" t="s">
        <v>270</v>
      </c>
      <c r="L166" s="291" t="s">
        <v>271</v>
      </c>
      <c r="M166" s="292">
        <v>90948</v>
      </c>
    </row>
    <row r="167" spans="1:13" ht="17.25" customHeight="1" thickBot="1">
      <c r="A167" s="297">
        <v>2</v>
      </c>
      <c r="B167" s="593">
        <v>41</v>
      </c>
      <c r="C167" s="594">
        <v>40602</v>
      </c>
      <c r="D167" s="593" t="s">
        <v>295</v>
      </c>
      <c r="E167" s="296" t="s">
        <v>296</v>
      </c>
      <c r="F167" s="595">
        <v>27778</v>
      </c>
      <c r="G167" s="419">
        <v>1.0349999999999999</v>
      </c>
      <c r="H167" s="299">
        <f t="shared" si="3"/>
        <v>28750</v>
      </c>
      <c r="J167" s="421">
        <v>1.0249999999999999</v>
      </c>
      <c r="K167" s="293" t="s">
        <v>273</v>
      </c>
      <c r="L167" s="294" t="s">
        <v>274</v>
      </c>
      <c r="M167" s="292">
        <v>51148</v>
      </c>
    </row>
    <row r="168" spans="1:13" ht="17.25" customHeight="1" thickBot="1">
      <c r="A168" s="297">
        <v>2</v>
      </c>
      <c r="B168" s="593">
        <v>39</v>
      </c>
      <c r="C168" s="594">
        <v>40571</v>
      </c>
      <c r="D168" s="593" t="s">
        <v>297</v>
      </c>
      <c r="E168" s="296" t="s">
        <v>298</v>
      </c>
      <c r="F168" s="595">
        <v>18000</v>
      </c>
      <c r="G168" s="419">
        <v>1.0349999999999999</v>
      </c>
      <c r="H168" s="299">
        <f t="shared" si="3"/>
        <v>18630</v>
      </c>
      <c r="J168" s="420">
        <v>1.022</v>
      </c>
      <c r="K168" s="295" t="s">
        <v>276</v>
      </c>
      <c r="L168" s="291" t="s">
        <v>277</v>
      </c>
      <c r="M168" s="292">
        <v>195002</v>
      </c>
    </row>
    <row r="169" spans="1:13" ht="17.25" customHeight="1" thickBot="1">
      <c r="A169" s="297">
        <v>2</v>
      </c>
      <c r="B169" s="593">
        <v>42</v>
      </c>
      <c r="C169" s="594">
        <v>40602</v>
      </c>
      <c r="D169" s="593" t="s">
        <v>297</v>
      </c>
      <c r="E169" s="296" t="s">
        <v>298</v>
      </c>
      <c r="F169" s="595">
        <v>22222</v>
      </c>
      <c r="G169" s="419">
        <v>1.0349999999999999</v>
      </c>
      <c r="H169" s="299">
        <f t="shared" si="3"/>
        <v>23000</v>
      </c>
      <c r="J169" s="421">
        <v>1.018</v>
      </c>
      <c r="K169" s="293" t="s">
        <v>279</v>
      </c>
      <c r="L169" s="291" t="s">
        <v>280</v>
      </c>
      <c r="M169" s="292">
        <v>95184</v>
      </c>
    </row>
    <row r="170" spans="1:13" ht="17.25" customHeight="1" thickBot="1">
      <c r="A170" s="287">
        <v>3</v>
      </c>
      <c r="B170" s="593">
        <v>44</v>
      </c>
      <c r="C170" s="594">
        <v>40633</v>
      </c>
      <c r="D170" s="593" t="s">
        <v>293</v>
      </c>
      <c r="E170" s="296" t="s">
        <v>294</v>
      </c>
      <c r="F170" s="595">
        <v>27778</v>
      </c>
      <c r="G170" s="596">
        <v>1.0329999999999999</v>
      </c>
      <c r="H170" s="299">
        <f t="shared" si="3"/>
        <v>28695</v>
      </c>
      <c r="J170" s="419">
        <v>1.016</v>
      </c>
      <c r="K170" s="293" t="s">
        <v>281</v>
      </c>
      <c r="L170" s="291" t="s">
        <v>282</v>
      </c>
      <c r="M170" s="292">
        <v>137131</v>
      </c>
    </row>
    <row r="171" spans="1:13" ht="15.75" thickBot="1">
      <c r="A171" s="287">
        <v>3</v>
      </c>
      <c r="B171" s="593">
        <v>43</v>
      </c>
      <c r="C171" s="594">
        <v>40633</v>
      </c>
      <c r="D171" s="593" t="s">
        <v>295</v>
      </c>
      <c r="E171" s="296" t="s">
        <v>296</v>
      </c>
      <c r="F171" s="595">
        <v>27778</v>
      </c>
      <c r="G171" s="596">
        <v>1.0329999999999999</v>
      </c>
      <c r="H171" s="299">
        <f t="shared" si="3"/>
        <v>28695</v>
      </c>
      <c r="J171" s="422">
        <v>1.0149999999999999</v>
      </c>
      <c r="K171" s="293" t="s">
        <v>283</v>
      </c>
      <c r="L171" s="291" t="s">
        <v>284</v>
      </c>
      <c r="M171" s="292">
        <v>131766</v>
      </c>
    </row>
    <row r="172" spans="1:13" ht="30.75" thickBot="1">
      <c r="A172" s="287">
        <v>3</v>
      </c>
      <c r="B172" s="593">
        <v>45</v>
      </c>
      <c r="C172" s="594">
        <v>40633</v>
      </c>
      <c r="D172" s="593" t="s">
        <v>297</v>
      </c>
      <c r="E172" s="296" t="s">
        <v>298</v>
      </c>
      <c r="F172" s="595">
        <v>20000</v>
      </c>
      <c r="G172" s="596">
        <v>1.0329999999999999</v>
      </c>
      <c r="H172" s="299">
        <f t="shared" si="3"/>
        <v>20660</v>
      </c>
      <c r="J172" s="423">
        <v>1.0129999999999999</v>
      </c>
      <c r="K172" s="293" t="s">
        <v>286</v>
      </c>
      <c r="L172" s="291" t="s">
        <v>287</v>
      </c>
      <c r="M172" s="292">
        <v>130171</v>
      </c>
    </row>
    <row r="173" spans="1:13" ht="15.75" thickBot="1">
      <c r="A173" s="287">
        <v>3</v>
      </c>
      <c r="B173" s="593">
        <v>43</v>
      </c>
      <c r="C173" s="594">
        <v>40633</v>
      </c>
      <c r="D173" s="593" t="s">
        <v>299</v>
      </c>
      <c r="E173" s="296" t="s">
        <v>300</v>
      </c>
      <c r="F173" s="595">
        <v>15392</v>
      </c>
      <c r="G173" s="596">
        <v>1.0329999999999999</v>
      </c>
      <c r="H173" s="299">
        <f t="shared" si="3"/>
        <v>15900</v>
      </c>
      <c r="J173" s="419">
        <v>1.008</v>
      </c>
      <c r="K173" s="293" t="s">
        <v>288</v>
      </c>
      <c r="L173" s="291" t="s">
        <v>289</v>
      </c>
      <c r="M173" s="292">
        <v>120378</v>
      </c>
    </row>
    <row r="174" spans="1:13" ht="15.75" thickBot="1">
      <c r="A174" s="297">
        <v>4</v>
      </c>
      <c r="B174" s="593">
        <v>49</v>
      </c>
      <c r="C174" s="594">
        <v>40662</v>
      </c>
      <c r="D174" s="593" t="s">
        <v>301</v>
      </c>
      <c r="E174" s="296" t="s">
        <v>302</v>
      </c>
      <c r="F174" s="595">
        <v>13889</v>
      </c>
      <c r="G174" s="419">
        <v>1.0249999999999999</v>
      </c>
      <c r="H174" s="299">
        <f t="shared" si="3"/>
        <v>14236</v>
      </c>
      <c r="J174" s="424">
        <v>1.0029999999999999</v>
      </c>
      <c r="K174" s="293" t="s">
        <v>290</v>
      </c>
      <c r="L174" s="291" t="s">
        <v>291</v>
      </c>
      <c r="M174" s="292">
        <v>208772</v>
      </c>
    </row>
    <row r="175" spans="1:13" ht="15.75" thickBot="1">
      <c r="A175" s="297">
        <v>4</v>
      </c>
      <c r="B175" s="593">
        <v>50</v>
      </c>
      <c r="C175" s="594">
        <v>40662</v>
      </c>
      <c r="D175" s="593" t="s">
        <v>303</v>
      </c>
      <c r="E175" s="296" t="s">
        <v>304</v>
      </c>
      <c r="F175" s="595">
        <v>19444</v>
      </c>
      <c r="G175" s="419">
        <v>1.0249999999999999</v>
      </c>
      <c r="H175" s="299">
        <f t="shared" si="3"/>
        <v>19930</v>
      </c>
      <c r="J175" s="419">
        <v>1</v>
      </c>
      <c r="K175" s="293" t="s">
        <v>292</v>
      </c>
      <c r="L175" s="291"/>
      <c r="M175" s="292">
        <v>70304</v>
      </c>
    </row>
    <row r="176" spans="1:13" ht="27" thickBot="1">
      <c r="A176" s="297">
        <v>4</v>
      </c>
      <c r="B176" s="593">
        <v>52</v>
      </c>
      <c r="C176" s="594">
        <v>40662</v>
      </c>
      <c r="D176" s="593" t="s">
        <v>305</v>
      </c>
      <c r="E176" s="296" t="s">
        <v>306</v>
      </c>
      <c r="F176" s="595">
        <v>3000</v>
      </c>
      <c r="G176" s="419">
        <v>1.0249999999999999</v>
      </c>
      <c r="H176" s="299">
        <f t="shared" si="3"/>
        <v>3075</v>
      </c>
      <c r="J176" s="419">
        <v>1</v>
      </c>
      <c r="K176" s="537" t="s">
        <v>318</v>
      </c>
      <c r="L176" s="538"/>
      <c r="M176" s="292">
        <f>SUM(M164:M175)</f>
        <v>1376582</v>
      </c>
    </row>
    <row r="177" spans="1:8">
      <c r="A177" s="297">
        <v>4</v>
      </c>
      <c r="B177" s="593">
        <v>51</v>
      </c>
      <c r="C177" s="594">
        <v>40662</v>
      </c>
      <c r="D177" s="593" t="s">
        <v>307</v>
      </c>
      <c r="E177" s="296" t="s">
        <v>308</v>
      </c>
      <c r="F177" s="595">
        <v>14815</v>
      </c>
      <c r="G177" s="419">
        <v>1.0249999999999999</v>
      </c>
      <c r="H177" s="299">
        <f t="shared" si="3"/>
        <v>15185</v>
      </c>
    </row>
    <row r="178" spans="1:8">
      <c r="A178" s="287">
        <v>5</v>
      </c>
      <c r="B178" s="593">
        <v>55</v>
      </c>
      <c r="C178" s="594">
        <v>40694</v>
      </c>
      <c r="D178" s="593" t="s">
        <v>301</v>
      </c>
      <c r="E178" s="296" t="s">
        <v>302</v>
      </c>
      <c r="F178" s="595">
        <v>27778</v>
      </c>
      <c r="G178" s="420">
        <v>1.022</v>
      </c>
      <c r="H178" s="299">
        <f t="shared" si="3"/>
        <v>28389</v>
      </c>
    </row>
    <row r="179" spans="1:8">
      <c r="A179" s="287">
        <v>5</v>
      </c>
      <c r="B179" s="593">
        <v>56</v>
      </c>
      <c r="C179" s="594">
        <v>40694</v>
      </c>
      <c r="D179" s="593" t="s">
        <v>309</v>
      </c>
      <c r="E179" s="296" t="s">
        <v>310</v>
      </c>
      <c r="F179" s="595">
        <v>20556</v>
      </c>
      <c r="G179" s="420">
        <v>1.022</v>
      </c>
      <c r="H179" s="299">
        <f t="shared" si="3"/>
        <v>21008</v>
      </c>
    </row>
    <row r="180" spans="1:8">
      <c r="A180" s="287">
        <v>5</v>
      </c>
      <c r="B180" s="593">
        <v>54</v>
      </c>
      <c r="C180" s="594">
        <v>40694</v>
      </c>
      <c r="D180" s="593" t="s">
        <v>303</v>
      </c>
      <c r="E180" s="296" t="s">
        <v>304</v>
      </c>
      <c r="F180" s="595">
        <v>27778</v>
      </c>
      <c r="G180" s="420">
        <v>1.022</v>
      </c>
      <c r="H180" s="299">
        <f t="shared" si="3"/>
        <v>28389</v>
      </c>
    </row>
    <row r="181" spans="1:8">
      <c r="A181" s="287">
        <v>5</v>
      </c>
      <c r="B181" s="593">
        <v>59</v>
      </c>
      <c r="C181" s="594">
        <v>40694</v>
      </c>
      <c r="D181" s="593" t="s">
        <v>311</v>
      </c>
      <c r="E181" s="296" t="s">
        <v>312</v>
      </c>
      <c r="F181" s="595">
        <v>27778</v>
      </c>
      <c r="G181" s="420">
        <v>1.022</v>
      </c>
      <c r="H181" s="299">
        <f t="shared" si="3"/>
        <v>28389</v>
      </c>
    </row>
    <row r="182" spans="1:8">
      <c r="A182" s="287">
        <v>5</v>
      </c>
      <c r="B182" s="593">
        <v>58</v>
      </c>
      <c r="C182" s="594">
        <v>40694</v>
      </c>
      <c r="D182" s="593" t="s">
        <v>305</v>
      </c>
      <c r="E182" s="296" t="s">
        <v>306</v>
      </c>
      <c r="F182" s="595">
        <v>27778</v>
      </c>
      <c r="G182" s="420">
        <v>1.022</v>
      </c>
      <c r="H182" s="299">
        <f t="shared" si="3"/>
        <v>28389</v>
      </c>
    </row>
    <row r="183" spans="1:8" ht="30">
      <c r="A183" s="287">
        <v>5</v>
      </c>
      <c r="B183" s="593">
        <v>57</v>
      </c>
      <c r="C183" s="594">
        <v>40694</v>
      </c>
      <c r="D183" s="593" t="s">
        <v>313</v>
      </c>
      <c r="E183" s="296" t="s">
        <v>314</v>
      </c>
      <c r="F183" s="595">
        <v>4445</v>
      </c>
      <c r="G183" s="420">
        <v>1.022</v>
      </c>
      <c r="H183" s="299">
        <f t="shared" si="3"/>
        <v>4543</v>
      </c>
    </row>
    <row r="184" spans="1:8" ht="30">
      <c r="A184" s="287">
        <v>5</v>
      </c>
      <c r="B184" s="593">
        <v>61</v>
      </c>
      <c r="C184" s="594">
        <v>40694</v>
      </c>
      <c r="D184" s="593" t="s">
        <v>315</v>
      </c>
      <c r="E184" s="296" t="s">
        <v>316</v>
      </c>
      <c r="F184" s="595">
        <v>20000</v>
      </c>
      <c r="G184" s="420">
        <v>1.022</v>
      </c>
      <c r="H184" s="299">
        <f t="shared" si="3"/>
        <v>20440</v>
      </c>
    </row>
    <row r="185" spans="1:8">
      <c r="A185" s="287">
        <v>5</v>
      </c>
      <c r="B185" s="593">
        <v>60</v>
      </c>
      <c r="C185" s="594">
        <v>40694</v>
      </c>
      <c r="D185" s="593" t="s">
        <v>307</v>
      </c>
      <c r="E185" s="296" t="s">
        <v>308</v>
      </c>
      <c r="F185" s="595">
        <v>38889</v>
      </c>
      <c r="G185" s="420">
        <v>1.022</v>
      </c>
      <c r="H185" s="299">
        <f t="shared" si="3"/>
        <v>39745</v>
      </c>
    </row>
  </sheetData>
  <pageMargins left="1.59" right="0.46" top="0.75" bottom="0.75" header="0.3" footer="0.3"/>
  <pageSetup paperSize="9" scale="1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indexed="10"/>
    <pageSetUpPr fitToPage="1"/>
  </sheetPr>
  <dimension ref="A1:M32"/>
  <sheetViews>
    <sheetView topLeftCell="A10" workbookViewId="0">
      <selection activeCell="E28" sqref="E28"/>
    </sheetView>
  </sheetViews>
  <sheetFormatPr baseColWidth="10" defaultColWidth="11.42578125" defaultRowHeight="15"/>
  <cols>
    <col min="1" max="1" width="3.140625" style="287" customWidth="1"/>
    <col min="2" max="2" width="4.28515625" style="287" customWidth="1"/>
    <col min="3" max="3" width="11.42578125" style="287"/>
    <col min="4" max="4" width="13.85546875" style="287" customWidth="1"/>
    <col min="5" max="5" width="15.28515625" style="287" customWidth="1"/>
    <col min="6" max="6" width="14.5703125" style="287" customWidth="1"/>
    <col min="7" max="7" width="8.85546875" style="287" customWidth="1"/>
    <col min="8" max="8" width="11.42578125" style="287"/>
    <col min="9" max="9" width="12.28515625" style="287" customWidth="1"/>
    <col min="10" max="10" width="10" style="287" customWidth="1"/>
    <col min="11" max="11" width="13.28515625" style="287" customWidth="1"/>
    <col min="12" max="12" width="11.42578125" style="287"/>
    <col min="13" max="13" width="18.5703125" style="287" customWidth="1"/>
    <col min="14" max="14" width="6.140625" style="287" customWidth="1"/>
    <col min="15" max="15" width="11.42578125" style="287"/>
    <col min="16" max="16" width="6.85546875" style="287" customWidth="1"/>
    <col min="17" max="17" width="11.7109375" style="287" customWidth="1"/>
    <col min="18" max="30" width="11.42578125" style="287"/>
    <col min="31" max="31" width="37.5703125" style="287" customWidth="1"/>
    <col min="32" max="16384" width="11.42578125" style="287"/>
  </cols>
  <sheetData>
    <row r="1" spans="3:13" ht="18">
      <c r="C1" s="259" t="str">
        <f>+MAYOR!B1</f>
        <v>SOCIEDAD COMERCIAL SOLMET SpA</v>
      </c>
      <c r="D1"/>
      <c r="E1"/>
      <c r="F1"/>
      <c r="G1"/>
      <c r="H1"/>
      <c r="I1"/>
    </row>
    <row r="2" spans="3:13">
      <c r="C2" s="417" t="str">
        <f>+MAYOR!B2</f>
        <v>BOMBEROS SALAS #1445 OFC 601B</v>
      </c>
      <c r="D2"/>
      <c r="E2"/>
      <c r="F2"/>
      <c r="G2"/>
      <c r="H2"/>
      <c r="I2"/>
    </row>
    <row r="3" spans="3:13">
      <c r="C3" s="417" t="str">
        <f>+MAYOR!B3</f>
        <v>RUT: 76.541.377-K</v>
      </c>
      <c r="D3"/>
      <c r="E3"/>
      <c r="F3"/>
      <c r="G3"/>
      <c r="H3"/>
      <c r="I3"/>
    </row>
    <row r="4" spans="3:13" ht="15" customHeight="1" thickBot="1">
      <c r="C4" s="417">
        <f>+MAYOR!B4</f>
        <v>0</v>
      </c>
      <c r="D4"/>
      <c r="E4"/>
      <c r="F4"/>
      <c r="G4"/>
      <c r="H4"/>
      <c r="I4"/>
    </row>
    <row r="5" spans="3:13" ht="12.75" customHeight="1" thickBot="1">
      <c r="C5"/>
      <c r="D5"/>
      <c r="E5"/>
      <c r="F5"/>
      <c r="G5"/>
      <c r="H5"/>
      <c r="I5"/>
      <c r="J5" s="288"/>
      <c r="K5" s="288"/>
      <c r="L5" s="598">
        <v>1.0509999999999999</v>
      </c>
      <c r="M5" s="290" t="s">
        <v>266</v>
      </c>
    </row>
    <row r="6" spans="3:13" ht="12.75" customHeight="1" thickBot="1">
      <c r="C6"/>
      <c r="D6"/>
      <c r="E6"/>
      <c r="F6"/>
      <c r="G6"/>
      <c r="H6"/>
      <c r="I6"/>
      <c r="J6" s="288"/>
      <c r="K6" s="288"/>
      <c r="L6" s="599">
        <v>1.0489999999999999</v>
      </c>
      <c r="M6" s="293" t="s">
        <v>563</v>
      </c>
    </row>
    <row r="7" spans="3:13" ht="12.75" customHeight="1" thickBot="1">
      <c r="C7"/>
      <c r="D7"/>
      <c r="E7"/>
      <c r="F7"/>
      <c r="G7"/>
      <c r="H7"/>
      <c r="I7"/>
      <c r="J7" s="288"/>
      <c r="K7" s="288"/>
      <c r="L7" s="600">
        <v>1.044</v>
      </c>
      <c r="M7" s="293" t="s">
        <v>270</v>
      </c>
    </row>
    <row r="8" spans="3:13" ht="12.75" customHeight="1" thickBot="1">
      <c r="C8"/>
      <c r="D8"/>
      <c r="E8" s="301" t="s">
        <v>272</v>
      </c>
      <c r="F8"/>
      <c r="G8"/>
      <c r="H8"/>
      <c r="I8"/>
      <c r="J8" s="288"/>
      <c r="K8" s="288"/>
      <c r="L8" s="601">
        <v>1.0349999999999999</v>
      </c>
      <c r="M8" s="293" t="s">
        <v>273</v>
      </c>
    </row>
    <row r="9" spans="3:13" ht="12.75" customHeight="1" thickBot="1">
      <c r="C9"/>
      <c r="D9"/>
      <c r="E9" s="301" t="s">
        <v>275</v>
      </c>
      <c r="F9"/>
      <c r="G9"/>
      <c r="H9"/>
      <c r="I9"/>
      <c r="J9" s="288"/>
      <c r="K9" s="288"/>
      <c r="L9" s="602">
        <v>1.0289999999999999</v>
      </c>
      <c r="M9" s="295" t="s">
        <v>276</v>
      </c>
    </row>
    <row r="10" spans="3:13" ht="12.75" customHeight="1" thickBot="1">
      <c r="C10"/>
      <c r="D10" s="139" t="s">
        <v>278</v>
      </c>
      <c r="E10" s="140"/>
      <c r="F10" s="141"/>
      <c r="G10"/>
      <c r="I10"/>
      <c r="J10" s="288"/>
      <c r="K10" s="288"/>
      <c r="L10" s="603">
        <v>1.0249999999999999</v>
      </c>
      <c r="M10" s="293" t="s">
        <v>279</v>
      </c>
    </row>
    <row r="11" spans="3:13" ht="12.75" customHeight="1" thickBot="1">
      <c r="C11"/>
      <c r="D11"/>
      <c r="E11"/>
      <c r="F11"/>
      <c r="G11"/>
      <c r="I11"/>
      <c r="J11" s="288"/>
      <c r="K11" s="288"/>
      <c r="L11" s="604">
        <v>1.0249999999999999</v>
      </c>
      <c r="M11" s="293" t="s">
        <v>281</v>
      </c>
    </row>
    <row r="12" spans="3:13" ht="12.75" customHeight="1" thickBot="1">
      <c r="C12" s="142" t="s">
        <v>117</v>
      </c>
      <c r="D12" s="143" t="s">
        <v>61</v>
      </c>
      <c r="E12" s="144" t="s">
        <v>60</v>
      </c>
      <c r="F12" s="143" t="s">
        <v>61</v>
      </c>
      <c r="G12" s="145" t="s">
        <v>64</v>
      </c>
      <c r="I12"/>
      <c r="J12" s="288"/>
      <c r="K12" s="288"/>
      <c r="L12" s="605">
        <v>1.022</v>
      </c>
      <c r="M12" s="293" t="s">
        <v>283</v>
      </c>
    </row>
    <row r="13" spans="3:13" ht="12.75" customHeight="1" thickBot="1">
      <c r="C13" s="146"/>
      <c r="D13" s="147" t="s">
        <v>118</v>
      </c>
      <c r="E13" s="148" t="s">
        <v>64</v>
      </c>
      <c r="F13" s="147" t="s">
        <v>285</v>
      </c>
      <c r="G13" s="149"/>
      <c r="I13"/>
      <c r="J13" s="288"/>
      <c r="K13" s="288"/>
      <c r="L13" s="606">
        <v>1.0189999999999999</v>
      </c>
      <c r="M13" s="293" t="s">
        <v>286</v>
      </c>
    </row>
    <row r="14" spans="3:13" ht="12.75" customHeight="1" thickBot="1">
      <c r="C14" s="150">
        <v>40179</v>
      </c>
      <c r="D14" s="184"/>
      <c r="E14" s="598">
        <v>1.0509999999999999</v>
      </c>
      <c r="F14" s="151">
        <f t="shared" ref="F14:F25" si="0">ROUND(D14*E14,0)</f>
        <v>0</v>
      </c>
      <c r="G14" s="153">
        <f t="shared" ref="G14:G25" si="1">ROUND(F14-D14,0)</f>
        <v>0</v>
      </c>
      <c r="I14"/>
      <c r="J14" s="288"/>
      <c r="K14" s="288"/>
      <c r="L14" s="607">
        <v>1.0109999999999999</v>
      </c>
      <c r="M14" s="293" t="s">
        <v>564</v>
      </c>
    </row>
    <row r="15" spans="3:13" ht="12.75" customHeight="1" thickBot="1">
      <c r="C15" s="150">
        <v>40210</v>
      </c>
      <c r="D15" s="151">
        <v>0</v>
      </c>
      <c r="E15" s="599">
        <v>1.0489999999999999</v>
      </c>
      <c r="F15" s="151">
        <f t="shared" si="0"/>
        <v>0</v>
      </c>
      <c r="G15" s="153">
        <f t="shared" si="1"/>
        <v>0</v>
      </c>
      <c r="I15"/>
      <c r="J15" s="288"/>
      <c r="K15" s="288"/>
      <c r="L15" s="608">
        <v>1</v>
      </c>
      <c r="M15" s="293" t="s">
        <v>565</v>
      </c>
    </row>
    <row r="16" spans="3:13" ht="12.75" customHeight="1" thickBot="1">
      <c r="C16" s="150">
        <v>40238</v>
      </c>
      <c r="D16" s="151">
        <v>0</v>
      </c>
      <c r="E16" s="600">
        <v>1.044</v>
      </c>
      <c r="F16" s="151">
        <f t="shared" si="0"/>
        <v>0</v>
      </c>
      <c r="G16" s="153">
        <f t="shared" si="1"/>
        <v>0</v>
      </c>
      <c r="I16"/>
      <c r="J16" s="288"/>
      <c r="K16" s="288"/>
      <c r="L16" s="419">
        <v>1</v>
      </c>
      <c r="M16" s="293" t="s">
        <v>292</v>
      </c>
    </row>
    <row r="17" spans="1:13" ht="12.75" customHeight="1">
      <c r="C17" s="150">
        <v>40269</v>
      </c>
      <c r="D17" s="151">
        <v>1111</v>
      </c>
      <c r="E17" s="601">
        <v>1.0349999999999999</v>
      </c>
      <c r="F17" s="151">
        <f t="shared" si="0"/>
        <v>1150</v>
      </c>
      <c r="G17" s="153">
        <f t="shared" si="1"/>
        <v>39</v>
      </c>
      <c r="I17"/>
      <c r="J17" s="288"/>
      <c r="K17" s="288"/>
      <c r="L17" s="419"/>
    </row>
    <row r="18" spans="1:13" ht="12" customHeight="1">
      <c r="C18" s="150">
        <v>40299</v>
      </c>
      <c r="D18" s="151">
        <v>0</v>
      </c>
      <c r="E18" s="602">
        <v>1.0289999999999999</v>
      </c>
      <c r="F18" s="151">
        <f t="shared" si="0"/>
        <v>0</v>
      </c>
      <c r="G18" s="153">
        <f t="shared" si="1"/>
        <v>0</v>
      </c>
      <c r="I18"/>
      <c r="J18" s="288"/>
      <c r="K18" s="288"/>
    </row>
    <row r="19" spans="1:13" ht="12" customHeight="1">
      <c r="C19" s="150">
        <v>40330</v>
      </c>
      <c r="D19" s="151">
        <v>0</v>
      </c>
      <c r="E19" s="603">
        <v>1.0249999999999999</v>
      </c>
      <c r="F19" s="151">
        <f t="shared" si="0"/>
        <v>0</v>
      </c>
      <c r="G19" s="153">
        <f t="shared" si="1"/>
        <v>0</v>
      </c>
      <c r="I19"/>
      <c r="J19" s="288"/>
      <c r="K19" s="288"/>
    </row>
    <row r="20" spans="1:13" ht="12" customHeight="1">
      <c r="C20" s="150">
        <v>40360</v>
      </c>
      <c r="D20" s="151">
        <v>0</v>
      </c>
      <c r="E20" s="604">
        <v>1.0249999999999999</v>
      </c>
      <c r="F20" s="151">
        <f t="shared" si="0"/>
        <v>0</v>
      </c>
      <c r="G20" s="153">
        <f t="shared" si="1"/>
        <v>0</v>
      </c>
      <c r="I20"/>
      <c r="J20" s="288"/>
      <c r="K20" s="288"/>
    </row>
    <row r="21" spans="1:13" ht="12" customHeight="1">
      <c r="C21" s="150">
        <v>40391</v>
      </c>
      <c r="D21" s="151">
        <v>0</v>
      </c>
      <c r="E21" s="605">
        <v>1.022</v>
      </c>
      <c r="F21" s="151">
        <f t="shared" si="0"/>
        <v>0</v>
      </c>
      <c r="G21" s="153">
        <f t="shared" si="1"/>
        <v>0</v>
      </c>
      <c r="I21"/>
      <c r="J21" s="288"/>
      <c r="K21" s="288"/>
    </row>
    <row r="22" spans="1:13" ht="12" customHeight="1">
      <c r="C22" s="150">
        <v>40422</v>
      </c>
      <c r="D22" s="151">
        <v>0</v>
      </c>
      <c r="E22" s="606">
        <v>1.0189999999999999</v>
      </c>
      <c r="F22" s="151">
        <f t="shared" si="0"/>
        <v>0</v>
      </c>
      <c r="G22" s="153">
        <f t="shared" si="1"/>
        <v>0</v>
      </c>
      <c r="I22"/>
    </row>
    <row r="23" spans="1:13" ht="12" customHeight="1">
      <c r="C23" s="150">
        <v>40452</v>
      </c>
      <c r="D23" s="151">
        <v>0</v>
      </c>
      <c r="E23" s="607">
        <v>1.0109999999999999</v>
      </c>
      <c r="F23" s="151">
        <f t="shared" si="0"/>
        <v>0</v>
      </c>
      <c r="G23" s="153">
        <f t="shared" si="1"/>
        <v>0</v>
      </c>
      <c r="I23"/>
    </row>
    <row r="24" spans="1:13" ht="12" customHeight="1">
      <c r="C24" s="150">
        <v>40483</v>
      </c>
      <c r="D24" s="151">
        <v>0</v>
      </c>
      <c r="E24" s="608">
        <v>1</v>
      </c>
      <c r="F24" s="151">
        <f t="shared" si="0"/>
        <v>0</v>
      </c>
      <c r="G24" s="153">
        <f t="shared" si="1"/>
        <v>0</v>
      </c>
      <c r="I24"/>
    </row>
    <row r="25" spans="1:13" ht="12" customHeight="1">
      <c r="C25" s="150">
        <v>40513</v>
      </c>
      <c r="D25" s="151">
        <v>0</v>
      </c>
      <c r="E25" s="419">
        <v>1</v>
      </c>
      <c r="F25" s="151">
        <f t="shared" si="0"/>
        <v>0</v>
      </c>
      <c r="G25" s="153">
        <f t="shared" si="1"/>
        <v>0</v>
      </c>
      <c r="I25"/>
    </row>
    <row r="26" spans="1:13" ht="12" customHeight="1">
      <c r="C26" s="150"/>
      <c r="D26" s="151"/>
      <c r="E26" s="289"/>
      <c r="F26" s="151"/>
      <c r="G26" s="153"/>
      <c r="I26"/>
    </row>
    <row r="27" spans="1:13" ht="12" customHeight="1">
      <c r="C27" s="2"/>
      <c r="D27" s="185"/>
      <c r="E27" s="154"/>
      <c r="F27" s="151"/>
      <c r="G27" s="153"/>
      <c r="I27"/>
    </row>
    <row r="28" spans="1:13">
      <c r="C28" s="155"/>
      <c r="D28" s="156">
        <f>SUM(D14:D27)</f>
        <v>1111</v>
      </c>
      <c r="E28" s="157"/>
      <c r="F28" s="156">
        <f>SUM(F14:F27)</f>
        <v>1150</v>
      </c>
      <c r="G28" s="156">
        <f>SUM(G14:G27)</f>
        <v>39</v>
      </c>
      <c r="I28"/>
    </row>
    <row r="29" spans="1:13">
      <c r="E29" s="296"/>
    </row>
    <row r="30" spans="1:13">
      <c r="A30" s="297"/>
      <c r="B30" s="297"/>
      <c r="C30" s="297"/>
      <c r="D30" s="297"/>
      <c r="E30" s="298"/>
      <c r="F30" s="297"/>
      <c r="G30" s="297"/>
      <c r="H30" s="297"/>
      <c r="I30" s="297"/>
      <c r="J30" s="297"/>
      <c r="K30" s="297"/>
      <c r="L30" s="297"/>
      <c r="M30" s="297"/>
    </row>
    <row r="31" spans="1:13">
      <c r="E31" s="296"/>
    </row>
    <row r="32" spans="1:13">
      <c r="E32" s="296"/>
    </row>
  </sheetData>
  <phoneticPr fontId="42" type="noConversion"/>
  <pageMargins left="1.59" right="0.46" top="0.75" bottom="0.75" header="0.3" footer="0.3"/>
  <pageSetup paperSize="9"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N222"/>
  <sheetViews>
    <sheetView showGridLines="0" view="pageBreakPreview" zoomScale="85" zoomScaleNormal="85" zoomScaleSheetLayoutView="85" workbookViewId="0">
      <selection sqref="A1:I63"/>
    </sheetView>
  </sheetViews>
  <sheetFormatPr baseColWidth="10" defaultColWidth="11.42578125" defaultRowHeight="15.75" customHeight="1"/>
  <cols>
    <col min="1" max="1" width="42.85546875" style="99" customWidth="1"/>
    <col min="2" max="2" width="17" style="99" customWidth="1"/>
    <col min="3" max="3" width="17.7109375" style="99" customWidth="1"/>
    <col min="4" max="9" width="18.140625" style="99" customWidth="1"/>
    <col min="10" max="10" width="15.7109375" style="476" customWidth="1"/>
    <col min="11" max="11" width="13.5703125" style="476" bestFit="1" customWidth="1"/>
    <col min="12" max="12" width="21.42578125" style="476" customWidth="1"/>
    <col min="13" max="13" width="16.7109375" style="99" customWidth="1"/>
    <col min="14" max="14" width="11.42578125" style="99"/>
    <col min="15" max="16" width="14.42578125" style="99" bestFit="1" customWidth="1"/>
    <col min="17" max="16384" width="11.42578125" style="99"/>
  </cols>
  <sheetData>
    <row r="1" spans="1:14" ht="24" customHeight="1">
      <c r="A1" s="648" t="str">
        <f>+MAYOR!B1</f>
        <v>SOCIEDAD COMERCIAL SOLMET SpA</v>
      </c>
      <c r="B1" s="649"/>
      <c r="C1" s="649"/>
      <c r="D1" s="650"/>
      <c r="E1" s="651"/>
      <c r="F1" s="651"/>
      <c r="G1" s="651"/>
      <c r="H1" s="651"/>
      <c r="I1" s="651"/>
    </row>
    <row r="2" spans="1:14" ht="15.75" customHeight="1">
      <c r="A2" s="652" t="str">
        <f>+MAYOR!B2</f>
        <v>BOMBEROS SALAS #1445 OFC 601B</v>
      </c>
      <c r="B2" s="649"/>
      <c r="C2" s="649"/>
      <c r="D2" s="653"/>
      <c r="E2" s="651"/>
      <c r="F2" s="651"/>
      <c r="G2" s="651"/>
      <c r="H2" s="651"/>
      <c r="I2" s="651"/>
    </row>
    <row r="3" spans="1:14" ht="15.75" customHeight="1">
      <c r="A3" s="652" t="str">
        <f>+MAYOR!B3</f>
        <v>RUT: 76.541.377-K</v>
      </c>
      <c r="B3" s="649"/>
      <c r="C3" s="649"/>
      <c r="D3" s="653"/>
      <c r="E3" s="651"/>
      <c r="F3" s="651"/>
      <c r="G3" s="651"/>
      <c r="H3" s="651"/>
      <c r="I3" s="651"/>
    </row>
    <row r="4" spans="1:14" ht="15.75" customHeight="1">
      <c r="A4" s="652">
        <f>+MAYOR!B4</f>
        <v>0</v>
      </c>
      <c r="B4" s="654"/>
      <c r="C4" s="649"/>
      <c r="D4" s="653"/>
      <c r="E4" s="651"/>
      <c r="F4" s="651"/>
      <c r="G4" s="651"/>
      <c r="H4" s="651"/>
      <c r="I4" s="651"/>
    </row>
    <row r="5" spans="1:14" ht="15.75" customHeight="1">
      <c r="A5" s="654"/>
      <c r="B5" s="651"/>
      <c r="C5" s="651"/>
      <c r="D5" s="653"/>
      <c r="E5" s="651"/>
      <c r="F5" s="651"/>
      <c r="G5" s="651"/>
      <c r="H5" s="651"/>
      <c r="I5" s="651"/>
    </row>
    <row r="6" spans="1:14" s="115" customFormat="1" ht="20.25" customHeight="1">
      <c r="A6" s="655" t="s">
        <v>1020</v>
      </c>
      <c r="B6" s="656"/>
      <c r="C6" s="656"/>
      <c r="D6" s="656"/>
      <c r="E6" s="656"/>
      <c r="F6" s="656">
        <f>+D49</f>
        <v>0</v>
      </c>
      <c r="G6" s="656"/>
      <c r="H6" s="656"/>
      <c r="I6" s="656"/>
      <c r="J6" s="476"/>
      <c r="K6" s="476"/>
      <c r="L6" s="476"/>
    </row>
    <row r="7" spans="1:14" s="118" customFormat="1" ht="15.75" customHeight="1">
      <c r="A7" s="657" t="s">
        <v>1087</v>
      </c>
      <c r="B7" s="658"/>
      <c r="C7" s="658"/>
      <c r="D7" s="658"/>
      <c r="E7" s="658"/>
      <c r="F7" s="658"/>
      <c r="G7" s="658"/>
      <c r="H7" s="658"/>
      <c r="I7" s="658"/>
      <c r="J7" s="476"/>
      <c r="K7" s="476"/>
      <c r="L7" s="476"/>
    </row>
    <row r="8" spans="1:14" ht="5.25" customHeight="1">
      <c r="A8" s="659"/>
      <c r="B8" s="651"/>
      <c r="C8" s="651"/>
      <c r="D8" s="651"/>
      <c r="E8" s="651"/>
      <c r="F8" s="651"/>
      <c r="G8" s="651"/>
      <c r="H8" s="651"/>
      <c r="I8" s="651"/>
    </row>
    <row r="9" spans="1:14" ht="6.75" customHeight="1">
      <c r="A9" s="651"/>
      <c r="B9" s="651"/>
      <c r="C9" s="651"/>
      <c r="D9" s="651"/>
      <c r="E9" s="651"/>
      <c r="F9" s="651"/>
      <c r="G9" s="651"/>
      <c r="H9" s="651"/>
      <c r="I9" s="651"/>
    </row>
    <row r="10" spans="1:14" ht="15.75" customHeight="1" thickBot="1">
      <c r="A10" s="666" t="s">
        <v>11</v>
      </c>
      <c r="B10" s="667" t="s">
        <v>12</v>
      </c>
      <c r="C10" s="667" t="s">
        <v>13</v>
      </c>
      <c r="D10" s="668" t="s">
        <v>7</v>
      </c>
      <c r="E10" s="669"/>
      <c r="F10" s="670" t="s">
        <v>14</v>
      </c>
      <c r="G10" s="671"/>
      <c r="H10" s="668" t="s">
        <v>15</v>
      </c>
      <c r="I10" s="672"/>
    </row>
    <row r="11" spans="1:14" ht="15.75" customHeight="1">
      <c r="A11" s="673"/>
      <c r="B11" s="674" t="s">
        <v>16</v>
      </c>
      <c r="C11" s="674" t="s">
        <v>17</v>
      </c>
      <c r="D11" s="675" t="s">
        <v>18</v>
      </c>
      <c r="E11" s="676" t="s">
        <v>19</v>
      </c>
      <c r="F11" s="675" t="s">
        <v>20</v>
      </c>
      <c r="G11" s="676" t="s">
        <v>21</v>
      </c>
      <c r="H11" s="676" t="s">
        <v>22</v>
      </c>
      <c r="I11" s="677" t="s">
        <v>23</v>
      </c>
    </row>
    <row r="12" spans="1:14" s="120" customFormat="1" ht="15.75" customHeight="1" thickBot="1">
      <c r="A12" s="660" t="str">
        <f>+MAYOR!F6</f>
        <v>DISPONIBLE</v>
      </c>
      <c r="B12" s="661">
        <f>+MAYOR!F228</f>
        <v>0</v>
      </c>
      <c r="C12" s="661">
        <f>+MAYOR!G228</f>
        <v>0</v>
      </c>
      <c r="D12" s="661">
        <f>IF(B12&gt;C12,B12-C12,0)</f>
        <v>0</v>
      </c>
      <c r="E12" s="661">
        <f t="shared" ref="E12:E60" si="0">IF(B12&lt;C12,C12-B12,0)</f>
        <v>0</v>
      </c>
      <c r="F12" s="662">
        <f t="shared" ref="F12:G17" si="1">IF(D12&lt;0,0,D12)</f>
        <v>0</v>
      </c>
      <c r="G12" s="662">
        <f t="shared" si="1"/>
        <v>0</v>
      </c>
      <c r="H12" s="661">
        <f t="shared" ref="H12:I17" si="2">IF(F12&lt;=0,D12,0)</f>
        <v>0</v>
      </c>
      <c r="I12" s="661">
        <f t="shared" si="2"/>
        <v>0</v>
      </c>
      <c r="J12" s="476"/>
      <c r="K12" s="476"/>
      <c r="L12" s="476"/>
    </row>
    <row r="13" spans="1:14" s="857" customFormat="1" ht="15.75" customHeight="1" thickBot="1">
      <c r="A13" s="660" t="str">
        <f>+MAYOR!L6</f>
        <v>P.P.M.</v>
      </c>
      <c r="B13" s="661">
        <f>+MAYOR!L228</f>
        <v>0</v>
      </c>
      <c r="C13" s="661">
        <f>+MAYOR!M228</f>
        <v>0</v>
      </c>
      <c r="D13" s="661">
        <f t="shared" ref="D13:D60" si="3">IF(B13&gt;C13,B13-C13,0)</f>
        <v>0</v>
      </c>
      <c r="E13" s="661">
        <f t="shared" si="0"/>
        <v>0</v>
      </c>
      <c r="F13" s="662">
        <f t="shared" si="1"/>
        <v>0</v>
      </c>
      <c r="G13" s="662">
        <f t="shared" si="1"/>
        <v>0</v>
      </c>
      <c r="H13" s="661">
        <f t="shared" si="2"/>
        <v>0</v>
      </c>
      <c r="I13" s="661">
        <f t="shared" si="2"/>
        <v>0</v>
      </c>
      <c r="J13" s="856"/>
      <c r="K13" s="908">
        <v>3459463</v>
      </c>
      <c r="L13" s="856"/>
      <c r="M13" s="503"/>
      <c r="N13" s="503"/>
    </row>
    <row r="14" spans="1:14" s="857" customFormat="1" ht="15.75" customHeight="1">
      <c r="A14" s="660" t="str">
        <f>+MAYOR!R6</f>
        <v>CAMION FAENERO ANTOFAGASTA</v>
      </c>
      <c r="B14" s="661">
        <f>+MAYOR!R228</f>
        <v>0</v>
      </c>
      <c r="C14" s="661">
        <f>+MAYOR!S228</f>
        <v>0</v>
      </c>
      <c r="D14" s="661">
        <f t="shared" si="3"/>
        <v>0</v>
      </c>
      <c r="E14" s="661">
        <f t="shared" si="0"/>
        <v>0</v>
      </c>
      <c r="F14" s="662">
        <f>IF(D14&lt;0,0,D14)</f>
        <v>0</v>
      </c>
      <c r="G14" s="662">
        <f t="shared" si="1"/>
        <v>0</v>
      </c>
      <c r="H14" s="661">
        <f t="shared" si="2"/>
        <v>0</v>
      </c>
      <c r="I14" s="661">
        <f t="shared" si="2"/>
        <v>0</v>
      </c>
      <c r="J14" s="856"/>
      <c r="K14" s="909"/>
      <c r="L14" s="856"/>
      <c r="M14" s="503"/>
      <c r="N14" s="503"/>
    </row>
    <row r="15" spans="1:14" s="120" customFormat="1" ht="15.75" customHeight="1">
      <c r="A15" s="660" t="str">
        <f>+MAYOR!Z6</f>
        <v>VEHICULOS</v>
      </c>
      <c r="B15" s="661">
        <f>+MAYOR!Z228</f>
        <v>0</v>
      </c>
      <c r="C15" s="661">
        <f>+MAYOR!AA228</f>
        <v>0</v>
      </c>
      <c r="D15" s="661">
        <f t="shared" si="3"/>
        <v>0</v>
      </c>
      <c r="E15" s="661">
        <f t="shared" si="0"/>
        <v>0</v>
      </c>
      <c r="F15" s="662">
        <f t="shared" si="1"/>
        <v>0</v>
      </c>
      <c r="G15" s="662">
        <f t="shared" si="1"/>
        <v>0</v>
      </c>
      <c r="H15" s="661">
        <f t="shared" si="2"/>
        <v>0</v>
      </c>
      <c r="I15" s="661">
        <f t="shared" si="2"/>
        <v>0</v>
      </c>
      <c r="J15" s="1398" t="s">
        <v>1088</v>
      </c>
      <c r="K15" s="476"/>
      <c r="L15" s="476"/>
      <c r="M15" s="100"/>
      <c r="N15" s="100"/>
    </row>
    <row r="16" spans="1:14" s="120" customFormat="1" ht="15.75" hidden="1" customHeight="1">
      <c r="A16" s="660" t="str">
        <f>+MAYOR!P6</f>
        <v>INVESTIGACION NUEVOS PROYECTOS MINEROS</v>
      </c>
      <c r="B16" s="661">
        <f>+MAYOR!P228</f>
        <v>0</v>
      </c>
      <c r="C16" s="661">
        <f>+MAYOR!Q228</f>
        <v>0</v>
      </c>
      <c r="D16" s="661">
        <f t="shared" si="3"/>
        <v>0</v>
      </c>
      <c r="E16" s="661">
        <f t="shared" si="0"/>
        <v>0</v>
      </c>
      <c r="F16" s="662">
        <f t="shared" si="1"/>
        <v>0</v>
      </c>
      <c r="G16" s="662">
        <f t="shared" si="1"/>
        <v>0</v>
      </c>
      <c r="H16" s="661">
        <f t="shared" si="2"/>
        <v>0</v>
      </c>
      <c r="I16" s="661">
        <f t="shared" si="2"/>
        <v>0</v>
      </c>
      <c r="J16" s="1399"/>
      <c r="K16" s="476"/>
      <c r="L16" s="476"/>
      <c r="M16" s="100"/>
      <c r="N16" s="100"/>
    </row>
    <row r="17" spans="1:14" s="120" customFormat="1" ht="15.75" customHeight="1" thickBot="1">
      <c r="A17" s="660" t="str">
        <f>+MAYOR!N6</f>
        <v>RETIROS  DEL EJERCICIO</v>
      </c>
      <c r="B17" s="661">
        <f>+MAYOR!N228</f>
        <v>0</v>
      </c>
      <c r="C17" s="661">
        <f>+MAYOR!O228</f>
        <v>0</v>
      </c>
      <c r="D17" s="661">
        <f t="shared" si="3"/>
        <v>0</v>
      </c>
      <c r="E17" s="661">
        <f t="shared" si="0"/>
        <v>0</v>
      </c>
      <c r="F17" s="662">
        <f t="shared" si="1"/>
        <v>0</v>
      </c>
      <c r="G17" s="662">
        <f t="shared" si="1"/>
        <v>0</v>
      </c>
      <c r="H17" s="661">
        <f t="shared" si="2"/>
        <v>0</v>
      </c>
      <c r="I17" s="661">
        <f t="shared" si="2"/>
        <v>0</v>
      </c>
      <c r="J17" s="1428">
        <f>SUM(F14:F15,F18)</f>
        <v>0</v>
      </c>
      <c r="K17" s="476"/>
      <c r="L17" s="476"/>
      <c r="M17" s="100"/>
      <c r="N17" s="100"/>
    </row>
    <row r="18" spans="1:14" s="120" customFormat="1" ht="15.75" customHeight="1" thickBot="1">
      <c r="A18" s="660" t="str">
        <f>+MAYOR!AN6</f>
        <v>Vehiculos usados Faena MEL</v>
      </c>
      <c r="B18" s="661">
        <f>+MAYOR!AN228</f>
        <v>0</v>
      </c>
      <c r="C18" s="661">
        <f>+MAYOR!AO228</f>
        <v>0</v>
      </c>
      <c r="D18" s="661">
        <f>IF(B18&gt;C18,B18-C18,0)</f>
        <v>0</v>
      </c>
      <c r="E18" s="661">
        <f>IF(B18&lt;C18,C18-B18,0)</f>
        <v>0</v>
      </c>
      <c r="F18" s="662">
        <f>IF(D18&lt;0,0,D18)</f>
        <v>0</v>
      </c>
      <c r="G18" s="662">
        <f>IF(E18&lt;0,0,E18)</f>
        <v>0</v>
      </c>
      <c r="H18" s="661">
        <f>IF(F18&lt;=0,D18,0)</f>
        <v>0</v>
      </c>
      <c r="I18" s="660">
        <f>IF(G18&lt;=0,E18,0)</f>
        <v>0</v>
      </c>
      <c r="J18" s="1429" t="s">
        <v>1089</v>
      </c>
      <c r="K18" s="476"/>
      <c r="L18" s="476"/>
      <c r="M18" s="100"/>
      <c r="N18" s="100"/>
    </row>
    <row r="19" spans="1:14" s="120" customFormat="1" ht="15.75" hidden="1" customHeight="1">
      <c r="A19" s="660"/>
      <c r="B19" s="661"/>
      <c r="C19" s="661">
        <v>0</v>
      </c>
      <c r="D19" s="661"/>
      <c r="E19" s="661"/>
      <c r="F19" s="662"/>
      <c r="G19" s="662"/>
      <c r="H19" s="661"/>
      <c r="I19" s="661"/>
      <c r="J19" s="476"/>
      <c r="K19" s="476"/>
      <c r="L19" s="476"/>
      <c r="M19" s="100"/>
      <c r="N19" s="100"/>
    </row>
    <row r="20" spans="1:14" s="120" customFormat="1" ht="15.75" customHeight="1" thickBot="1">
      <c r="A20" s="660" t="str">
        <f>+MAYOR!AL6</f>
        <v>INTERESES DIFERIDOS BCI</v>
      </c>
      <c r="B20" s="661">
        <f>+MAYOR!AL228</f>
        <v>0</v>
      </c>
      <c r="C20" s="661">
        <f>+MAYOR!AM228</f>
        <v>0</v>
      </c>
      <c r="D20" s="661">
        <f>IF(B20&gt;C20,B20-C20,0)</f>
        <v>0</v>
      </c>
      <c r="E20" s="661">
        <f>IF(B20&lt;C20,C20-B20,0)</f>
        <v>0</v>
      </c>
      <c r="F20" s="662">
        <f t="shared" ref="F20:G35" si="4">IF(D20&lt;0,0,D20)</f>
        <v>0</v>
      </c>
      <c r="G20" s="662">
        <f t="shared" si="4"/>
        <v>0</v>
      </c>
      <c r="H20" s="661">
        <f t="shared" ref="H20:I35" si="5">IF(F20&lt;=0,D20,0)</f>
        <v>0</v>
      </c>
      <c r="I20" s="661">
        <f t="shared" si="5"/>
        <v>0</v>
      </c>
      <c r="J20" s="476">
        <f>+G32</f>
        <v>0</v>
      </c>
      <c r="K20" s="476">
        <v>8306766</v>
      </c>
      <c r="L20" s="476"/>
      <c r="M20" s="100"/>
      <c r="N20" s="100"/>
    </row>
    <row r="21" spans="1:14" s="120" customFormat="1" ht="15.75" customHeight="1" thickBot="1">
      <c r="A21" s="660" t="str">
        <f>+MAYOR!AP6</f>
        <v>Pago a Usureros Colombianos</v>
      </c>
      <c r="B21" s="661">
        <f>+MAYOR!AP228</f>
        <v>0</v>
      </c>
      <c r="C21" s="661">
        <f>+MAYOR!AQ228</f>
        <v>0</v>
      </c>
      <c r="D21" s="661">
        <f>IF(B21&gt;C21,B21-C21,0)</f>
        <v>0</v>
      </c>
      <c r="E21" s="661">
        <f>IF(B21&lt;C21,C21-B21,0)</f>
        <v>0</v>
      </c>
      <c r="F21" s="662">
        <f t="shared" si="4"/>
        <v>0</v>
      </c>
      <c r="G21" s="662">
        <f t="shared" si="4"/>
        <v>0</v>
      </c>
      <c r="H21" s="661">
        <f t="shared" si="5"/>
        <v>0</v>
      </c>
      <c r="I21" s="660">
        <f t="shared" si="5"/>
        <v>0</v>
      </c>
      <c r="J21" s="1427" t="s">
        <v>1099</v>
      </c>
      <c r="K21" s="476">
        <v>0</v>
      </c>
      <c r="L21" s="476"/>
      <c r="M21" s="100"/>
      <c r="N21" s="100"/>
    </row>
    <row r="22" spans="1:14" s="120" customFormat="1" ht="15.75" customHeight="1" thickBot="1">
      <c r="A22" s="660" t="str">
        <f>+MAYOR!BQ6</f>
        <v>Ptmo para Pago Proveedores</v>
      </c>
      <c r="B22" s="661">
        <f>+MAYOR!BQ228</f>
        <v>0</v>
      </c>
      <c r="C22" s="661">
        <f>+MAYOR!BR228</f>
        <v>0</v>
      </c>
      <c r="D22" s="661">
        <f t="shared" si="3"/>
        <v>0</v>
      </c>
      <c r="E22" s="661">
        <f t="shared" si="0"/>
        <v>0</v>
      </c>
      <c r="F22" s="662">
        <f t="shared" si="4"/>
        <v>0</v>
      </c>
      <c r="G22" s="662">
        <f t="shared" si="4"/>
        <v>0</v>
      </c>
      <c r="H22" s="661">
        <f t="shared" si="5"/>
        <v>0</v>
      </c>
      <c r="I22" s="661">
        <f t="shared" si="5"/>
        <v>0</v>
      </c>
      <c r="J22" s="1426">
        <f>+J17-J20</f>
        <v>0</v>
      </c>
      <c r="K22" s="476">
        <v>8200000</v>
      </c>
      <c r="L22" s="476"/>
    </row>
    <row r="23" spans="1:14" s="120" customFormat="1" ht="15.75" customHeight="1" thickTop="1">
      <c r="A23" s="660" t="str">
        <f>+MAYOR!BI6</f>
        <v>Cambio Sujeto</v>
      </c>
      <c r="B23" s="661">
        <f>+MAYOR!BI228</f>
        <v>0</v>
      </c>
      <c r="C23" s="661">
        <f>+MAYOR!BJ228</f>
        <v>0</v>
      </c>
      <c r="D23" s="661">
        <f t="shared" si="3"/>
        <v>0</v>
      </c>
      <c r="E23" s="661">
        <f t="shared" si="0"/>
        <v>0</v>
      </c>
      <c r="F23" s="662">
        <f t="shared" si="4"/>
        <v>0</v>
      </c>
      <c r="G23" s="662">
        <f t="shared" si="4"/>
        <v>0</v>
      </c>
      <c r="H23" s="661">
        <f t="shared" si="5"/>
        <v>0</v>
      </c>
      <c r="I23" s="661">
        <f t="shared" si="5"/>
        <v>0</v>
      </c>
      <c r="J23" s="476"/>
      <c r="K23" s="476"/>
      <c r="L23" s="476"/>
    </row>
    <row r="24" spans="1:14" s="120" customFormat="1" ht="15.75" hidden="1" customHeight="1">
      <c r="A24" s="660" t="str">
        <f>+MAYOR!T6</f>
        <v>CREDITO SENCE</v>
      </c>
      <c r="B24" s="661">
        <f>+MAYOR!T228</f>
        <v>0</v>
      </c>
      <c r="C24" s="661"/>
      <c r="D24" s="661">
        <f t="shared" si="3"/>
        <v>0</v>
      </c>
      <c r="E24" s="661">
        <f t="shared" si="0"/>
        <v>0</v>
      </c>
      <c r="F24" s="662">
        <f t="shared" si="4"/>
        <v>0</v>
      </c>
      <c r="G24" s="662">
        <f t="shared" si="4"/>
        <v>0</v>
      </c>
      <c r="H24" s="661">
        <f t="shared" si="5"/>
        <v>0</v>
      </c>
      <c r="I24" s="661">
        <f t="shared" si="5"/>
        <v>0</v>
      </c>
      <c r="J24" s="476"/>
      <c r="K24" s="476">
        <v>459261</v>
      </c>
      <c r="L24" s="476"/>
      <c r="N24" s="100"/>
    </row>
    <row r="25" spans="1:14" s="120" customFormat="1" ht="15.75" customHeight="1">
      <c r="A25" s="660" t="str">
        <f>+MAYOR!AU6</f>
        <v>AFP</v>
      </c>
      <c r="B25" s="661">
        <f>+MAYOR!AU228</f>
        <v>0</v>
      </c>
      <c r="C25" s="661">
        <f>+MAYOR!AV228</f>
        <v>0</v>
      </c>
      <c r="D25" s="661">
        <f t="shared" si="3"/>
        <v>0</v>
      </c>
      <c r="E25" s="661">
        <f t="shared" si="0"/>
        <v>0</v>
      </c>
      <c r="F25" s="662">
        <f t="shared" si="4"/>
        <v>0</v>
      </c>
      <c r="G25" s="662">
        <f t="shared" si="4"/>
        <v>0</v>
      </c>
      <c r="H25" s="661">
        <f t="shared" si="5"/>
        <v>0</v>
      </c>
      <c r="I25" s="661">
        <f t="shared" si="5"/>
        <v>0</v>
      </c>
      <c r="J25" s="476"/>
      <c r="K25" s="476"/>
      <c r="L25" s="476"/>
    </row>
    <row r="26" spans="1:14" s="120" customFormat="1" ht="15.75" customHeight="1">
      <c r="A26" s="660" t="str">
        <f>+MAYOR!AW6</f>
        <v>RETENCION DE HONORARIOS</v>
      </c>
      <c r="B26" s="661">
        <f>+MAYOR!AW228</f>
        <v>0</v>
      </c>
      <c r="C26" s="661">
        <f>+MAYOR!AX228</f>
        <v>0</v>
      </c>
      <c r="D26" s="661">
        <f t="shared" si="3"/>
        <v>0</v>
      </c>
      <c r="E26" s="661">
        <f t="shared" si="0"/>
        <v>0</v>
      </c>
      <c r="F26" s="662">
        <f>IF(D26&lt;0,0,D26)</f>
        <v>0</v>
      </c>
      <c r="G26" s="662">
        <f>IF(E26&lt;0,0,E26)</f>
        <v>0</v>
      </c>
      <c r="H26" s="661">
        <f>IF(F26&lt;=0,D26,0)</f>
        <v>0</v>
      </c>
      <c r="I26" s="661">
        <f>IF(G26&lt;=0,E26,0)</f>
        <v>0</v>
      </c>
      <c r="J26" s="476"/>
      <c r="K26" s="476">
        <f>SUM(K20:K25)</f>
        <v>16966027</v>
      </c>
      <c r="L26" s="476"/>
    </row>
    <row r="27" spans="1:14" s="120" customFormat="1" ht="15.75" customHeight="1">
      <c r="A27" s="817" t="str">
        <f>+MAYOR!AY6</f>
        <v>P.P.M. POR PAGAR</v>
      </c>
      <c r="B27" s="818">
        <f>+MAYOR!AY228</f>
        <v>0</v>
      </c>
      <c r="C27" s="818">
        <f>+MAYOR!AZ228</f>
        <v>0</v>
      </c>
      <c r="D27" s="818">
        <f t="shared" si="3"/>
        <v>0</v>
      </c>
      <c r="E27" s="818">
        <f t="shared" si="0"/>
        <v>0</v>
      </c>
      <c r="F27" s="819">
        <f t="shared" si="4"/>
        <v>0</v>
      </c>
      <c r="G27" s="819">
        <f t="shared" si="4"/>
        <v>0</v>
      </c>
      <c r="H27" s="818">
        <f t="shared" si="5"/>
        <v>0</v>
      </c>
      <c r="I27" s="818">
        <f t="shared" si="5"/>
        <v>0</v>
      </c>
      <c r="J27" s="476"/>
      <c r="K27" s="476"/>
      <c r="L27" s="476"/>
    </row>
    <row r="28" spans="1:14" s="120" customFormat="1" ht="15.75" customHeight="1">
      <c r="A28" s="660" t="str">
        <f>+MAYOR!J6</f>
        <v>IVA POR PAGAR</v>
      </c>
      <c r="B28" s="661">
        <f>+MAYOR!J228</f>
        <v>0</v>
      </c>
      <c r="C28" s="661">
        <f>+MAYOR!K228</f>
        <v>0</v>
      </c>
      <c r="D28" s="661">
        <f t="shared" si="3"/>
        <v>0</v>
      </c>
      <c r="E28" s="661">
        <f t="shared" si="0"/>
        <v>0</v>
      </c>
      <c r="F28" s="662">
        <f t="shared" si="4"/>
        <v>0</v>
      </c>
      <c r="G28" s="662">
        <f t="shared" si="4"/>
        <v>0</v>
      </c>
      <c r="H28" s="661">
        <f t="shared" si="5"/>
        <v>0</v>
      </c>
      <c r="I28" s="661">
        <f t="shared" si="5"/>
        <v>0</v>
      </c>
      <c r="J28" s="476"/>
      <c r="K28" s="476">
        <v>3811437</v>
      </c>
      <c r="L28" s="476"/>
    </row>
    <row r="29" spans="1:14" s="857" customFormat="1" ht="15.75" hidden="1" customHeight="1">
      <c r="A29" s="660" t="str">
        <f>+MAYOR!BA6</f>
        <v>IMPTO UNICO</v>
      </c>
      <c r="B29" s="661">
        <f>+MAYOR!BA228</f>
        <v>0</v>
      </c>
      <c r="C29" s="661">
        <f>+MAYOR!BB228</f>
        <v>0</v>
      </c>
      <c r="D29" s="661">
        <f>IF(B29&gt;C29,B29-C29,0)</f>
        <v>0</v>
      </c>
      <c r="E29" s="661">
        <f t="shared" si="0"/>
        <v>0</v>
      </c>
      <c r="F29" s="662">
        <f t="shared" si="4"/>
        <v>0</v>
      </c>
      <c r="G29" s="662">
        <f t="shared" si="4"/>
        <v>0</v>
      </c>
      <c r="H29" s="661">
        <f t="shared" si="5"/>
        <v>0</v>
      </c>
      <c r="I29" s="661">
        <f t="shared" si="5"/>
        <v>0</v>
      </c>
      <c r="J29" s="856"/>
      <c r="K29" s="856"/>
      <c r="L29" s="856"/>
    </row>
    <row r="30" spans="1:14" s="120" customFormat="1" ht="15.75" customHeight="1">
      <c r="A30" s="660" t="str">
        <f>+MAYOR!BY6</f>
        <v>ITAU PRESTAMO MM$80</v>
      </c>
      <c r="B30" s="661">
        <f>+MAYOR!BY228</f>
        <v>0</v>
      </c>
      <c r="C30" s="661">
        <f>+MAYOR!BZ228</f>
        <v>0</v>
      </c>
      <c r="D30" s="661">
        <f>IF(B30&gt;C30,B30-C30,0)</f>
        <v>0</v>
      </c>
      <c r="E30" s="661">
        <f t="shared" si="0"/>
        <v>0</v>
      </c>
      <c r="F30" s="662">
        <f t="shared" si="4"/>
        <v>0</v>
      </c>
      <c r="G30" s="662">
        <f t="shared" si="4"/>
        <v>0</v>
      </c>
      <c r="H30" s="661">
        <f t="shared" si="5"/>
        <v>0</v>
      </c>
      <c r="I30" s="661">
        <f t="shared" si="5"/>
        <v>0</v>
      </c>
      <c r="J30" s="476"/>
      <c r="K30" s="476">
        <f>+F28</f>
        <v>0</v>
      </c>
      <c r="L30" s="476"/>
    </row>
    <row r="31" spans="1:14" s="120" customFormat="1" ht="15.75" customHeight="1">
      <c r="A31" s="660" t="str">
        <f>+MAYOR!BO6</f>
        <v>PROVISION DE IMPUESTOS</v>
      </c>
      <c r="B31" s="661">
        <f>+MAYOR!BO228</f>
        <v>0</v>
      </c>
      <c r="C31" s="661">
        <f>+MAYOR!BP228</f>
        <v>0</v>
      </c>
      <c r="D31" s="661">
        <f t="shared" si="3"/>
        <v>0</v>
      </c>
      <c r="E31" s="661">
        <f t="shared" si="0"/>
        <v>0</v>
      </c>
      <c r="F31" s="662">
        <f t="shared" si="4"/>
        <v>0</v>
      </c>
      <c r="G31" s="662">
        <f t="shared" si="4"/>
        <v>0</v>
      </c>
      <c r="H31" s="661">
        <f t="shared" si="5"/>
        <v>0</v>
      </c>
      <c r="I31" s="661">
        <f t="shared" si="5"/>
        <v>0</v>
      </c>
      <c r="J31" s="476">
        <f>+G30</f>
        <v>0</v>
      </c>
      <c r="K31" s="476">
        <f>+K28-K30</f>
        <v>3811437</v>
      </c>
      <c r="L31" s="476">
        <v>13411244</v>
      </c>
    </row>
    <row r="32" spans="1:14" s="120" customFormat="1" ht="15.75" customHeight="1">
      <c r="A32" s="1397" t="str">
        <f>+MAYOR!BE6</f>
        <v>DEPRECIACION ACUMULADA</v>
      </c>
      <c r="B32" s="661">
        <f>+MAYOR!BE228</f>
        <v>0</v>
      </c>
      <c r="C32" s="661">
        <f>+MAYOR!BF228</f>
        <v>0</v>
      </c>
      <c r="D32" s="661">
        <f t="shared" si="3"/>
        <v>0</v>
      </c>
      <c r="E32" s="661">
        <f t="shared" si="0"/>
        <v>0</v>
      </c>
      <c r="F32" s="661">
        <f t="shared" si="4"/>
        <v>0</v>
      </c>
      <c r="G32" s="661">
        <f t="shared" si="4"/>
        <v>0</v>
      </c>
      <c r="H32" s="661">
        <f t="shared" si="5"/>
        <v>0</v>
      </c>
      <c r="I32" s="661">
        <f t="shared" si="5"/>
        <v>0</v>
      </c>
      <c r="J32" s="476"/>
      <c r="K32" s="476"/>
      <c r="L32" s="476"/>
    </row>
    <row r="33" spans="1:12" s="120" customFormat="1" ht="15.75" customHeight="1">
      <c r="A33" s="817" t="str">
        <f>+MAYOR!BK6</f>
        <v xml:space="preserve">FINANCIAMIENTO DE TERCEROS </v>
      </c>
      <c r="B33" s="818">
        <f>+MAYOR!BK228</f>
        <v>0</v>
      </c>
      <c r="C33" s="818">
        <f>+MAYOR!BL228</f>
        <v>0</v>
      </c>
      <c r="D33" s="818">
        <f t="shared" si="3"/>
        <v>0</v>
      </c>
      <c r="E33" s="818">
        <f t="shared" si="0"/>
        <v>0</v>
      </c>
      <c r="F33" s="819">
        <f t="shared" si="4"/>
        <v>0</v>
      </c>
      <c r="G33" s="819">
        <f t="shared" si="4"/>
        <v>0</v>
      </c>
      <c r="H33" s="661">
        <f t="shared" si="5"/>
        <v>0</v>
      </c>
      <c r="I33" s="661">
        <f t="shared" si="5"/>
        <v>0</v>
      </c>
      <c r="J33" s="476">
        <f>+G29</f>
        <v>0</v>
      </c>
      <c r="K33" s="476"/>
      <c r="L33" s="476">
        <v>58602</v>
      </c>
    </row>
    <row r="34" spans="1:12" s="120" customFormat="1" ht="15.75" hidden="1" customHeight="1" thickBot="1">
      <c r="A34" s="660" t="str">
        <f>+MAYOR!BM6</f>
        <v>CTAS POR PAGAR</v>
      </c>
      <c r="B34" s="661">
        <f>+MAYOR!BM228</f>
        <v>0</v>
      </c>
      <c r="C34" s="661">
        <f>+MAYOR!BN228</f>
        <v>0</v>
      </c>
      <c r="D34" s="661">
        <f t="shared" si="3"/>
        <v>0</v>
      </c>
      <c r="E34" s="661">
        <f t="shared" si="0"/>
        <v>0</v>
      </c>
      <c r="F34" s="662">
        <f t="shared" si="4"/>
        <v>0</v>
      </c>
      <c r="G34" s="662">
        <f t="shared" si="4"/>
        <v>0</v>
      </c>
      <c r="H34" s="661">
        <f t="shared" si="5"/>
        <v>0</v>
      </c>
      <c r="I34" s="661">
        <f t="shared" si="5"/>
        <v>0</v>
      </c>
      <c r="J34" s="476">
        <f>SUM(J31:J33)</f>
        <v>0</v>
      </c>
      <c r="K34" s="476"/>
      <c r="L34" s="1104">
        <f>SUM(L31:L33)</f>
        <v>13469846</v>
      </c>
    </row>
    <row r="35" spans="1:12" s="120" customFormat="1" ht="15.75" customHeight="1">
      <c r="A35" s="660" t="str">
        <f>+MAYOR!CC6</f>
        <v>CAPITAL</v>
      </c>
      <c r="B35" s="661">
        <f>+MAYOR!CC228</f>
        <v>0</v>
      </c>
      <c r="C35" s="661">
        <f>+MAYOR!CD228</f>
        <v>0</v>
      </c>
      <c r="D35" s="661">
        <f t="shared" si="3"/>
        <v>0</v>
      </c>
      <c r="E35" s="661">
        <f t="shared" si="0"/>
        <v>0</v>
      </c>
      <c r="F35" s="662">
        <f t="shared" si="4"/>
        <v>0</v>
      </c>
      <c r="G35" s="662">
        <f t="shared" si="4"/>
        <v>0</v>
      </c>
      <c r="H35" s="661">
        <f t="shared" si="5"/>
        <v>0</v>
      </c>
      <c r="I35" s="661">
        <f t="shared" si="5"/>
        <v>0</v>
      </c>
      <c r="J35" s="476"/>
      <c r="K35" s="476">
        <v>3327899</v>
      </c>
      <c r="L35" s="476"/>
    </row>
    <row r="36" spans="1:12" s="120" customFormat="1" ht="15.75" customHeight="1">
      <c r="A36" s="660" t="str">
        <f>+MAYOR!CE6</f>
        <v>REV. CAPITAL PROPIO</v>
      </c>
      <c r="B36" s="661">
        <f>+MAYOR!CE228</f>
        <v>0</v>
      </c>
      <c r="C36" s="661">
        <f>+MAYOR!CF228</f>
        <v>0</v>
      </c>
      <c r="D36" s="661">
        <f t="shared" si="3"/>
        <v>0</v>
      </c>
      <c r="E36" s="661">
        <f t="shared" si="0"/>
        <v>0</v>
      </c>
      <c r="F36" s="662">
        <f t="shared" ref="F36:G38" si="6">IF(D36&lt;0,0,D36)</f>
        <v>0</v>
      </c>
      <c r="G36" s="662">
        <f t="shared" si="6"/>
        <v>0</v>
      </c>
      <c r="H36" s="661">
        <f t="shared" ref="H36:I55" si="7">IF(F36&lt;=0,D36,0)</f>
        <v>0</v>
      </c>
      <c r="I36" s="661">
        <f t="shared" si="7"/>
        <v>0</v>
      </c>
      <c r="J36" s="476"/>
      <c r="K36" s="476">
        <v>3811437</v>
      </c>
      <c r="L36" s="476"/>
    </row>
    <row r="37" spans="1:12" s="120" customFormat="1" ht="15.75" customHeight="1">
      <c r="A37" s="660" t="str">
        <f>+MAYOR!CG6</f>
        <v>RESULTADO ACUMULADO</v>
      </c>
      <c r="B37" s="661">
        <f>+MAYOR!CG228</f>
        <v>0</v>
      </c>
      <c r="C37" s="661">
        <f>+MAYOR!CH228</f>
        <v>0</v>
      </c>
      <c r="D37" s="661">
        <f t="shared" si="3"/>
        <v>0</v>
      </c>
      <c r="E37" s="661">
        <f t="shared" si="0"/>
        <v>0</v>
      </c>
      <c r="F37" s="662">
        <f t="shared" si="6"/>
        <v>0</v>
      </c>
      <c r="G37" s="662">
        <f t="shared" si="6"/>
        <v>0</v>
      </c>
      <c r="H37" s="661">
        <f t="shared" si="7"/>
        <v>0</v>
      </c>
      <c r="I37" s="661">
        <f t="shared" si="7"/>
        <v>0</v>
      </c>
      <c r="J37" s="476"/>
      <c r="K37" s="476">
        <f>+K35-K36</f>
        <v>-483538</v>
      </c>
      <c r="L37" s="476"/>
    </row>
    <row r="38" spans="1:12" s="120" customFormat="1" ht="15.75" customHeight="1">
      <c r="A38" s="660" t="str">
        <f>+MAYOR!CI6</f>
        <v>RESULTADO EJERCICIO ANTERIOR</v>
      </c>
      <c r="B38" s="661">
        <f>+MAYOR!CI228</f>
        <v>0</v>
      </c>
      <c r="C38" s="661">
        <f>+MAYOR!CJ228</f>
        <v>0</v>
      </c>
      <c r="D38" s="661">
        <f t="shared" si="3"/>
        <v>0</v>
      </c>
      <c r="E38" s="661">
        <f t="shared" si="0"/>
        <v>0</v>
      </c>
      <c r="F38" s="661">
        <f t="shared" si="6"/>
        <v>0</v>
      </c>
      <c r="G38" s="661">
        <f t="shared" si="6"/>
        <v>0</v>
      </c>
      <c r="H38" s="661">
        <f t="shared" si="7"/>
        <v>0</v>
      </c>
      <c r="I38" s="661">
        <f t="shared" si="7"/>
        <v>0</v>
      </c>
      <c r="J38" s="476"/>
      <c r="K38" s="476"/>
      <c r="L38" s="476"/>
    </row>
    <row r="39" spans="1:12" s="857" customFormat="1" ht="15.75" customHeight="1">
      <c r="A39" s="660" t="str">
        <f>+MAYOR!CL6</f>
        <v xml:space="preserve">INGRESOS VENTA </v>
      </c>
      <c r="B39" s="661">
        <f>+MAYOR!CL228</f>
        <v>0</v>
      </c>
      <c r="C39" s="661">
        <f>+MAYOR!CM228</f>
        <v>0</v>
      </c>
      <c r="D39" s="661">
        <f t="shared" si="3"/>
        <v>0</v>
      </c>
      <c r="E39" s="661">
        <f t="shared" si="0"/>
        <v>0</v>
      </c>
      <c r="F39" s="662">
        <v>0</v>
      </c>
      <c r="G39" s="662">
        <v>0</v>
      </c>
      <c r="H39" s="661">
        <f t="shared" si="7"/>
        <v>0</v>
      </c>
      <c r="I39" s="661">
        <f t="shared" si="7"/>
        <v>0</v>
      </c>
      <c r="J39" s="1168">
        <f>+I39+I40</f>
        <v>0</v>
      </c>
      <c r="K39" s="1169">
        <v>154917647</v>
      </c>
      <c r="L39" s="1172">
        <v>226125207</v>
      </c>
    </row>
    <row r="40" spans="1:12" s="857" customFormat="1" ht="15.75" hidden="1" customHeight="1">
      <c r="A40" s="660" t="str">
        <f>+MAYOR!CN6</f>
        <v>INGRESOS VTA EXENTAS</v>
      </c>
      <c r="B40" s="661">
        <f>+MAYOR!CN228</f>
        <v>0</v>
      </c>
      <c r="C40" s="661">
        <f>+MAYOR!CO228</f>
        <v>0</v>
      </c>
      <c r="D40" s="661">
        <f t="shared" si="3"/>
        <v>0</v>
      </c>
      <c r="E40" s="661">
        <f t="shared" si="0"/>
        <v>0</v>
      </c>
      <c r="F40" s="662">
        <v>0</v>
      </c>
      <c r="G40" s="662">
        <v>0</v>
      </c>
      <c r="H40" s="661">
        <f t="shared" si="7"/>
        <v>0</v>
      </c>
      <c r="I40" s="661">
        <f t="shared" si="7"/>
        <v>0</v>
      </c>
      <c r="J40" s="1170"/>
      <c r="K40" s="856"/>
      <c r="L40" s="1173"/>
    </row>
    <row r="41" spans="1:12" s="120" customFormat="1" ht="15.75" hidden="1" customHeight="1" thickBot="1">
      <c r="A41" s="660" t="str">
        <f>+MAYOR!CP6</f>
        <v>UTILIDAD VENTA A-FIJO</v>
      </c>
      <c r="B41" s="661">
        <f>+MAYOR!CP228</f>
        <v>0</v>
      </c>
      <c r="C41" s="661">
        <f>+MAYOR!CQ228</f>
        <v>0</v>
      </c>
      <c r="D41" s="661">
        <f t="shared" si="3"/>
        <v>0</v>
      </c>
      <c r="E41" s="661">
        <f t="shared" si="0"/>
        <v>0</v>
      </c>
      <c r="F41" s="662">
        <v>0</v>
      </c>
      <c r="G41" s="662">
        <v>0</v>
      </c>
      <c r="H41" s="661">
        <f t="shared" si="7"/>
        <v>0</v>
      </c>
      <c r="I41" s="661">
        <f t="shared" si="7"/>
        <v>0</v>
      </c>
      <c r="J41" s="1174">
        <f>+J39-L39</f>
        <v>-226125207</v>
      </c>
      <c r="K41" s="1171"/>
      <c r="L41" s="1171"/>
    </row>
    <row r="42" spans="1:12" s="120" customFormat="1" ht="15.75" hidden="1" customHeight="1" thickTop="1">
      <c r="A42" s="660" t="str">
        <f>+MAYOR!CR6</f>
        <v>OTRAS VENTA</v>
      </c>
      <c r="B42" s="661">
        <f>+MAYOR!CR228</f>
        <v>0</v>
      </c>
      <c r="C42" s="661">
        <f>+MAYOR!CS228</f>
        <v>0</v>
      </c>
      <c r="D42" s="661">
        <f t="shared" si="3"/>
        <v>0</v>
      </c>
      <c r="E42" s="661">
        <f t="shared" si="0"/>
        <v>0</v>
      </c>
      <c r="F42" s="662">
        <v>0</v>
      </c>
      <c r="G42" s="662">
        <v>0</v>
      </c>
      <c r="H42" s="661">
        <f t="shared" si="7"/>
        <v>0</v>
      </c>
      <c r="I42" s="661">
        <f t="shared" si="7"/>
        <v>0</v>
      </c>
      <c r="J42" s="476"/>
      <c r="K42" s="476"/>
      <c r="L42" s="476"/>
    </row>
    <row r="43" spans="1:12" s="120" customFormat="1" ht="15.75" hidden="1" customHeight="1">
      <c r="A43" s="660" t="str">
        <f>+MAYOR!DA6</f>
        <v>GASTOS DE VTA</v>
      </c>
      <c r="B43" s="661">
        <f>+MAYOR!DA228</f>
        <v>0</v>
      </c>
      <c r="C43" s="661">
        <f>+MAYOR!DV227</f>
        <v>0</v>
      </c>
      <c r="D43" s="661">
        <f t="shared" si="3"/>
        <v>0</v>
      </c>
      <c r="E43" s="661">
        <f t="shared" si="0"/>
        <v>0</v>
      </c>
      <c r="F43" s="662">
        <v>0</v>
      </c>
      <c r="G43" s="662">
        <v>0</v>
      </c>
      <c r="H43" s="661">
        <f t="shared" si="7"/>
        <v>0</v>
      </c>
      <c r="I43" s="661">
        <f t="shared" si="7"/>
        <v>0</v>
      </c>
      <c r="J43" s="476"/>
      <c r="K43" s="476" t="s">
        <v>776</v>
      </c>
      <c r="L43" s="476"/>
    </row>
    <row r="44" spans="1:12" s="857" customFormat="1" ht="15.75" customHeight="1">
      <c r="A44" s="660" t="str">
        <f>+MAYOR!DU6</f>
        <v>SUELDOS</v>
      </c>
      <c r="B44" s="661">
        <f>+MAYOR!DU228</f>
        <v>0</v>
      </c>
      <c r="C44" s="661">
        <f>+MAYOR!DV228</f>
        <v>0</v>
      </c>
      <c r="D44" s="661">
        <f t="shared" si="3"/>
        <v>0</v>
      </c>
      <c r="E44" s="661">
        <f t="shared" si="0"/>
        <v>0</v>
      </c>
      <c r="F44" s="662">
        <v>0</v>
      </c>
      <c r="G44" s="662">
        <v>0</v>
      </c>
      <c r="H44" s="661">
        <f t="shared" si="7"/>
        <v>0</v>
      </c>
      <c r="I44" s="661">
        <f t="shared" si="7"/>
        <v>0</v>
      </c>
      <c r="J44" s="856">
        <f>+H44+H45</f>
        <v>0</v>
      </c>
      <c r="K44" s="856">
        <v>27701607</v>
      </c>
      <c r="L44" s="856">
        <f>+K44-J44</f>
        <v>27701607</v>
      </c>
    </row>
    <row r="45" spans="1:12" s="857" customFormat="1" ht="21" customHeight="1">
      <c r="A45" s="660" t="str">
        <f>+MAYOR!DY6</f>
        <v>COSTO EMPLEADOR</v>
      </c>
      <c r="B45" s="661">
        <f>+MAYOR!DY229</f>
        <v>0</v>
      </c>
      <c r="C45" s="661">
        <f>+MAYOR!DZ228</f>
        <v>0</v>
      </c>
      <c r="D45" s="661">
        <f t="shared" si="3"/>
        <v>0</v>
      </c>
      <c r="E45" s="661">
        <f t="shared" si="0"/>
        <v>0</v>
      </c>
      <c r="F45" s="662">
        <v>0</v>
      </c>
      <c r="G45" s="662">
        <v>0</v>
      </c>
      <c r="H45" s="661">
        <f t="shared" si="7"/>
        <v>0</v>
      </c>
      <c r="I45" s="661">
        <f t="shared" si="7"/>
        <v>0</v>
      </c>
      <c r="J45" s="856"/>
      <c r="K45" s="856"/>
      <c r="L45" s="856"/>
    </row>
    <row r="46" spans="1:12" s="120" customFormat="1" ht="15.75" hidden="1" customHeight="1">
      <c r="A46" s="660" t="str">
        <f>+MAYOR!EC6</f>
        <v>COSTO DE VENTA</v>
      </c>
      <c r="B46" s="661">
        <f>+MAYOR!EC228</f>
        <v>0</v>
      </c>
      <c r="C46" s="661">
        <f>+MAYOR!ED228</f>
        <v>0</v>
      </c>
      <c r="D46" s="661">
        <f t="shared" si="3"/>
        <v>0</v>
      </c>
      <c r="E46" s="661">
        <f t="shared" si="0"/>
        <v>0</v>
      </c>
      <c r="F46" s="662">
        <v>0</v>
      </c>
      <c r="G46" s="662">
        <v>0</v>
      </c>
      <c r="H46" s="661">
        <f>IF(F46&lt;=0,D46,0)</f>
        <v>0</v>
      </c>
      <c r="I46" s="661">
        <f t="shared" si="7"/>
        <v>0</v>
      </c>
      <c r="J46" s="476"/>
      <c r="K46" s="476"/>
      <c r="L46" s="476"/>
    </row>
    <row r="47" spans="1:12" s="120" customFormat="1" ht="15.75" hidden="1" customHeight="1">
      <c r="A47" s="660" t="str">
        <f>+MAYOR!DC6</f>
        <v>CAPACITACION</v>
      </c>
      <c r="B47" s="661">
        <f>+MAYOR!DC228</f>
        <v>0</v>
      </c>
      <c r="C47" s="661">
        <f>+MAYOR!DD228</f>
        <v>0</v>
      </c>
      <c r="D47" s="661">
        <f t="shared" si="3"/>
        <v>0</v>
      </c>
      <c r="E47" s="661">
        <f t="shared" si="0"/>
        <v>0</v>
      </c>
      <c r="F47" s="662">
        <v>0</v>
      </c>
      <c r="G47" s="662">
        <v>0</v>
      </c>
      <c r="H47" s="661">
        <f>IF(F47&lt;=0,D47,0)</f>
        <v>0</v>
      </c>
      <c r="I47" s="661">
        <f t="shared" si="7"/>
        <v>0</v>
      </c>
      <c r="J47" s="476"/>
      <c r="K47" s="476">
        <f>+H44+H45</f>
        <v>0</v>
      </c>
      <c r="L47" s="476"/>
    </row>
    <row r="48" spans="1:12" s="120" customFormat="1" ht="15.75" hidden="1" customHeight="1">
      <c r="A48" s="660" t="str">
        <f>+MAYOR!EA6</f>
        <v>INTERESES FOGAPE</v>
      </c>
      <c r="B48" s="661">
        <f>+MAYOR!EA228</f>
        <v>0</v>
      </c>
      <c r="C48" s="661">
        <f>+MAYOR!EB228</f>
        <v>0</v>
      </c>
      <c r="D48" s="661">
        <f t="shared" si="3"/>
        <v>0</v>
      </c>
      <c r="E48" s="661">
        <f t="shared" si="0"/>
        <v>0</v>
      </c>
      <c r="F48" s="662">
        <v>0</v>
      </c>
      <c r="G48" s="662">
        <v>0</v>
      </c>
      <c r="H48" s="661">
        <f>IF(F48&lt;=0,D48,0)</f>
        <v>0</v>
      </c>
      <c r="I48" s="661">
        <f t="shared" si="7"/>
        <v>0</v>
      </c>
      <c r="J48" s="476"/>
      <c r="K48" s="476">
        <v>44978889</v>
      </c>
      <c r="L48" s="476"/>
    </row>
    <row r="49" spans="1:12" s="120" customFormat="1" ht="15.75" hidden="1" customHeight="1">
      <c r="A49" s="660" t="s">
        <v>1012</v>
      </c>
      <c r="B49" s="661"/>
      <c r="C49" s="661"/>
      <c r="D49" s="661"/>
      <c r="E49" s="661"/>
      <c r="F49" s="662"/>
      <c r="G49" s="662"/>
      <c r="H49" s="661"/>
      <c r="I49" s="661"/>
      <c r="J49" s="476"/>
      <c r="K49" s="476"/>
      <c r="L49" s="476"/>
    </row>
    <row r="50" spans="1:12" s="120" customFormat="1" ht="15.75" hidden="1" customHeight="1">
      <c r="A50" s="660"/>
      <c r="B50" s="661"/>
      <c r="C50" s="661"/>
      <c r="D50" s="661"/>
      <c r="E50" s="661"/>
      <c r="F50" s="662"/>
      <c r="G50" s="662"/>
      <c r="H50" s="661"/>
      <c r="I50" s="661"/>
      <c r="J50" s="476"/>
      <c r="K50" s="476"/>
      <c r="L50" s="476"/>
    </row>
    <row r="51" spans="1:12" s="120" customFormat="1" ht="15.75" hidden="1" customHeight="1">
      <c r="A51" s="660"/>
      <c r="B51" s="661"/>
      <c r="C51" s="661"/>
      <c r="D51" s="661"/>
      <c r="E51" s="661"/>
      <c r="F51" s="662"/>
      <c r="G51" s="662"/>
      <c r="H51" s="661"/>
      <c r="I51" s="661"/>
      <c r="J51" s="476"/>
      <c r="K51" s="476"/>
      <c r="L51" s="476"/>
    </row>
    <row r="52" spans="1:12" s="120" customFormat="1" ht="15.75" hidden="1" customHeight="1">
      <c r="A52" s="660" t="s">
        <v>904</v>
      </c>
      <c r="B52" s="661"/>
      <c r="C52" s="661">
        <f>+MAYOR!CX228</f>
        <v>0</v>
      </c>
      <c r="D52" s="661">
        <f t="shared" si="3"/>
        <v>0</v>
      </c>
      <c r="E52" s="661">
        <f t="shared" si="0"/>
        <v>0</v>
      </c>
      <c r="F52" s="662">
        <v>0</v>
      </c>
      <c r="G52" s="662">
        <v>0</v>
      </c>
      <c r="H52" s="661">
        <f t="shared" si="7"/>
        <v>0</v>
      </c>
      <c r="I52" s="661">
        <f t="shared" si="7"/>
        <v>0</v>
      </c>
      <c r="J52" s="476"/>
      <c r="K52" s="476">
        <f>+K47-K48</f>
        <v>-44978889</v>
      </c>
      <c r="L52" s="476"/>
    </row>
    <row r="53" spans="1:12" s="120" customFormat="1" ht="15.75" hidden="1" customHeight="1">
      <c r="A53" s="660" t="str">
        <f>+MAYOR!CY6</f>
        <v>AMORTIZ. PROY. INVESTIGACION MINERA</v>
      </c>
      <c r="B53" s="661">
        <f>+MAYOR!CY228</f>
        <v>0</v>
      </c>
      <c r="C53" s="661">
        <f>+MAYOR!CX229</f>
        <v>0</v>
      </c>
      <c r="D53" s="661">
        <f t="shared" si="3"/>
        <v>0</v>
      </c>
      <c r="E53" s="661">
        <f t="shared" si="0"/>
        <v>0</v>
      </c>
      <c r="F53" s="662">
        <v>0</v>
      </c>
      <c r="G53" s="662">
        <v>0</v>
      </c>
      <c r="H53" s="661">
        <f t="shared" si="7"/>
        <v>0</v>
      </c>
      <c r="I53" s="661">
        <f t="shared" si="7"/>
        <v>0</v>
      </c>
      <c r="J53" s="476"/>
      <c r="K53" s="476"/>
      <c r="L53" s="476"/>
    </row>
    <row r="54" spans="1:12" s="120" customFormat="1" ht="15.75" customHeight="1">
      <c r="A54" s="660" t="str">
        <f>+MAYOR!CW6</f>
        <v>GASTOS TRANSPORTE</v>
      </c>
      <c r="B54" s="661">
        <f>+MAYOR!CW228</f>
        <v>0</v>
      </c>
      <c r="C54" s="661">
        <f>+MAYOR!CX228</f>
        <v>0</v>
      </c>
      <c r="D54" s="661">
        <f t="shared" si="3"/>
        <v>0</v>
      </c>
      <c r="E54" s="661">
        <f t="shared" si="0"/>
        <v>0</v>
      </c>
      <c r="F54" s="662">
        <v>0</v>
      </c>
      <c r="G54" s="662">
        <v>0</v>
      </c>
      <c r="H54" s="661">
        <f t="shared" si="7"/>
        <v>0</v>
      </c>
      <c r="I54" s="661"/>
      <c r="J54" s="476"/>
      <c r="K54" s="476"/>
      <c r="L54" s="476"/>
    </row>
    <row r="55" spans="1:12" s="857" customFormat="1" ht="15.75" customHeight="1">
      <c r="A55" s="660" t="str">
        <f>+MAYOR!EG6</f>
        <v>GASTOS GENERALES</v>
      </c>
      <c r="B55" s="661">
        <f>+MAYOR!EG228</f>
        <v>0</v>
      </c>
      <c r="C55" s="661">
        <f>+MAYOR!EH228</f>
        <v>0</v>
      </c>
      <c r="D55" s="661">
        <f t="shared" si="3"/>
        <v>0</v>
      </c>
      <c r="E55" s="661">
        <f t="shared" si="0"/>
        <v>0</v>
      </c>
      <c r="F55" s="662">
        <v>0</v>
      </c>
      <c r="G55" s="662">
        <v>0</v>
      </c>
      <c r="H55" s="661">
        <f t="shared" si="7"/>
        <v>0</v>
      </c>
      <c r="I55" s="661">
        <f t="shared" si="7"/>
        <v>0</v>
      </c>
      <c r="J55" s="856"/>
      <c r="K55" s="856"/>
      <c r="L55" s="856"/>
    </row>
    <row r="56" spans="1:12" s="120" customFormat="1" ht="15.75" hidden="1" customHeight="1">
      <c r="A56" s="660" t="str">
        <f>+MAYOR!DW6</f>
        <v>ARRIENDO Taller y Oficina</v>
      </c>
      <c r="B56" s="661">
        <f>+MAYOR!DW228</f>
        <v>0</v>
      </c>
      <c r="C56" s="661">
        <f>+MAYOR!DX228</f>
        <v>0</v>
      </c>
      <c r="D56" s="661">
        <f>IF(B56&gt;C56,B56-C56,0)</f>
        <v>0</v>
      </c>
      <c r="E56" s="661">
        <f>IF(B56&lt;C56,C56-B56,0)</f>
        <v>0</v>
      </c>
      <c r="F56" s="662">
        <v>0</v>
      </c>
      <c r="G56" s="662">
        <v>0</v>
      </c>
      <c r="H56" s="661">
        <f>IF(F56&lt;=0,D56,0)</f>
        <v>0</v>
      </c>
      <c r="I56" s="661">
        <f>IF(G56&lt;=0,E56,0)</f>
        <v>0</v>
      </c>
      <c r="J56" s="476"/>
      <c r="K56" s="476"/>
      <c r="L56" s="476"/>
    </row>
    <row r="57" spans="1:12" s="857" customFormat="1" ht="15.75" customHeight="1">
      <c r="A57" s="660" t="str">
        <f>+MAYOR!DS6</f>
        <v>HONORARIOS Y SERVICIOS PROFESIONALES</v>
      </c>
      <c r="B57" s="661">
        <f>+MAYOR!DS228</f>
        <v>0</v>
      </c>
      <c r="C57" s="661">
        <f>+MAYOR!DT228</f>
        <v>0</v>
      </c>
      <c r="D57" s="661">
        <f t="shared" si="3"/>
        <v>0</v>
      </c>
      <c r="E57" s="661">
        <f t="shared" si="0"/>
        <v>0</v>
      </c>
      <c r="F57" s="662">
        <v>0</v>
      </c>
      <c r="G57" s="662">
        <v>0</v>
      </c>
      <c r="H57" s="661">
        <f t="shared" ref="H57:I60" si="8">IF(F57&lt;=0,D57,0)</f>
        <v>0</v>
      </c>
      <c r="I57" s="661">
        <f t="shared" si="8"/>
        <v>0</v>
      </c>
      <c r="J57" s="856"/>
      <c r="K57" s="856"/>
      <c r="L57" s="856"/>
    </row>
    <row r="58" spans="1:12" s="120" customFormat="1" ht="15.75" customHeight="1">
      <c r="A58" s="660" t="str">
        <f>+MAYOR!EI6</f>
        <v>DEPRECIACION DEL EJERCICIO</v>
      </c>
      <c r="B58" s="661">
        <f>+MAYOR!EI228</f>
        <v>0</v>
      </c>
      <c r="C58" s="661">
        <f>+MAYOR!EJ228</f>
        <v>0</v>
      </c>
      <c r="D58" s="661">
        <f t="shared" si="3"/>
        <v>0</v>
      </c>
      <c r="E58" s="661">
        <f t="shared" si="0"/>
        <v>0</v>
      </c>
      <c r="F58" s="662">
        <v>0</v>
      </c>
      <c r="G58" s="662">
        <v>0</v>
      </c>
      <c r="H58" s="661">
        <f t="shared" si="8"/>
        <v>0</v>
      </c>
      <c r="I58" s="661">
        <f t="shared" si="8"/>
        <v>0</v>
      </c>
      <c r="J58" s="476"/>
      <c r="K58" s="476"/>
      <c r="L58" s="476"/>
    </row>
    <row r="59" spans="1:12" s="120" customFormat="1" ht="15.75" customHeight="1">
      <c r="A59" s="660" t="str">
        <f>+MAYOR!EK6</f>
        <v>CORRECCION MONETARIA</v>
      </c>
      <c r="B59" s="661">
        <f>+MAYOR!EK228</f>
        <v>0</v>
      </c>
      <c r="C59" s="661">
        <f>+MAYOR!EL228</f>
        <v>0</v>
      </c>
      <c r="D59" s="661">
        <f t="shared" si="3"/>
        <v>0</v>
      </c>
      <c r="E59" s="661">
        <f t="shared" si="0"/>
        <v>0</v>
      </c>
      <c r="F59" s="662">
        <v>0</v>
      </c>
      <c r="G59" s="662">
        <v>0</v>
      </c>
      <c r="H59" s="661">
        <f t="shared" si="8"/>
        <v>0</v>
      </c>
      <c r="I59" s="661">
        <f t="shared" si="8"/>
        <v>0</v>
      </c>
      <c r="J59" s="476">
        <f>+H58+H55+H52-I59-33589373-I67</f>
        <v>-63589373</v>
      </c>
      <c r="K59" s="476"/>
      <c r="L59" s="476"/>
    </row>
    <row r="60" spans="1:12" s="120" customFormat="1" ht="15.75" customHeight="1">
      <c r="A60" s="660" t="str">
        <f>+MAYOR!EE6</f>
        <v>IMPUESTO RENTA</v>
      </c>
      <c r="B60" s="661">
        <f>+MAYOR!EE228</f>
        <v>0</v>
      </c>
      <c r="C60" s="661">
        <f>+MAYOR!EF228</f>
        <v>0</v>
      </c>
      <c r="D60" s="661">
        <f t="shared" si="3"/>
        <v>0</v>
      </c>
      <c r="E60" s="661">
        <f t="shared" si="0"/>
        <v>0</v>
      </c>
      <c r="F60" s="662">
        <v>0</v>
      </c>
      <c r="G60" s="662">
        <v>0</v>
      </c>
      <c r="H60" s="661">
        <f>IF(F60&lt;=0,D60,0)</f>
        <v>0</v>
      </c>
      <c r="I60" s="661">
        <f t="shared" si="8"/>
        <v>0</v>
      </c>
      <c r="J60" s="476"/>
      <c r="K60" s="476"/>
      <c r="L60" s="476"/>
    </row>
    <row r="61" spans="1:12" s="120" customFormat="1" ht="15.75" customHeight="1">
      <c r="A61" s="663" t="s">
        <v>24</v>
      </c>
      <c r="B61" s="664">
        <f t="shared" ref="B61:I61" si="9">SUM(B12:B60)</f>
        <v>0</v>
      </c>
      <c r="C61" s="664">
        <f t="shared" si="9"/>
        <v>0</v>
      </c>
      <c r="D61" s="664">
        <f t="shared" si="9"/>
        <v>0</v>
      </c>
      <c r="E61" s="664">
        <f t="shared" si="9"/>
        <v>0</v>
      </c>
      <c r="F61" s="664">
        <f t="shared" si="9"/>
        <v>0</v>
      </c>
      <c r="G61" s="664">
        <f t="shared" si="9"/>
        <v>0</v>
      </c>
      <c r="H61" s="664">
        <f t="shared" si="9"/>
        <v>0</v>
      </c>
      <c r="I61" s="664">
        <f t="shared" si="9"/>
        <v>0</v>
      </c>
      <c r="J61" s="476"/>
      <c r="K61" s="476"/>
      <c r="L61" s="476"/>
    </row>
    <row r="62" spans="1:12" s="120" customFormat="1" ht="15.75" customHeight="1">
      <c r="A62" s="663" t="s">
        <v>25</v>
      </c>
      <c r="B62" s="664">
        <v>0</v>
      </c>
      <c r="C62" s="664">
        <v>0</v>
      </c>
      <c r="D62" s="664">
        <v>0</v>
      </c>
      <c r="E62" s="664">
        <v>0</v>
      </c>
      <c r="F62" s="664">
        <v>0</v>
      </c>
      <c r="G62" s="664">
        <f>+F61-G61</f>
        <v>0</v>
      </c>
      <c r="H62" s="664">
        <f>+I61-H61</f>
        <v>0</v>
      </c>
      <c r="I62" s="664">
        <v>0</v>
      </c>
      <c r="J62" s="476">
        <f>+H62-G62</f>
        <v>0</v>
      </c>
      <c r="K62" s="476"/>
      <c r="L62" s="476"/>
    </row>
    <row r="63" spans="1:12" s="120" customFormat="1" ht="15.75" customHeight="1">
      <c r="A63" s="663" t="s">
        <v>26</v>
      </c>
      <c r="B63" s="664">
        <f>+B61+B62</f>
        <v>0</v>
      </c>
      <c r="C63" s="665">
        <f t="shared" ref="C63:I63" si="10">+C61+C62</f>
        <v>0</v>
      </c>
      <c r="D63" s="665">
        <f t="shared" si="10"/>
        <v>0</v>
      </c>
      <c r="E63" s="665">
        <f t="shared" si="10"/>
        <v>0</v>
      </c>
      <c r="F63" s="665">
        <f t="shared" si="10"/>
        <v>0</v>
      </c>
      <c r="G63" s="665">
        <f t="shared" si="10"/>
        <v>0</v>
      </c>
      <c r="H63" s="665">
        <f t="shared" si="10"/>
        <v>0</v>
      </c>
      <c r="I63" s="665">
        <f t="shared" si="10"/>
        <v>0</v>
      </c>
      <c r="J63" s="476"/>
      <c r="K63" s="476"/>
      <c r="L63" s="476"/>
    </row>
    <row r="64" spans="1:12" s="120" customFormat="1" ht="15.75" customHeight="1">
      <c r="A64" s="118"/>
      <c r="B64" s="118">
        <f>+B61-C61</f>
        <v>0</v>
      </c>
      <c r="C64" s="118"/>
      <c r="D64" s="118"/>
      <c r="E64" s="118"/>
      <c r="F64" s="118"/>
      <c r="G64" s="118">
        <f>+G62-H62</f>
        <v>0</v>
      </c>
      <c r="H64" s="118"/>
      <c r="I64" s="118"/>
      <c r="J64" s="476"/>
      <c r="K64" s="476" t="s">
        <v>755</v>
      </c>
      <c r="L64" s="476"/>
    </row>
    <row r="65" spans="1:14" s="120" customFormat="1" ht="15.75" customHeight="1">
      <c r="A65" s="118"/>
      <c r="B65" s="118"/>
      <c r="C65" s="118"/>
      <c r="D65" s="118"/>
      <c r="E65" s="118"/>
      <c r="F65" s="118" t="s">
        <v>325</v>
      </c>
      <c r="G65" s="823">
        <f>+H62+H60</f>
        <v>0</v>
      </c>
      <c r="H65" s="118"/>
      <c r="I65" s="118">
        <v>41658610</v>
      </c>
      <c r="J65" s="476"/>
      <c r="K65" s="910">
        <v>75153337</v>
      </c>
      <c r="L65" s="476"/>
    </row>
    <row r="66" spans="1:14" s="120" customFormat="1" ht="15.75" customHeight="1">
      <c r="A66" s="118"/>
      <c r="B66" s="118"/>
      <c r="C66" s="99" t="s">
        <v>642</v>
      </c>
      <c r="D66" s="118">
        <f>+F61</f>
        <v>0</v>
      </c>
      <c r="E66" s="118"/>
      <c r="F66" s="118" t="s">
        <v>324</v>
      </c>
      <c r="G66" s="118">
        <f>+G65*0.1</f>
        <v>0</v>
      </c>
      <c r="H66" s="661"/>
      <c r="I66" s="118">
        <v>11658610</v>
      </c>
      <c r="J66" s="476"/>
      <c r="K66" s="476"/>
      <c r="L66" s="476"/>
    </row>
    <row r="67" spans="1:14" ht="15.75" customHeight="1">
      <c r="A67" s="118"/>
      <c r="B67" s="118"/>
      <c r="C67" s="99" t="s">
        <v>643</v>
      </c>
      <c r="D67" s="99">
        <f>+F28</f>
        <v>0</v>
      </c>
      <c r="E67" s="118"/>
      <c r="F67" s="99" t="s">
        <v>710</v>
      </c>
      <c r="G67" s="118">
        <v>0</v>
      </c>
      <c r="H67" s="118"/>
      <c r="I67" s="118">
        <f>+I65-I66</f>
        <v>30000000</v>
      </c>
    </row>
    <row r="68" spans="1:14" ht="15.75" customHeight="1">
      <c r="A68" s="118">
        <f>+B68-B69</f>
        <v>0</v>
      </c>
      <c r="B68" s="118"/>
      <c r="C68" s="99" t="s">
        <v>905</v>
      </c>
      <c r="D68" s="99">
        <f>+D66-D67</f>
        <v>0</v>
      </c>
      <c r="E68" s="118"/>
      <c r="F68" s="118" t="s">
        <v>327</v>
      </c>
      <c r="G68" s="118">
        <f>-F13</f>
        <v>0</v>
      </c>
      <c r="H68" s="118"/>
      <c r="I68" s="118"/>
    </row>
    <row r="69" spans="1:14" ht="15.75" customHeight="1" thickBot="1">
      <c r="B69" s="768"/>
      <c r="C69" s="768"/>
      <c r="D69" s="768"/>
      <c r="E69" s="768"/>
      <c r="G69" s="766">
        <f>SUM(G66:G68)</f>
        <v>0</v>
      </c>
      <c r="H69" s="99">
        <f>+G69*1.021</f>
        <v>0</v>
      </c>
    </row>
    <row r="70" spans="1:14" ht="15.75" customHeight="1" thickTop="1">
      <c r="B70" s="260" t="s">
        <v>240</v>
      </c>
      <c r="C70" s="260"/>
      <c r="D70" s="257"/>
      <c r="F70" s="99">
        <f>+H62-G62</f>
        <v>0</v>
      </c>
      <c r="G70" s="260" t="s">
        <v>430</v>
      </c>
      <c r="H70" s="47"/>
    </row>
    <row r="71" spans="1:14" s="96" customFormat="1" ht="15">
      <c r="B71" s="260" t="s">
        <v>236</v>
      </c>
      <c r="C71" s="260"/>
      <c r="D71" s="257"/>
      <c r="F71" s="99"/>
      <c r="G71" s="47" t="str">
        <f>+DATOS!H4</f>
        <v>MANUEL GUTIERREZ A. RUT: 10,150,081-0</v>
      </c>
      <c r="H71" s="47"/>
      <c r="J71" s="476"/>
      <c r="L71" s="476"/>
      <c r="N71" s="99"/>
    </row>
    <row r="72" spans="1:14" s="96" customFormat="1" ht="15">
      <c r="B72" s="260" t="s">
        <v>237</v>
      </c>
      <c r="C72" s="260"/>
      <c r="D72" s="257"/>
      <c r="F72" s="99"/>
      <c r="G72" s="260" t="s">
        <v>429</v>
      </c>
      <c r="H72" s="47"/>
      <c r="J72" s="476"/>
      <c r="L72" s="476"/>
      <c r="N72" s="99"/>
    </row>
    <row r="73" spans="1:14" s="96" customFormat="1" ht="15">
      <c r="B73" s="261" t="s">
        <v>568</v>
      </c>
      <c r="C73" s="260"/>
      <c r="D73" s="257"/>
      <c r="F73" s="99"/>
      <c r="G73" s="47"/>
      <c r="H73" s="47"/>
      <c r="J73" s="476"/>
      <c r="L73" s="476"/>
      <c r="M73" s="99"/>
      <c r="N73" s="99"/>
    </row>
    <row r="76" spans="1:14" ht="15.75" customHeight="1">
      <c r="B76" s="774"/>
      <c r="C76" s="775"/>
      <c r="D76" s="775"/>
      <c r="E76" s="775"/>
      <c r="F76" s="775"/>
      <c r="G76" s="775"/>
      <c r="H76" s="775"/>
      <c r="I76" s="776"/>
    </row>
    <row r="77" spans="1:14" ht="15.75" customHeight="1">
      <c r="B77" s="777"/>
      <c r="C77" s="778" t="s">
        <v>653</v>
      </c>
      <c r="D77" s="778"/>
      <c r="E77" s="778"/>
      <c r="F77" s="778"/>
      <c r="G77" s="778"/>
      <c r="H77" s="778"/>
      <c r="I77" s="779"/>
    </row>
    <row r="78" spans="1:14" ht="15.75" customHeight="1">
      <c r="B78" s="780" t="s">
        <v>654</v>
      </c>
      <c r="C78" s="781" t="s">
        <v>655</v>
      </c>
      <c r="D78" s="782"/>
      <c r="E78" s="782"/>
      <c r="F78" s="782"/>
      <c r="G78" s="782"/>
      <c r="H78" s="783"/>
      <c r="I78" s="784"/>
    </row>
    <row r="79" spans="1:14" ht="15.75" customHeight="1">
      <c r="B79" s="785">
        <v>1</v>
      </c>
      <c r="C79" s="778" t="s">
        <v>656</v>
      </c>
      <c r="D79" s="786"/>
      <c r="E79" s="787">
        <v>628</v>
      </c>
      <c r="F79" s="788" t="s">
        <v>657</v>
      </c>
      <c r="G79" s="789">
        <f>+I39</f>
        <v>0</v>
      </c>
      <c r="H79" s="789"/>
      <c r="I79" s="784"/>
    </row>
    <row r="80" spans="1:14" ht="15.75" customHeight="1">
      <c r="B80" s="790">
        <v>2</v>
      </c>
      <c r="C80" s="778" t="s">
        <v>658</v>
      </c>
      <c r="D80" s="786"/>
      <c r="E80" s="791">
        <v>851</v>
      </c>
      <c r="F80" s="788" t="s">
        <v>657</v>
      </c>
      <c r="G80" s="789"/>
      <c r="H80" s="789"/>
      <c r="I80" s="784"/>
    </row>
    <row r="81" spans="2:9" ht="15.75" customHeight="1">
      <c r="B81" s="790">
        <v>3</v>
      </c>
      <c r="C81" s="778" t="s">
        <v>659</v>
      </c>
      <c r="D81" s="786"/>
      <c r="E81" s="791">
        <v>629</v>
      </c>
      <c r="F81" s="788" t="s">
        <v>657</v>
      </c>
      <c r="G81" s="789"/>
      <c r="H81" s="789"/>
      <c r="I81" s="784"/>
    </row>
    <row r="82" spans="2:9" ht="15.75" customHeight="1">
      <c r="B82" s="785">
        <v>4</v>
      </c>
      <c r="C82" s="778" t="s">
        <v>660</v>
      </c>
      <c r="D82" s="786"/>
      <c r="E82" s="791">
        <v>651</v>
      </c>
      <c r="F82" s="788" t="s">
        <v>657</v>
      </c>
      <c r="G82" s="789"/>
      <c r="H82" s="789"/>
      <c r="I82" s="784"/>
    </row>
    <row r="83" spans="2:9" ht="15.75" customHeight="1" thickBot="1">
      <c r="B83" s="792"/>
      <c r="C83" s="793" t="s">
        <v>661</v>
      </c>
      <c r="D83" s="794"/>
      <c r="E83" s="795" t="s">
        <v>662</v>
      </c>
      <c r="F83" s="795" t="s">
        <v>662</v>
      </c>
      <c r="G83" s="796">
        <f>SUM(G79:G82)</f>
        <v>0</v>
      </c>
      <c r="H83" s="789">
        <f>+G83-K65</f>
        <v>-75153337</v>
      </c>
      <c r="I83" s="784"/>
    </row>
    <row r="84" spans="2:9" ht="15.75" customHeight="1" thickTop="1">
      <c r="B84" s="790"/>
      <c r="C84" s="778"/>
      <c r="D84" s="786"/>
      <c r="E84" s="786"/>
      <c r="F84" s="783"/>
      <c r="G84" s="797"/>
      <c r="H84" s="789"/>
      <c r="I84" s="784"/>
    </row>
    <row r="85" spans="2:9" ht="15.75" customHeight="1">
      <c r="B85" s="798"/>
      <c r="C85" s="781" t="s">
        <v>663</v>
      </c>
      <c r="D85" s="782"/>
      <c r="E85" s="782"/>
      <c r="F85" s="782"/>
      <c r="G85" s="799"/>
      <c r="H85" s="789"/>
      <c r="I85" s="784"/>
    </row>
    <row r="86" spans="2:9" ht="15.75" customHeight="1">
      <c r="B86" s="785">
        <v>5</v>
      </c>
      <c r="C86" s="778" t="s">
        <v>664</v>
      </c>
      <c r="D86" s="786"/>
      <c r="E86" s="786">
        <v>630</v>
      </c>
      <c r="F86" s="783" t="s">
        <v>665</v>
      </c>
      <c r="G86" s="797">
        <f>-H52-H55</f>
        <v>0</v>
      </c>
      <c r="H86" s="789"/>
      <c r="I86" s="784"/>
    </row>
    <row r="87" spans="2:9" ht="15.75" customHeight="1" thickBot="1">
      <c r="B87" s="792"/>
      <c r="C87" s="793" t="s">
        <v>666</v>
      </c>
      <c r="D87" s="794"/>
      <c r="E87" s="795" t="s">
        <v>662</v>
      </c>
      <c r="F87" s="795" t="s">
        <v>662</v>
      </c>
      <c r="G87" s="796">
        <f>SUM(G86)</f>
        <v>0</v>
      </c>
      <c r="H87" s="789"/>
      <c r="I87" s="784"/>
    </row>
    <row r="88" spans="2:9" ht="15.75" customHeight="1" thickTop="1">
      <c r="B88" s="790"/>
      <c r="C88" s="778"/>
      <c r="D88" s="786"/>
      <c r="E88" s="786"/>
      <c r="F88" s="783"/>
      <c r="G88" s="797"/>
      <c r="H88" s="789"/>
      <c r="I88" s="784"/>
    </row>
    <row r="89" spans="2:9" ht="15.75" customHeight="1">
      <c r="B89" s="798"/>
      <c r="C89" s="781" t="s">
        <v>667</v>
      </c>
      <c r="D89" s="782"/>
      <c r="E89" s="782"/>
      <c r="F89" s="782"/>
      <c r="G89" s="799"/>
      <c r="H89" s="789"/>
      <c r="I89" s="784"/>
    </row>
    <row r="90" spans="2:9" ht="15.75" customHeight="1">
      <c r="B90" s="785">
        <v>6</v>
      </c>
      <c r="C90" s="778" t="s">
        <v>668</v>
      </c>
      <c r="D90" s="786"/>
      <c r="E90" s="787">
        <v>631</v>
      </c>
      <c r="F90" s="788" t="s">
        <v>665</v>
      </c>
      <c r="G90" s="797">
        <f>-H44-H57</f>
        <v>0</v>
      </c>
      <c r="H90" s="789"/>
      <c r="I90" s="784"/>
    </row>
    <row r="91" spans="2:9" ht="15.75" customHeight="1">
      <c r="B91" s="790">
        <v>7</v>
      </c>
      <c r="C91" s="778" t="s">
        <v>669</v>
      </c>
      <c r="D91" s="786"/>
      <c r="E91" s="791">
        <v>632</v>
      </c>
      <c r="F91" s="788" t="s">
        <v>665</v>
      </c>
      <c r="G91" s="797"/>
      <c r="H91" s="789"/>
      <c r="I91" s="784"/>
    </row>
    <row r="92" spans="2:9" ht="15.75" customHeight="1">
      <c r="B92" s="790">
        <v>8</v>
      </c>
      <c r="C92" s="778" t="s">
        <v>670</v>
      </c>
      <c r="D92" s="786"/>
      <c r="E92" s="791">
        <v>633</v>
      </c>
      <c r="F92" s="788" t="s">
        <v>665</v>
      </c>
      <c r="G92" s="797">
        <f>-H48</f>
        <v>0</v>
      </c>
      <c r="H92" s="789"/>
      <c r="I92" s="784"/>
    </row>
    <row r="93" spans="2:9" ht="15.75" customHeight="1">
      <c r="B93" s="790">
        <v>9</v>
      </c>
      <c r="C93" s="778" t="s">
        <v>671</v>
      </c>
      <c r="D93" s="786"/>
      <c r="E93" s="791">
        <v>966</v>
      </c>
      <c r="F93" s="788" t="s">
        <v>665</v>
      </c>
      <c r="G93" s="797"/>
      <c r="H93" s="789"/>
      <c r="I93" s="784"/>
    </row>
    <row r="94" spans="2:9" ht="15.75" customHeight="1">
      <c r="B94" s="790">
        <v>10</v>
      </c>
      <c r="C94" s="778" t="s">
        <v>672</v>
      </c>
      <c r="D94" s="786"/>
      <c r="E94" s="791">
        <v>967</v>
      </c>
      <c r="F94" s="788" t="s">
        <v>665</v>
      </c>
      <c r="G94" s="797"/>
      <c r="H94" s="789"/>
      <c r="I94" s="784"/>
    </row>
    <row r="95" spans="2:9" ht="15.75" customHeight="1">
      <c r="B95" s="790">
        <v>11</v>
      </c>
      <c r="C95" s="778" t="s">
        <v>673</v>
      </c>
      <c r="D95" s="786"/>
      <c r="E95" s="791">
        <v>852</v>
      </c>
      <c r="F95" s="788" t="s">
        <v>665</v>
      </c>
      <c r="G95" s="797"/>
      <c r="H95" s="789"/>
      <c r="I95" s="784"/>
    </row>
    <row r="96" spans="2:9" ht="15.75" customHeight="1">
      <c r="B96" s="790">
        <v>12</v>
      </c>
      <c r="C96" s="778" t="s">
        <v>674</v>
      </c>
      <c r="D96" s="786"/>
      <c r="E96" s="791">
        <v>897</v>
      </c>
      <c r="F96" s="788" t="s">
        <v>665</v>
      </c>
      <c r="G96" s="797"/>
      <c r="H96" s="789"/>
      <c r="I96" s="784"/>
    </row>
    <row r="97" spans="2:9" ht="15.75" customHeight="1">
      <c r="B97" s="790">
        <v>13</v>
      </c>
      <c r="C97" s="778" t="s">
        <v>675</v>
      </c>
      <c r="D97" s="786"/>
      <c r="E97" s="791">
        <v>853</v>
      </c>
      <c r="F97" s="788" t="s">
        <v>665</v>
      </c>
      <c r="G97" s="797"/>
      <c r="H97" s="789"/>
      <c r="I97" s="784"/>
    </row>
    <row r="98" spans="2:9" ht="15.75" customHeight="1">
      <c r="B98" s="785">
        <v>14</v>
      </c>
      <c r="C98" s="778" t="s">
        <v>676</v>
      </c>
      <c r="D98" s="786"/>
      <c r="E98" s="791">
        <v>968</v>
      </c>
      <c r="F98" s="788" t="s">
        <v>665</v>
      </c>
      <c r="G98" s="797">
        <f>-H60</f>
        <v>0</v>
      </c>
      <c r="H98" s="789"/>
      <c r="I98" s="784"/>
    </row>
    <row r="99" spans="2:9" ht="15.75" customHeight="1">
      <c r="B99" s="790">
        <v>15</v>
      </c>
      <c r="C99" s="778" t="s">
        <v>677</v>
      </c>
      <c r="D99" s="786"/>
      <c r="E99" s="791">
        <v>969</v>
      </c>
      <c r="F99" s="788" t="s">
        <v>665</v>
      </c>
      <c r="G99" s="797"/>
      <c r="H99" s="789"/>
      <c r="I99" s="784"/>
    </row>
    <row r="100" spans="2:9" ht="15.75" customHeight="1">
      <c r="B100" s="790">
        <v>16</v>
      </c>
      <c r="C100" s="778" t="s">
        <v>678</v>
      </c>
      <c r="D100" s="786"/>
      <c r="E100" s="791">
        <v>635</v>
      </c>
      <c r="F100" s="788" t="s">
        <v>665</v>
      </c>
      <c r="G100" s="797"/>
      <c r="H100" s="789"/>
      <c r="I100" s="784"/>
    </row>
    <row r="101" spans="2:9" ht="15.75" customHeight="1" thickBot="1">
      <c r="B101" s="792"/>
      <c r="C101" s="793" t="s">
        <v>679</v>
      </c>
      <c r="D101" s="794"/>
      <c r="E101" s="795" t="s">
        <v>662</v>
      </c>
      <c r="F101" s="795" t="s">
        <v>662</v>
      </c>
      <c r="G101" s="796">
        <f>SUM(G90:G100)</f>
        <v>0</v>
      </c>
      <c r="H101" s="789"/>
      <c r="I101" s="784"/>
    </row>
    <row r="102" spans="2:9" ht="15.75" customHeight="1" thickTop="1" thickBot="1">
      <c r="B102" s="792"/>
      <c r="C102" s="793" t="s">
        <v>680</v>
      </c>
      <c r="D102" s="794"/>
      <c r="E102" s="795" t="s">
        <v>662</v>
      </c>
      <c r="F102" s="795" t="s">
        <v>662</v>
      </c>
      <c r="G102" s="796">
        <f>+G83+G87+G101</f>
        <v>0</v>
      </c>
      <c r="H102" s="789"/>
      <c r="I102" s="784"/>
    </row>
    <row r="103" spans="2:9" ht="15.75" customHeight="1" thickTop="1">
      <c r="B103" s="790"/>
      <c r="C103" s="778"/>
      <c r="D103" s="786"/>
      <c r="E103" s="786"/>
      <c r="F103" s="783"/>
      <c r="G103" s="797"/>
      <c r="H103" s="789"/>
      <c r="I103" s="784"/>
    </row>
    <row r="104" spans="2:9" ht="15.75" customHeight="1">
      <c r="B104" s="798"/>
      <c r="C104" s="781" t="s">
        <v>681</v>
      </c>
      <c r="D104" s="782"/>
      <c r="E104" s="782"/>
      <c r="F104" s="782"/>
      <c r="G104" s="799"/>
      <c r="H104" s="789"/>
      <c r="I104" s="784"/>
    </row>
    <row r="105" spans="2:9" ht="15.75" customHeight="1">
      <c r="B105" s="785">
        <v>17</v>
      </c>
      <c r="C105" s="800" t="s">
        <v>682</v>
      </c>
      <c r="D105" s="801"/>
      <c r="E105" s="801">
        <v>637</v>
      </c>
      <c r="F105" s="802" t="s">
        <v>665</v>
      </c>
      <c r="G105" s="797">
        <f>-H59</f>
        <v>0</v>
      </c>
      <c r="H105" s="789"/>
      <c r="I105" s="784"/>
    </row>
    <row r="106" spans="2:9" ht="15.75" customHeight="1">
      <c r="B106" s="790">
        <v>18</v>
      </c>
      <c r="C106" s="800" t="s">
        <v>683</v>
      </c>
      <c r="D106" s="801"/>
      <c r="E106" s="801">
        <v>638</v>
      </c>
      <c r="F106" s="802" t="s">
        <v>657</v>
      </c>
      <c r="G106" s="797">
        <f>+I59</f>
        <v>0</v>
      </c>
      <c r="H106" s="789"/>
      <c r="I106" s="784"/>
    </row>
    <row r="107" spans="2:9" ht="15.75" customHeight="1" thickBot="1">
      <c r="B107" s="792"/>
      <c r="C107" s="793" t="s">
        <v>684</v>
      </c>
      <c r="D107" s="794"/>
      <c r="E107" s="795"/>
      <c r="F107" s="795"/>
      <c r="G107" s="796">
        <f>+G105+G106</f>
        <v>0</v>
      </c>
      <c r="H107" s="789"/>
      <c r="I107" s="784"/>
    </row>
    <row r="108" spans="2:9" ht="15.75" customHeight="1" thickTop="1">
      <c r="B108" s="790"/>
      <c r="C108" s="778"/>
      <c r="D108" s="786"/>
      <c r="E108" s="786"/>
      <c r="F108" s="783"/>
      <c r="G108" s="797"/>
      <c r="H108" s="789"/>
      <c r="I108" s="784"/>
    </row>
    <row r="109" spans="2:9" ht="15.75" customHeight="1">
      <c r="B109" s="798"/>
      <c r="C109" s="781" t="s">
        <v>681</v>
      </c>
      <c r="D109" s="782"/>
      <c r="E109" s="782"/>
      <c r="F109" s="782"/>
      <c r="G109" s="799"/>
      <c r="H109" s="789"/>
      <c r="I109" s="784"/>
    </row>
    <row r="110" spans="2:9" ht="15.75" customHeight="1">
      <c r="B110" s="803">
        <v>19</v>
      </c>
      <c r="C110" s="804" t="s">
        <v>685</v>
      </c>
      <c r="D110" s="805"/>
      <c r="E110" s="805"/>
      <c r="F110" s="806" t="s">
        <v>657</v>
      </c>
      <c r="G110" s="807">
        <f>+H60</f>
        <v>0</v>
      </c>
      <c r="H110" s="789"/>
      <c r="I110" s="784"/>
    </row>
    <row r="111" spans="2:9" ht="15.75" customHeight="1">
      <c r="B111" s="808">
        <v>20</v>
      </c>
      <c r="C111" s="778" t="s">
        <v>686</v>
      </c>
      <c r="D111" s="786"/>
      <c r="E111" s="783">
        <v>926</v>
      </c>
      <c r="F111" s="788" t="s">
        <v>657</v>
      </c>
      <c r="G111" s="797"/>
      <c r="H111" s="789"/>
      <c r="I111" s="784"/>
    </row>
    <row r="112" spans="2:9" ht="15.75" customHeight="1">
      <c r="B112" s="808">
        <v>21</v>
      </c>
      <c r="C112" s="778" t="s">
        <v>687</v>
      </c>
      <c r="D112" s="786"/>
      <c r="E112" s="786">
        <v>970</v>
      </c>
      <c r="F112" s="788" t="s">
        <v>665</v>
      </c>
      <c r="G112" s="797"/>
      <c r="H112" s="789"/>
      <c r="I112" s="784"/>
    </row>
    <row r="113" spans="2:9" ht="15.75" customHeight="1">
      <c r="B113" s="808">
        <v>22</v>
      </c>
      <c r="C113" s="778" t="s">
        <v>688</v>
      </c>
      <c r="D113" s="786"/>
      <c r="E113" s="786">
        <v>971</v>
      </c>
      <c r="F113" s="788" t="s">
        <v>657</v>
      </c>
      <c r="G113" s="797"/>
      <c r="H113" s="789"/>
      <c r="I113" s="784"/>
    </row>
    <row r="114" spans="2:9" ht="15.75" customHeight="1">
      <c r="B114" s="808">
        <v>23</v>
      </c>
      <c r="C114" s="778" t="s">
        <v>689</v>
      </c>
      <c r="D114" s="786"/>
      <c r="E114" s="786">
        <v>639</v>
      </c>
      <c r="F114" s="788" t="s">
        <v>665</v>
      </c>
      <c r="G114" s="797"/>
      <c r="H114" s="789"/>
      <c r="I114" s="784"/>
    </row>
    <row r="115" spans="2:9" ht="15.75" customHeight="1" thickBot="1">
      <c r="B115" s="792"/>
      <c r="C115" s="793" t="s">
        <v>690</v>
      </c>
      <c r="D115" s="794"/>
      <c r="E115" s="795"/>
      <c r="F115" s="795"/>
      <c r="G115" s="796">
        <f>SUM(G110:G114)</f>
        <v>0</v>
      </c>
      <c r="H115" s="789"/>
      <c r="I115" s="784"/>
    </row>
    <row r="116" spans="2:9" ht="15.75" customHeight="1" thickTop="1">
      <c r="B116" s="808"/>
      <c r="C116" s="778"/>
      <c r="D116" s="786"/>
      <c r="E116" s="786"/>
      <c r="F116" s="783"/>
      <c r="G116" s="797"/>
      <c r="H116" s="789"/>
      <c r="I116" s="784"/>
    </row>
    <row r="117" spans="2:9" ht="15.75" customHeight="1">
      <c r="B117" s="798"/>
      <c r="C117" s="781" t="s">
        <v>691</v>
      </c>
      <c r="D117" s="782"/>
      <c r="E117" s="782"/>
      <c r="F117" s="782"/>
      <c r="G117" s="799"/>
      <c r="H117" s="789"/>
      <c r="I117" s="784"/>
    </row>
    <row r="118" spans="2:9" ht="15.75" customHeight="1">
      <c r="B118" s="808">
        <v>24</v>
      </c>
      <c r="C118" s="778" t="s">
        <v>692</v>
      </c>
      <c r="D118" s="786"/>
      <c r="E118" s="786">
        <v>927</v>
      </c>
      <c r="F118" s="788" t="s">
        <v>665</v>
      </c>
      <c r="G118" s="797"/>
      <c r="H118" s="789"/>
      <c r="I118" s="784"/>
    </row>
    <row r="119" spans="2:9" ht="15.75" customHeight="1">
      <c r="B119" s="808">
        <v>25</v>
      </c>
      <c r="C119" s="778" t="s">
        <v>693</v>
      </c>
      <c r="D119" s="786"/>
      <c r="E119" s="783">
        <v>1000</v>
      </c>
      <c r="F119" s="788" t="s">
        <v>665</v>
      </c>
      <c r="G119" s="797"/>
      <c r="H119" s="789"/>
      <c r="I119" s="784"/>
    </row>
    <row r="120" spans="2:9" ht="15.75" customHeight="1">
      <c r="B120" s="808">
        <v>26</v>
      </c>
      <c r="C120" s="778" t="s">
        <v>694</v>
      </c>
      <c r="D120" s="786"/>
      <c r="E120" s="786">
        <v>827</v>
      </c>
      <c r="F120" s="788" t="s">
        <v>665</v>
      </c>
      <c r="G120" s="797"/>
      <c r="H120" s="789"/>
      <c r="I120" s="784"/>
    </row>
    <row r="121" spans="2:9" ht="15.75" customHeight="1">
      <c r="B121" s="808">
        <v>27</v>
      </c>
      <c r="C121" s="778" t="s">
        <v>695</v>
      </c>
      <c r="D121" s="786"/>
      <c r="E121" s="786">
        <v>928</v>
      </c>
      <c r="F121" s="788" t="s">
        <v>665</v>
      </c>
      <c r="G121" s="797"/>
      <c r="H121" s="789"/>
      <c r="I121" s="784"/>
    </row>
    <row r="122" spans="2:9" ht="15.75" customHeight="1">
      <c r="B122" s="808">
        <v>28</v>
      </c>
      <c r="C122" s="778" t="s">
        <v>696</v>
      </c>
      <c r="D122" s="786"/>
      <c r="E122" s="786">
        <v>929</v>
      </c>
      <c r="F122" s="788" t="s">
        <v>665</v>
      </c>
      <c r="G122" s="797"/>
      <c r="H122" s="789"/>
      <c r="I122" s="784"/>
    </row>
    <row r="123" spans="2:9" ht="15.75" customHeight="1">
      <c r="B123" s="808">
        <v>29</v>
      </c>
      <c r="C123" s="778" t="s">
        <v>697</v>
      </c>
      <c r="D123" s="786"/>
      <c r="E123" s="786">
        <v>807</v>
      </c>
      <c r="F123" s="788" t="s">
        <v>665</v>
      </c>
      <c r="G123" s="797"/>
      <c r="H123" s="789"/>
      <c r="I123" s="784"/>
    </row>
    <row r="124" spans="2:9" ht="15.75" customHeight="1">
      <c r="B124" s="808">
        <v>30</v>
      </c>
      <c r="C124" s="778" t="s">
        <v>698</v>
      </c>
      <c r="D124" s="786"/>
      <c r="E124" s="783">
        <v>641</v>
      </c>
      <c r="F124" s="788" t="s">
        <v>665</v>
      </c>
      <c r="G124" s="797"/>
      <c r="H124" s="789"/>
      <c r="I124" s="784"/>
    </row>
    <row r="125" spans="2:9" ht="15.75" customHeight="1">
      <c r="B125" s="808">
        <v>31</v>
      </c>
      <c r="C125" s="778" t="s">
        <v>699</v>
      </c>
      <c r="D125" s="786"/>
      <c r="E125" s="786">
        <v>642</v>
      </c>
      <c r="F125" s="788" t="s">
        <v>665</v>
      </c>
      <c r="G125" s="797"/>
      <c r="H125" s="789"/>
      <c r="I125" s="784"/>
    </row>
    <row r="126" spans="2:9" ht="15.75" customHeight="1">
      <c r="B126" s="808">
        <v>32</v>
      </c>
      <c r="C126" s="778" t="s">
        <v>700</v>
      </c>
      <c r="D126" s="786"/>
      <c r="E126" s="786">
        <v>973</v>
      </c>
      <c r="F126" s="788" t="s">
        <v>665</v>
      </c>
      <c r="G126" s="797"/>
      <c r="H126" s="789"/>
      <c r="I126" s="784"/>
    </row>
    <row r="127" spans="2:9" ht="15.75" customHeight="1">
      <c r="B127" s="808">
        <v>34</v>
      </c>
      <c r="C127" s="778" t="s">
        <v>701</v>
      </c>
      <c r="D127" s="786"/>
      <c r="E127" s="786">
        <v>640</v>
      </c>
      <c r="F127" s="788" t="s">
        <v>665</v>
      </c>
      <c r="G127" s="797"/>
      <c r="H127" s="789"/>
      <c r="I127" s="784"/>
    </row>
    <row r="128" spans="2:9" ht="15.75" customHeight="1">
      <c r="B128" s="808">
        <v>34</v>
      </c>
      <c r="C128" s="778" t="s">
        <v>702</v>
      </c>
      <c r="D128" s="786"/>
      <c r="E128" s="786">
        <v>634</v>
      </c>
      <c r="F128" s="788" t="s">
        <v>665</v>
      </c>
      <c r="G128" s="797"/>
      <c r="H128" s="789"/>
      <c r="I128" s="784"/>
    </row>
    <row r="129" spans="2:9" ht="15.75" customHeight="1" thickBot="1">
      <c r="B129" s="792"/>
      <c r="C129" s="793" t="s">
        <v>690</v>
      </c>
      <c r="D129" s="794"/>
      <c r="E129" s="795">
        <v>643</v>
      </c>
      <c r="F129" s="795"/>
      <c r="G129" s="796">
        <f>SUM(G118:G128)</f>
        <v>0</v>
      </c>
      <c r="H129" s="789"/>
      <c r="I129" s="784"/>
    </row>
    <row r="130" spans="2:9" ht="15.75" customHeight="1" thickTop="1">
      <c r="B130" s="808"/>
      <c r="C130" s="778"/>
      <c r="D130" s="786"/>
      <c r="E130" s="786"/>
      <c r="F130" s="783"/>
      <c r="G130" s="797"/>
      <c r="H130" s="789"/>
      <c r="I130" s="784"/>
    </row>
    <row r="131" spans="2:9" ht="15.75" customHeight="1" thickBot="1">
      <c r="B131" s="792"/>
      <c r="C131" s="793" t="s">
        <v>680</v>
      </c>
      <c r="D131" s="794"/>
      <c r="E131" s="795" t="s">
        <v>662</v>
      </c>
      <c r="F131" s="795" t="s">
        <v>662</v>
      </c>
      <c r="G131" s="796">
        <f>+G102+G107+G115+G129</f>
        <v>0</v>
      </c>
      <c r="H131" s="789">
        <f>+G44</f>
        <v>0</v>
      </c>
      <c r="I131" s="784">
        <f>+H131-G131</f>
        <v>0</v>
      </c>
    </row>
    <row r="132" spans="2:9" ht="15.75" customHeight="1" thickTop="1">
      <c r="B132" s="808"/>
      <c r="C132" s="778"/>
      <c r="D132" s="786"/>
      <c r="E132" s="786"/>
      <c r="F132" s="783"/>
      <c r="G132" s="797"/>
      <c r="H132" s="789"/>
      <c r="I132" s="784"/>
    </row>
    <row r="133" spans="2:9" ht="15.75" customHeight="1">
      <c r="B133" s="809"/>
      <c r="C133" s="810"/>
      <c r="D133" s="811"/>
      <c r="E133" s="811"/>
      <c r="F133" s="812"/>
      <c r="G133" s="813"/>
      <c r="H133" s="813"/>
      <c r="I133" s="814"/>
    </row>
    <row r="159" spans="1:3" ht="15.75" customHeight="1">
      <c r="A159" s="99" t="s">
        <v>111</v>
      </c>
      <c r="B159" s="99">
        <v>1199231588</v>
      </c>
      <c r="C159" s="99">
        <v>1519951732</v>
      </c>
    </row>
    <row r="160" spans="1:3" ht="15.75" customHeight="1">
      <c r="A160" s="99" t="s">
        <v>196</v>
      </c>
      <c r="B160" s="99">
        <v>1210221540</v>
      </c>
      <c r="C160" s="99">
        <v>584567899</v>
      </c>
    </row>
    <row r="161" spans="1:3" ht="15.75" customHeight="1">
      <c r="A161" s="99" t="s">
        <v>160</v>
      </c>
      <c r="B161" s="99">
        <v>251071768</v>
      </c>
      <c r="C161" s="99">
        <v>257310286</v>
      </c>
    </row>
    <row r="162" spans="1:3" ht="15.75" customHeight="1">
      <c r="A162" s="99" t="s">
        <v>142</v>
      </c>
      <c r="B162" s="99">
        <v>12249613</v>
      </c>
      <c r="C162" s="99">
        <v>2542340</v>
      </c>
    </row>
    <row r="163" spans="1:3" ht="15.75" customHeight="1">
      <c r="A163" s="99" t="s">
        <v>221</v>
      </c>
      <c r="B163" s="99">
        <v>6657464</v>
      </c>
      <c r="C163" s="99">
        <v>6657464</v>
      </c>
    </row>
    <row r="164" spans="1:3" ht="15.75" customHeight="1">
      <c r="A164" s="99" t="s">
        <v>197</v>
      </c>
      <c r="B164" s="99">
        <v>0</v>
      </c>
      <c r="C164" s="99">
        <v>0</v>
      </c>
    </row>
    <row r="165" spans="1:3" ht="15.75" customHeight="1">
      <c r="A165" s="99" t="s">
        <v>234</v>
      </c>
      <c r="B165" s="99">
        <v>3789600</v>
      </c>
      <c r="C165" s="99">
        <v>0</v>
      </c>
    </row>
    <row r="166" spans="1:3" ht="15.75" customHeight="1">
      <c r="A166" s="99" t="s">
        <v>198</v>
      </c>
      <c r="B166" s="99">
        <v>0</v>
      </c>
      <c r="C166" s="99">
        <v>0</v>
      </c>
    </row>
    <row r="167" spans="1:3" ht="15.75" customHeight="1">
      <c r="A167" s="99" t="s">
        <v>199</v>
      </c>
      <c r="B167" s="99">
        <v>241876346</v>
      </c>
      <c r="C167" s="99">
        <v>0</v>
      </c>
    </row>
    <row r="168" spans="1:3" ht="15.75" customHeight="1">
      <c r="A168" s="99" t="s">
        <v>226</v>
      </c>
      <c r="B168" s="99">
        <v>80375935</v>
      </c>
      <c r="C168" s="99">
        <v>0</v>
      </c>
    </row>
    <row r="169" spans="1:3" ht="15.75" customHeight="1">
      <c r="A169" s="99" t="s">
        <v>161</v>
      </c>
      <c r="B169" s="99">
        <v>0</v>
      </c>
      <c r="C169" s="99">
        <v>0</v>
      </c>
    </row>
    <row r="170" spans="1:3" ht="15.75" customHeight="1">
      <c r="A170" s="99" t="s">
        <v>253</v>
      </c>
      <c r="B170" s="99">
        <v>49133855</v>
      </c>
      <c r="C170" s="99">
        <v>814083</v>
      </c>
    </row>
    <row r="171" spans="1:3" ht="15.75" customHeight="1">
      <c r="A171" s="99" t="s">
        <v>255</v>
      </c>
      <c r="B171" s="99">
        <v>35697471</v>
      </c>
      <c r="C171" s="99">
        <v>0</v>
      </c>
    </row>
    <row r="172" spans="1:3" ht="15.75" customHeight="1">
      <c r="A172" s="99" t="s">
        <v>198</v>
      </c>
      <c r="B172" s="99">
        <v>0</v>
      </c>
      <c r="C172" s="99">
        <v>0</v>
      </c>
    </row>
    <row r="173" spans="1:3" ht="15.75" customHeight="1">
      <c r="A173" s="99" t="s">
        <v>225</v>
      </c>
      <c r="B173" s="99">
        <v>0</v>
      </c>
      <c r="C173" s="99">
        <v>0</v>
      </c>
    </row>
    <row r="174" spans="1:3" ht="15.75" customHeight="1">
      <c r="A174" s="99">
        <v>0</v>
      </c>
      <c r="B174" s="99">
        <v>0</v>
      </c>
      <c r="C174" s="99">
        <v>0</v>
      </c>
    </row>
    <row r="175" spans="1:3" ht="15.75" customHeight="1">
      <c r="A175" s="99">
        <v>0</v>
      </c>
      <c r="B175" s="99">
        <v>0</v>
      </c>
      <c r="C175" s="99">
        <v>0</v>
      </c>
    </row>
    <row r="176" spans="1:3" ht="15.75" customHeight="1">
      <c r="A176" s="99" t="s">
        <v>201</v>
      </c>
      <c r="B176" s="99">
        <v>0</v>
      </c>
      <c r="C176" s="99">
        <v>0</v>
      </c>
    </row>
    <row r="177" spans="1:3" ht="15.75" customHeight="1">
      <c r="A177" s="99" t="s">
        <v>164</v>
      </c>
      <c r="B177" s="99">
        <v>1306278</v>
      </c>
      <c r="C177" s="99">
        <v>1376582</v>
      </c>
    </row>
    <row r="178" spans="1:3" ht="15.75" customHeight="1">
      <c r="A178" s="99" t="s">
        <v>200</v>
      </c>
      <c r="B178" s="99">
        <v>0</v>
      </c>
      <c r="C178" s="99">
        <v>0</v>
      </c>
    </row>
    <row r="179" spans="1:3" ht="15.75" customHeight="1">
      <c r="A179" s="99" t="s">
        <v>145</v>
      </c>
      <c r="B179" s="99">
        <v>255937</v>
      </c>
      <c r="C179" s="99">
        <v>255937</v>
      </c>
    </row>
    <row r="180" spans="1:3" ht="15.75" customHeight="1">
      <c r="A180" s="99" t="s">
        <v>222</v>
      </c>
      <c r="B180" s="99">
        <v>0</v>
      </c>
      <c r="C180" s="99">
        <v>3890567</v>
      </c>
    </row>
    <row r="181" spans="1:3" ht="15.75" customHeight="1">
      <c r="A181" s="99" t="s">
        <v>230</v>
      </c>
      <c r="B181" s="99">
        <v>814083</v>
      </c>
      <c r="C181" s="99">
        <v>32246919</v>
      </c>
    </row>
    <row r="182" spans="1:3" ht="15.75" customHeight="1">
      <c r="A182" s="99" t="s">
        <v>254</v>
      </c>
      <c r="B182" s="99">
        <v>27079344</v>
      </c>
      <c r="C182" s="99">
        <v>121857048</v>
      </c>
    </row>
    <row r="183" spans="1:3" ht="15.75" customHeight="1">
      <c r="A183" s="99" t="s">
        <v>256</v>
      </c>
      <c r="B183" s="99">
        <v>2279389</v>
      </c>
      <c r="C183" s="99">
        <v>41029256</v>
      </c>
    </row>
    <row r="184" spans="1:3" ht="15.75" customHeight="1">
      <c r="A184" s="99" t="s">
        <v>257</v>
      </c>
      <c r="B184" s="99">
        <v>6250270</v>
      </c>
      <c r="C184" s="99">
        <v>75000505</v>
      </c>
    </row>
    <row r="185" spans="1:3" ht="15.75" customHeight="1">
      <c r="A185" s="99" t="s">
        <v>246</v>
      </c>
      <c r="B185" s="99">
        <v>551001</v>
      </c>
      <c r="C185" s="99">
        <v>606389</v>
      </c>
    </row>
    <row r="186" spans="1:3" ht="15.75" customHeight="1">
      <c r="A186" s="99" t="s">
        <v>159</v>
      </c>
      <c r="B186" s="99">
        <v>0</v>
      </c>
      <c r="C186" s="99">
        <v>0</v>
      </c>
    </row>
    <row r="187" spans="1:3" ht="15.75" customHeight="1">
      <c r="A187" s="99" t="s">
        <v>223</v>
      </c>
      <c r="B187" s="99">
        <v>0</v>
      </c>
      <c r="C187" s="99">
        <v>2785708</v>
      </c>
    </row>
    <row r="188" spans="1:3" ht="15.75" customHeight="1">
      <c r="A188" s="99" t="s">
        <v>227</v>
      </c>
      <c r="B188" s="99">
        <v>0</v>
      </c>
      <c r="C188" s="99">
        <v>9374788</v>
      </c>
    </row>
    <row r="189" spans="1:3" ht="15.75" customHeight="1">
      <c r="A189" s="99" t="s">
        <v>251</v>
      </c>
      <c r="B189" s="99">
        <v>0</v>
      </c>
      <c r="C189" s="99">
        <v>6317820</v>
      </c>
    </row>
    <row r="190" spans="1:3" ht="15.75" customHeight="1">
      <c r="A190" s="99" t="s">
        <v>252</v>
      </c>
      <c r="B190" s="99">
        <v>0</v>
      </c>
      <c r="C190" s="99">
        <v>88007868</v>
      </c>
    </row>
    <row r="191" spans="1:3" ht="15.75" customHeight="1">
      <c r="A191" s="99" t="s">
        <v>53</v>
      </c>
      <c r="B191" s="99">
        <v>0</v>
      </c>
      <c r="C191" s="99">
        <v>20000000</v>
      </c>
    </row>
    <row r="192" spans="1:3" ht="15.75" customHeight="1">
      <c r="A192" s="99" t="s">
        <v>143</v>
      </c>
      <c r="B192" s="99">
        <v>0</v>
      </c>
      <c r="C192" s="99">
        <v>500000</v>
      </c>
    </row>
    <row r="193" spans="1:3" ht="15.75" customHeight="1">
      <c r="A193" s="99" t="s">
        <v>66</v>
      </c>
      <c r="B193" s="99">
        <v>0</v>
      </c>
      <c r="C193" s="99">
        <v>0</v>
      </c>
    </row>
    <row r="194" spans="1:3" ht="15.75" customHeight="1">
      <c r="A194" s="99" t="s">
        <v>194</v>
      </c>
      <c r="B194" s="99">
        <v>10000000</v>
      </c>
      <c r="C194" s="99">
        <v>62003027</v>
      </c>
    </row>
    <row r="195" spans="1:3" ht="15.75" customHeight="1">
      <c r="A195" s="99" t="s">
        <v>180</v>
      </c>
      <c r="B195" s="99">
        <v>0</v>
      </c>
      <c r="C195" s="99">
        <v>1354264665</v>
      </c>
    </row>
    <row r="196" spans="1:3" ht="15.75" customHeight="1">
      <c r="A196" s="99" t="s">
        <v>182</v>
      </c>
      <c r="B196" s="99">
        <v>0</v>
      </c>
      <c r="C196" s="99">
        <v>0</v>
      </c>
    </row>
    <row r="197" spans="1:3" ht="15.75" customHeight="1">
      <c r="A197" s="99" t="s">
        <v>181</v>
      </c>
      <c r="B197" s="99">
        <v>0</v>
      </c>
      <c r="C197" s="99">
        <v>0</v>
      </c>
    </row>
    <row r="198" spans="1:3" ht="15.75" customHeight="1">
      <c r="A198" s="99" t="s">
        <v>183</v>
      </c>
      <c r="B198" s="99">
        <v>0</v>
      </c>
      <c r="C198" s="99">
        <v>0</v>
      </c>
    </row>
    <row r="199" spans="1:3" ht="15.75" customHeight="1">
      <c r="A199" s="99" t="s">
        <v>177</v>
      </c>
      <c r="B199" s="99">
        <v>606389</v>
      </c>
      <c r="C199" s="99">
        <v>0</v>
      </c>
    </row>
    <row r="200" spans="1:3" ht="15.75" customHeight="1">
      <c r="A200" s="99" t="s">
        <v>229</v>
      </c>
      <c r="B200" s="99">
        <v>0</v>
      </c>
    </row>
    <row r="201" spans="1:3" ht="15.75" customHeight="1">
      <c r="A201" s="99" t="s">
        <v>178</v>
      </c>
      <c r="B201" s="99">
        <v>684941638</v>
      </c>
    </row>
    <row r="202" spans="1:3" ht="15.75" customHeight="1">
      <c r="A202" s="99">
        <v>0</v>
      </c>
      <c r="B202" s="99">
        <v>0</v>
      </c>
      <c r="C202" s="99">
        <v>0</v>
      </c>
    </row>
    <row r="203" spans="1:3" ht="15.75" customHeight="1">
      <c r="A203" s="99" t="s">
        <v>232</v>
      </c>
      <c r="B203" s="99">
        <v>0</v>
      </c>
      <c r="C203" s="99">
        <v>0</v>
      </c>
    </row>
    <row r="204" spans="1:3" ht="15.75" customHeight="1">
      <c r="A204" s="99" t="s">
        <v>233</v>
      </c>
      <c r="B204" s="99">
        <v>0</v>
      </c>
      <c r="C204" s="99">
        <v>0</v>
      </c>
    </row>
    <row r="205" spans="1:3" ht="15.75" customHeight="1">
      <c r="A205" s="99">
        <v>0</v>
      </c>
      <c r="B205" s="99">
        <v>0</v>
      </c>
      <c r="C205" s="99">
        <v>0</v>
      </c>
    </row>
    <row r="206" spans="1:3" ht="15.75" customHeight="1">
      <c r="A206" s="99">
        <v>0</v>
      </c>
      <c r="B206" s="99">
        <v>0</v>
      </c>
      <c r="C206" s="99">
        <v>0</v>
      </c>
    </row>
    <row r="207" spans="1:3" ht="15.75" customHeight="1">
      <c r="A207" s="99">
        <v>0</v>
      </c>
      <c r="B207" s="99">
        <v>0</v>
      </c>
      <c r="C207" s="99">
        <v>0</v>
      </c>
    </row>
    <row r="208" spans="1:3" ht="15.75" customHeight="1">
      <c r="A208" s="99">
        <v>0</v>
      </c>
      <c r="B208" s="99">
        <v>0</v>
      </c>
      <c r="C208" s="99">
        <v>0</v>
      </c>
    </row>
    <row r="209" spans="1:3" ht="15.75" customHeight="1">
      <c r="A209" s="99">
        <v>0</v>
      </c>
      <c r="B209" s="99">
        <v>0</v>
      </c>
      <c r="C209" s="99">
        <v>0</v>
      </c>
    </row>
    <row r="210" spans="1:3" ht="15.75" customHeight="1">
      <c r="A210" s="99">
        <v>0</v>
      </c>
      <c r="B210" s="99">
        <v>0</v>
      </c>
      <c r="C210" s="99">
        <v>0</v>
      </c>
    </row>
    <row r="211" spans="1:3" ht="15.75" customHeight="1">
      <c r="A211" s="99">
        <v>0</v>
      </c>
      <c r="B211" s="99">
        <v>0</v>
      </c>
      <c r="C211" s="99">
        <v>0</v>
      </c>
    </row>
    <row r="212" spans="1:3" ht="15.75" customHeight="1">
      <c r="A212" s="99" t="s">
        <v>3</v>
      </c>
      <c r="B212" s="99">
        <v>1038228070</v>
      </c>
      <c r="C212" s="99">
        <v>684941638</v>
      </c>
    </row>
    <row r="213" spans="1:3" ht="15.75" customHeight="1">
      <c r="A213" s="99">
        <v>0</v>
      </c>
      <c r="B213" s="99">
        <v>0</v>
      </c>
      <c r="C213" s="99">
        <v>0</v>
      </c>
    </row>
    <row r="214" spans="1:3" ht="15.75" customHeight="1">
      <c r="A214" s="99">
        <v>0</v>
      </c>
      <c r="B214" s="99">
        <v>0</v>
      </c>
      <c r="C214" s="99">
        <v>0</v>
      </c>
    </row>
    <row r="215" spans="1:3" ht="15.75" customHeight="1">
      <c r="A215" s="99" t="s">
        <v>224</v>
      </c>
      <c r="B215" s="99">
        <v>13765820</v>
      </c>
      <c r="C215" s="99">
        <v>0</v>
      </c>
    </row>
    <row r="216" spans="1:3" ht="15.75" customHeight="1">
      <c r="A216" s="99" t="s">
        <v>144</v>
      </c>
      <c r="B216" s="99">
        <v>0</v>
      </c>
      <c r="C216" s="99">
        <v>0</v>
      </c>
    </row>
    <row r="217" spans="1:3" ht="15.75" customHeight="1">
      <c r="A217" s="99" t="s">
        <v>2</v>
      </c>
      <c r="B217" s="99">
        <v>48994</v>
      </c>
      <c r="C217" s="99">
        <v>129871</v>
      </c>
    </row>
    <row r="218" spans="1:3" ht="15.75" customHeight="1">
      <c r="A218" s="99" t="s">
        <v>146</v>
      </c>
      <c r="B218" s="99">
        <v>0</v>
      </c>
      <c r="C218" s="99">
        <v>0</v>
      </c>
    </row>
    <row r="220" spans="1:3" ht="15.75" customHeight="1">
      <c r="A220" s="99" t="s">
        <v>24</v>
      </c>
      <c r="B220" s="99">
        <v>4876432393</v>
      </c>
      <c r="C220" s="99">
        <v>4876432392</v>
      </c>
    </row>
    <row r="221" spans="1:3" ht="15.75" customHeight="1">
      <c r="A221" s="99" t="s">
        <v>25</v>
      </c>
      <c r="B221" s="99">
        <v>0</v>
      </c>
      <c r="C221" s="99">
        <v>0</v>
      </c>
    </row>
    <row r="222" spans="1:3" ht="15.75" customHeight="1">
      <c r="A222" s="99" t="s">
        <v>26</v>
      </c>
      <c r="B222" s="99">
        <v>4876432393</v>
      </c>
      <c r="C222" s="99">
        <v>4876432392</v>
      </c>
    </row>
  </sheetData>
  <printOptions horizontalCentered="1"/>
  <pageMargins left="0.78740157480314965" right="0.46" top="0.17" bottom="0.22" header="0.17" footer="0.17"/>
  <pageSetup scale="68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14">
    <tabColor indexed="11"/>
    <pageSetUpPr fitToPage="1"/>
  </sheetPr>
  <dimension ref="A2:P279"/>
  <sheetViews>
    <sheetView showGridLines="0" workbookViewId="0">
      <selection activeCell="A16" sqref="A16"/>
    </sheetView>
  </sheetViews>
  <sheetFormatPr baseColWidth="10" defaultColWidth="11.42578125" defaultRowHeight="11.25"/>
  <cols>
    <col min="1" max="1" width="6" style="188" customWidth="1"/>
    <col min="2" max="2" width="11.42578125" style="188" bestFit="1"/>
    <col min="3" max="3" width="12.85546875" style="188" customWidth="1"/>
    <col min="4" max="4" width="13.5703125" style="188" customWidth="1"/>
    <col min="5" max="5" width="13.140625" style="188" customWidth="1"/>
    <col min="6" max="6" width="16.140625" style="188" customWidth="1"/>
    <col min="7" max="7" width="17" style="188" customWidth="1"/>
    <col min="8" max="8" width="11.42578125" style="188"/>
    <col min="9" max="9" width="14.28515625" style="188" customWidth="1"/>
    <col min="10" max="11" width="11.42578125" style="188"/>
    <col min="12" max="12" width="13.140625" style="188" customWidth="1"/>
    <col min="13" max="14" width="11.42578125" style="188"/>
    <col min="15" max="15" width="13.85546875" style="188" customWidth="1"/>
    <col min="16" max="16" width="15.28515625" style="188" bestFit="1" customWidth="1"/>
    <col min="17" max="16384" width="11.42578125" style="188"/>
  </cols>
  <sheetData>
    <row r="2" spans="1:16" ht="20.25">
      <c r="B2" s="318"/>
      <c r="C2" s="259" t="str">
        <f>+MAYOR!B2</f>
        <v>BOMBEROS SALAS #1445 OFC 601B</v>
      </c>
      <c r="I2" s="12" t="s">
        <v>402</v>
      </c>
      <c r="J2" s="12" t="s">
        <v>401</v>
      </c>
      <c r="K2" s="12" t="s">
        <v>250</v>
      </c>
    </row>
    <row r="3" spans="1:16" ht="12.75">
      <c r="A3" s="365"/>
      <c r="B3" s="227"/>
      <c r="C3" s="417" t="str">
        <f>+MAYOR!B3</f>
        <v>RUT: 76.541.377-K</v>
      </c>
      <c r="I3" s="366">
        <v>1815959</v>
      </c>
      <c r="J3" s="367">
        <v>22559.48</v>
      </c>
      <c r="K3" s="367">
        <f t="shared" ref="K3:K11" si="0">+I3/J3</f>
        <v>80.496491940417073</v>
      </c>
    </row>
    <row r="4" spans="1:16" ht="12.75">
      <c r="A4" s="12"/>
      <c r="B4" s="227"/>
      <c r="C4" s="417">
        <f>+MAYOR!B4</f>
        <v>0</v>
      </c>
      <c r="I4" s="366">
        <v>1722903</v>
      </c>
      <c r="J4" s="367">
        <v>22560.98</v>
      </c>
      <c r="K4" s="367">
        <f t="shared" si="0"/>
        <v>76.366496490843929</v>
      </c>
      <c r="L4" s="12"/>
      <c r="M4" s="12"/>
      <c r="N4" s="12"/>
      <c r="O4" s="12"/>
      <c r="P4" s="12"/>
    </row>
    <row r="5" spans="1:16" ht="12.75">
      <c r="A5" s="368"/>
      <c r="B5" s="227"/>
      <c r="C5" s="417">
        <f>+MAYOR!B5</f>
        <v>0</v>
      </c>
      <c r="I5" s="366">
        <v>1726361</v>
      </c>
      <c r="J5" s="367">
        <v>22610.41</v>
      </c>
      <c r="K5" s="367">
        <f t="shared" si="0"/>
        <v>76.352485425960879</v>
      </c>
      <c r="L5" s="366"/>
      <c r="M5" s="366"/>
      <c r="N5" s="366"/>
      <c r="O5" s="366"/>
      <c r="P5" s="369"/>
    </row>
    <row r="6" spans="1:16">
      <c r="A6" s="368"/>
      <c r="I6" s="369">
        <v>1740445</v>
      </c>
      <c r="J6" s="367">
        <v>22789.98</v>
      </c>
      <c r="K6" s="367">
        <f t="shared" si="0"/>
        <v>76.368869125817582</v>
      </c>
      <c r="L6" s="366"/>
      <c r="M6" s="366"/>
      <c r="N6" s="366"/>
      <c r="O6" s="366"/>
      <c r="P6" s="369"/>
    </row>
    <row r="7" spans="1:16">
      <c r="A7" s="368"/>
      <c r="I7" s="369">
        <v>1749232</v>
      </c>
      <c r="J7" s="367">
        <v>22918.44</v>
      </c>
      <c r="K7" s="367">
        <f t="shared" si="0"/>
        <v>76.324217529639895</v>
      </c>
      <c r="L7" s="366"/>
      <c r="M7" s="366"/>
      <c r="N7" s="366"/>
      <c r="O7" s="366"/>
      <c r="P7" s="369"/>
    </row>
    <row r="8" spans="1:16">
      <c r="A8" s="368"/>
      <c r="I8" s="188">
        <v>1740446</v>
      </c>
      <c r="J8" s="367">
        <v>22807.54</v>
      </c>
      <c r="K8" s="367">
        <f t="shared" si="0"/>
        <v>76.310114988288959</v>
      </c>
      <c r="L8" s="366"/>
      <c r="M8" s="366"/>
      <c r="N8" s="366"/>
      <c r="O8" s="366"/>
      <c r="P8" s="369"/>
    </row>
    <row r="9" spans="1:16" ht="15">
      <c r="A9" s="368"/>
      <c r="B9" s="1491" t="s">
        <v>382</v>
      </c>
      <c r="C9" s="1491"/>
      <c r="D9" s="1491"/>
      <c r="E9" s="1491"/>
      <c r="F9" s="1491"/>
      <c r="G9" s="1491"/>
      <c r="H9" s="1491"/>
      <c r="I9" s="167">
        <v>1740368</v>
      </c>
      <c r="J9" s="367">
        <v>22809.17</v>
      </c>
      <c r="K9" s="367">
        <f t="shared" si="0"/>
        <v>76.301242000476137</v>
      </c>
      <c r="L9" s="366"/>
      <c r="M9" s="366"/>
      <c r="N9" s="366"/>
      <c r="O9" s="366"/>
      <c r="P9" s="369"/>
    </row>
    <row r="10" spans="1:16" ht="15">
      <c r="B10" s="1491" t="s">
        <v>400</v>
      </c>
      <c r="C10" s="1491"/>
      <c r="D10" s="1491"/>
      <c r="E10" s="1491"/>
      <c r="F10" s="1491"/>
      <c r="G10" s="1491"/>
      <c r="H10" s="1491"/>
      <c r="I10" s="366">
        <v>1743385</v>
      </c>
      <c r="J10" s="367">
        <v>22853.9</v>
      </c>
      <c r="K10" s="367">
        <f t="shared" si="0"/>
        <v>76.283916530657777</v>
      </c>
      <c r="L10" s="369"/>
      <c r="M10" s="369"/>
      <c r="N10" s="369"/>
      <c r="O10" s="369"/>
      <c r="P10" s="369"/>
    </row>
    <row r="11" spans="1:16" ht="15">
      <c r="B11" s="1491" t="s">
        <v>383</v>
      </c>
      <c r="C11" s="1491"/>
      <c r="D11" s="1491"/>
      <c r="E11" s="1491"/>
      <c r="F11" s="1491"/>
      <c r="G11" s="1491"/>
      <c r="H11" s="1491"/>
      <c r="I11" s="366">
        <v>1744921</v>
      </c>
      <c r="J11" s="367">
        <v>22879.05</v>
      </c>
      <c r="K11" s="367">
        <f t="shared" si="0"/>
        <v>76.267196408941814</v>
      </c>
    </row>
    <row r="12" spans="1:16" ht="15">
      <c r="A12" s="365"/>
      <c r="B12" s="370"/>
      <c r="C12" s="370"/>
      <c r="D12" s="370"/>
      <c r="E12" s="371"/>
      <c r="F12" s="371"/>
      <c r="G12" s="370"/>
      <c r="H12"/>
    </row>
    <row r="13" spans="1:16">
      <c r="A13" s="12"/>
      <c r="I13" s="167"/>
      <c r="J13" s="12"/>
      <c r="K13" s="12"/>
      <c r="L13" s="12"/>
      <c r="M13" s="12"/>
      <c r="N13" s="12"/>
      <c r="O13" s="12"/>
      <c r="P13" s="12"/>
    </row>
    <row r="14" spans="1:16">
      <c r="A14" s="368"/>
      <c r="I14" s="366"/>
      <c r="J14" s="366"/>
      <c r="K14" s="366"/>
      <c r="L14" s="366"/>
      <c r="M14" s="366"/>
      <c r="N14" s="366"/>
      <c r="O14" s="366"/>
      <c r="P14" s="369"/>
    </row>
    <row r="15" spans="1:16" ht="12.75">
      <c r="A15" s="368"/>
      <c r="B15" s="372" t="s">
        <v>384</v>
      </c>
      <c r="C15" s="373">
        <v>3.7699999999999999E-3</v>
      </c>
      <c r="D15" s="366"/>
      <c r="E15" s="366"/>
      <c r="F15" s="366"/>
      <c r="G15" s="366"/>
      <c r="H15" s="369"/>
      <c r="I15" s="366"/>
    </row>
    <row r="16" spans="1:16" ht="12.75">
      <c r="A16" s="368"/>
      <c r="B16" s="372" t="s">
        <v>385</v>
      </c>
      <c r="C16" s="244">
        <v>120</v>
      </c>
      <c r="D16" s="366"/>
      <c r="E16" s="366"/>
      <c r="F16" s="366"/>
      <c r="G16" s="366"/>
      <c r="H16" s="369"/>
      <c r="I16" s="366"/>
    </row>
    <row r="17" spans="1:16" ht="12.75">
      <c r="B17" s="374" t="s">
        <v>386</v>
      </c>
      <c r="C17" s="375">
        <f>ROUND(PMT(C15,C16,C18),2)</f>
        <v>76.260000000000005</v>
      </c>
      <c r="D17" s="369"/>
      <c r="E17" s="369"/>
      <c r="F17" s="369"/>
      <c r="G17" s="369"/>
      <c r="H17" s="369"/>
      <c r="I17" s="369"/>
    </row>
    <row r="18" spans="1:16" ht="12.75">
      <c r="B18" s="372" t="s">
        <v>387</v>
      </c>
      <c r="C18" s="376">
        <f>-7350</f>
        <v>-7350</v>
      </c>
      <c r="I18" s="188">
        <v>76.2</v>
      </c>
    </row>
    <row r="19" spans="1:16" ht="12.75">
      <c r="A19" s="365"/>
      <c r="I19" s="188">
        <v>120</v>
      </c>
    </row>
    <row r="20" spans="1:16" ht="12.75">
      <c r="A20" s="12"/>
      <c r="B20" s="377" t="s">
        <v>388</v>
      </c>
      <c r="C20" s="378" t="s">
        <v>389</v>
      </c>
      <c r="D20" s="379" t="s">
        <v>403</v>
      </c>
      <c r="E20" s="380" t="s">
        <v>404</v>
      </c>
      <c r="F20" s="380" t="s">
        <v>405</v>
      </c>
      <c r="G20" s="379" t="s">
        <v>406</v>
      </c>
      <c r="H20" s="381" t="s">
        <v>394</v>
      </c>
      <c r="I20" s="379" t="s">
        <v>390</v>
      </c>
      <c r="J20" s="380" t="s">
        <v>391</v>
      </c>
      <c r="K20" s="380" t="s">
        <v>392</v>
      </c>
      <c r="L20" s="379" t="s">
        <v>393</v>
      </c>
      <c r="M20" s="381" t="s">
        <v>394</v>
      </c>
    </row>
    <row r="21" spans="1:16" ht="12.75">
      <c r="A21" s="368"/>
      <c r="B21" s="382"/>
      <c r="C21" s="383"/>
      <c r="D21" s="384"/>
      <c r="E21" s="384"/>
      <c r="F21" s="384"/>
      <c r="G21" s="384"/>
      <c r="H21" s="385"/>
      <c r="I21" s="384"/>
      <c r="J21" s="384"/>
      <c r="K21" s="384"/>
      <c r="L21" s="384"/>
      <c r="M21" s="385"/>
    </row>
    <row r="22" spans="1:16" ht="12.75">
      <c r="A22" s="368"/>
      <c r="B22" s="382"/>
      <c r="C22" s="383"/>
      <c r="D22" s="384"/>
      <c r="E22" s="384"/>
      <c r="F22" s="384"/>
      <c r="G22" s="384"/>
      <c r="H22" s="382"/>
      <c r="I22" s="384"/>
      <c r="J22" s="384"/>
      <c r="K22" s="384"/>
      <c r="L22" s="384"/>
      <c r="M22" s="382"/>
    </row>
    <row r="23" spans="1:16" ht="12.75">
      <c r="A23" s="368"/>
      <c r="B23" s="382">
        <v>1</v>
      </c>
      <c r="C23" s="383">
        <v>41131</v>
      </c>
      <c r="D23" s="386">
        <f t="shared" ref="D23:D54" si="1">+E23+F23</f>
        <v>76.54979154698816</v>
      </c>
      <c r="E23" s="386">
        <f t="shared" ref="E23:E36" si="2">ROUND((IPMT($C$15,B23,$C$16,$C$18)*1),0)</f>
        <v>28</v>
      </c>
      <c r="F23" s="386">
        <f t="shared" ref="F23:F54" si="3">PPMT($C$15,B23,$C$16,$C$18)</f>
        <v>48.549791546988153</v>
      </c>
      <c r="G23" s="386">
        <f>-C18-F23</f>
        <v>7301.4502084530122</v>
      </c>
      <c r="H23" s="387" t="s">
        <v>395</v>
      </c>
      <c r="I23" s="366">
        <f>+J23+K23+89036</f>
        <v>1815959.4914084482</v>
      </c>
      <c r="J23" s="369">
        <f>+E23*N23</f>
        <v>631665.43999999994</v>
      </c>
      <c r="K23" s="369">
        <f>+F23*N23</f>
        <v>1095258.0514084483</v>
      </c>
      <c r="L23" s="367"/>
      <c r="N23" s="367">
        <v>22559.48</v>
      </c>
      <c r="P23" s="366">
        <f>+I3-I23</f>
        <v>-0.49140844820067286</v>
      </c>
    </row>
    <row r="24" spans="1:16" ht="12.75">
      <c r="A24" s="368"/>
      <c r="B24" s="382">
        <v>2</v>
      </c>
      <c r="C24" s="383">
        <f t="shared" ref="C24:C36" si="4">+C23+32</f>
        <v>41163</v>
      </c>
      <c r="D24" s="388">
        <f t="shared" si="1"/>
        <v>76.7328242611203</v>
      </c>
      <c r="E24" s="388">
        <f t="shared" si="2"/>
        <v>28</v>
      </c>
      <c r="F24" s="388">
        <f t="shared" si="3"/>
        <v>48.732824261120292</v>
      </c>
      <c r="G24" s="388">
        <f t="shared" ref="G24:G55" si="5">+G23-F24</f>
        <v>7252.7173841918921</v>
      </c>
      <c r="H24" s="389" t="s">
        <v>395</v>
      </c>
      <c r="I24" s="366">
        <f>+J24+K24-8265</f>
        <v>1722902.7134986497</v>
      </c>
      <c r="J24" s="369">
        <f>+E24*N24</f>
        <v>631707.43999999994</v>
      </c>
      <c r="K24" s="369">
        <f>+F24*N24</f>
        <v>1099460.2734986497</v>
      </c>
      <c r="L24" s="367"/>
      <c r="N24" s="367">
        <v>22560.98</v>
      </c>
      <c r="P24" s="366">
        <f t="shared" ref="P24:P30" si="6">+I4-I24</f>
        <v>0.28650135034695268</v>
      </c>
    </row>
    <row r="25" spans="1:16" ht="12.75">
      <c r="A25" s="368"/>
      <c r="B25" s="382">
        <v>3</v>
      </c>
      <c r="C25" s="383">
        <f t="shared" si="4"/>
        <v>41195</v>
      </c>
      <c r="D25" s="388">
        <f t="shared" si="1"/>
        <v>75.916547008584715</v>
      </c>
      <c r="E25" s="388">
        <f t="shared" si="2"/>
        <v>27</v>
      </c>
      <c r="F25" s="388">
        <f t="shared" si="3"/>
        <v>48.916547008584715</v>
      </c>
      <c r="G25" s="388">
        <f t="shared" si="5"/>
        <v>7203.8008371833075</v>
      </c>
      <c r="H25" s="389" t="s">
        <v>395</v>
      </c>
      <c r="I25" s="366">
        <f>+J25+K25+9857</f>
        <v>1726361.2536483738</v>
      </c>
      <c r="J25" s="369">
        <f>+E25*N25</f>
        <v>610481.06999999995</v>
      </c>
      <c r="K25" s="369">
        <f>+F25*N25</f>
        <v>1106023.1836483739</v>
      </c>
      <c r="L25" s="367"/>
      <c r="N25" s="367">
        <v>22610.41</v>
      </c>
      <c r="P25" s="366">
        <f t="shared" si="6"/>
        <v>-0.25364837376400828</v>
      </c>
    </row>
    <row r="26" spans="1:16" ht="12.75">
      <c r="B26" s="382">
        <v>4</v>
      </c>
      <c r="C26" s="383">
        <f t="shared" si="4"/>
        <v>41227</v>
      </c>
      <c r="D26" s="388">
        <f t="shared" si="1"/>
        <v>76.100962390807069</v>
      </c>
      <c r="E26" s="388">
        <f t="shared" si="2"/>
        <v>27</v>
      </c>
      <c r="F26" s="388">
        <f t="shared" si="3"/>
        <v>49.100962390807076</v>
      </c>
      <c r="G26" s="388">
        <f t="shared" si="5"/>
        <v>7154.6998747925009</v>
      </c>
      <c r="H26" s="389" t="s">
        <v>395</v>
      </c>
      <c r="I26" s="366">
        <f>+J26+K26+6106</f>
        <v>1740445.4108672454</v>
      </c>
      <c r="J26" s="369">
        <f>+E26*N26</f>
        <v>615329.46</v>
      </c>
      <c r="K26" s="369">
        <f>+F26*N26</f>
        <v>1119009.9508672454</v>
      </c>
      <c r="L26" s="367"/>
      <c r="N26" s="367">
        <v>22789.98</v>
      </c>
      <c r="P26" s="366">
        <f t="shared" si="6"/>
        <v>-0.41086724540218711</v>
      </c>
    </row>
    <row r="27" spans="1:16" ht="12.75">
      <c r="B27" s="382">
        <v>5</v>
      </c>
      <c r="C27" s="383">
        <f t="shared" si="4"/>
        <v>41259</v>
      </c>
      <c r="D27" s="388">
        <f t="shared" si="1"/>
        <v>76.286073019020421</v>
      </c>
      <c r="E27" s="388">
        <f t="shared" si="2"/>
        <v>27</v>
      </c>
      <c r="F27" s="388">
        <f t="shared" si="3"/>
        <v>49.286073019020421</v>
      </c>
      <c r="G27" s="388">
        <f t="shared" si="5"/>
        <v>7105.4138017734804</v>
      </c>
      <c r="H27" s="389" t="s">
        <v>395</v>
      </c>
      <c r="I27" s="366">
        <f>+J27+K27+874</f>
        <v>1749231.7873220383</v>
      </c>
      <c r="J27" s="369">
        <f>+E27*N27</f>
        <v>618797.88</v>
      </c>
      <c r="K27" s="369">
        <f>+F27*N27</f>
        <v>1129559.9073220382</v>
      </c>
      <c r="L27" s="367"/>
      <c r="N27" s="367">
        <v>22918.44</v>
      </c>
      <c r="P27" s="366">
        <f t="shared" si="6"/>
        <v>0.21267796168103814</v>
      </c>
    </row>
    <row r="28" spans="1:16" ht="12.75">
      <c r="A28" s="365"/>
      <c r="B28" s="382">
        <v>6</v>
      </c>
      <c r="C28" s="390">
        <f t="shared" si="4"/>
        <v>41291</v>
      </c>
      <c r="D28" s="391">
        <f t="shared" si="1"/>
        <v>76.471881514302126</v>
      </c>
      <c r="E28" s="392">
        <f t="shared" si="2"/>
        <v>27</v>
      </c>
      <c r="F28" s="392">
        <f t="shared" si="3"/>
        <v>49.471881514302126</v>
      </c>
      <c r="G28" s="392">
        <f t="shared" si="5"/>
        <v>7055.941920259178</v>
      </c>
      <c r="H28" s="382"/>
      <c r="I28" s="369"/>
      <c r="J28" s="369"/>
      <c r="K28" s="369"/>
      <c r="L28" s="367"/>
      <c r="N28" s="367"/>
      <c r="P28" s="366">
        <f t="shared" si="6"/>
        <v>1740446</v>
      </c>
    </row>
    <row r="29" spans="1:16" ht="12.75">
      <c r="A29" s="12"/>
      <c r="B29" s="382">
        <v>7</v>
      </c>
      <c r="C29" s="390">
        <f t="shared" si="4"/>
        <v>41323</v>
      </c>
      <c r="D29" s="391">
        <f t="shared" si="1"/>
        <v>76.658390507611045</v>
      </c>
      <c r="E29" s="392">
        <f t="shared" si="2"/>
        <v>27</v>
      </c>
      <c r="F29" s="392">
        <f t="shared" si="3"/>
        <v>49.658390507611053</v>
      </c>
      <c r="G29" s="392">
        <f t="shared" si="5"/>
        <v>7006.2835297515667</v>
      </c>
      <c r="H29" s="382"/>
      <c r="I29" s="405"/>
      <c r="J29" s="369"/>
      <c r="K29" s="369"/>
      <c r="L29" s="367"/>
      <c r="N29" s="367"/>
      <c r="P29" s="366">
        <f t="shared" si="6"/>
        <v>1740368</v>
      </c>
    </row>
    <row r="30" spans="1:16" ht="12.75">
      <c r="A30" s="368"/>
      <c r="B30" s="382">
        <v>8</v>
      </c>
      <c r="C30" s="390">
        <f t="shared" si="4"/>
        <v>41355</v>
      </c>
      <c r="D30" s="391">
        <f t="shared" si="1"/>
        <v>75.845602639824747</v>
      </c>
      <c r="E30" s="392">
        <f t="shared" si="2"/>
        <v>26</v>
      </c>
      <c r="F30" s="392">
        <f t="shared" si="3"/>
        <v>49.845602639824747</v>
      </c>
      <c r="G30" s="392">
        <f t="shared" si="5"/>
        <v>6956.4379271117423</v>
      </c>
      <c r="H30" s="382"/>
      <c r="I30" s="366"/>
      <c r="J30" s="369"/>
      <c r="K30" s="369"/>
      <c r="L30" s="367"/>
      <c r="N30" s="367"/>
      <c r="P30" s="366">
        <f t="shared" si="6"/>
        <v>1743385</v>
      </c>
    </row>
    <row r="31" spans="1:16" ht="12.75">
      <c r="A31" s="368"/>
      <c r="B31" s="382">
        <v>9</v>
      </c>
      <c r="C31" s="390">
        <f t="shared" si="4"/>
        <v>41387</v>
      </c>
      <c r="D31" s="391">
        <f t="shared" si="1"/>
        <v>76.033520561776882</v>
      </c>
      <c r="E31" s="392">
        <f t="shared" si="2"/>
        <v>26</v>
      </c>
      <c r="F31" s="392">
        <f t="shared" si="3"/>
        <v>50.033520561776882</v>
      </c>
      <c r="G31" s="392">
        <f t="shared" si="5"/>
        <v>6906.4044065499656</v>
      </c>
      <c r="H31" s="382"/>
      <c r="I31" s="366"/>
      <c r="J31" s="369"/>
      <c r="K31" s="369"/>
      <c r="L31" s="367"/>
      <c r="N31" s="367"/>
    </row>
    <row r="32" spans="1:16" ht="12.75">
      <c r="A32" s="368"/>
      <c r="B32" s="382">
        <v>10</v>
      </c>
      <c r="C32" s="390">
        <f t="shared" si="4"/>
        <v>41419</v>
      </c>
      <c r="D32" s="391">
        <f t="shared" si="1"/>
        <v>76.222146934294784</v>
      </c>
      <c r="E32" s="392">
        <f t="shared" si="2"/>
        <v>26</v>
      </c>
      <c r="F32" s="392">
        <f t="shared" si="3"/>
        <v>50.222146934294784</v>
      </c>
      <c r="G32" s="392">
        <f t="shared" si="5"/>
        <v>6856.1822596156708</v>
      </c>
      <c r="H32" s="382"/>
      <c r="I32" s="366"/>
      <c r="J32" s="369"/>
      <c r="K32" s="369"/>
      <c r="L32" s="367"/>
    </row>
    <row r="33" spans="1:14" ht="12.75">
      <c r="A33" s="368"/>
      <c r="B33" s="382">
        <v>11</v>
      </c>
      <c r="C33" s="390">
        <f t="shared" si="4"/>
        <v>41451</v>
      </c>
      <c r="D33" s="391">
        <f t="shared" si="1"/>
        <v>76.411484428237074</v>
      </c>
      <c r="E33" s="392">
        <f t="shared" si="2"/>
        <v>26</v>
      </c>
      <c r="F33" s="392">
        <f t="shared" si="3"/>
        <v>50.411484428237074</v>
      </c>
      <c r="G33" s="392">
        <f t="shared" si="5"/>
        <v>6805.7707751874341</v>
      </c>
      <c r="H33" s="382"/>
      <c r="I33" s="366"/>
      <c r="J33" s="367"/>
      <c r="K33" s="367"/>
      <c r="L33" s="367"/>
    </row>
    <row r="34" spans="1:14" ht="12.75">
      <c r="A34" s="368"/>
      <c r="B34" s="382">
        <v>12</v>
      </c>
      <c r="C34" s="390">
        <f t="shared" si="4"/>
        <v>41483</v>
      </c>
      <c r="D34" s="391">
        <f t="shared" si="1"/>
        <v>76.60153572453153</v>
      </c>
      <c r="E34" s="392">
        <f t="shared" si="2"/>
        <v>26</v>
      </c>
      <c r="F34" s="392">
        <f t="shared" si="3"/>
        <v>50.60153572453153</v>
      </c>
      <c r="G34" s="392">
        <f t="shared" si="5"/>
        <v>6755.1692394629026</v>
      </c>
      <c r="H34" s="382"/>
      <c r="I34" s="366"/>
      <c r="J34" s="367"/>
      <c r="K34" s="367"/>
      <c r="L34" s="367"/>
    </row>
    <row r="35" spans="1:14" ht="12.75">
      <c r="A35" s="368"/>
      <c r="B35" s="382">
        <v>13</v>
      </c>
      <c r="C35" s="390">
        <f t="shared" si="4"/>
        <v>41515</v>
      </c>
      <c r="D35" s="391">
        <f t="shared" si="1"/>
        <v>75.792303514213017</v>
      </c>
      <c r="E35" s="392">
        <f t="shared" si="2"/>
        <v>25</v>
      </c>
      <c r="F35" s="392">
        <f t="shared" si="3"/>
        <v>50.79230351421301</v>
      </c>
      <c r="G35" s="392">
        <f t="shared" si="5"/>
        <v>6704.3769359486896</v>
      </c>
      <c r="H35" s="382"/>
      <c r="I35" s="366"/>
      <c r="J35" s="369"/>
      <c r="N35" s="12"/>
    </row>
    <row r="36" spans="1:14" ht="12.75">
      <c r="A36" s="368"/>
      <c r="B36" s="382">
        <v>14</v>
      </c>
      <c r="C36" s="390">
        <f t="shared" si="4"/>
        <v>41547</v>
      </c>
      <c r="D36" s="391">
        <f t="shared" si="1"/>
        <v>75.983790498461588</v>
      </c>
      <c r="E36" s="392">
        <f t="shared" si="2"/>
        <v>25</v>
      </c>
      <c r="F36" s="392">
        <f t="shared" si="3"/>
        <v>50.983790498461588</v>
      </c>
      <c r="G36" s="392">
        <f t="shared" si="5"/>
        <v>6653.3931454502281</v>
      </c>
      <c r="H36" s="382"/>
      <c r="I36" s="366"/>
      <c r="J36" s="369"/>
      <c r="N36" s="12"/>
    </row>
    <row r="37" spans="1:14" ht="12.75">
      <c r="A37" s="368"/>
      <c r="B37" s="382">
        <v>15</v>
      </c>
      <c r="C37" s="390">
        <f>+C36+30</f>
        <v>41577</v>
      </c>
      <c r="D37" s="391">
        <f t="shared" si="1"/>
        <v>76.259291546988152</v>
      </c>
      <c r="E37" s="392">
        <f t="shared" ref="E37:E68" si="7">IPMT($C$15,B37,$C$16,$C$18)</f>
        <v>25.083292158347355</v>
      </c>
      <c r="F37" s="392">
        <f t="shared" si="3"/>
        <v>51.17599938864079</v>
      </c>
      <c r="G37" s="392">
        <f t="shared" si="5"/>
        <v>6602.2171460615873</v>
      </c>
      <c r="H37" s="382"/>
      <c r="I37" s="366"/>
      <c r="J37" s="369"/>
      <c r="N37" s="12"/>
    </row>
    <row r="38" spans="1:14" ht="12.75">
      <c r="A38" s="368"/>
      <c r="B38" s="382">
        <v>16</v>
      </c>
      <c r="C38" s="390">
        <f>+C37+30</f>
        <v>41607</v>
      </c>
      <c r="D38" s="391">
        <f t="shared" si="1"/>
        <v>76.259291546988152</v>
      </c>
      <c r="E38" s="392">
        <f t="shared" si="7"/>
        <v>24.890358640652178</v>
      </c>
      <c r="F38" s="392">
        <f t="shared" si="3"/>
        <v>51.368932906335971</v>
      </c>
      <c r="G38" s="392">
        <f t="shared" si="5"/>
        <v>6550.848213155251</v>
      </c>
      <c r="H38" s="382"/>
      <c r="I38" s="366"/>
      <c r="J38" s="369"/>
      <c r="N38" s="12"/>
    </row>
    <row r="39" spans="1:14" ht="12.75">
      <c r="A39" s="368"/>
      <c r="B39" s="382">
        <v>17</v>
      </c>
      <c r="C39" s="390">
        <f>+C38+32</f>
        <v>41639</v>
      </c>
      <c r="D39" s="391">
        <f t="shared" si="1"/>
        <v>76.259291546988152</v>
      </c>
      <c r="E39" s="392">
        <f t="shared" si="7"/>
        <v>24.696697763595289</v>
      </c>
      <c r="F39" s="392">
        <f t="shared" si="3"/>
        <v>51.562593783392863</v>
      </c>
      <c r="G39" s="392">
        <f t="shared" si="5"/>
        <v>6499.285619371858</v>
      </c>
      <c r="H39" s="382"/>
      <c r="I39" s="366"/>
      <c r="J39" s="369"/>
      <c r="N39" s="12"/>
    </row>
    <row r="40" spans="1:14" ht="12.75">
      <c r="A40" s="368"/>
      <c r="B40" s="382">
        <v>18</v>
      </c>
      <c r="C40" s="383">
        <f>+C39+30</f>
        <v>41669</v>
      </c>
      <c r="D40" s="391">
        <f t="shared" si="1"/>
        <v>76.259291546988152</v>
      </c>
      <c r="E40" s="392">
        <f t="shared" si="7"/>
        <v>24.502306785031898</v>
      </c>
      <c r="F40" s="392">
        <f t="shared" si="3"/>
        <v>51.756984761956247</v>
      </c>
      <c r="G40" s="392">
        <f t="shared" si="5"/>
        <v>6447.5286346099019</v>
      </c>
      <c r="H40" s="382"/>
      <c r="I40" s="366"/>
      <c r="J40" s="369"/>
      <c r="N40" s="12"/>
    </row>
    <row r="41" spans="1:14" ht="12.75">
      <c r="A41" s="368"/>
      <c r="B41" s="382">
        <v>19</v>
      </c>
      <c r="C41" s="383">
        <f>+C40+28</f>
        <v>41697</v>
      </c>
      <c r="D41" s="391">
        <f t="shared" si="1"/>
        <v>76.259291546988152</v>
      </c>
      <c r="E41" s="392">
        <f t="shared" si="7"/>
        <v>24.307182952479327</v>
      </c>
      <c r="F41" s="392">
        <f t="shared" si="3"/>
        <v>51.952108594508822</v>
      </c>
      <c r="G41" s="392">
        <f t="shared" si="5"/>
        <v>6395.576526015393</v>
      </c>
      <c r="H41" s="382"/>
      <c r="I41" s="366"/>
      <c r="J41" s="369"/>
      <c r="N41" s="12"/>
    </row>
    <row r="42" spans="1:14" ht="12.75">
      <c r="A42" s="368"/>
      <c r="B42" s="382">
        <v>20</v>
      </c>
      <c r="C42" s="383">
        <f t="shared" ref="C42:C73" si="8">+C41+30</f>
        <v>41727</v>
      </c>
      <c r="D42" s="391">
        <f t="shared" si="1"/>
        <v>76.259291546988138</v>
      </c>
      <c r="E42" s="392">
        <f t="shared" si="7"/>
        <v>24.111323503078026</v>
      </c>
      <c r="F42" s="392">
        <f t="shared" si="3"/>
        <v>52.147968043910112</v>
      </c>
      <c r="G42" s="392">
        <f t="shared" si="5"/>
        <v>6343.4285579714833</v>
      </c>
      <c r="H42" s="382"/>
      <c r="I42" s="366"/>
      <c r="J42" s="369"/>
      <c r="N42" s="12"/>
    </row>
    <row r="43" spans="1:14" ht="12.75">
      <c r="A43" s="368"/>
      <c r="B43" s="382">
        <v>21</v>
      </c>
      <c r="C43" s="383">
        <f t="shared" si="8"/>
        <v>41757</v>
      </c>
      <c r="D43" s="391">
        <f t="shared" si="1"/>
        <v>76.259291546988138</v>
      </c>
      <c r="E43" s="392">
        <f t="shared" si="7"/>
        <v>23.914725663552485</v>
      </c>
      <c r="F43" s="392">
        <f t="shared" si="3"/>
        <v>52.344565883435656</v>
      </c>
      <c r="G43" s="392">
        <f t="shared" si="5"/>
        <v>6291.083992088048</v>
      </c>
      <c r="H43" s="382"/>
      <c r="I43" s="366"/>
      <c r="J43" s="369"/>
      <c r="N43" s="12"/>
    </row>
    <row r="44" spans="1:14" ht="12.75">
      <c r="A44" s="368"/>
      <c r="B44" s="382">
        <v>22</v>
      </c>
      <c r="C44" s="383">
        <f t="shared" si="8"/>
        <v>41787</v>
      </c>
      <c r="D44" s="391">
        <f t="shared" si="1"/>
        <v>76.259291546988152</v>
      </c>
      <c r="E44" s="392">
        <f t="shared" si="7"/>
        <v>23.717386650171935</v>
      </c>
      <c r="F44" s="392">
        <f t="shared" si="3"/>
        <v>52.541904896816213</v>
      </c>
      <c r="G44" s="392">
        <f t="shared" si="5"/>
        <v>6238.542087191232</v>
      </c>
      <c r="H44" s="382"/>
      <c r="I44" s="366"/>
      <c r="J44" s="369"/>
      <c r="N44" s="12"/>
    </row>
    <row r="45" spans="1:14" ht="12.75">
      <c r="A45" s="368"/>
      <c r="B45" s="382">
        <v>23</v>
      </c>
      <c r="C45" s="383">
        <f t="shared" si="8"/>
        <v>41817</v>
      </c>
      <c r="D45" s="391">
        <f t="shared" si="1"/>
        <v>76.259291546988152</v>
      </c>
      <c r="E45" s="392">
        <f t="shared" si="7"/>
        <v>23.519303668710933</v>
      </c>
      <c r="F45" s="392">
        <f t="shared" si="3"/>
        <v>52.739987878277212</v>
      </c>
      <c r="G45" s="392">
        <f t="shared" si="5"/>
        <v>6185.8020993129549</v>
      </c>
      <c r="H45" s="382"/>
      <c r="I45" s="366"/>
      <c r="J45" s="369"/>
      <c r="N45" s="12"/>
    </row>
    <row r="46" spans="1:14" ht="12.75">
      <c r="A46" s="368"/>
      <c r="B46" s="382">
        <v>24</v>
      </c>
      <c r="C46" s="383">
        <f t="shared" si="8"/>
        <v>41847</v>
      </c>
      <c r="D46" s="391">
        <f t="shared" si="1"/>
        <v>76.259291546988152</v>
      </c>
      <c r="E46" s="392">
        <f t="shared" si="7"/>
        <v>23.320473914409831</v>
      </c>
      <c r="F46" s="392">
        <f t="shared" si="3"/>
        <v>52.938817632578321</v>
      </c>
      <c r="G46" s="392">
        <f t="shared" si="5"/>
        <v>6132.8632816803765</v>
      </c>
      <c r="H46" s="382"/>
      <c r="I46" s="366"/>
      <c r="J46" s="369"/>
      <c r="N46" s="12"/>
    </row>
    <row r="47" spans="1:14" ht="12.75">
      <c r="A47" s="368"/>
      <c r="B47" s="382">
        <v>25</v>
      </c>
      <c r="C47" s="383">
        <f t="shared" si="8"/>
        <v>41877</v>
      </c>
      <c r="D47" s="391">
        <f t="shared" si="1"/>
        <v>76.259291546988152</v>
      </c>
      <c r="E47" s="392">
        <f t="shared" si="7"/>
        <v>23.120894571935008</v>
      </c>
      <c r="F47" s="392">
        <f t="shared" si="3"/>
        <v>53.138396975053141</v>
      </c>
      <c r="G47" s="392">
        <f t="shared" si="5"/>
        <v>6079.7248847053233</v>
      </c>
      <c r="H47" s="382"/>
      <c r="I47" s="366"/>
      <c r="J47" s="369"/>
      <c r="N47" s="12"/>
    </row>
    <row r="48" spans="1:14" ht="12.75">
      <c r="A48" s="368"/>
      <c r="B48" s="382">
        <v>26</v>
      </c>
      <c r="C48" s="383">
        <f t="shared" si="8"/>
        <v>41907</v>
      </c>
      <c r="D48" s="391">
        <f t="shared" si="1"/>
        <v>76.259291546988152</v>
      </c>
      <c r="E48" s="392">
        <f t="shared" si="7"/>
        <v>22.920562815339057</v>
      </c>
      <c r="F48" s="392">
        <f t="shared" si="3"/>
        <v>53.338728731649091</v>
      </c>
      <c r="G48" s="392">
        <f t="shared" si="5"/>
        <v>6026.3861559736742</v>
      </c>
      <c r="H48" s="382"/>
      <c r="I48" s="366"/>
      <c r="J48" s="369"/>
      <c r="N48" s="12"/>
    </row>
    <row r="49" spans="1:14" ht="12.75">
      <c r="A49" s="368"/>
      <c r="B49" s="382">
        <v>27</v>
      </c>
      <c r="C49" s="383">
        <f t="shared" si="8"/>
        <v>41937</v>
      </c>
      <c r="D49" s="391">
        <f t="shared" si="1"/>
        <v>76.259291546988138</v>
      </c>
      <c r="E49" s="392">
        <f t="shared" si="7"/>
        <v>22.719475808020743</v>
      </c>
      <c r="F49" s="392">
        <f t="shared" si="3"/>
        <v>53.539815738967398</v>
      </c>
      <c r="G49" s="392">
        <f t="shared" si="5"/>
        <v>5972.846340234707</v>
      </c>
      <c r="H49" s="382"/>
      <c r="I49" s="366"/>
      <c r="J49" s="369"/>
      <c r="N49" s="12"/>
    </row>
    <row r="50" spans="1:14" ht="12.75">
      <c r="A50" s="368"/>
      <c r="B50" s="382">
        <v>28</v>
      </c>
      <c r="C50" s="383">
        <f t="shared" si="8"/>
        <v>41967</v>
      </c>
      <c r="D50" s="391">
        <f t="shared" si="1"/>
        <v>76.259291546988152</v>
      </c>
      <c r="E50" s="392">
        <f t="shared" si="7"/>
        <v>22.517630702684833</v>
      </c>
      <c r="F50" s="392">
        <f t="shared" si="3"/>
        <v>53.741660844303311</v>
      </c>
      <c r="G50" s="392">
        <f t="shared" si="5"/>
        <v>5919.1046793904034</v>
      </c>
      <c r="H50" s="382"/>
      <c r="I50" s="366"/>
      <c r="J50" s="369"/>
      <c r="N50" s="12"/>
    </row>
    <row r="51" spans="1:14" ht="12.75">
      <c r="A51" s="368"/>
      <c r="B51" s="382">
        <v>29</v>
      </c>
      <c r="C51" s="383">
        <f t="shared" si="8"/>
        <v>41997</v>
      </c>
      <c r="D51" s="391">
        <f t="shared" si="1"/>
        <v>76.259291546988152</v>
      </c>
      <c r="E51" s="392">
        <f t="shared" si="7"/>
        <v>22.315024641301815</v>
      </c>
      <c r="F51" s="392">
        <f t="shared" si="3"/>
        <v>53.944266905686334</v>
      </c>
      <c r="G51" s="392">
        <f t="shared" si="5"/>
        <v>5865.1604124847172</v>
      </c>
      <c r="H51" s="382"/>
      <c r="I51" s="366"/>
      <c r="J51" s="369"/>
      <c r="N51" s="12"/>
    </row>
    <row r="52" spans="1:14" ht="12.75">
      <c r="A52" s="368"/>
      <c r="B52" s="382">
        <v>30</v>
      </c>
      <c r="C52" s="390">
        <f t="shared" si="8"/>
        <v>42027</v>
      </c>
      <c r="D52" s="391">
        <f t="shared" si="1"/>
        <v>76.259291546988152</v>
      </c>
      <c r="E52" s="392">
        <f t="shared" si="7"/>
        <v>22.111654755067377</v>
      </c>
      <c r="F52" s="392">
        <f t="shared" si="3"/>
        <v>54.147636791920775</v>
      </c>
      <c r="G52" s="392">
        <f t="shared" si="5"/>
        <v>5811.0127756927968</v>
      </c>
      <c r="H52" s="382"/>
      <c r="I52" s="366"/>
      <c r="J52" s="369"/>
      <c r="N52" s="12"/>
    </row>
    <row r="53" spans="1:14" ht="12.75">
      <c r="A53" s="368"/>
      <c r="B53" s="382">
        <v>31</v>
      </c>
      <c r="C53" s="390">
        <f t="shared" si="8"/>
        <v>42057</v>
      </c>
      <c r="D53" s="391">
        <f t="shared" si="1"/>
        <v>76.259291546988152</v>
      </c>
      <c r="E53" s="392">
        <f t="shared" si="7"/>
        <v>21.907518164361832</v>
      </c>
      <c r="F53" s="392">
        <f t="shared" si="3"/>
        <v>54.351773382626313</v>
      </c>
      <c r="G53" s="392">
        <f t="shared" si="5"/>
        <v>5756.6610023101703</v>
      </c>
      <c r="H53" s="382"/>
      <c r="I53" s="366"/>
      <c r="J53" s="369"/>
      <c r="N53" s="12"/>
    </row>
    <row r="54" spans="1:14" ht="12.75">
      <c r="A54" s="368"/>
      <c r="B54" s="382">
        <v>32</v>
      </c>
      <c r="C54" s="390">
        <f t="shared" si="8"/>
        <v>42087</v>
      </c>
      <c r="D54" s="391">
        <f t="shared" si="1"/>
        <v>76.259291546988138</v>
      </c>
      <c r="E54" s="392">
        <f t="shared" si="7"/>
        <v>21.702611978709331</v>
      </c>
      <c r="F54" s="392">
        <f t="shared" si="3"/>
        <v>54.55667956827881</v>
      </c>
      <c r="G54" s="392">
        <f t="shared" si="5"/>
        <v>5702.1043227418913</v>
      </c>
      <c r="H54" s="382"/>
      <c r="I54" s="366"/>
      <c r="J54" s="369"/>
      <c r="N54" s="12"/>
    </row>
    <row r="55" spans="1:14" ht="12.75">
      <c r="A55" s="368"/>
      <c r="B55" s="382">
        <v>33</v>
      </c>
      <c r="C55" s="390">
        <f t="shared" si="8"/>
        <v>42117</v>
      </c>
      <c r="D55" s="391">
        <f t="shared" ref="D55:D86" si="9">+E55+F55</f>
        <v>76.259291546988152</v>
      </c>
      <c r="E55" s="392">
        <f t="shared" si="7"/>
        <v>21.496933296736923</v>
      </c>
      <c r="F55" s="392">
        <f t="shared" ref="F55:F86" si="10">PPMT($C$15,B55,$C$16,$C$18)</f>
        <v>54.762358250251225</v>
      </c>
      <c r="G55" s="392">
        <f t="shared" si="5"/>
        <v>5647.3419644916403</v>
      </c>
      <c r="H55" s="382"/>
      <c r="I55" s="366"/>
      <c r="J55" s="369"/>
      <c r="N55" s="12"/>
    </row>
    <row r="56" spans="1:14" ht="12.75">
      <c r="A56" s="368"/>
      <c r="B56" s="382">
        <v>34</v>
      </c>
      <c r="C56" s="390">
        <f t="shared" si="8"/>
        <v>42147</v>
      </c>
      <c r="D56" s="391">
        <f t="shared" si="9"/>
        <v>76.259291546988152</v>
      </c>
      <c r="E56" s="392">
        <f t="shared" si="7"/>
        <v>21.290479206133476</v>
      </c>
      <c r="F56" s="392">
        <f t="shared" si="10"/>
        <v>54.968812340854676</v>
      </c>
      <c r="G56" s="392">
        <f t="shared" ref="G56:G87" si="11">+G55-F56</f>
        <v>5592.3731521507852</v>
      </c>
      <c r="H56" s="382"/>
      <c r="I56" s="366"/>
      <c r="J56" s="369"/>
      <c r="N56" s="12"/>
    </row>
    <row r="57" spans="1:14" ht="12.75">
      <c r="A57" s="368"/>
      <c r="B57" s="382">
        <v>35</v>
      </c>
      <c r="C57" s="390">
        <f t="shared" si="8"/>
        <v>42177</v>
      </c>
      <c r="D57" s="391">
        <f t="shared" si="9"/>
        <v>76.259291546988152</v>
      </c>
      <c r="E57" s="392">
        <f t="shared" si="7"/>
        <v>21.083246783608452</v>
      </c>
      <c r="F57" s="392">
        <f t="shared" si="10"/>
        <v>55.1760447633797</v>
      </c>
      <c r="G57" s="392">
        <f t="shared" si="11"/>
        <v>5537.1971073874056</v>
      </c>
      <c r="H57" s="382"/>
      <c r="I57" s="366"/>
      <c r="J57" s="369"/>
      <c r="N57" s="12"/>
    </row>
    <row r="58" spans="1:14" ht="12.75">
      <c r="A58" s="368"/>
      <c r="B58" s="382">
        <v>36</v>
      </c>
      <c r="C58" s="390">
        <f t="shared" si="8"/>
        <v>42207</v>
      </c>
      <c r="D58" s="391">
        <f t="shared" si="9"/>
        <v>76.259291546988152</v>
      </c>
      <c r="E58" s="392">
        <f t="shared" si="7"/>
        <v>20.875233094850511</v>
      </c>
      <c r="F58" s="392">
        <f t="shared" si="10"/>
        <v>55.384058452137637</v>
      </c>
      <c r="G58" s="392">
        <f t="shared" si="11"/>
        <v>5481.8130489352679</v>
      </c>
      <c r="H58" s="382"/>
      <c r="I58" s="366"/>
      <c r="J58" s="369"/>
      <c r="N58" s="12"/>
    </row>
    <row r="59" spans="1:14" ht="12.75">
      <c r="A59" s="368"/>
      <c r="B59" s="382">
        <v>37</v>
      </c>
      <c r="C59" s="390">
        <f t="shared" si="8"/>
        <v>42237</v>
      </c>
      <c r="D59" s="391">
        <f t="shared" si="9"/>
        <v>76.259291546988152</v>
      </c>
      <c r="E59" s="392">
        <f t="shared" si="7"/>
        <v>20.666435194485953</v>
      </c>
      <c r="F59" s="392">
        <f t="shared" si="10"/>
        <v>55.592856352502203</v>
      </c>
      <c r="G59" s="392">
        <f t="shared" si="11"/>
        <v>5426.2201925827658</v>
      </c>
      <c r="H59" s="382"/>
      <c r="I59" s="366"/>
      <c r="J59" s="369"/>
      <c r="N59" s="12"/>
    </row>
    <row r="60" spans="1:14" ht="12.75">
      <c r="A60" s="368"/>
      <c r="B60" s="382">
        <v>38</v>
      </c>
      <c r="C60" s="390">
        <f t="shared" si="8"/>
        <v>42267</v>
      </c>
      <c r="D60" s="391">
        <f t="shared" si="9"/>
        <v>76.259291546988138</v>
      </c>
      <c r="E60" s="392">
        <f t="shared" si="7"/>
        <v>20.456850126037015</v>
      </c>
      <c r="F60" s="392">
        <f t="shared" si="10"/>
        <v>55.802441420951126</v>
      </c>
      <c r="G60" s="392">
        <f t="shared" si="11"/>
        <v>5370.4177511618145</v>
      </c>
      <c r="H60" s="382"/>
      <c r="I60" s="366"/>
      <c r="J60" s="369"/>
      <c r="N60" s="12"/>
    </row>
    <row r="61" spans="1:14" ht="12.75">
      <c r="A61" s="368"/>
      <c r="B61" s="382">
        <v>39</v>
      </c>
      <c r="C61" s="390">
        <f t="shared" si="8"/>
        <v>42297</v>
      </c>
      <c r="D61" s="391">
        <f t="shared" si="9"/>
        <v>76.259291546988152</v>
      </c>
      <c r="E61" s="392">
        <f t="shared" si="7"/>
        <v>20.246474921880029</v>
      </c>
      <c r="F61" s="392">
        <f t="shared" si="10"/>
        <v>56.012816625108115</v>
      </c>
      <c r="G61" s="392">
        <f t="shared" si="11"/>
        <v>5314.4049345367066</v>
      </c>
      <c r="H61" s="382"/>
      <c r="I61" s="366"/>
      <c r="J61" s="369"/>
      <c r="N61" s="12"/>
    </row>
    <row r="62" spans="1:14" ht="12.75">
      <c r="A62" s="368"/>
      <c r="B62" s="382">
        <v>40</v>
      </c>
      <c r="C62" s="390">
        <f t="shared" si="8"/>
        <v>42327</v>
      </c>
      <c r="D62" s="391">
        <f t="shared" si="9"/>
        <v>76.259291546988138</v>
      </c>
      <c r="E62" s="392">
        <f t="shared" si="7"/>
        <v>20.035306603203374</v>
      </c>
      <c r="F62" s="392">
        <f t="shared" si="10"/>
        <v>56.223984943784764</v>
      </c>
      <c r="G62" s="392">
        <f t="shared" si="11"/>
        <v>5258.1809495929219</v>
      </c>
      <c r="H62" s="382"/>
      <c r="I62" s="366"/>
      <c r="J62" s="369"/>
      <c r="N62" s="12"/>
    </row>
    <row r="63" spans="1:14" ht="12.75">
      <c r="A63" s="368"/>
      <c r="B63" s="382">
        <v>41</v>
      </c>
      <c r="C63" s="390">
        <f t="shared" si="8"/>
        <v>42357</v>
      </c>
      <c r="D63" s="391">
        <f t="shared" si="9"/>
        <v>76.259291546988152</v>
      </c>
      <c r="E63" s="392">
        <f t="shared" si="7"/>
        <v>19.823342179965305</v>
      </c>
      <c r="F63" s="392">
        <f t="shared" si="10"/>
        <v>56.435949367022843</v>
      </c>
      <c r="G63" s="392">
        <f t="shared" si="11"/>
        <v>5201.7450002258993</v>
      </c>
      <c r="H63" s="382"/>
      <c r="I63" s="366"/>
      <c r="J63" s="369"/>
      <c r="N63" s="12"/>
    </row>
    <row r="64" spans="1:14" ht="12.75">
      <c r="A64" s="368"/>
      <c r="B64" s="382">
        <v>42</v>
      </c>
      <c r="C64" s="383">
        <f t="shared" si="8"/>
        <v>42387</v>
      </c>
      <c r="D64" s="391">
        <f t="shared" si="9"/>
        <v>76.259291546988152</v>
      </c>
      <c r="E64" s="392">
        <f t="shared" si="7"/>
        <v>19.610578650851632</v>
      </c>
      <c r="F64" s="392">
        <f t="shared" si="10"/>
        <v>56.648712896136523</v>
      </c>
      <c r="G64" s="392">
        <f t="shared" si="11"/>
        <v>5145.0962873297631</v>
      </c>
      <c r="H64" s="382"/>
      <c r="I64" s="366"/>
      <c r="J64" s="369"/>
      <c r="N64" s="12"/>
    </row>
    <row r="65" spans="1:14" ht="12.75">
      <c r="A65" s="368"/>
      <c r="B65" s="382">
        <v>43</v>
      </c>
      <c r="C65" s="383">
        <f t="shared" si="8"/>
        <v>42417</v>
      </c>
      <c r="D65" s="391">
        <f t="shared" si="9"/>
        <v>76.259291546988152</v>
      </c>
      <c r="E65" s="392">
        <f t="shared" si="7"/>
        <v>19.397013003233194</v>
      </c>
      <c r="F65" s="392">
        <f t="shared" si="10"/>
        <v>56.862278543754954</v>
      </c>
      <c r="G65" s="392">
        <f t="shared" si="11"/>
        <v>5088.2340087860084</v>
      </c>
      <c r="H65" s="382"/>
      <c r="I65" s="366"/>
      <c r="J65" s="369"/>
      <c r="N65" s="12"/>
    </row>
    <row r="66" spans="1:14" ht="12.75">
      <c r="A66" s="368"/>
      <c r="B66" s="382">
        <v>44</v>
      </c>
      <c r="C66" s="383">
        <f t="shared" si="8"/>
        <v>42447</v>
      </c>
      <c r="D66" s="391">
        <f t="shared" si="9"/>
        <v>76.259291546988152</v>
      </c>
      <c r="E66" s="392">
        <f t="shared" si="7"/>
        <v>19.182642213123241</v>
      </c>
      <c r="F66" s="392">
        <f t="shared" si="10"/>
        <v>57.076649333864907</v>
      </c>
      <c r="G66" s="392">
        <f t="shared" si="11"/>
        <v>5031.1573594521433</v>
      </c>
      <c r="H66" s="382"/>
      <c r="I66" s="366"/>
      <c r="J66" s="369"/>
      <c r="N66" s="12"/>
    </row>
    <row r="67" spans="1:14" ht="12.75">
      <c r="A67" s="368"/>
      <c r="B67" s="382">
        <v>45</v>
      </c>
      <c r="C67" s="383">
        <f t="shared" si="8"/>
        <v>42477</v>
      </c>
      <c r="D67" s="391">
        <f t="shared" si="9"/>
        <v>76.259291546988152</v>
      </c>
      <c r="E67" s="392">
        <f t="shared" si="7"/>
        <v>18.967463245134567</v>
      </c>
      <c r="F67" s="392">
        <f t="shared" si="10"/>
        <v>57.291828301853577</v>
      </c>
      <c r="G67" s="392">
        <f t="shared" si="11"/>
        <v>4973.8655311502898</v>
      </c>
      <c r="H67" s="382"/>
      <c r="I67" s="366"/>
      <c r="J67" s="369"/>
      <c r="N67" s="12"/>
    </row>
    <row r="68" spans="1:14" ht="12.75">
      <c r="A68" s="368"/>
      <c r="B68" s="382">
        <v>46</v>
      </c>
      <c r="C68" s="383">
        <f t="shared" si="8"/>
        <v>42507</v>
      </c>
      <c r="D68" s="391">
        <f t="shared" si="9"/>
        <v>76.259291546988152</v>
      </c>
      <c r="E68" s="392">
        <f t="shared" si="7"/>
        <v>18.75147305243658</v>
      </c>
      <c r="F68" s="392">
        <f t="shared" si="10"/>
        <v>57.507818494551564</v>
      </c>
      <c r="G68" s="392">
        <f t="shared" si="11"/>
        <v>4916.3577126557384</v>
      </c>
      <c r="H68" s="382"/>
      <c r="I68" s="366"/>
      <c r="J68" s="369"/>
      <c r="N68" s="12"/>
    </row>
    <row r="69" spans="1:14" ht="12.75">
      <c r="A69" s="368"/>
      <c r="B69" s="382">
        <v>47</v>
      </c>
      <c r="C69" s="383">
        <f t="shared" si="8"/>
        <v>42537</v>
      </c>
      <c r="D69" s="391">
        <f t="shared" si="9"/>
        <v>76.259291546988152</v>
      </c>
      <c r="E69" s="392">
        <f t="shared" ref="E69:E100" si="12">IPMT($C$15,B69,$C$16,$C$18)</f>
        <v>18.534668576712122</v>
      </c>
      <c r="F69" s="392">
        <f t="shared" si="10"/>
        <v>57.724622970276023</v>
      </c>
      <c r="G69" s="392">
        <f t="shared" si="11"/>
        <v>4858.6330896854624</v>
      </c>
      <c r="H69" s="382"/>
      <c r="I69" s="366"/>
      <c r="J69" s="369"/>
      <c r="N69" s="12"/>
    </row>
    <row r="70" spans="1:14" ht="12.75">
      <c r="A70" s="368"/>
      <c r="B70" s="382">
        <v>48</v>
      </c>
      <c r="C70" s="383">
        <f t="shared" si="8"/>
        <v>42567</v>
      </c>
      <c r="D70" s="391">
        <f t="shared" si="9"/>
        <v>76.259291546988152</v>
      </c>
      <c r="E70" s="392">
        <f t="shared" si="12"/>
        <v>18.31704674811418</v>
      </c>
      <c r="F70" s="392">
        <f t="shared" si="10"/>
        <v>57.942244798873965</v>
      </c>
      <c r="G70" s="392">
        <f t="shared" si="11"/>
        <v>4800.6908448865888</v>
      </c>
      <c r="H70" s="382"/>
      <c r="I70" s="366"/>
      <c r="J70" s="369"/>
      <c r="N70" s="12"/>
    </row>
    <row r="71" spans="1:14" ht="12.75">
      <c r="A71" s="368"/>
      <c r="B71" s="382">
        <v>49</v>
      </c>
      <c r="C71" s="383">
        <f t="shared" si="8"/>
        <v>42597</v>
      </c>
      <c r="D71" s="391">
        <f t="shared" si="9"/>
        <v>76.259291546988152</v>
      </c>
      <c r="E71" s="392">
        <f t="shared" si="12"/>
        <v>18.098604485222427</v>
      </c>
      <c r="F71" s="392">
        <f t="shared" si="10"/>
        <v>58.160687061765721</v>
      </c>
      <c r="G71" s="392">
        <f t="shared" si="11"/>
        <v>4742.5301578248227</v>
      </c>
      <c r="H71" s="382"/>
      <c r="I71" s="366"/>
      <c r="J71" s="369"/>
      <c r="N71" s="12"/>
    </row>
    <row r="72" spans="1:14" ht="12.75">
      <c r="A72" s="368"/>
      <c r="B72" s="382">
        <v>50</v>
      </c>
      <c r="C72" s="383">
        <f t="shared" si="8"/>
        <v>42627</v>
      </c>
      <c r="D72" s="391">
        <f t="shared" si="9"/>
        <v>76.259291546988152</v>
      </c>
      <c r="E72" s="392">
        <f t="shared" si="12"/>
        <v>17.879338694999571</v>
      </c>
      <c r="F72" s="392">
        <f t="shared" si="10"/>
        <v>58.379952851988577</v>
      </c>
      <c r="G72" s="392">
        <f t="shared" si="11"/>
        <v>4684.1502049728342</v>
      </c>
      <c r="H72" s="382"/>
      <c r="I72" s="366"/>
      <c r="J72" s="369"/>
      <c r="N72" s="12"/>
    </row>
    <row r="73" spans="1:14" ht="12.75">
      <c r="A73" s="368"/>
      <c r="B73" s="382">
        <v>51</v>
      </c>
      <c r="C73" s="383">
        <f t="shared" si="8"/>
        <v>42657</v>
      </c>
      <c r="D73" s="391">
        <f t="shared" si="9"/>
        <v>76.259291546988152</v>
      </c>
      <c r="E73" s="392">
        <f t="shared" si="12"/>
        <v>17.659246272747573</v>
      </c>
      <c r="F73" s="392">
        <f t="shared" si="10"/>
        <v>58.600045274240571</v>
      </c>
      <c r="G73" s="392">
        <f t="shared" si="11"/>
        <v>4625.5501596985932</v>
      </c>
      <c r="H73" s="382"/>
      <c r="I73" s="366"/>
      <c r="J73" s="369"/>
      <c r="N73" s="12"/>
    </row>
    <row r="74" spans="1:14" ht="12.75">
      <c r="A74" s="368"/>
      <c r="B74" s="382">
        <v>52</v>
      </c>
      <c r="C74" s="383">
        <f t="shared" ref="C74:C106" si="13">+C73+30</f>
        <v>42687</v>
      </c>
      <c r="D74" s="391">
        <f t="shared" si="9"/>
        <v>76.259291546988152</v>
      </c>
      <c r="E74" s="392">
        <f t="shared" si="12"/>
        <v>17.438324102063685</v>
      </c>
      <c r="F74" s="392">
        <f t="shared" si="10"/>
        <v>58.820967444924463</v>
      </c>
      <c r="G74" s="392">
        <f t="shared" si="11"/>
        <v>4566.7291922536688</v>
      </c>
      <c r="H74" s="382"/>
      <c r="I74" s="366"/>
      <c r="J74" s="369"/>
      <c r="N74" s="12"/>
    </row>
    <row r="75" spans="1:14" ht="12.75">
      <c r="A75" s="368"/>
      <c r="B75" s="382">
        <v>53</v>
      </c>
      <c r="C75" s="383">
        <f t="shared" si="13"/>
        <v>42717</v>
      </c>
      <c r="D75" s="391">
        <f t="shared" si="9"/>
        <v>76.259291546988152</v>
      </c>
      <c r="E75" s="392">
        <f t="shared" si="12"/>
        <v>17.216569054796317</v>
      </c>
      <c r="F75" s="392">
        <f t="shared" si="10"/>
        <v>59.042722492191835</v>
      </c>
      <c r="G75" s="392">
        <f t="shared" si="11"/>
        <v>4507.6864697614774</v>
      </c>
      <c r="H75" s="382"/>
      <c r="I75" s="366"/>
      <c r="J75" s="369"/>
      <c r="N75" s="12"/>
    </row>
    <row r="76" spans="1:14" ht="12.75">
      <c r="A76" s="368"/>
      <c r="B76" s="382">
        <v>54</v>
      </c>
      <c r="C76" s="390">
        <f t="shared" si="13"/>
        <v>42747</v>
      </c>
      <c r="D76" s="391">
        <f t="shared" si="9"/>
        <v>76.259291546988152</v>
      </c>
      <c r="E76" s="392">
        <f t="shared" si="12"/>
        <v>16.993977991000751</v>
      </c>
      <c r="F76" s="392">
        <f t="shared" si="10"/>
        <v>59.265313555987397</v>
      </c>
      <c r="G76" s="392">
        <f t="shared" si="11"/>
        <v>4448.4211562054898</v>
      </c>
      <c r="H76" s="382"/>
      <c r="I76" s="366"/>
      <c r="J76" s="369"/>
      <c r="N76" s="12"/>
    </row>
    <row r="77" spans="1:14" ht="12.75">
      <c r="A77" s="368"/>
      <c r="B77" s="382">
        <v>55</v>
      </c>
      <c r="C77" s="390">
        <f t="shared" si="13"/>
        <v>42777</v>
      </c>
      <c r="D77" s="391">
        <f t="shared" si="9"/>
        <v>76.259291546988152</v>
      </c>
      <c r="E77" s="392">
        <f t="shared" si="12"/>
        <v>16.770547758894683</v>
      </c>
      <c r="F77" s="392">
        <f t="shared" si="10"/>
        <v>59.488743788093466</v>
      </c>
      <c r="G77" s="392">
        <f t="shared" si="11"/>
        <v>4388.9324124173963</v>
      </c>
      <c r="H77" s="382"/>
      <c r="I77" s="366"/>
      <c r="J77" s="369"/>
      <c r="N77" s="12"/>
    </row>
    <row r="78" spans="1:14" ht="12.75">
      <c r="A78" s="368"/>
      <c r="B78" s="382">
        <v>56</v>
      </c>
      <c r="C78" s="390">
        <f t="shared" si="13"/>
        <v>42807</v>
      </c>
      <c r="D78" s="391">
        <f t="shared" si="9"/>
        <v>76.259291546988152</v>
      </c>
      <c r="E78" s="392">
        <f t="shared" si="12"/>
        <v>16.546275194813571</v>
      </c>
      <c r="F78" s="392">
        <f t="shared" si="10"/>
        <v>59.713016352174577</v>
      </c>
      <c r="G78" s="392">
        <f t="shared" si="11"/>
        <v>4329.2193960652221</v>
      </c>
      <c r="H78" s="382"/>
      <c r="I78" s="366"/>
      <c r="J78" s="369"/>
      <c r="N78" s="12"/>
    </row>
    <row r="79" spans="1:14" ht="12.75">
      <c r="A79" s="368"/>
      <c r="B79" s="382">
        <v>57</v>
      </c>
      <c r="C79" s="390">
        <f t="shared" si="13"/>
        <v>42837</v>
      </c>
      <c r="D79" s="391">
        <f t="shared" si="9"/>
        <v>76.259291546988152</v>
      </c>
      <c r="E79" s="392">
        <f t="shared" si="12"/>
        <v>16.321157123165868</v>
      </c>
      <c r="F79" s="392">
        <f t="shared" si="10"/>
        <v>59.938134423822277</v>
      </c>
      <c r="G79" s="392">
        <f t="shared" si="11"/>
        <v>4269.2812616413994</v>
      </c>
      <c r="H79" s="382"/>
      <c r="I79" s="366"/>
      <c r="J79" s="369"/>
      <c r="N79" s="12"/>
    </row>
    <row r="80" spans="1:14" ht="12.75">
      <c r="A80" s="368"/>
      <c r="B80" s="382">
        <v>58</v>
      </c>
      <c r="C80" s="390">
        <f t="shared" si="13"/>
        <v>42867</v>
      </c>
      <c r="D80" s="391">
        <f t="shared" si="9"/>
        <v>76.259291546988152</v>
      </c>
      <c r="E80" s="392">
        <f t="shared" si="12"/>
        <v>16.095190356388066</v>
      </c>
      <c r="F80" s="392">
        <f t="shared" si="10"/>
        <v>60.164101190600086</v>
      </c>
      <c r="G80" s="392">
        <f t="shared" si="11"/>
        <v>4209.117160450799</v>
      </c>
      <c r="H80" s="382"/>
      <c r="I80" s="366"/>
      <c r="J80" s="369"/>
      <c r="N80" s="12"/>
    </row>
    <row r="81" spans="1:14" ht="12.75">
      <c r="A81" s="368"/>
      <c r="B81" s="382">
        <v>59</v>
      </c>
      <c r="C81" s="390">
        <f t="shared" si="13"/>
        <v>42897</v>
      </c>
      <c r="D81" s="391">
        <f t="shared" si="9"/>
        <v>76.259291546988152</v>
      </c>
      <c r="E81" s="392">
        <f t="shared" si="12"/>
        <v>15.868371694899501</v>
      </c>
      <c r="F81" s="392">
        <f t="shared" si="10"/>
        <v>60.390919852088643</v>
      </c>
      <c r="G81" s="392">
        <f t="shared" si="11"/>
        <v>4148.7262405987103</v>
      </c>
      <c r="H81" s="382"/>
      <c r="I81" s="366"/>
      <c r="J81" s="369"/>
      <c r="N81" s="12"/>
    </row>
    <row r="82" spans="1:14" ht="12.75">
      <c r="A82" s="368"/>
      <c r="B82" s="382">
        <v>60</v>
      </c>
      <c r="C82" s="390">
        <f t="shared" si="13"/>
        <v>42927</v>
      </c>
      <c r="D82" s="391">
        <f t="shared" si="9"/>
        <v>76.259291546988138</v>
      </c>
      <c r="E82" s="392">
        <f t="shared" si="12"/>
        <v>15.640697927057124</v>
      </c>
      <c r="F82" s="392">
        <f t="shared" si="10"/>
        <v>60.618593619931019</v>
      </c>
      <c r="G82" s="392">
        <f t="shared" si="11"/>
        <v>4088.1076469787795</v>
      </c>
      <c r="H82" s="382"/>
      <c r="I82" s="366"/>
      <c r="J82" s="369"/>
      <c r="N82" s="12"/>
    </row>
    <row r="83" spans="1:14" ht="12.75">
      <c r="A83" s="368"/>
      <c r="B83" s="382">
        <v>61</v>
      </c>
      <c r="C83" s="390">
        <f t="shared" si="13"/>
        <v>42957</v>
      </c>
      <c r="D83" s="391">
        <f t="shared" si="9"/>
        <v>76.259291546988138</v>
      </c>
      <c r="E83" s="392">
        <f t="shared" si="12"/>
        <v>15.412165829109984</v>
      </c>
      <c r="F83" s="392">
        <f t="shared" si="10"/>
        <v>60.847125717878157</v>
      </c>
      <c r="G83" s="392">
        <f t="shared" si="11"/>
        <v>4027.2605212609014</v>
      </c>
      <c r="H83" s="382"/>
      <c r="I83" s="366"/>
      <c r="J83" s="369"/>
      <c r="N83" s="12"/>
    </row>
    <row r="84" spans="1:14" ht="12.75">
      <c r="A84" s="368"/>
      <c r="B84" s="382">
        <v>62</v>
      </c>
      <c r="C84" s="390">
        <f t="shared" si="13"/>
        <v>42987</v>
      </c>
      <c r="D84" s="391">
        <f t="shared" si="9"/>
        <v>76.259291546988152</v>
      </c>
      <c r="E84" s="392">
        <f t="shared" si="12"/>
        <v>15.182772165153589</v>
      </c>
      <c r="F84" s="392">
        <f t="shared" si="10"/>
        <v>61.076519381834565</v>
      </c>
      <c r="G84" s="392">
        <f t="shared" si="11"/>
        <v>3966.1840018790667</v>
      </c>
      <c r="H84" s="382"/>
      <c r="I84" s="366"/>
      <c r="J84" s="369"/>
      <c r="N84" s="12"/>
    </row>
    <row r="85" spans="1:14" ht="12.75">
      <c r="A85" s="368"/>
      <c r="B85" s="382">
        <v>63</v>
      </c>
      <c r="C85" s="390">
        <f t="shared" si="13"/>
        <v>43017</v>
      </c>
      <c r="D85" s="391">
        <f t="shared" si="9"/>
        <v>76.259291546988152</v>
      </c>
      <c r="E85" s="392">
        <f t="shared" si="12"/>
        <v>14.952513687084071</v>
      </c>
      <c r="F85" s="392">
        <f t="shared" si="10"/>
        <v>61.306777859904081</v>
      </c>
      <c r="G85" s="392">
        <f t="shared" si="11"/>
        <v>3904.8772240191624</v>
      </c>
      <c r="H85" s="382"/>
      <c r="I85" s="366"/>
      <c r="J85" s="369"/>
      <c r="N85" s="12"/>
    </row>
    <row r="86" spans="1:14" ht="12.75">
      <c r="A86" s="368"/>
      <c r="B86" s="382">
        <v>64</v>
      </c>
      <c r="C86" s="390">
        <f t="shared" si="13"/>
        <v>43047</v>
      </c>
      <c r="D86" s="391">
        <f t="shared" si="9"/>
        <v>76.259291546988138</v>
      </c>
      <c r="E86" s="392">
        <f t="shared" si="12"/>
        <v>14.721387134552229</v>
      </c>
      <c r="F86" s="392">
        <f t="shared" si="10"/>
        <v>61.537904412435914</v>
      </c>
      <c r="G86" s="392">
        <f t="shared" si="11"/>
        <v>3843.3393196067263</v>
      </c>
      <c r="H86" s="382"/>
      <c r="I86" s="366"/>
      <c r="J86" s="369"/>
      <c r="N86" s="12"/>
    </row>
    <row r="87" spans="1:14" ht="12.75">
      <c r="A87" s="368"/>
      <c r="B87" s="382">
        <v>65</v>
      </c>
      <c r="C87" s="390">
        <f t="shared" si="13"/>
        <v>43077</v>
      </c>
      <c r="D87" s="391">
        <f t="shared" ref="D87:D118" si="14">+E87+F87</f>
        <v>76.259291546988152</v>
      </c>
      <c r="E87" s="392">
        <f t="shared" si="12"/>
        <v>14.489389234917345</v>
      </c>
      <c r="F87" s="392">
        <f t="shared" ref="F87:F118" si="15">PPMT($C$15,B87,$C$16,$C$18)</f>
        <v>61.769902312070805</v>
      </c>
      <c r="G87" s="392">
        <f t="shared" si="11"/>
        <v>3781.5694172946555</v>
      </c>
      <c r="H87" s="382"/>
      <c r="I87" s="366"/>
      <c r="J87" s="369"/>
      <c r="N87" s="12"/>
    </row>
    <row r="88" spans="1:14" ht="12.75">
      <c r="A88" s="368"/>
      <c r="B88" s="382">
        <v>66</v>
      </c>
      <c r="C88" s="383">
        <f t="shared" si="13"/>
        <v>43107</v>
      </c>
      <c r="D88" s="391">
        <f t="shared" si="14"/>
        <v>76.259291546988152</v>
      </c>
      <c r="E88" s="392">
        <f t="shared" si="12"/>
        <v>14.256516703200841</v>
      </c>
      <c r="F88" s="392">
        <f t="shared" si="15"/>
        <v>62.002774843787307</v>
      </c>
      <c r="G88" s="392">
        <f t="shared" ref="G88:G119" si="16">+G87-F88</f>
        <v>3719.5666424508681</v>
      </c>
      <c r="H88" s="382"/>
      <c r="I88" s="366"/>
      <c r="J88" s="369"/>
      <c r="N88" s="12"/>
    </row>
    <row r="89" spans="1:14" ht="12.75">
      <c r="A89" s="368"/>
      <c r="B89" s="382">
        <v>67</v>
      </c>
      <c r="C89" s="383">
        <f t="shared" si="13"/>
        <v>43137</v>
      </c>
      <c r="D89" s="391">
        <f t="shared" si="14"/>
        <v>76.259291546988138</v>
      </c>
      <c r="E89" s="392">
        <f t="shared" si="12"/>
        <v>14.022766242039763</v>
      </c>
      <c r="F89" s="392">
        <f t="shared" si="15"/>
        <v>62.23652530494838</v>
      </c>
      <c r="G89" s="392">
        <f t="shared" si="16"/>
        <v>3657.3301171459198</v>
      </c>
      <c r="H89" s="382"/>
      <c r="I89" s="366"/>
      <c r="J89" s="369"/>
      <c r="N89" s="12"/>
    </row>
    <row r="90" spans="1:14" ht="12.75">
      <c r="A90" s="368"/>
      <c r="B90" s="382">
        <v>68</v>
      </c>
      <c r="C90" s="383">
        <f t="shared" si="13"/>
        <v>43167</v>
      </c>
      <c r="D90" s="391">
        <f t="shared" si="14"/>
        <v>76.259291546988152</v>
      </c>
      <c r="E90" s="392">
        <f t="shared" si="12"/>
        <v>13.788134541640108</v>
      </c>
      <c r="F90" s="392">
        <f t="shared" si="15"/>
        <v>62.47115700534804</v>
      </c>
      <c r="G90" s="392">
        <f t="shared" si="16"/>
        <v>3594.8589601405715</v>
      </c>
      <c r="H90" s="382"/>
      <c r="I90" s="366"/>
      <c r="J90" s="369"/>
      <c r="N90" s="12"/>
    </row>
    <row r="91" spans="1:14" ht="12.75">
      <c r="A91" s="368"/>
      <c r="B91" s="382">
        <v>69</v>
      </c>
      <c r="C91" s="383">
        <f t="shared" si="13"/>
        <v>43197</v>
      </c>
      <c r="D91" s="391">
        <f t="shared" si="14"/>
        <v>76.259291546988152</v>
      </c>
      <c r="E91" s="392">
        <f t="shared" si="12"/>
        <v>13.552618279729947</v>
      </c>
      <c r="F91" s="392">
        <f t="shared" si="15"/>
        <v>62.706673267258203</v>
      </c>
      <c r="G91" s="392">
        <f t="shared" si="16"/>
        <v>3532.1522868733132</v>
      </c>
      <c r="H91" s="382"/>
      <c r="I91" s="366"/>
      <c r="J91" s="369"/>
      <c r="N91" s="12"/>
    </row>
    <row r="92" spans="1:14" ht="12.75">
      <c r="A92" s="368"/>
      <c r="B92" s="382">
        <v>70</v>
      </c>
      <c r="C92" s="383">
        <f t="shared" si="13"/>
        <v>43227</v>
      </c>
      <c r="D92" s="391">
        <f t="shared" si="14"/>
        <v>76.259291546988152</v>
      </c>
      <c r="E92" s="392">
        <f t="shared" si="12"/>
        <v>13.316214121512383</v>
      </c>
      <c r="F92" s="392">
        <f t="shared" si="15"/>
        <v>62.943077425475764</v>
      </c>
      <c r="G92" s="392">
        <f t="shared" si="16"/>
        <v>3469.2092094478376</v>
      </c>
      <c r="H92" s="382"/>
      <c r="I92" s="366"/>
      <c r="J92" s="369"/>
      <c r="N92" s="12"/>
    </row>
    <row r="93" spans="1:14" ht="12.75">
      <c r="A93" s="368"/>
      <c r="B93" s="382">
        <v>71</v>
      </c>
      <c r="C93" s="383">
        <f t="shared" si="13"/>
        <v>43257</v>
      </c>
      <c r="D93" s="391">
        <f t="shared" si="14"/>
        <v>76.259291546988152</v>
      </c>
      <c r="E93" s="392">
        <f t="shared" si="12"/>
        <v>13.078918719618338</v>
      </c>
      <c r="F93" s="392">
        <f t="shared" si="15"/>
        <v>63.180372827369808</v>
      </c>
      <c r="G93" s="392">
        <f t="shared" si="16"/>
        <v>3406.0288366204677</v>
      </c>
      <c r="H93" s="382"/>
      <c r="I93" s="366"/>
      <c r="J93" s="369"/>
      <c r="N93" s="12"/>
    </row>
    <row r="94" spans="1:14" ht="12.75">
      <c r="A94" s="368"/>
      <c r="B94" s="382">
        <v>72</v>
      </c>
      <c r="C94" s="383">
        <f t="shared" si="13"/>
        <v>43287</v>
      </c>
      <c r="D94" s="391">
        <f t="shared" si="14"/>
        <v>76.259291546988152</v>
      </c>
      <c r="E94" s="392">
        <f t="shared" si="12"/>
        <v>12.840728714059154</v>
      </c>
      <c r="F94" s="392">
        <f t="shared" si="15"/>
        <v>63.418562832928991</v>
      </c>
      <c r="G94" s="392">
        <f t="shared" si="16"/>
        <v>3342.6102737875385</v>
      </c>
      <c r="H94" s="382"/>
      <c r="I94" s="366"/>
      <c r="J94" s="369"/>
      <c r="N94" s="12"/>
    </row>
    <row r="95" spans="1:14" ht="12.75">
      <c r="A95" s="368"/>
      <c r="B95" s="382">
        <v>73</v>
      </c>
      <c r="C95" s="383">
        <f t="shared" si="13"/>
        <v>43317</v>
      </c>
      <c r="D95" s="391">
        <f t="shared" si="14"/>
        <v>76.259291546988138</v>
      </c>
      <c r="E95" s="392">
        <f t="shared" si="12"/>
        <v>12.60164073217901</v>
      </c>
      <c r="F95" s="392">
        <f t="shared" si="15"/>
        <v>63.657650814809131</v>
      </c>
      <c r="G95" s="392">
        <f t="shared" si="16"/>
        <v>3278.9526229727294</v>
      </c>
      <c r="H95" s="382"/>
      <c r="I95" s="366"/>
      <c r="J95" s="369"/>
      <c r="N95" s="12"/>
    </row>
    <row r="96" spans="1:14" ht="12.75">
      <c r="A96" s="368"/>
      <c r="B96" s="382">
        <v>74</v>
      </c>
      <c r="C96" s="383">
        <f t="shared" si="13"/>
        <v>43347</v>
      </c>
      <c r="D96" s="391">
        <f t="shared" si="14"/>
        <v>76.259291546988152</v>
      </c>
      <c r="E96" s="392">
        <f t="shared" si="12"/>
        <v>12.36165138860718</v>
      </c>
      <c r="F96" s="392">
        <f t="shared" si="15"/>
        <v>63.897640158380966</v>
      </c>
      <c r="G96" s="392">
        <f t="shared" si="16"/>
        <v>3215.0549828143485</v>
      </c>
      <c r="H96" s="382"/>
      <c r="I96" s="366"/>
      <c r="J96" s="369"/>
      <c r="N96" s="12"/>
    </row>
    <row r="97" spans="1:14" ht="12.75">
      <c r="A97" s="368"/>
      <c r="B97" s="382">
        <v>75</v>
      </c>
      <c r="C97" s="383">
        <f t="shared" si="13"/>
        <v>43377</v>
      </c>
      <c r="D97" s="391">
        <f t="shared" si="14"/>
        <v>76.259291546988152</v>
      </c>
      <c r="E97" s="392">
        <f t="shared" si="12"/>
        <v>12.120757285210084</v>
      </c>
      <c r="F97" s="392">
        <f t="shared" si="15"/>
        <v>64.138534261778062</v>
      </c>
      <c r="G97" s="392">
        <f t="shared" si="16"/>
        <v>3150.9164485525703</v>
      </c>
      <c r="H97" s="382"/>
      <c r="I97" s="366"/>
      <c r="J97" s="369"/>
      <c r="N97" s="12"/>
    </row>
    <row r="98" spans="1:14" ht="12.75">
      <c r="A98" s="368"/>
      <c r="B98" s="382">
        <v>76</v>
      </c>
      <c r="C98" s="383">
        <f t="shared" si="13"/>
        <v>43407</v>
      </c>
      <c r="D98" s="391">
        <f t="shared" si="14"/>
        <v>76.259291546988152</v>
      </c>
      <c r="E98" s="392">
        <f t="shared" si="12"/>
        <v>11.878955011043182</v>
      </c>
      <c r="F98" s="392">
        <f t="shared" si="15"/>
        <v>64.380336535944963</v>
      </c>
      <c r="G98" s="392">
        <f t="shared" si="16"/>
        <v>3086.5361120166253</v>
      </c>
      <c r="H98" s="382"/>
      <c r="I98" s="366"/>
      <c r="J98" s="369"/>
      <c r="N98" s="12"/>
    </row>
    <row r="99" spans="1:14" ht="12.75">
      <c r="A99" s="368"/>
      <c r="B99" s="382">
        <v>77</v>
      </c>
      <c r="C99" s="383">
        <f t="shared" si="13"/>
        <v>43437</v>
      </c>
      <c r="D99" s="391">
        <f t="shared" si="14"/>
        <v>76.259291546988138</v>
      </c>
      <c r="E99" s="392">
        <f t="shared" si="12"/>
        <v>11.636241142302669</v>
      </c>
      <c r="F99" s="392">
        <f t="shared" si="15"/>
        <v>64.623050404685472</v>
      </c>
      <c r="G99" s="392">
        <f t="shared" si="16"/>
        <v>3021.9130616119401</v>
      </c>
      <c r="H99" s="382"/>
      <c r="I99" s="366"/>
      <c r="J99" s="369"/>
      <c r="N99" s="12"/>
    </row>
    <row r="100" spans="1:14" ht="12.75">
      <c r="A100" s="368"/>
      <c r="B100" s="382">
        <v>78</v>
      </c>
      <c r="C100" s="390">
        <f t="shared" si="13"/>
        <v>43467</v>
      </c>
      <c r="D100" s="391">
        <f t="shared" si="14"/>
        <v>76.259291546988152</v>
      </c>
      <c r="E100" s="392">
        <f t="shared" si="12"/>
        <v>11.392612242277004</v>
      </c>
      <c r="F100" s="392">
        <f t="shared" si="15"/>
        <v>64.866679304711141</v>
      </c>
      <c r="G100" s="392">
        <f t="shared" si="16"/>
        <v>2957.0463823072291</v>
      </c>
      <c r="H100" s="382"/>
      <c r="I100" s="366"/>
      <c r="J100" s="369"/>
      <c r="N100" s="12"/>
    </row>
    <row r="101" spans="1:14" ht="12.75">
      <c r="A101" s="368"/>
      <c r="B101" s="382">
        <v>79</v>
      </c>
      <c r="C101" s="390">
        <f t="shared" si="13"/>
        <v>43497</v>
      </c>
      <c r="D101" s="391">
        <f t="shared" si="14"/>
        <v>76.259291546988152</v>
      </c>
      <c r="E101" s="392">
        <f t="shared" ref="E101:E132" si="17">IPMT($C$15,B101,$C$16,$C$18)</f>
        <v>11.148064861298245</v>
      </c>
      <c r="F101" s="392">
        <f t="shared" si="15"/>
        <v>65.111226685689914</v>
      </c>
      <c r="G101" s="392">
        <f t="shared" si="16"/>
        <v>2891.9351556215393</v>
      </c>
      <c r="H101" s="382"/>
      <c r="I101" s="366"/>
      <c r="J101" s="369"/>
      <c r="N101" s="12"/>
    </row>
    <row r="102" spans="1:14" ht="12.75">
      <c r="A102" s="368"/>
      <c r="B102" s="382">
        <v>80</v>
      </c>
      <c r="C102" s="390">
        <f t="shared" si="13"/>
        <v>43527</v>
      </c>
      <c r="D102" s="391">
        <f t="shared" si="14"/>
        <v>76.259291546988152</v>
      </c>
      <c r="E102" s="392">
        <f t="shared" si="17"/>
        <v>10.902595536693191</v>
      </c>
      <c r="F102" s="392">
        <f t="shared" si="15"/>
        <v>65.356696010294954</v>
      </c>
      <c r="G102" s="392">
        <f t="shared" si="16"/>
        <v>2826.5784596112444</v>
      </c>
      <c r="H102" s="382"/>
      <c r="I102" s="366"/>
      <c r="J102" s="369"/>
      <c r="N102" s="12"/>
    </row>
    <row r="103" spans="1:14" ht="12.75">
      <c r="A103" s="368"/>
      <c r="B103" s="382">
        <v>81</v>
      </c>
      <c r="C103" s="390">
        <f t="shared" si="13"/>
        <v>43557</v>
      </c>
      <c r="D103" s="391">
        <f t="shared" si="14"/>
        <v>76.259291546988138</v>
      </c>
      <c r="E103" s="392">
        <f t="shared" si="17"/>
        <v>10.656200792734381</v>
      </c>
      <c r="F103" s="392">
        <f t="shared" si="15"/>
        <v>65.603090754253756</v>
      </c>
      <c r="G103" s="392">
        <f t="shared" si="16"/>
        <v>2760.9753688569908</v>
      </c>
      <c r="H103" s="382"/>
      <c r="I103" s="366"/>
      <c r="J103" s="369"/>
      <c r="N103" s="12"/>
    </row>
    <row r="104" spans="1:14" ht="12.75">
      <c r="A104" s="368"/>
      <c r="B104" s="382">
        <v>82</v>
      </c>
      <c r="C104" s="390">
        <f t="shared" si="13"/>
        <v>43587</v>
      </c>
      <c r="D104" s="391">
        <f t="shared" si="14"/>
        <v>76.259291546988152</v>
      </c>
      <c r="E104" s="392">
        <f t="shared" si="17"/>
        <v>10.408877140590844</v>
      </c>
      <c r="F104" s="392">
        <f t="shared" si="15"/>
        <v>65.850414406397306</v>
      </c>
      <c r="G104" s="392">
        <f t="shared" si="16"/>
        <v>2695.1249544505936</v>
      </c>
      <c r="H104" s="382"/>
      <c r="I104" s="366"/>
      <c r="J104" s="369"/>
      <c r="N104" s="12"/>
    </row>
    <row r="105" spans="1:14" ht="12.75">
      <c r="A105" s="368"/>
      <c r="B105" s="382">
        <v>83</v>
      </c>
      <c r="C105" s="390">
        <f t="shared" si="13"/>
        <v>43617</v>
      </c>
      <c r="D105" s="391">
        <f t="shared" si="14"/>
        <v>76.259291546988138</v>
      </c>
      <c r="E105" s="392">
        <f t="shared" si="17"/>
        <v>10.160621078278723</v>
      </c>
      <c r="F105" s="392">
        <f t="shared" si="15"/>
        <v>66.098670468709415</v>
      </c>
      <c r="G105" s="392">
        <f t="shared" si="16"/>
        <v>2629.0262839818843</v>
      </c>
      <c r="H105" s="382"/>
      <c r="I105" s="366"/>
      <c r="J105" s="369"/>
      <c r="N105" s="12"/>
    </row>
    <row r="106" spans="1:14" ht="12.75">
      <c r="A106" s="368"/>
      <c r="B106" s="382">
        <v>84</v>
      </c>
      <c r="C106" s="390">
        <f t="shared" si="13"/>
        <v>43647</v>
      </c>
      <c r="D106" s="391">
        <f t="shared" si="14"/>
        <v>76.259291546988138</v>
      </c>
      <c r="E106" s="392">
        <f t="shared" si="17"/>
        <v>9.9114290906116889</v>
      </c>
      <c r="F106" s="392">
        <f t="shared" si="15"/>
        <v>66.347862456376447</v>
      </c>
      <c r="G106" s="392">
        <f t="shared" si="16"/>
        <v>2562.6784215255079</v>
      </c>
      <c r="H106" s="382"/>
      <c r="I106" s="366"/>
      <c r="J106" s="369"/>
      <c r="N106" s="12"/>
    </row>
    <row r="107" spans="1:14" ht="12.75">
      <c r="A107" s="368"/>
      <c r="B107" s="382">
        <v>85</v>
      </c>
      <c r="C107" s="390">
        <f>+C106+34</f>
        <v>43681</v>
      </c>
      <c r="D107" s="391">
        <f t="shared" si="14"/>
        <v>76.259291546988138</v>
      </c>
      <c r="E107" s="392">
        <f t="shared" si="17"/>
        <v>9.6612976491511535</v>
      </c>
      <c r="F107" s="392">
        <f t="shared" si="15"/>
        <v>66.597993897836986</v>
      </c>
      <c r="G107" s="392">
        <f t="shared" si="16"/>
        <v>2496.0804276276708</v>
      </c>
      <c r="H107" s="382"/>
      <c r="I107" s="366"/>
      <c r="J107" s="369"/>
      <c r="N107" s="12"/>
    </row>
    <row r="108" spans="1:14" ht="12.75">
      <c r="A108" s="368"/>
      <c r="B108" s="382">
        <v>86</v>
      </c>
      <c r="C108" s="390">
        <f>+C107+30</f>
        <v>43711</v>
      </c>
      <c r="D108" s="391">
        <f t="shared" si="14"/>
        <v>76.259291546988152</v>
      </c>
      <c r="E108" s="392">
        <f t="shared" si="17"/>
        <v>9.4102232121563087</v>
      </c>
      <c r="F108" s="392">
        <f t="shared" si="15"/>
        <v>66.849068334831841</v>
      </c>
      <c r="G108" s="392">
        <f t="shared" si="16"/>
        <v>2429.231359292839</v>
      </c>
      <c r="H108" s="382"/>
      <c r="I108" s="366"/>
      <c r="J108" s="369"/>
      <c r="N108" s="12"/>
    </row>
    <row r="109" spans="1:14" ht="12.75">
      <c r="A109" s="368"/>
      <c r="B109" s="382">
        <v>87</v>
      </c>
      <c r="C109" s="390">
        <f>+C108+30</f>
        <v>43741</v>
      </c>
      <c r="D109" s="391">
        <f t="shared" si="14"/>
        <v>76.259291546988152</v>
      </c>
      <c r="E109" s="392">
        <f t="shared" si="17"/>
        <v>9.1582022245339907</v>
      </c>
      <c r="F109" s="392">
        <f t="shared" si="15"/>
        <v>67.101089322454158</v>
      </c>
      <c r="G109" s="392">
        <f t="shared" si="16"/>
        <v>2362.1302699703847</v>
      </c>
      <c r="H109" s="382"/>
      <c r="I109" s="366"/>
      <c r="J109" s="369"/>
      <c r="N109" s="12"/>
    </row>
    <row r="110" spans="1:14" ht="12.75">
      <c r="A110" s="368"/>
      <c r="B110" s="382">
        <v>88</v>
      </c>
      <c r="C110" s="390">
        <f>+C109+30</f>
        <v>43771</v>
      </c>
      <c r="D110" s="391">
        <f t="shared" si="14"/>
        <v>76.259291546988138</v>
      </c>
      <c r="E110" s="392">
        <f t="shared" si="17"/>
        <v>8.9052311177883379</v>
      </c>
      <c r="F110" s="392">
        <f t="shared" si="15"/>
        <v>67.354060429199805</v>
      </c>
      <c r="G110" s="392">
        <f t="shared" si="16"/>
        <v>2294.7762095411849</v>
      </c>
      <c r="H110" s="382"/>
      <c r="I110" s="366"/>
      <c r="J110" s="369"/>
      <c r="N110" s="12"/>
    </row>
    <row r="111" spans="1:14" ht="12.75">
      <c r="A111" s="368"/>
      <c r="B111" s="382">
        <v>89</v>
      </c>
      <c r="C111" s="390">
        <f>+C110+30</f>
        <v>43801</v>
      </c>
      <c r="D111" s="391">
        <f t="shared" si="14"/>
        <v>76.259291546988138</v>
      </c>
      <c r="E111" s="392">
        <f t="shared" si="17"/>
        <v>8.6513063099702556</v>
      </c>
      <c r="F111" s="392">
        <f t="shared" si="15"/>
        <v>67.607985237017886</v>
      </c>
      <c r="G111" s="392">
        <f t="shared" si="16"/>
        <v>2227.1682243041669</v>
      </c>
      <c r="H111" s="382"/>
      <c r="I111" s="366"/>
      <c r="J111" s="369"/>
      <c r="N111" s="12"/>
    </row>
    <row r="112" spans="1:14" ht="12.75">
      <c r="A112" s="368"/>
      <c r="B112" s="382">
        <v>90</v>
      </c>
      <c r="C112" s="383">
        <f>+C111+30</f>
        <v>43831</v>
      </c>
      <c r="D112" s="391">
        <f t="shared" si="14"/>
        <v>76.259291546988166</v>
      </c>
      <c r="E112" s="392">
        <f t="shared" si="17"/>
        <v>8.3964242056266993</v>
      </c>
      <c r="F112" s="392">
        <f t="shared" si="15"/>
        <v>67.862867341361465</v>
      </c>
      <c r="G112" s="392">
        <f t="shared" si="16"/>
        <v>2159.3053569628055</v>
      </c>
      <c r="H112" s="382"/>
      <c r="I112" s="366"/>
      <c r="J112" s="369"/>
      <c r="N112" s="12"/>
    </row>
    <row r="113" spans="1:14" ht="12.75">
      <c r="A113" s="368"/>
      <c r="B113" s="382">
        <v>91</v>
      </c>
      <c r="C113" s="383">
        <f>+C112+30+2</f>
        <v>43863</v>
      </c>
      <c r="D113" s="391">
        <f t="shared" si="14"/>
        <v>76.259291546988138</v>
      </c>
      <c r="E113" s="392">
        <f t="shared" si="17"/>
        <v>8.1405811957497658</v>
      </c>
      <c r="F113" s="392">
        <f t="shared" si="15"/>
        <v>68.118710351238377</v>
      </c>
      <c r="G113" s="392">
        <f t="shared" si="16"/>
        <v>2091.1866466115671</v>
      </c>
      <c r="H113" s="382"/>
      <c r="I113" s="366"/>
      <c r="J113" s="369"/>
      <c r="N113" s="12"/>
    </row>
    <row r="114" spans="1:14" ht="12.75">
      <c r="A114" s="368"/>
      <c r="B114" s="382">
        <v>92</v>
      </c>
      <c r="C114" s="383">
        <f>+C113+30</f>
        <v>43893</v>
      </c>
      <c r="D114" s="391">
        <f t="shared" si="14"/>
        <v>76.259291546988152</v>
      </c>
      <c r="E114" s="392">
        <f t="shared" si="17"/>
        <v>7.8837736577255955</v>
      </c>
      <c r="F114" s="392">
        <f t="shared" si="15"/>
        <v>68.375517889262554</v>
      </c>
      <c r="G114" s="392">
        <f t="shared" si="16"/>
        <v>2022.8111287223046</v>
      </c>
      <c r="H114" s="382"/>
      <c r="I114" s="366"/>
      <c r="J114" s="369"/>
      <c r="N114" s="12"/>
    </row>
    <row r="115" spans="1:14" ht="12.75">
      <c r="A115" s="368"/>
      <c r="B115" s="382">
        <v>93</v>
      </c>
      <c r="C115" s="383">
        <f>+C114+30</f>
        <v>43923</v>
      </c>
      <c r="D115" s="391">
        <f t="shared" si="14"/>
        <v>76.259291546988152</v>
      </c>
      <c r="E115" s="392">
        <f t="shared" si="17"/>
        <v>7.6259979552830774</v>
      </c>
      <c r="F115" s="392">
        <f t="shared" si="15"/>
        <v>68.633293591705069</v>
      </c>
      <c r="G115" s="392">
        <f t="shared" si="16"/>
        <v>1954.1778351305995</v>
      </c>
      <c r="H115" s="382"/>
      <c r="I115" s="366"/>
      <c r="J115" s="369"/>
      <c r="N115" s="12"/>
    </row>
    <row r="116" spans="1:14" ht="12.75">
      <c r="A116" s="368"/>
      <c r="B116" s="382">
        <v>94</v>
      </c>
      <c r="C116" s="383">
        <f>+C115+30</f>
        <v>43953</v>
      </c>
      <c r="D116" s="391">
        <f t="shared" si="14"/>
        <v>76.259291546988152</v>
      </c>
      <c r="E116" s="392">
        <f t="shared" si="17"/>
        <v>7.3672504384423485</v>
      </c>
      <c r="F116" s="392">
        <f t="shared" si="15"/>
        <v>68.892041108545797</v>
      </c>
      <c r="G116" s="392">
        <f t="shared" si="16"/>
        <v>1885.2857940220538</v>
      </c>
      <c r="H116" s="382"/>
      <c r="I116" s="366"/>
      <c r="J116" s="369"/>
      <c r="N116" s="12"/>
    </row>
    <row r="117" spans="1:14" ht="12.75">
      <c r="A117" s="368"/>
      <c r="B117" s="382">
        <v>95</v>
      </c>
      <c r="C117" s="383">
        <f>+C116+30</f>
        <v>43983</v>
      </c>
      <c r="D117" s="391">
        <f t="shared" si="14"/>
        <v>76.259291546988152</v>
      </c>
      <c r="E117" s="392">
        <f t="shared" si="17"/>
        <v>7.1075274434631304</v>
      </c>
      <c r="F117" s="392">
        <f t="shared" si="15"/>
        <v>69.151764103525025</v>
      </c>
      <c r="G117" s="392">
        <f t="shared" si="16"/>
        <v>1816.1340299185288</v>
      </c>
      <c r="H117" s="382"/>
      <c r="I117" s="366"/>
      <c r="J117" s="369"/>
      <c r="N117" s="12"/>
    </row>
    <row r="118" spans="1:14" ht="12.75">
      <c r="A118" s="368"/>
      <c r="B118" s="382">
        <v>96</v>
      </c>
      <c r="C118" s="383">
        <f>+C117+30</f>
        <v>44013</v>
      </c>
      <c r="D118" s="391">
        <f t="shared" si="14"/>
        <v>76.259291546988152</v>
      </c>
      <c r="E118" s="392">
        <f t="shared" si="17"/>
        <v>6.8468252927928415</v>
      </c>
      <c r="F118" s="392">
        <f t="shared" si="15"/>
        <v>69.412466254195309</v>
      </c>
      <c r="G118" s="392">
        <f t="shared" si="16"/>
        <v>1746.7215636643334</v>
      </c>
      <c r="H118" s="382"/>
      <c r="I118" s="366"/>
      <c r="J118" s="369"/>
      <c r="N118" s="12"/>
    </row>
    <row r="119" spans="1:14" ht="12.75">
      <c r="A119" s="368"/>
      <c r="B119" s="382">
        <v>97</v>
      </c>
      <c r="C119" s="383">
        <f>+C118+30+2</f>
        <v>44045</v>
      </c>
      <c r="D119" s="391">
        <f t="shared" ref="D119:D142" si="18">+E119+F119</f>
        <v>76.259291546988152</v>
      </c>
      <c r="E119" s="392">
        <f t="shared" si="17"/>
        <v>6.5851402950145248</v>
      </c>
      <c r="F119" s="392">
        <f t="shared" ref="F119:F142" si="19">PPMT($C$15,B119,$C$16,$C$18)</f>
        <v>69.674151251973626</v>
      </c>
      <c r="G119" s="392">
        <f t="shared" si="16"/>
        <v>1677.0474124123598</v>
      </c>
      <c r="H119" s="382"/>
      <c r="I119" s="366"/>
      <c r="J119" s="369"/>
      <c r="N119" s="12"/>
    </row>
    <row r="120" spans="1:14" ht="12.75">
      <c r="A120" s="368"/>
      <c r="B120" s="382">
        <v>98</v>
      </c>
      <c r="C120" s="383">
        <f>+C119+30</f>
        <v>44075</v>
      </c>
      <c r="D120" s="391">
        <f t="shared" si="18"/>
        <v>76.259291546988152</v>
      </c>
      <c r="E120" s="392">
        <f t="shared" si="17"/>
        <v>6.322468744794584</v>
      </c>
      <c r="F120" s="392">
        <f t="shared" si="19"/>
        <v>69.936822802193561</v>
      </c>
      <c r="G120" s="392">
        <f t="shared" ref="G120:G142" si="20">+G119-F120</f>
        <v>1607.1105896101662</v>
      </c>
      <c r="H120" s="382"/>
      <c r="I120" s="366"/>
      <c r="J120" s="369"/>
      <c r="N120" s="12"/>
    </row>
    <row r="121" spans="1:14" ht="12.75">
      <c r="A121" s="368"/>
      <c r="B121" s="382">
        <v>99</v>
      </c>
      <c r="C121" s="383">
        <f>+C120+30</f>
        <v>44105</v>
      </c>
      <c r="D121" s="391">
        <f t="shared" si="18"/>
        <v>76.259291546988138</v>
      </c>
      <c r="E121" s="392">
        <f t="shared" si="17"/>
        <v>6.058806922830315</v>
      </c>
      <c r="F121" s="392">
        <f t="shared" si="19"/>
        <v>70.200484624157824</v>
      </c>
      <c r="G121" s="392">
        <f t="shared" si="20"/>
        <v>1536.9101049860085</v>
      </c>
      <c r="H121" s="382"/>
      <c r="I121" s="366"/>
      <c r="J121" s="369"/>
      <c r="N121" s="12"/>
    </row>
    <row r="122" spans="1:14" ht="12.75">
      <c r="A122" s="368"/>
      <c r="B122" s="382">
        <v>100</v>
      </c>
      <c r="C122" s="383">
        <f>+C121+30+2</f>
        <v>44137</v>
      </c>
      <c r="D122" s="391">
        <f t="shared" si="18"/>
        <v>76.259291546988138</v>
      </c>
      <c r="E122" s="392">
        <f t="shared" si="17"/>
        <v>5.7941510957972389</v>
      </c>
      <c r="F122" s="392">
        <f t="shared" si="19"/>
        <v>70.465140451190905</v>
      </c>
      <c r="G122" s="392">
        <f t="shared" si="20"/>
        <v>1466.4449645348177</v>
      </c>
      <c r="H122" s="382"/>
      <c r="I122" s="366"/>
      <c r="J122" s="369"/>
      <c r="N122" s="12"/>
    </row>
    <row r="123" spans="1:14" ht="12.75">
      <c r="A123" s="368"/>
      <c r="B123" s="382">
        <v>101</v>
      </c>
      <c r="C123" s="383">
        <f>+C122+30</f>
        <v>44167</v>
      </c>
      <c r="D123" s="391">
        <f t="shared" si="18"/>
        <v>76.259291546988152</v>
      </c>
      <c r="E123" s="392">
        <f t="shared" si="17"/>
        <v>5.52849751629625</v>
      </c>
      <c r="F123" s="392">
        <f t="shared" si="19"/>
        <v>70.730794030691897</v>
      </c>
      <c r="G123" s="392">
        <f t="shared" si="20"/>
        <v>1395.7141705041258</v>
      </c>
      <c r="H123" s="382"/>
      <c r="I123" s="366"/>
      <c r="J123" s="369"/>
      <c r="N123" s="12"/>
    </row>
    <row r="124" spans="1:14" ht="12.75">
      <c r="A124" s="368"/>
      <c r="B124" s="382">
        <v>102</v>
      </c>
      <c r="C124" s="390">
        <f>+C123+30</f>
        <v>44197</v>
      </c>
      <c r="D124" s="391">
        <f t="shared" si="18"/>
        <v>76.259291546988152</v>
      </c>
      <c r="E124" s="392">
        <f t="shared" si="17"/>
        <v>5.2618424228005418</v>
      </c>
      <c r="F124" s="392">
        <f t="shared" si="19"/>
        <v>70.997449124187611</v>
      </c>
      <c r="G124" s="392">
        <f t="shared" si="20"/>
        <v>1324.7167213799382</v>
      </c>
      <c r="H124" s="382"/>
      <c r="I124" s="366"/>
      <c r="J124" s="369"/>
      <c r="N124" s="12"/>
    </row>
    <row r="125" spans="1:14" ht="12.75">
      <c r="A125" s="368"/>
      <c r="B125" s="382">
        <v>103</v>
      </c>
      <c r="C125" s="390">
        <f>+C124+30+2</f>
        <v>44229</v>
      </c>
      <c r="D125" s="391">
        <f t="shared" si="18"/>
        <v>76.259291546988138</v>
      </c>
      <c r="E125" s="392">
        <f t="shared" si="17"/>
        <v>4.9941820396023537</v>
      </c>
      <c r="F125" s="392">
        <f t="shared" si="19"/>
        <v>71.265109507385787</v>
      </c>
      <c r="G125" s="392">
        <f t="shared" si="20"/>
        <v>1253.4516118725523</v>
      </c>
      <c r="H125" s="382"/>
      <c r="I125" s="366"/>
      <c r="J125" s="369"/>
      <c r="N125" s="12"/>
    </row>
    <row r="126" spans="1:14" ht="12.75">
      <c r="A126" s="368"/>
      <c r="B126" s="382">
        <v>104</v>
      </c>
      <c r="C126" s="390">
        <f t="shared" ref="C126:C131" si="21">+C125+30</f>
        <v>44259</v>
      </c>
      <c r="D126" s="391">
        <f t="shared" si="18"/>
        <v>76.259291546988152</v>
      </c>
      <c r="E126" s="392">
        <f t="shared" si="17"/>
        <v>4.7255125767595088</v>
      </c>
      <c r="F126" s="392">
        <f t="shared" si="19"/>
        <v>71.533778970228639</v>
      </c>
      <c r="G126" s="392">
        <f t="shared" si="20"/>
        <v>1181.9178329023237</v>
      </c>
      <c r="H126" s="382"/>
      <c r="I126" s="366"/>
      <c r="J126" s="369"/>
      <c r="N126" s="12"/>
    </row>
    <row r="127" spans="1:14" ht="12.75">
      <c r="A127" s="368"/>
      <c r="B127" s="382">
        <v>105</v>
      </c>
      <c r="C127" s="390">
        <f t="shared" si="21"/>
        <v>44289</v>
      </c>
      <c r="D127" s="391">
        <f t="shared" si="18"/>
        <v>76.259291546988152</v>
      </c>
      <c r="E127" s="392">
        <f t="shared" si="17"/>
        <v>4.4558302300417481</v>
      </c>
      <c r="F127" s="392">
        <f t="shared" si="19"/>
        <v>71.803461316946397</v>
      </c>
      <c r="G127" s="392">
        <f t="shared" si="20"/>
        <v>1110.1143715853773</v>
      </c>
      <c r="H127" s="382"/>
      <c r="I127" s="366"/>
      <c r="J127" s="369"/>
      <c r="N127" s="12"/>
    </row>
    <row r="128" spans="1:14" ht="12.75">
      <c r="A128" s="368"/>
      <c r="B128" s="382">
        <v>106</v>
      </c>
      <c r="C128" s="390">
        <f t="shared" si="21"/>
        <v>44319</v>
      </c>
      <c r="D128" s="391">
        <f t="shared" si="18"/>
        <v>76.259291546988152</v>
      </c>
      <c r="E128" s="392">
        <f t="shared" si="17"/>
        <v>4.1851311808768594</v>
      </c>
      <c r="F128" s="392">
        <f t="shared" si="19"/>
        <v>72.074160366111286</v>
      </c>
      <c r="G128" s="392">
        <f t="shared" si="20"/>
        <v>1038.040211219266</v>
      </c>
      <c r="H128" s="382"/>
      <c r="I128" s="366"/>
      <c r="J128" s="369"/>
      <c r="N128" s="12"/>
    </row>
    <row r="129" spans="1:14" ht="12.75">
      <c r="A129" s="368"/>
      <c r="B129" s="382">
        <v>107</v>
      </c>
      <c r="C129" s="390">
        <f t="shared" si="21"/>
        <v>44349</v>
      </c>
      <c r="D129" s="391">
        <f t="shared" si="18"/>
        <v>76.259291546988166</v>
      </c>
      <c r="E129" s="392">
        <f t="shared" si="17"/>
        <v>3.9134115962966196</v>
      </c>
      <c r="F129" s="392">
        <f t="shared" si="19"/>
        <v>72.34587995069154</v>
      </c>
      <c r="G129" s="392">
        <f t="shared" si="20"/>
        <v>965.69433126857439</v>
      </c>
      <c r="H129" s="382"/>
      <c r="I129" s="366"/>
      <c r="J129" s="369"/>
      <c r="N129" s="12"/>
    </row>
    <row r="130" spans="1:14" ht="12.75">
      <c r="A130" s="368"/>
      <c r="B130" s="382">
        <v>108</v>
      </c>
      <c r="C130" s="390">
        <f t="shared" si="21"/>
        <v>44379</v>
      </c>
      <c r="D130" s="391">
        <f t="shared" si="18"/>
        <v>76.259291546988138</v>
      </c>
      <c r="E130" s="392">
        <f t="shared" si="17"/>
        <v>3.6406676288825124</v>
      </c>
      <c r="F130" s="392">
        <f t="shared" si="19"/>
        <v>72.618623918105627</v>
      </c>
      <c r="G130" s="392">
        <f t="shared" si="20"/>
        <v>893.07570735046875</v>
      </c>
      <c r="H130" s="382"/>
      <c r="I130" s="366">
        <f>SUM(D36:D152)</f>
        <v>8159.4686944792047</v>
      </c>
      <c r="J130" s="369"/>
      <c r="N130" s="12"/>
    </row>
    <row r="131" spans="1:14" ht="12.75">
      <c r="A131" s="368"/>
      <c r="B131" s="382">
        <v>109</v>
      </c>
      <c r="C131" s="390">
        <f t="shared" si="21"/>
        <v>44409</v>
      </c>
      <c r="D131" s="391">
        <f t="shared" si="18"/>
        <v>76.259291546988152</v>
      </c>
      <c r="E131" s="392">
        <f t="shared" si="17"/>
        <v>3.3668954167112544</v>
      </c>
      <c r="F131" s="392">
        <f t="shared" si="19"/>
        <v>72.892396130276893</v>
      </c>
      <c r="G131" s="392">
        <f t="shared" si="20"/>
        <v>820.18331122019185</v>
      </c>
      <c r="H131" s="382"/>
      <c r="I131" s="366"/>
      <c r="J131" s="369"/>
      <c r="N131" s="12"/>
    </row>
    <row r="132" spans="1:14" ht="12.75">
      <c r="A132" s="368"/>
      <c r="B132" s="382">
        <v>110</v>
      </c>
      <c r="C132" s="390">
        <f>+C131+30+2</f>
        <v>44441</v>
      </c>
      <c r="D132" s="391">
        <f t="shared" si="18"/>
        <v>76.259291546988138</v>
      </c>
      <c r="E132" s="392">
        <f t="shared" si="17"/>
        <v>3.0920910833001107</v>
      </c>
      <c r="F132" s="392">
        <f t="shared" si="19"/>
        <v>73.167200463688033</v>
      </c>
      <c r="G132" s="392">
        <f t="shared" si="20"/>
        <v>747.01611075650385</v>
      </c>
      <c r="H132" s="382"/>
      <c r="I132" s="366"/>
      <c r="J132" s="369"/>
      <c r="N132" s="12"/>
    </row>
    <row r="133" spans="1:14" ht="12.75">
      <c r="A133" s="368"/>
      <c r="B133" s="382">
        <v>111</v>
      </c>
      <c r="C133" s="390">
        <f>+C132+30</f>
        <v>44471</v>
      </c>
      <c r="D133" s="391">
        <f t="shared" si="18"/>
        <v>76.259291546988152</v>
      </c>
      <c r="E133" s="392">
        <f t="shared" ref="E133:E142" si="22">IPMT($C$15,B133,$C$16,$C$18)</f>
        <v>2.8162507375520072</v>
      </c>
      <c r="F133" s="392">
        <f t="shared" si="19"/>
        <v>73.443040809436141</v>
      </c>
      <c r="G133" s="392">
        <f t="shared" si="20"/>
        <v>673.57306994706767</v>
      </c>
      <c r="H133" s="382"/>
      <c r="I133" s="366"/>
      <c r="J133" s="369"/>
      <c r="N133" s="12"/>
    </row>
    <row r="134" spans="1:14" ht="12.75">
      <c r="A134" s="368"/>
      <c r="B134" s="382">
        <v>112</v>
      </c>
      <c r="C134" s="390">
        <f>+C133+30</f>
        <v>44501</v>
      </c>
      <c r="D134" s="391">
        <f t="shared" si="18"/>
        <v>76.259291546988138</v>
      </c>
      <c r="E134" s="392">
        <f t="shared" si="22"/>
        <v>2.5393704737004321</v>
      </c>
      <c r="F134" s="392">
        <f t="shared" si="19"/>
        <v>73.719921073287708</v>
      </c>
      <c r="G134" s="392">
        <f t="shared" si="20"/>
        <v>599.8531488737799</v>
      </c>
      <c r="H134" s="382"/>
      <c r="I134" s="366"/>
      <c r="J134" s="369"/>
      <c r="N134" s="12"/>
    </row>
    <row r="135" spans="1:14" ht="12.75">
      <c r="A135" s="368"/>
      <c r="B135" s="382">
        <v>113</v>
      </c>
      <c r="C135" s="390">
        <f>+C134+30</f>
        <v>44531</v>
      </c>
      <c r="D135" s="391">
        <f t="shared" si="18"/>
        <v>76.259291546988152</v>
      </c>
      <c r="E135" s="392">
        <f t="shared" si="22"/>
        <v>2.2614463712541384</v>
      </c>
      <c r="F135" s="392">
        <f t="shared" si="19"/>
        <v>73.997845175734014</v>
      </c>
      <c r="G135" s="392">
        <f t="shared" si="20"/>
        <v>525.85530369804587</v>
      </c>
      <c r="H135" s="382"/>
      <c r="I135" s="366"/>
      <c r="J135" s="369"/>
      <c r="N135" s="12"/>
    </row>
    <row r="136" spans="1:14" ht="12.75">
      <c r="A136" s="368"/>
      <c r="B136" s="382">
        <v>114</v>
      </c>
      <c r="C136" s="383">
        <f>+C135+30+2</f>
        <v>44563</v>
      </c>
      <c r="D136" s="391">
        <f t="shared" si="18"/>
        <v>76.259291546988152</v>
      </c>
      <c r="E136" s="392">
        <f t="shared" si="22"/>
        <v>1.9824744949416204</v>
      </c>
      <c r="F136" s="392">
        <f t="shared" si="19"/>
        <v>74.276817052046525</v>
      </c>
      <c r="G136" s="392">
        <f t="shared" si="20"/>
        <v>451.57848664599936</v>
      </c>
      <c r="H136" s="382"/>
      <c r="I136" s="366"/>
      <c r="J136" s="369"/>
      <c r="N136" s="12"/>
    </row>
    <row r="137" spans="1:14" ht="12.75">
      <c r="A137" s="368"/>
      <c r="B137" s="382">
        <v>115</v>
      </c>
      <c r="C137" s="383">
        <f t="shared" ref="C137:C142" si="23">+C136+30</f>
        <v>44593</v>
      </c>
      <c r="D137" s="391">
        <f t="shared" si="18"/>
        <v>76.259291546988138</v>
      </c>
      <c r="E137" s="392">
        <f t="shared" si="22"/>
        <v>1.7024508946554051</v>
      </c>
      <c r="F137" s="392">
        <f t="shared" si="19"/>
        <v>74.556840652332738</v>
      </c>
      <c r="G137" s="392">
        <f t="shared" si="20"/>
        <v>377.02164599366665</v>
      </c>
      <c r="H137" s="382"/>
      <c r="I137" s="366"/>
      <c r="J137" s="369"/>
      <c r="N137" s="12"/>
    </row>
    <row r="138" spans="1:14" ht="12.75">
      <c r="A138" s="368"/>
      <c r="B138" s="382">
        <v>116</v>
      </c>
      <c r="C138" s="383">
        <f t="shared" si="23"/>
        <v>44623</v>
      </c>
      <c r="D138" s="391">
        <f t="shared" si="18"/>
        <v>76.259291546988152</v>
      </c>
      <c r="E138" s="392">
        <f t="shared" si="22"/>
        <v>1.421371605396111</v>
      </c>
      <c r="F138" s="392">
        <f t="shared" si="19"/>
        <v>74.837919941592034</v>
      </c>
      <c r="G138" s="392">
        <f t="shared" si="20"/>
        <v>302.18372605207463</v>
      </c>
      <c r="H138" s="382"/>
      <c r="I138" s="366"/>
      <c r="J138" s="369"/>
      <c r="N138" s="12"/>
    </row>
    <row r="139" spans="1:14" ht="12.75">
      <c r="A139" s="368"/>
      <c r="B139" s="382">
        <v>117</v>
      </c>
      <c r="C139" s="383">
        <f t="shared" si="23"/>
        <v>44653</v>
      </c>
      <c r="D139" s="391">
        <f t="shared" si="18"/>
        <v>76.259291546988152</v>
      </c>
      <c r="E139" s="392">
        <f t="shared" si="22"/>
        <v>1.139232647216309</v>
      </c>
      <c r="F139" s="392">
        <f t="shared" si="19"/>
        <v>75.120058899771848</v>
      </c>
      <c r="G139" s="392">
        <f t="shared" si="20"/>
        <v>227.0636671523028</v>
      </c>
      <c r="H139" s="382"/>
      <c r="I139" s="366"/>
      <c r="J139" s="369"/>
      <c r="N139" s="12"/>
    </row>
    <row r="140" spans="1:14" ht="12.75">
      <c r="A140" s="368"/>
      <c r="B140" s="382">
        <v>118</v>
      </c>
      <c r="C140" s="383">
        <f t="shared" si="23"/>
        <v>44683</v>
      </c>
      <c r="D140" s="391">
        <f t="shared" si="18"/>
        <v>76.259291546988152</v>
      </c>
      <c r="E140" s="392">
        <f t="shared" si="22"/>
        <v>0.85603002516416904</v>
      </c>
      <c r="F140" s="392">
        <f t="shared" si="19"/>
        <v>75.403261521823978</v>
      </c>
      <c r="G140" s="392">
        <f t="shared" si="20"/>
        <v>151.66040563047881</v>
      </c>
      <c r="H140" s="382"/>
      <c r="I140" s="366"/>
      <c r="J140" s="369"/>
      <c r="N140" s="12"/>
    </row>
    <row r="141" spans="1:14" ht="12.75">
      <c r="A141" s="368"/>
      <c r="B141" s="382">
        <v>119</v>
      </c>
      <c r="C141" s="383">
        <f t="shared" si="23"/>
        <v>44713</v>
      </c>
      <c r="D141" s="391">
        <f t="shared" si="18"/>
        <v>76.259291546988152</v>
      </c>
      <c r="E141" s="392">
        <f t="shared" si="22"/>
        <v>0.57175972922689255</v>
      </c>
      <c r="F141" s="392">
        <f t="shared" si="19"/>
        <v>75.687531817761254</v>
      </c>
      <c r="G141" s="392">
        <f t="shared" si="20"/>
        <v>75.972873812717552</v>
      </c>
      <c r="H141" s="382"/>
      <c r="I141" s="366"/>
      <c r="J141" s="369"/>
      <c r="N141" s="12"/>
    </row>
    <row r="142" spans="1:14" ht="12.75">
      <c r="A142" s="368"/>
      <c r="B142" s="382">
        <v>120</v>
      </c>
      <c r="C142" s="383">
        <f t="shared" si="23"/>
        <v>44743</v>
      </c>
      <c r="D142" s="391">
        <f t="shared" si="18"/>
        <v>76.259291546988152</v>
      </c>
      <c r="E142" s="392">
        <f t="shared" si="22"/>
        <v>0.28641773427393263</v>
      </c>
      <c r="F142" s="392">
        <f t="shared" si="19"/>
        <v>75.972873812714212</v>
      </c>
      <c r="G142" s="392">
        <f t="shared" si="20"/>
        <v>3.3395508580724709E-12</v>
      </c>
      <c r="H142" s="382"/>
      <c r="I142" s="366"/>
      <c r="J142" s="369"/>
      <c r="N142" s="12"/>
    </row>
    <row r="143" spans="1:14" ht="12.75">
      <c r="A143" s="368"/>
      <c r="B143" s="382"/>
      <c r="C143" s="383"/>
      <c r="D143" s="274"/>
      <c r="E143" s="384"/>
      <c r="F143" s="384"/>
      <c r="G143" s="384"/>
      <c r="H143" s="382"/>
      <c r="I143" s="366"/>
      <c r="J143" s="369"/>
      <c r="N143" s="12"/>
    </row>
    <row r="144" spans="1:14" ht="12.75">
      <c r="A144" s="368"/>
      <c r="B144" s="382"/>
      <c r="C144" s="383"/>
      <c r="D144" s="274"/>
      <c r="E144" s="384"/>
      <c r="F144" s="384"/>
      <c r="G144" s="384"/>
      <c r="H144" s="382"/>
      <c r="I144" s="366"/>
      <c r="J144" s="369"/>
      <c r="N144" s="12"/>
    </row>
    <row r="145" spans="1:16" ht="12.75">
      <c r="A145" s="368"/>
      <c r="B145" s="382"/>
      <c r="C145" s="383"/>
      <c r="D145" s="274"/>
      <c r="E145" s="384"/>
      <c r="F145" s="384"/>
      <c r="G145" s="384"/>
      <c r="H145" s="382"/>
      <c r="I145" s="366"/>
      <c r="J145" s="369"/>
      <c r="N145" s="12"/>
    </row>
    <row r="146" spans="1:16" ht="12.75">
      <c r="A146" s="368"/>
      <c r="B146" s="382"/>
      <c r="C146" s="383"/>
      <c r="D146" s="274"/>
      <c r="E146" s="384"/>
      <c r="F146" s="384"/>
      <c r="G146" s="384"/>
      <c r="H146" s="382"/>
      <c r="I146" s="366"/>
      <c r="J146" s="369"/>
      <c r="N146" s="12"/>
    </row>
    <row r="147" spans="1:16" ht="12.75">
      <c r="A147" s="368"/>
      <c r="B147" s="382"/>
      <c r="C147" s="383"/>
      <c r="D147" s="274"/>
      <c r="E147" s="384"/>
      <c r="F147" s="384"/>
      <c r="G147" s="384"/>
      <c r="H147" s="382"/>
      <c r="I147" s="366"/>
      <c r="J147" s="369"/>
      <c r="N147" s="12"/>
    </row>
    <row r="148" spans="1:16" ht="12.75">
      <c r="A148" s="368"/>
      <c r="B148" s="382"/>
      <c r="C148" s="383"/>
      <c r="D148" s="274"/>
      <c r="E148" s="384"/>
      <c r="F148" s="384"/>
      <c r="G148" s="384"/>
      <c r="H148" s="382"/>
      <c r="I148" s="366"/>
      <c r="J148" s="369"/>
      <c r="N148" s="12"/>
    </row>
    <row r="149" spans="1:16" ht="12.75">
      <c r="A149" s="368"/>
      <c r="B149" s="382"/>
      <c r="C149" s="383"/>
      <c r="D149" s="274"/>
      <c r="E149" s="384"/>
      <c r="F149" s="384"/>
      <c r="G149" s="384"/>
      <c r="H149" s="382"/>
      <c r="I149" s="366"/>
      <c r="J149" s="369"/>
      <c r="N149" s="12"/>
    </row>
    <row r="150" spans="1:16" ht="12.75">
      <c r="A150" s="368"/>
      <c r="B150" s="382"/>
      <c r="C150" s="383"/>
      <c r="D150" s="274"/>
      <c r="E150" s="384"/>
      <c r="F150" s="384"/>
      <c r="G150" s="384"/>
      <c r="H150" s="382"/>
      <c r="I150" s="366"/>
      <c r="J150" s="369"/>
      <c r="N150" s="12"/>
    </row>
    <row r="151" spans="1:16" ht="12.75">
      <c r="A151" s="368"/>
      <c r="B151" s="382"/>
      <c r="C151" s="383"/>
      <c r="D151" s="274"/>
      <c r="E151" s="384"/>
      <c r="F151" s="384"/>
      <c r="G151" s="384"/>
      <c r="H151" s="382"/>
      <c r="I151" s="366"/>
      <c r="J151" s="369"/>
      <c r="N151" s="12"/>
    </row>
    <row r="152" spans="1:16" ht="12.75">
      <c r="B152" s="382"/>
      <c r="C152" s="383"/>
      <c r="D152" s="274"/>
      <c r="E152" s="384"/>
      <c r="F152" s="384"/>
      <c r="G152" s="384"/>
      <c r="H152" s="382"/>
      <c r="I152" s="369"/>
      <c r="N152" s="12"/>
    </row>
    <row r="153" spans="1:16" ht="12.75">
      <c r="B153" s="393"/>
      <c r="C153" s="394"/>
      <c r="D153" s="395"/>
      <c r="E153" s="395"/>
      <c r="F153" s="395"/>
      <c r="G153" s="395"/>
      <c r="H153" s="396"/>
      <c r="N153" s="12"/>
    </row>
    <row r="154" spans="1:16" ht="12.75">
      <c r="A154" s="365"/>
      <c r="B154" s="397"/>
      <c r="C154" s="166"/>
      <c r="D154" s="398">
        <f>SUM(D23:D152)</f>
        <v>9151.0917585305251</v>
      </c>
      <c r="E154" s="398">
        <f>SUM(E21:E152)</f>
        <v>1801.0917585305185</v>
      </c>
      <c r="F154" s="399">
        <f>SUM(F21:F152)</f>
        <v>7350.0000000000009</v>
      </c>
      <c r="G154" s="398"/>
      <c r="H154" s="400"/>
      <c r="N154" s="12"/>
    </row>
    <row r="155" spans="1:16" ht="12.75">
      <c r="A155" s="12"/>
      <c r="B155" s="401"/>
      <c r="C155" s="402"/>
      <c r="D155" s="403"/>
      <c r="E155" s="403"/>
      <c r="F155" s="403">
        <v>7350</v>
      </c>
      <c r="G155" s="403"/>
      <c r="H155" s="149"/>
      <c r="I155" s="167"/>
      <c r="N155" s="12"/>
    </row>
    <row r="156" spans="1:16">
      <c r="H156" s="369"/>
      <c r="N156" s="12"/>
    </row>
    <row r="157" spans="1:16">
      <c r="B157" s="369"/>
      <c r="C157" s="369"/>
      <c r="D157" s="369"/>
      <c r="E157" s="369"/>
      <c r="F157" s="369">
        <f>+F155-F154</f>
        <v>0</v>
      </c>
      <c r="G157" s="369">
        <f>+F157/4</f>
        <v>0</v>
      </c>
      <c r="H157" s="369"/>
      <c r="N157" s="12"/>
      <c r="P157" s="369"/>
    </row>
    <row r="158" spans="1:16">
      <c r="B158" s="369"/>
      <c r="C158" s="369"/>
      <c r="D158" s="369"/>
      <c r="E158" s="369"/>
      <c r="F158" s="369"/>
      <c r="G158" s="369"/>
      <c r="H158" s="369"/>
      <c r="N158" s="12"/>
      <c r="P158" s="369"/>
    </row>
    <row r="159" spans="1:16">
      <c r="B159" s="369"/>
      <c r="C159" s="369"/>
      <c r="D159" s="369"/>
      <c r="E159" s="369"/>
      <c r="F159" s="369"/>
      <c r="G159" s="369"/>
      <c r="H159" s="369"/>
      <c r="N159" s="12"/>
      <c r="P159" s="369"/>
    </row>
    <row r="160" spans="1:16">
      <c r="B160" s="406"/>
      <c r="C160" s="406"/>
      <c r="D160" s="406"/>
      <c r="E160" s="406"/>
      <c r="F160" s="406"/>
      <c r="G160" s="406"/>
      <c r="H160" s="406"/>
      <c r="N160" s="12"/>
      <c r="P160" s="369"/>
    </row>
    <row r="161" spans="2:16" ht="12.75">
      <c r="B161" s="369" t="s">
        <v>407</v>
      </c>
      <c r="C161" s="391">
        <v>22840.75</v>
      </c>
      <c r="D161" s="369">
        <f>SUM(D28:D142)</f>
        <v>8769.5055603039964</v>
      </c>
      <c r="E161" s="369">
        <f>SUM(E28:E142)</f>
        <v>1664.0917585305185</v>
      </c>
      <c r="F161" s="369">
        <f>SUM(F28:F142)</f>
        <v>7105.4138017734795</v>
      </c>
      <c r="G161" s="369"/>
      <c r="H161" s="369"/>
      <c r="N161" s="12"/>
      <c r="P161" s="369"/>
    </row>
    <row r="162" spans="2:16">
      <c r="B162" s="369"/>
      <c r="C162" s="369"/>
      <c r="D162" s="369"/>
      <c r="E162" s="369"/>
      <c r="F162" s="369"/>
      <c r="G162" s="369"/>
      <c r="H162" s="369"/>
      <c r="N162" s="12"/>
      <c r="P162" s="369"/>
    </row>
    <row r="163" spans="2:16">
      <c r="B163" s="369" t="s">
        <v>412</v>
      </c>
      <c r="C163" s="369" t="s">
        <v>248</v>
      </c>
      <c r="D163" s="369">
        <f>+$C$161*D161</f>
        <v>200302084.12651351</v>
      </c>
      <c r="E163" s="369">
        <f>+$C$161*E161</f>
        <v>38009103.833655939</v>
      </c>
      <c r="F163" s="369">
        <f>+$C$161*F161</f>
        <v>162292980.29285759</v>
      </c>
      <c r="G163" s="369"/>
      <c r="H163" s="369">
        <f>+D163-D166</f>
        <v>1871324.7915132642</v>
      </c>
      <c r="N163" s="12"/>
      <c r="P163" s="369"/>
    </row>
    <row r="164" spans="2:16" ht="12.75">
      <c r="B164" s="369"/>
      <c r="C164" s="391">
        <v>22627.360000000001</v>
      </c>
      <c r="D164" s="369"/>
      <c r="E164" s="369"/>
      <c r="F164" s="369"/>
      <c r="G164" s="369"/>
      <c r="H164" s="369"/>
      <c r="N164" s="12"/>
      <c r="P164" s="369"/>
    </row>
    <row r="165" spans="2:16">
      <c r="B165" s="369"/>
      <c r="C165" s="369"/>
      <c r="D165" s="369"/>
      <c r="E165" s="369"/>
      <c r="F165" s="369"/>
      <c r="G165" s="369"/>
      <c r="H165" s="369"/>
      <c r="N165" s="12"/>
      <c r="P165" s="369"/>
    </row>
    <row r="166" spans="2:16">
      <c r="B166" s="369"/>
      <c r="C166" s="369"/>
      <c r="D166" s="369">
        <f>+$C$164*D161</f>
        <v>198430759.33500025</v>
      </c>
      <c r="E166" s="369">
        <f>+$C$164*E161</f>
        <v>37654003.293303117</v>
      </c>
      <c r="F166" s="369">
        <f>+$C$164*F161</f>
        <v>160776756.04169717</v>
      </c>
      <c r="G166" s="369"/>
      <c r="H166" s="369"/>
      <c r="N166" s="12"/>
      <c r="P166" s="369"/>
    </row>
    <row r="167" spans="2:16">
      <c r="B167" s="369"/>
      <c r="C167" s="369"/>
      <c r="D167" s="369"/>
      <c r="E167" s="369"/>
      <c r="F167" s="369"/>
      <c r="G167" s="369"/>
      <c r="H167" s="369"/>
      <c r="N167" s="12"/>
      <c r="P167" s="369"/>
    </row>
    <row r="168" spans="2:16">
      <c r="B168" s="369"/>
      <c r="C168" s="369"/>
      <c r="D168" s="369"/>
      <c r="E168" s="369"/>
      <c r="F168" s="369"/>
      <c r="G168" s="369"/>
      <c r="H168" s="369"/>
      <c r="N168" s="12"/>
      <c r="P168" s="369"/>
    </row>
    <row r="169" spans="2:16">
      <c r="B169" s="406"/>
      <c r="C169" s="406"/>
      <c r="D169" s="406">
        <f>SUM(D23:D142)</f>
        <v>9151.0917585305251</v>
      </c>
      <c r="E169" s="406">
        <f>SUM(E23:E142)</f>
        <v>1801.0917585305185</v>
      </c>
      <c r="F169" s="406">
        <f>SUM(F23:F142)</f>
        <v>7350.0000000000009</v>
      </c>
      <c r="G169" s="406"/>
      <c r="H169" s="406"/>
      <c r="N169" s="12"/>
      <c r="P169" s="369"/>
    </row>
    <row r="170" spans="2:16" ht="12.75">
      <c r="B170" s="369" t="s">
        <v>407</v>
      </c>
      <c r="C170" s="391">
        <v>22627.360000000001</v>
      </c>
      <c r="D170" s="369">
        <f>+$C$170*D169</f>
        <v>207065047.61330327</v>
      </c>
      <c r="E170" s="369">
        <f>+$C$170*E169</f>
        <v>40753951.613303117</v>
      </c>
      <c r="F170" s="369">
        <f>+$C$170*F169</f>
        <v>166311096.00000003</v>
      </c>
      <c r="G170" s="369"/>
      <c r="H170" s="369"/>
      <c r="N170" s="12"/>
      <c r="P170" s="369"/>
    </row>
    <row r="171" spans="2:16">
      <c r="B171" s="369"/>
      <c r="C171" s="369"/>
      <c r="D171" s="369"/>
      <c r="E171" s="369"/>
      <c r="F171" s="369"/>
      <c r="G171" s="369"/>
      <c r="H171" s="369"/>
      <c r="N171" s="12"/>
      <c r="P171" s="369"/>
    </row>
    <row r="172" spans="2:16">
      <c r="B172" s="369"/>
      <c r="C172" s="369" t="s">
        <v>408</v>
      </c>
      <c r="D172" s="369"/>
      <c r="E172" s="369">
        <f>+E170-E163</f>
        <v>2744847.7796471789</v>
      </c>
      <c r="F172" s="369"/>
      <c r="G172" s="369"/>
      <c r="H172" s="369" t="s">
        <v>413</v>
      </c>
      <c r="I172" s="369">
        <f>+E172</f>
        <v>2744847.7796471789</v>
      </c>
      <c r="N172" s="12"/>
      <c r="P172" s="369"/>
    </row>
    <row r="173" spans="2:16">
      <c r="B173" s="369"/>
      <c r="C173" s="369"/>
      <c r="D173" s="369"/>
      <c r="E173" s="369"/>
      <c r="F173" s="369"/>
      <c r="G173" s="369"/>
      <c r="H173" s="405" t="s">
        <v>410</v>
      </c>
      <c r="J173" s="369">
        <f>+I172</f>
        <v>2744847.7796471789</v>
      </c>
      <c r="N173" s="12"/>
      <c r="P173" s="369"/>
    </row>
    <row r="174" spans="2:16">
      <c r="B174" s="369"/>
      <c r="C174" s="405" t="s">
        <v>398</v>
      </c>
      <c r="D174" s="369">
        <v>166311095.99999687</v>
      </c>
      <c r="E174" s="369"/>
      <c r="F174" s="369"/>
      <c r="G174" s="369"/>
      <c r="H174" s="369" t="s">
        <v>414</v>
      </c>
      <c r="I174" s="369">
        <f>+D170-D166</f>
        <v>8634288.2783030272</v>
      </c>
      <c r="N174" s="12"/>
      <c r="P174" s="369"/>
    </row>
    <row r="175" spans="2:16">
      <c r="B175" s="369"/>
      <c r="C175" s="405" t="s">
        <v>410</v>
      </c>
      <c r="D175" s="369">
        <v>40753951.61330317</v>
      </c>
      <c r="E175" s="369"/>
      <c r="F175" s="369"/>
      <c r="G175" s="369"/>
      <c r="H175" s="369"/>
      <c r="I175" s="188" t="s">
        <v>249</v>
      </c>
      <c r="J175" s="369">
        <f>+I174</f>
        <v>8634288.2783030272</v>
      </c>
      <c r="N175" s="12"/>
      <c r="P175" s="369"/>
    </row>
    <row r="176" spans="2:16">
      <c r="B176" s="369"/>
      <c r="C176" s="369"/>
      <c r="D176" s="369" t="s">
        <v>409</v>
      </c>
      <c r="E176" s="369">
        <v>207065047.61329952</v>
      </c>
      <c r="F176" s="369"/>
      <c r="G176" s="369"/>
      <c r="H176" s="369"/>
      <c r="N176" s="12"/>
      <c r="P176" s="369"/>
    </row>
    <row r="177" spans="1:16">
      <c r="B177" s="369"/>
      <c r="C177" s="369"/>
      <c r="D177" s="369"/>
      <c r="E177" s="369"/>
      <c r="F177" s="369"/>
      <c r="G177" s="369"/>
      <c r="H177" s="369"/>
      <c r="N177" s="12"/>
      <c r="P177" s="369"/>
    </row>
    <row r="178" spans="1:16">
      <c r="B178" s="369"/>
      <c r="C178" s="369"/>
      <c r="D178" s="369"/>
      <c r="E178" s="369"/>
      <c r="F178" s="369"/>
      <c r="G178" s="369"/>
      <c r="H178" s="369"/>
      <c r="N178" s="12"/>
      <c r="P178" s="369"/>
    </row>
    <row r="179" spans="1:16">
      <c r="B179" s="369"/>
      <c r="C179" s="369"/>
      <c r="D179" s="369"/>
      <c r="E179" s="369"/>
      <c r="F179" s="369"/>
      <c r="G179" s="369"/>
      <c r="H179" s="369"/>
      <c r="N179" s="12"/>
      <c r="P179" s="369"/>
    </row>
    <row r="180" spans="1:16">
      <c r="B180" s="369"/>
      <c r="C180" s="369"/>
      <c r="D180" s="369"/>
      <c r="E180" s="369"/>
      <c r="F180" s="369"/>
      <c r="G180" s="369"/>
      <c r="H180" s="369"/>
      <c r="N180" s="12"/>
      <c r="P180" s="369"/>
    </row>
    <row r="181" spans="1:16">
      <c r="B181" s="369"/>
      <c r="C181" s="369"/>
      <c r="D181" s="369"/>
      <c r="E181" s="369"/>
      <c r="F181" s="369"/>
      <c r="G181" s="369"/>
      <c r="H181" s="369"/>
      <c r="N181" s="12"/>
      <c r="P181" s="369"/>
    </row>
    <row r="182" spans="1:16">
      <c r="B182" s="369"/>
      <c r="C182" s="369"/>
      <c r="D182" s="369"/>
      <c r="E182" s="369"/>
      <c r="F182" s="369"/>
      <c r="G182" s="369"/>
      <c r="H182" s="369"/>
      <c r="N182" s="12"/>
      <c r="P182" s="369"/>
    </row>
    <row r="183" spans="1:16">
      <c r="B183" s="369"/>
      <c r="C183" s="369"/>
      <c r="D183" s="369"/>
      <c r="E183" s="369"/>
      <c r="F183" s="369"/>
      <c r="G183" s="369"/>
      <c r="H183" s="369"/>
      <c r="N183" s="12"/>
      <c r="P183" s="369"/>
    </row>
    <row r="184" spans="1:16">
      <c r="B184" s="369"/>
      <c r="C184" s="369"/>
      <c r="D184" s="369"/>
      <c r="E184" s="369"/>
      <c r="F184" s="369"/>
      <c r="G184" s="369"/>
      <c r="H184" s="369"/>
      <c r="N184" s="12"/>
      <c r="P184" s="369"/>
    </row>
    <row r="185" spans="1:16">
      <c r="B185" s="369"/>
      <c r="C185" s="369"/>
      <c r="D185" s="369"/>
      <c r="E185" s="369"/>
      <c r="F185" s="369"/>
      <c r="G185" s="369"/>
      <c r="H185" s="369"/>
      <c r="N185" s="12"/>
      <c r="P185" s="369"/>
    </row>
    <row r="186" spans="1:16">
      <c r="B186" s="369"/>
      <c r="C186" s="369"/>
      <c r="D186" s="369"/>
      <c r="E186" s="369"/>
      <c r="F186" s="369"/>
      <c r="G186" s="369"/>
      <c r="H186" s="369"/>
      <c r="N186" s="12"/>
      <c r="P186" s="369"/>
    </row>
    <row r="187" spans="1:16">
      <c r="B187" s="369"/>
      <c r="C187" s="369" t="s">
        <v>396</v>
      </c>
      <c r="D187" s="369">
        <f>+E21+E22+9</f>
        <v>9</v>
      </c>
      <c r="E187" s="369"/>
      <c r="F187" s="369"/>
      <c r="G187" s="369"/>
      <c r="H187" s="369"/>
      <c r="K187" s="369"/>
      <c r="L187" s="369"/>
      <c r="M187" s="369"/>
      <c r="N187" s="12"/>
      <c r="P187" s="369"/>
    </row>
    <row r="188" spans="1:16">
      <c r="B188" s="369"/>
      <c r="C188" s="369" t="s">
        <v>397</v>
      </c>
      <c r="D188" s="369">
        <f>SUM(E25:E152)</f>
        <v>1745.0917585305185</v>
      </c>
      <c r="E188" s="369"/>
      <c r="F188" s="369"/>
      <c r="G188" s="369"/>
      <c r="H188" s="369"/>
      <c r="K188" s="369"/>
      <c r="L188" s="369"/>
      <c r="M188" s="369"/>
      <c r="N188" s="12"/>
      <c r="P188" s="369"/>
    </row>
    <row r="189" spans="1:16">
      <c r="B189" s="369"/>
      <c r="C189" s="369" t="s">
        <v>398</v>
      </c>
      <c r="D189" s="369">
        <v>11162000</v>
      </c>
      <c r="E189" s="369"/>
      <c r="F189" s="369"/>
      <c r="G189" s="369"/>
      <c r="H189" s="369"/>
      <c r="K189" s="369"/>
      <c r="L189" s="369"/>
      <c r="M189" s="369"/>
      <c r="N189" s="12"/>
      <c r="P189" s="369"/>
    </row>
    <row r="190" spans="1:16">
      <c r="B190" s="369"/>
      <c r="C190" s="369" t="s">
        <v>399</v>
      </c>
      <c r="D190" s="369"/>
      <c r="E190" s="369">
        <v>13512648</v>
      </c>
      <c r="F190" s="369"/>
      <c r="G190" s="369"/>
      <c r="H190" s="369"/>
      <c r="I190" s="369"/>
      <c r="J190" s="369"/>
      <c r="K190" s="369"/>
      <c r="L190" s="369"/>
      <c r="M190" s="369"/>
      <c r="N190" s="12"/>
      <c r="P190" s="369"/>
    </row>
    <row r="191" spans="1:16">
      <c r="D191" s="369">
        <f>SUM(D187:D190)</f>
        <v>11163754.091758531</v>
      </c>
      <c r="E191" s="369">
        <f>SUM(E187:E190)</f>
        <v>13512648</v>
      </c>
      <c r="N191" s="12"/>
    </row>
    <row r="192" spans="1:16" ht="12.75">
      <c r="A192" s="365"/>
      <c r="N192" s="12"/>
    </row>
    <row r="193" spans="1:16">
      <c r="A193" s="12"/>
      <c r="B193" s="12"/>
      <c r="C193" s="12"/>
      <c r="D193" s="12"/>
      <c r="E193" s="12"/>
      <c r="F193" s="12"/>
      <c r="G193" s="12"/>
      <c r="H193" s="12"/>
      <c r="I193" s="167"/>
      <c r="J193" s="12"/>
      <c r="K193" s="12"/>
      <c r="L193" s="12"/>
      <c r="M193" s="12"/>
      <c r="N193" s="12"/>
      <c r="P193" s="12"/>
    </row>
    <row r="194" spans="1:16">
      <c r="B194" s="369"/>
      <c r="C194" s="369"/>
      <c r="D194" s="369"/>
      <c r="E194" s="369"/>
      <c r="F194" s="369"/>
      <c r="G194" s="369"/>
      <c r="H194" s="369"/>
      <c r="J194" s="369"/>
      <c r="K194" s="369"/>
      <c r="L194" s="369"/>
      <c r="M194" s="369"/>
      <c r="N194" s="369"/>
      <c r="P194" s="369"/>
    </row>
    <row r="195" spans="1:16">
      <c r="B195" s="369"/>
      <c r="C195" s="369"/>
      <c r="D195" s="369"/>
      <c r="E195" s="369"/>
      <c r="F195" s="369"/>
      <c r="G195" s="369"/>
      <c r="H195" s="369"/>
      <c r="J195" s="369"/>
      <c r="K195" s="369"/>
      <c r="L195" s="369"/>
      <c r="M195" s="369"/>
      <c r="N195" s="369"/>
      <c r="P195" s="369"/>
    </row>
    <row r="196" spans="1:16">
      <c r="B196" s="369"/>
      <c r="C196" s="369"/>
      <c r="D196" s="369"/>
      <c r="E196" s="369"/>
      <c r="F196" s="369"/>
      <c r="G196" s="369"/>
      <c r="H196" s="369"/>
      <c r="J196" s="369"/>
      <c r="K196" s="369"/>
      <c r="L196" s="369"/>
      <c r="M196" s="369"/>
      <c r="N196" s="369"/>
      <c r="P196" s="369"/>
    </row>
    <row r="197" spans="1:16">
      <c r="B197" s="369"/>
      <c r="C197" s="369"/>
      <c r="D197" s="369"/>
      <c r="E197" s="369"/>
      <c r="F197" s="369"/>
      <c r="G197" s="369"/>
      <c r="H197" s="369"/>
      <c r="J197" s="369"/>
      <c r="K197" s="369"/>
      <c r="L197" s="369"/>
      <c r="M197" s="369"/>
      <c r="N197" s="369"/>
      <c r="P197" s="369"/>
    </row>
    <row r="198" spans="1:16">
      <c r="B198" s="369"/>
      <c r="C198" s="369"/>
      <c r="D198" s="369"/>
      <c r="E198" s="369"/>
      <c r="F198" s="369"/>
      <c r="G198" s="369"/>
      <c r="H198" s="369"/>
      <c r="J198" s="369"/>
      <c r="K198" s="369"/>
      <c r="L198" s="369"/>
      <c r="M198" s="369"/>
      <c r="N198" s="369"/>
      <c r="P198" s="369"/>
    </row>
    <row r="199" spans="1:16">
      <c r="B199" s="369"/>
      <c r="C199" s="369"/>
      <c r="D199" s="369"/>
      <c r="E199" s="369"/>
      <c r="F199" s="369"/>
      <c r="G199" s="369"/>
      <c r="H199" s="369"/>
      <c r="J199" s="369"/>
      <c r="K199" s="369"/>
      <c r="L199" s="369"/>
      <c r="M199" s="369"/>
      <c r="N199" s="369"/>
      <c r="P199" s="369"/>
    </row>
    <row r="200" spans="1:16">
      <c r="B200" s="369"/>
      <c r="C200" s="369"/>
      <c r="D200" s="369"/>
      <c r="E200" s="369"/>
      <c r="F200" s="369"/>
      <c r="G200" s="369"/>
      <c r="H200" s="369"/>
      <c r="P200" s="369"/>
    </row>
    <row r="201" spans="1:16">
      <c r="B201" s="369"/>
      <c r="C201" s="369"/>
      <c r="D201" s="369"/>
      <c r="E201" s="369"/>
      <c r="F201" s="369"/>
      <c r="G201" s="369"/>
      <c r="H201" s="369"/>
      <c r="P201" s="369"/>
    </row>
    <row r="202" spans="1:16">
      <c r="B202" s="369"/>
      <c r="C202" s="369"/>
      <c r="D202" s="369"/>
      <c r="E202" s="369"/>
      <c r="F202" s="369"/>
      <c r="G202" s="369"/>
      <c r="H202" s="369"/>
      <c r="P202" s="369"/>
    </row>
    <row r="203" spans="1:16"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P203" s="369"/>
    </row>
    <row r="205" spans="1:16" ht="12.75">
      <c r="A205" s="365"/>
    </row>
    <row r="206" spans="1:16">
      <c r="A206" s="12"/>
      <c r="B206" s="12"/>
      <c r="C206" s="12"/>
      <c r="D206" s="12"/>
      <c r="E206" s="12"/>
      <c r="F206" s="12"/>
      <c r="G206" s="12"/>
      <c r="H206" s="12"/>
      <c r="I206" s="167"/>
      <c r="J206" s="12"/>
      <c r="K206" s="12"/>
      <c r="L206" s="12"/>
      <c r="M206" s="12"/>
      <c r="N206" s="12"/>
      <c r="P206" s="12"/>
    </row>
    <row r="207" spans="1:16">
      <c r="B207" s="369"/>
      <c r="C207" s="369"/>
      <c r="D207" s="369"/>
      <c r="E207" s="369"/>
      <c r="F207" s="369"/>
      <c r="G207" s="369"/>
      <c r="H207" s="369"/>
      <c r="P207" s="369"/>
    </row>
    <row r="208" spans="1:16">
      <c r="B208" s="369"/>
      <c r="C208" s="369"/>
      <c r="D208" s="369"/>
      <c r="E208" s="369"/>
      <c r="F208" s="369"/>
      <c r="G208" s="369"/>
      <c r="H208" s="369"/>
      <c r="P208" s="369"/>
    </row>
    <row r="209" spans="2:16">
      <c r="B209" s="369"/>
      <c r="C209" s="369"/>
      <c r="D209" s="369"/>
      <c r="E209" s="369"/>
      <c r="F209" s="369"/>
      <c r="G209" s="369"/>
      <c r="H209" s="369"/>
      <c r="P209" s="369"/>
    </row>
    <row r="210" spans="2:16">
      <c r="B210" s="369"/>
      <c r="C210" s="369"/>
      <c r="D210" s="369"/>
      <c r="E210" s="369"/>
      <c r="F210" s="369"/>
      <c r="G210" s="369"/>
      <c r="H210" s="369"/>
      <c r="P210" s="369"/>
    </row>
    <row r="211" spans="2:16">
      <c r="B211" s="369"/>
      <c r="C211" s="369"/>
      <c r="D211" s="369"/>
      <c r="E211" s="369"/>
      <c r="F211" s="369"/>
      <c r="G211" s="369"/>
      <c r="H211" s="369"/>
      <c r="P211" s="369"/>
    </row>
    <row r="212" spans="2:16">
      <c r="B212" s="369"/>
      <c r="C212" s="369"/>
      <c r="D212" s="369"/>
      <c r="E212" s="369"/>
      <c r="F212" s="369"/>
      <c r="G212" s="369"/>
      <c r="H212" s="369"/>
      <c r="P212" s="369"/>
    </row>
    <row r="213" spans="2:16">
      <c r="B213" s="369"/>
      <c r="C213" s="369"/>
      <c r="D213" s="369"/>
      <c r="E213" s="369"/>
      <c r="F213" s="369"/>
      <c r="G213" s="369"/>
      <c r="H213" s="369"/>
      <c r="P213" s="369"/>
    </row>
    <row r="214" spans="2:16">
      <c r="B214" s="369"/>
      <c r="C214" s="369"/>
      <c r="D214" s="369"/>
      <c r="E214" s="369"/>
      <c r="F214" s="369"/>
      <c r="G214" s="369"/>
      <c r="H214" s="369"/>
      <c r="P214" s="369"/>
    </row>
    <row r="215" spans="2:16">
      <c r="B215" s="369"/>
      <c r="C215" s="369"/>
      <c r="D215" s="369"/>
      <c r="E215" s="369"/>
      <c r="F215" s="369"/>
      <c r="G215" s="369"/>
      <c r="H215" s="369"/>
      <c r="P215" s="369"/>
    </row>
    <row r="216" spans="2:16">
      <c r="B216" s="369"/>
      <c r="C216" s="369"/>
      <c r="D216" s="369"/>
      <c r="E216" s="369"/>
      <c r="F216" s="369"/>
      <c r="G216" s="369"/>
      <c r="H216" s="369"/>
      <c r="P216" s="369"/>
    </row>
    <row r="217" spans="2:16">
      <c r="B217" s="369"/>
      <c r="C217" s="369"/>
      <c r="D217" s="369"/>
      <c r="E217" s="369"/>
      <c r="F217" s="369"/>
      <c r="G217" s="369"/>
      <c r="H217" s="369"/>
      <c r="P217" s="369"/>
    </row>
    <row r="218" spans="2:16">
      <c r="B218" s="369"/>
      <c r="C218" s="369"/>
      <c r="D218" s="369"/>
      <c r="E218" s="369"/>
      <c r="F218" s="369"/>
      <c r="G218" s="369"/>
      <c r="H218" s="369"/>
      <c r="P218" s="369"/>
    </row>
    <row r="219" spans="2:16">
      <c r="B219" s="369"/>
      <c r="C219" s="369"/>
      <c r="D219" s="369"/>
      <c r="E219" s="369"/>
      <c r="F219" s="369"/>
      <c r="G219" s="369"/>
      <c r="H219" s="369"/>
      <c r="P219" s="369"/>
    </row>
    <row r="220" spans="2:16">
      <c r="B220" s="369"/>
      <c r="C220" s="369"/>
      <c r="D220" s="369"/>
      <c r="E220" s="369"/>
      <c r="F220" s="369"/>
      <c r="G220" s="369"/>
      <c r="H220" s="369"/>
      <c r="P220" s="369"/>
    </row>
    <row r="221" spans="2:16">
      <c r="B221" s="369"/>
      <c r="C221" s="369"/>
      <c r="D221" s="369"/>
      <c r="E221" s="369"/>
      <c r="F221" s="369"/>
      <c r="G221" s="369"/>
      <c r="H221" s="369"/>
      <c r="P221" s="369"/>
    </row>
    <row r="222" spans="2:16">
      <c r="B222" s="369"/>
      <c r="C222" s="369"/>
      <c r="D222" s="369"/>
      <c r="E222" s="369"/>
      <c r="F222" s="369"/>
      <c r="G222" s="369"/>
      <c r="H222" s="369"/>
      <c r="P222" s="369"/>
    </row>
    <row r="223" spans="2:16">
      <c r="B223" s="369"/>
      <c r="C223" s="369"/>
      <c r="D223" s="369"/>
      <c r="E223" s="369"/>
      <c r="F223" s="369"/>
      <c r="G223" s="369"/>
      <c r="H223" s="369"/>
      <c r="P223" s="369"/>
    </row>
    <row r="224" spans="2:16">
      <c r="B224" s="369"/>
      <c r="C224" s="369"/>
      <c r="D224" s="369"/>
      <c r="E224" s="369"/>
      <c r="F224" s="369"/>
      <c r="G224" s="369"/>
      <c r="H224" s="369"/>
      <c r="I224" s="369"/>
      <c r="J224" s="369"/>
      <c r="K224" s="369"/>
      <c r="L224" s="369"/>
      <c r="M224" s="369"/>
      <c r="N224" s="369"/>
      <c r="P224" s="369"/>
    </row>
    <row r="226" spans="1:16" ht="12.75">
      <c r="A226" s="365"/>
    </row>
    <row r="227" spans="1:16">
      <c r="A227" s="12"/>
      <c r="B227" s="12"/>
      <c r="C227" s="12"/>
      <c r="D227" s="12"/>
      <c r="E227" s="12"/>
      <c r="F227" s="12"/>
      <c r="G227" s="12"/>
      <c r="H227" s="12"/>
      <c r="I227" s="167"/>
      <c r="J227" s="12"/>
      <c r="K227" s="12"/>
      <c r="L227" s="12"/>
      <c r="M227" s="12"/>
      <c r="N227" s="12"/>
      <c r="P227" s="12"/>
    </row>
    <row r="228" spans="1:16">
      <c r="B228" s="369"/>
      <c r="C228" s="369"/>
      <c r="D228" s="369"/>
      <c r="E228" s="369"/>
      <c r="F228" s="369"/>
      <c r="G228" s="369"/>
      <c r="H228" s="369"/>
      <c r="P228" s="369"/>
    </row>
    <row r="229" spans="1:16">
      <c r="B229" s="369"/>
      <c r="C229" s="369"/>
      <c r="D229" s="369"/>
      <c r="E229" s="369"/>
      <c r="F229" s="369"/>
      <c r="G229" s="369"/>
      <c r="H229" s="369"/>
      <c r="P229" s="369"/>
    </row>
    <row r="230" spans="1:16">
      <c r="B230" s="369"/>
      <c r="C230" s="369"/>
      <c r="D230" s="369"/>
      <c r="E230" s="369"/>
      <c r="F230" s="369"/>
      <c r="G230" s="369"/>
      <c r="H230" s="369"/>
      <c r="P230" s="369"/>
    </row>
    <row r="231" spans="1:16">
      <c r="B231" s="369"/>
      <c r="C231" s="369"/>
      <c r="D231" s="369"/>
      <c r="E231" s="369"/>
      <c r="F231" s="369"/>
      <c r="G231" s="369"/>
      <c r="H231" s="369"/>
      <c r="P231" s="369"/>
    </row>
    <row r="232" spans="1:16">
      <c r="B232" s="369"/>
      <c r="C232" s="369"/>
      <c r="D232" s="369"/>
      <c r="E232" s="369"/>
      <c r="F232" s="369"/>
      <c r="G232" s="369"/>
      <c r="H232" s="369"/>
      <c r="P232" s="369"/>
    </row>
    <row r="233" spans="1:16">
      <c r="B233" s="369"/>
      <c r="C233" s="369"/>
      <c r="D233" s="369"/>
      <c r="E233" s="369"/>
      <c r="F233" s="369"/>
      <c r="G233" s="369"/>
      <c r="H233" s="369"/>
      <c r="P233" s="369"/>
    </row>
    <row r="234" spans="1:16">
      <c r="B234" s="369"/>
      <c r="C234" s="369"/>
      <c r="D234" s="369"/>
      <c r="E234" s="369"/>
      <c r="F234" s="369"/>
      <c r="G234" s="369"/>
      <c r="H234" s="369"/>
      <c r="P234" s="369"/>
    </row>
    <row r="235" spans="1:16">
      <c r="B235" s="369"/>
      <c r="C235" s="369"/>
      <c r="D235" s="369"/>
      <c r="E235" s="369"/>
      <c r="F235" s="369"/>
      <c r="G235" s="369"/>
      <c r="H235" s="369"/>
      <c r="P235" s="369"/>
    </row>
    <row r="236" spans="1:16">
      <c r="B236" s="369"/>
      <c r="C236" s="369"/>
      <c r="D236" s="369"/>
      <c r="E236" s="369"/>
      <c r="F236" s="369"/>
      <c r="G236" s="369"/>
      <c r="H236" s="369"/>
      <c r="P236" s="369"/>
    </row>
    <row r="237" spans="1:16">
      <c r="B237" s="369"/>
      <c r="C237" s="369"/>
      <c r="D237" s="369"/>
      <c r="E237" s="369"/>
      <c r="F237" s="369"/>
      <c r="G237" s="369"/>
      <c r="H237" s="369"/>
      <c r="P237" s="369"/>
    </row>
    <row r="238" spans="1:16">
      <c r="B238" s="369"/>
      <c r="C238" s="369"/>
      <c r="D238" s="369"/>
      <c r="E238" s="369"/>
      <c r="F238" s="369"/>
      <c r="G238" s="369"/>
      <c r="H238" s="369"/>
      <c r="P238" s="369"/>
    </row>
    <row r="239" spans="1:16">
      <c r="B239" s="369"/>
      <c r="C239" s="369"/>
      <c r="D239" s="369"/>
      <c r="E239" s="369"/>
      <c r="F239" s="369"/>
      <c r="G239" s="369"/>
      <c r="H239" s="369"/>
      <c r="P239" s="369"/>
    </row>
    <row r="240" spans="1:16">
      <c r="B240" s="369"/>
      <c r="C240" s="369"/>
      <c r="D240" s="369"/>
      <c r="E240" s="369"/>
      <c r="F240" s="369"/>
      <c r="G240" s="369"/>
      <c r="H240" s="369"/>
      <c r="P240" s="369"/>
    </row>
    <row r="241" spans="1:16">
      <c r="B241" s="369"/>
      <c r="C241" s="369"/>
      <c r="D241" s="369"/>
      <c r="E241" s="369"/>
      <c r="F241" s="369"/>
      <c r="G241" s="369"/>
      <c r="H241" s="369"/>
      <c r="I241" s="369"/>
      <c r="J241" s="369"/>
      <c r="K241" s="369"/>
      <c r="L241" s="369"/>
      <c r="M241" s="369"/>
      <c r="N241" s="369"/>
      <c r="P241" s="369"/>
    </row>
    <row r="243" spans="1:16" ht="12.75">
      <c r="A243" s="365"/>
    </row>
    <row r="244" spans="1:16">
      <c r="A244" s="12"/>
      <c r="B244" s="12"/>
      <c r="C244" s="12"/>
      <c r="D244" s="12"/>
      <c r="E244" s="12"/>
      <c r="F244" s="12"/>
      <c r="G244" s="12"/>
      <c r="H244" s="12"/>
      <c r="I244" s="167"/>
      <c r="J244" s="12"/>
      <c r="K244" s="12"/>
      <c r="L244" s="12"/>
      <c r="M244" s="12"/>
      <c r="N244" s="12"/>
      <c r="P244" s="12"/>
    </row>
    <row r="245" spans="1:16">
      <c r="A245" s="368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66"/>
      <c r="N245" s="366"/>
      <c r="P245" s="369"/>
    </row>
    <row r="246" spans="1:16">
      <c r="A246" s="368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66"/>
      <c r="N246" s="366"/>
      <c r="P246" s="369"/>
    </row>
    <row r="247" spans="1:16">
      <c r="A247" s="368"/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P247" s="369"/>
    </row>
    <row r="248" spans="1:16">
      <c r="A248" s="368"/>
      <c r="B248" s="366"/>
      <c r="C248" s="366"/>
      <c r="D248" s="366"/>
      <c r="E248" s="366"/>
      <c r="F248" s="366"/>
      <c r="G248" s="366"/>
      <c r="H248" s="366"/>
      <c r="I248" s="366"/>
      <c r="J248" s="366"/>
      <c r="K248" s="366"/>
      <c r="L248" s="366"/>
      <c r="M248" s="366"/>
      <c r="N248" s="366"/>
      <c r="P248" s="369"/>
    </row>
    <row r="249" spans="1:16">
      <c r="A249" s="368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66"/>
      <c r="N249" s="366"/>
      <c r="P249" s="369"/>
    </row>
    <row r="250" spans="1:16">
      <c r="A250" s="368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66"/>
      <c r="N250" s="366"/>
      <c r="P250" s="369"/>
    </row>
    <row r="251" spans="1:16">
      <c r="A251" s="368"/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P251" s="369"/>
    </row>
    <row r="252" spans="1:16">
      <c r="A252" s="368"/>
      <c r="B252" s="366"/>
      <c r="C252" s="366"/>
      <c r="D252" s="366"/>
      <c r="E252" s="366"/>
      <c r="F252" s="366"/>
      <c r="G252" s="366"/>
      <c r="H252" s="366"/>
      <c r="I252" s="366"/>
      <c r="J252" s="366"/>
      <c r="K252" s="366"/>
      <c r="L252" s="366"/>
      <c r="M252" s="366"/>
      <c r="N252" s="366"/>
      <c r="P252" s="369"/>
    </row>
    <row r="253" spans="1:16">
      <c r="A253" s="368"/>
      <c r="B253" s="366"/>
      <c r="C253" s="366"/>
      <c r="D253" s="366"/>
      <c r="E253" s="366"/>
      <c r="F253" s="366"/>
      <c r="G253" s="366"/>
      <c r="H253" s="366"/>
      <c r="I253" s="366"/>
      <c r="J253" s="366"/>
      <c r="K253" s="366"/>
      <c r="L253" s="366"/>
      <c r="M253" s="366"/>
      <c r="N253" s="366"/>
      <c r="P253" s="369"/>
    </row>
    <row r="254" spans="1:16">
      <c r="A254" s="368"/>
      <c r="B254" s="366"/>
      <c r="C254" s="366"/>
      <c r="D254" s="366"/>
      <c r="E254" s="366"/>
      <c r="F254" s="366"/>
      <c r="G254" s="366"/>
      <c r="H254" s="366"/>
      <c r="I254" s="366"/>
      <c r="J254" s="366"/>
      <c r="K254" s="366"/>
      <c r="L254" s="366"/>
      <c r="M254" s="366"/>
      <c r="N254" s="366"/>
      <c r="P254" s="369"/>
    </row>
    <row r="255" spans="1:16">
      <c r="A255" s="368"/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P255" s="369"/>
    </row>
    <row r="256" spans="1:16">
      <c r="A256" s="368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366"/>
      <c r="P256" s="369"/>
    </row>
    <row r="257" spans="1:16">
      <c r="A257" s="368"/>
      <c r="B257" s="404"/>
      <c r="C257" s="404"/>
      <c r="D257" s="404"/>
      <c r="E257" s="404"/>
      <c r="F257" s="404"/>
      <c r="G257" s="404"/>
      <c r="H257" s="404"/>
      <c r="I257" s="404"/>
      <c r="J257" s="404"/>
      <c r="K257" s="404"/>
      <c r="L257" s="404"/>
      <c r="M257" s="404"/>
      <c r="N257" s="404"/>
      <c r="P257" s="369"/>
    </row>
    <row r="258" spans="1:16">
      <c r="B258" s="369"/>
      <c r="C258" s="369"/>
      <c r="D258" s="369"/>
      <c r="E258" s="369"/>
      <c r="F258" s="369"/>
      <c r="G258" s="369"/>
      <c r="H258" s="369"/>
      <c r="I258" s="369"/>
      <c r="J258" s="369"/>
      <c r="K258" s="369"/>
      <c r="L258" s="369"/>
      <c r="M258" s="369"/>
      <c r="N258" s="369"/>
      <c r="P258" s="369"/>
    </row>
    <row r="260" spans="1:16" ht="12.75">
      <c r="A260" s="365"/>
    </row>
    <row r="261" spans="1:16">
      <c r="A261" s="12"/>
      <c r="B261" s="12"/>
      <c r="C261" s="12"/>
      <c r="D261" s="12"/>
      <c r="E261" s="12"/>
      <c r="F261" s="12"/>
      <c r="G261" s="12"/>
      <c r="H261" s="12"/>
      <c r="I261" s="167"/>
      <c r="J261" s="12"/>
      <c r="K261" s="12"/>
      <c r="L261" s="12"/>
      <c r="M261" s="12"/>
      <c r="N261" s="12"/>
      <c r="P261" s="12"/>
    </row>
    <row r="262" spans="1:16">
      <c r="A262" s="368"/>
      <c r="B262" s="366"/>
      <c r="C262" s="366"/>
      <c r="D262" s="366"/>
      <c r="E262" s="366"/>
      <c r="F262" s="366"/>
      <c r="G262" s="366"/>
      <c r="H262" s="366"/>
      <c r="I262" s="366"/>
      <c r="J262" s="366"/>
      <c r="K262" s="366"/>
      <c r="L262" s="366"/>
      <c r="M262" s="366"/>
      <c r="N262" s="366"/>
      <c r="P262" s="369"/>
    </row>
    <row r="263" spans="1:16">
      <c r="A263" s="368"/>
      <c r="B263" s="366"/>
      <c r="C263" s="366"/>
      <c r="D263" s="366"/>
      <c r="E263" s="366"/>
      <c r="F263" s="366"/>
      <c r="G263" s="366"/>
      <c r="H263" s="366"/>
      <c r="I263" s="366"/>
      <c r="J263" s="366"/>
      <c r="K263" s="366"/>
      <c r="L263" s="366"/>
      <c r="M263" s="366"/>
      <c r="N263" s="366"/>
      <c r="P263" s="369"/>
    </row>
    <row r="264" spans="1:16">
      <c r="A264" s="368"/>
      <c r="B264" s="366"/>
      <c r="C264" s="366"/>
      <c r="D264" s="366"/>
      <c r="E264" s="366"/>
      <c r="F264" s="366"/>
      <c r="G264" s="366"/>
      <c r="H264" s="366"/>
      <c r="I264" s="366"/>
      <c r="J264" s="366"/>
      <c r="K264" s="366"/>
      <c r="L264" s="366"/>
      <c r="M264" s="366"/>
      <c r="N264" s="366"/>
      <c r="P264" s="369"/>
    </row>
    <row r="265" spans="1:16">
      <c r="A265" s="368"/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P265" s="369"/>
    </row>
    <row r="266" spans="1:16">
      <c r="A266" s="368"/>
      <c r="B266" s="366"/>
      <c r="C266" s="366"/>
      <c r="D266" s="366"/>
      <c r="E266" s="366"/>
      <c r="F266" s="366"/>
      <c r="G266" s="366"/>
      <c r="H266" s="366"/>
      <c r="I266" s="366"/>
      <c r="J266" s="366"/>
      <c r="K266" s="366"/>
      <c r="L266" s="366"/>
      <c r="M266" s="366"/>
      <c r="N266" s="366"/>
      <c r="P266" s="369"/>
    </row>
    <row r="267" spans="1:16">
      <c r="A267" s="368"/>
      <c r="B267" s="366"/>
      <c r="C267" s="366"/>
      <c r="D267" s="366"/>
      <c r="E267" s="366"/>
      <c r="F267" s="366"/>
      <c r="G267" s="366"/>
      <c r="H267" s="366"/>
      <c r="I267" s="366"/>
      <c r="J267" s="366"/>
      <c r="K267" s="366"/>
      <c r="L267" s="366"/>
      <c r="M267" s="366"/>
      <c r="N267" s="366"/>
      <c r="P267" s="369"/>
    </row>
    <row r="268" spans="1:16">
      <c r="A268" s="368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66"/>
      <c r="N268" s="366"/>
      <c r="P268" s="369"/>
    </row>
    <row r="269" spans="1:16">
      <c r="A269" s="368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66"/>
      <c r="N269" s="366"/>
      <c r="P269" s="369"/>
    </row>
    <row r="270" spans="1:16">
      <c r="A270" s="368"/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P270" s="369"/>
    </row>
    <row r="271" spans="1:16">
      <c r="A271" s="368"/>
      <c r="B271" s="366"/>
      <c r="C271" s="366"/>
      <c r="D271" s="366"/>
      <c r="E271" s="366"/>
      <c r="F271" s="366"/>
      <c r="G271" s="366"/>
      <c r="H271" s="366"/>
      <c r="I271" s="366"/>
      <c r="J271" s="366"/>
      <c r="K271" s="366"/>
      <c r="L271" s="366"/>
      <c r="M271" s="366"/>
      <c r="N271" s="366"/>
      <c r="P271" s="369"/>
    </row>
    <row r="272" spans="1:16">
      <c r="A272" s="368"/>
      <c r="B272" s="366"/>
      <c r="C272" s="366"/>
      <c r="D272" s="366"/>
      <c r="E272" s="366"/>
      <c r="F272" s="366"/>
      <c r="G272" s="366"/>
      <c r="H272" s="366"/>
      <c r="I272" s="366"/>
      <c r="J272" s="366"/>
      <c r="K272" s="366"/>
      <c r="L272" s="366"/>
      <c r="M272" s="366"/>
      <c r="N272" s="366"/>
      <c r="P272" s="369"/>
    </row>
    <row r="273" spans="1:16">
      <c r="A273" s="368"/>
      <c r="B273" s="366"/>
      <c r="C273" s="366"/>
      <c r="D273" s="366"/>
      <c r="E273" s="366"/>
      <c r="F273" s="366"/>
      <c r="G273" s="366"/>
      <c r="H273" s="366"/>
      <c r="I273" s="366"/>
      <c r="J273" s="366"/>
      <c r="K273" s="366"/>
      <c r="L273" s="366"/>
      <c r="M273" s="366"/>
      <c r="N273" s="366"/>
      <c r="P273" s="369"/>
    </row>
    <row r="274" spans="1:16">
      <c r="A274" s="368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66"/>
      <c r="N274" s="366"/>
      <c r="P274" s="369"/>
    </row>
    <row r="275" spans="1:16">
      <c r="A275" s="368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66"/>
      <c r="N275" s="366"/>
      <c r="P275" s="369"/>
    </row>
    <row r="276" spans="1:16">
      <c r="A276" s="368"/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P276" s="369"/>
    </row>
    <row r="277" spans="1:16">
      <c r="A277" s="368"/>
      <c r="B277" s="366"/>
      <c r="C277" s="366"/>
      <c r="D277" s="366"/>
      <c r="E277" s="366"/>
      <c r="F277" s="366"/>
      <c r="G277" s="366"/>
      <c r="H277" s="366"/>
      <c r="I277" s="366"/>
      <c r="J277" s="366"/>
      <c r="K277" s="366"/>
      <c r="L277" s="366"/>
      <c r="M277" s="366"/>
      <c r="N277" s="366"/>
      <c r="P277" s="369"/>
    </row>
    <row r="278" spans="1:16">
      <c r="A278" s="368"/>
      <c r="B278" s="366"/>
      <c r="C278" s="366"/>
      <c r="D278" s="366"/>
      <c r="E278" s="366"/>
      <c r="F278" s="366"/>
      <c r="G278" s="366"/>
      <c r="H278" s="366"/>
      <c r="I278" s="366"/>
      <c r="J278" s="366"/>
      <c r="K278" s="366"/>
      <c r="L278" s="366"/>
      <c r="M278" s="366"/>
      <c r="N278" s="366"/>
      <c r="P278" s="369"/>
    </row>
    <row r="279" spans="1:16">
      <c r="B279" s="369"/>
      <c r="C279" s="369"/>
      <c r="D279" s="369"/>
      <c r="E279" s="369"/>
      <c r="F279" s="369"/>
      <c r="G279" s="369"/>
      <c r="H279" s="369"/>
      <c r="I279" s="369"/>
      <c r="J279" s="369"/>
      <c r="K279" s="369"/>
      <c r="L279" s="369"/>
      <c r="M279" s="369"/>
      <c r="N279" s="369"/>
      <c r="P279" s="369"/>
    </row>
  </sheetData>
  <mergeCells count="3">
    <mergeCell ref="B9:H9"/>
    <mergeCell ref="B10:H10"/>
    <mergeCell ref="B11:H11"/>
  </mergeCells>
  <phoneticPr fontId="38" type="noConversion"/>
  <printOptions horizontalCentered="1"/>
  <pageMargins left="0.39370078740157483" right="0.39370078740157483" top="0.39370078740157483" bottom="0.39370078740157483" header="0" footer="0"/>
  <pageSetup scale="74" fitToHeight="2" orientation="portrait" r:id="rId1"/>
  <headerFooter alignWithMargins="0"/>
  <rowBreaks count="1" manualBreakCount="1">
    <brk id="204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31"/>
  <sheetViews>
    <sheetView showGridLines="0" workbookViewId="0">
      <selection activeCell="J19" sqref="J19"/>
    </sheetView>
  </sheetViews>
  <sheetFormatPr baseColWidth="10" defaultRowHeight="12.75"/>
  <cols>
    <col min="2" max="2" width="12.7109375" bestFit="1" customWidth="1"/>
    <col min="4" max="4" width="13.42578125" customWidth="1"/>
    <col min="5" max="5" width="18.42578125" customWidth="1"/>
  </cols>
  <sheetData>
    <row r="1" spans="1:6">
      <c r="A1" s="158" t="str">
        <f>+MAYOR!B1</f>
        <v>SOCIEDAD COMERCIAL SOLMET SpA</v>
      </c>
    </row>
    <row r="2" spans="1:6">
      <c r="A2" s="158" t="str">
        <f>+MAYOR!B2</f>
        <v>BOMBEROS SALAS #1445 OFC 601B</v>
      </c>
    </row>
    <row r="3" spans="1:6">
      <c r="A3" s="158" t="str">
        <f>+MAYOR!B3</f>
        <v>RUT: 76.541.377-K</v>
      </c>
    </row>
    <row r="4" spans="1:6">
      <c r="A4" s="158">
        <f>+MAYOR!B4</f>
        <v>0</v>
      </c>
    </row>
    <row r="10" spans="1:6">
      <c r="C10" s="139" t="s">
        <v>265</v>
      </c>
      <c r="D10" s="140"/>
      <c r="E10" s="141"/>
    </row>
    <row r="12" spans="1:6">
      <c r="B12" s="142" t="s">
        <v>117</v>
      </c>
      <c r="C12" s="143" t="s">
        <v>61</v>
      </c>
      <c r="D12" s="144" t="s">
        <v>60</v>
      </c>
      <c r="E12" s="143" t="s">
        <v>61</v>
      </c>
      <c r="F12" s="145" t="s">
        <v>64</v>
      </c>
    </row>
    <row r="13" spans="1:6">
      <c r="B13" s="146"/>
      <c r="C13" s="147" t="s">
        <v>118</v>
      </c>
      <c r="D13" s="148" t="s">
        <v>64</v>
      </c>
      <c r="E13" s="147" t="s">
        <v>62</v>
      </c>
      <c r="F13" s="149"/>
    </row>
    <row r="14" spans="1:6">
      <c r="B14" s="150">
        <v>40544</v>
      </c>
      <c r="C14" s="151">
        <v>0</v>
      </c>
      <c r="D14" s="152">
        <v>1.0840000000000001</v>
      </c>
      <c r="E14" s="151">
        <f t="shared" ref="E14:E25" si="0">ROUND(C14*D14,0)</f>
        <v>0</v>
      </c>
      <c r="F14" s="153">
        <f t="shared" ref="F14:F25" si="1">ROUND(E14-C14,0)</f>
        <v>0</v>
      </c>
    </row>
    <row r="15" spans="1:6">
      <c r="B15" s="150">
        <v>40575</v>
      </c>
      <c r="C15" s="151">
        <f t="shared" ref="C15:C24" si="2">+C14</f>
        <v>0</v>
      </c>
      <c r="D15" s="152">
        <v>1.0840000000000001</v>
      </c>
      <c r="E15" s="151">
        <f t="shared" si="0"/>
        <v>0</v>
      </c>
      <c r="F15" s="153">
        <f t="shared" si="1"/>
        <v>0</v>
      </c>
    </row>
    <row r="16" spans="1:6">
      <c r="B16" s="150">
        <v>40603</v>
      </c>
      <c r="C16" s="151">
        <f t="shared" si="2"/>
        <v>0</v>
      </c>
      <c r="D16" s="152">
        <v>1.08</v>
      </c>
      <c r="E16" s="151">
        <f t="shared" si="0"/>
        <v>0</v>
      </c>
      <c r="F16" s="153">
        <f t="shared" si="1"/>
        <v>0</v>
      </c>
    </row>
    <row r="17" spans="2:6">
      <c r="B17" s="150">
        <v>40634</v>
      </c>
      <c r="C17" s="151">
        <f t="shared" si="2"/>
        <v>0</v>
      </c>
      <c r="D17" s="152">
        <v>1.071</v>
      </c>
      <c r="E17" s="151">
        <f t="shared" si="0"/>
        <v>0</v>
      </c>
      <c r="F17" s="153">
        <f t="shared" si="1"/>
        <v>0</v>
      </c>
    </row>
    <row r="18" spans="2:6">
      <c r="B18" s="150">
        <v>40664</v>
      </c>
      <c r="C18" s="151">
        <f t="shared" si="2"/>
        <v>0</v>
      </c>
      <c r="D18" s="152">
        <v>1.0669999999999999</v>
      </c>
      <c r="E18" s="151">
        <f t="shared" si="0"/>
        <v>0</v>
      </c>
      <c r="F18" s="153">
        <f t="shared" si="1"/>
        <v>0</v>
      </c>
    </row>
    <row r="19" spans="2:6">
      <c r="B19" s="150">
        <v>40695</v>
      </c>
      <c r="C19" s="151">
        <f t="shared" si="2"/>
        <v>0</v>
      </c>
      <c r="D19" s="152">
        <v>1.0549999999999999</v>
      </c>
      <c r="E19" s="151">
        <f t="shared" si="0"/>
        <v>0</v>
      </c>
      <c r="F19" s="153">
        <f t="shared" si="1"/>
        <v>0</v>
      </c>
    </row>
    <row r="20" spans="2:6">
      <c r="B20" s="150">
        <v>40725</v>
      </c>
      <c r="C20" s="151">
        <f t="shared" si="2"/>
        <v>0</v>
      </c>
      <c r="D20" s="152">
        <v>1.0389999999999999</v>
      </c>
      <c r="E20" s="151">
        <f t="shared" si="0"/>
        <v>0</v>
      </c>
      <c r="F20" s="153">
        <f t="shared" si="1"/>
        <v>0</v>
      </c>
    </row>
    <row r="21" spans="2:6">
      <c r="B21" s="150">
        <v>40756</v>
      </c>
      <c r="C21" s="151">
        <f t="shared" si="2"/>
        <v>0</v>
      </c>
      <c r="D21" s="152">
        <v>1.028</v>
      </c>
      <c r="E21" s="151">
        <f t="shared" si="0"/>
        <v>0</v>
      </c>
      <c r="F21" s="153">
        <f t="shared" si="1"/>
        <v>0</v>
      </c>
    </row>
    <row r="22" spans="2:6">
      <c r="B22" s="150">
        <v>40787</v>
      </c>
      <c r="C22" s="151">
        <f t="shared" si="2"/>
        <v>0</v>
      </c>
      <c r="D22" s="152">
        <v>1.018</v>
      </c>
      <c r="E22" s="151">
        <f t="shared" si="0"/>
        <v>0</v>
      </c>
      <c r="F22" s="153">
        <f t="shared" si="1"/>
        <v>0</v>
      </c>
    </row>
    <row r="23" spans="2:6">
      <c r="B23" s="150">
        <v>40817</v>
      </c>
      <c r="C23" s="151">
        <f t="shared" si="2"/>
        <v>0</v>
      </c>
      <c r="D23" s="152">
        <v>1.0069999999999999</v>
      </c>
      <c r="E23" s="151">
        <f t="shared" si="0"/>
        <v>0</v>
      </c>
      <c r="F23" s="153">
        <f t="shared" si="1"/>
        <v>0</v>
      </c>
    </row>
    <row r="24" spans="2:6">
      <c r="B24" s="150">
        <v>40848</v>
      </c>
      <c r="C24" s="151">
        <f t="shared" si="2"/>
        <v>0</v>
      </c>
      <c r="D24" s="152">
        <v>1</v>
      </c>
      <c r="E24" s="151">
        <f t="shared" si="0"/>
        <v>0</v>
      </c>
      <c r="F24" s="153">
        <f t="shared" si="1"/>
        <v>0</v>
      </c>
    </row>
    <row r="25" spans="2:6">
      <c r="B25" s="150">
        <v>40878</v>
      </c>
      <c r="C25" s="151"/>
      <c r="D25" s="152">
        <v>1</v>
      </c>
      <c r="E25" s="151">
        <f t="shared" si="0"/>
        <v>0</v>
      </c>
      <c r="F25" s="153">
        <f t="shared" si="1"/>
        <v>0</v>
      </c>
    </row>
    <row r="26" spans="2:6">
      <c r="B26" s="150">
        <v>40909</v>
      </c>
      <c r="C26" s="151"/>
      <c r="D26" s="152">
        <v>1</v>
      </c>
      <c r="E26" s="151"/>
      <c r="F26" s="153"/>
    </row>
    <row r="27" spans="2:6">
      <c r="B27" s="155"/>
      <c r="C27" s="156">
        <f>SUM(C14:C26)</f>
        <v>0</v>
      </c>
      <c r="D27" s="157"/>
      <c r="E27" s="156">
        <f>SUM(E14:E26)</f>
        <v>0</v>
      </c>
      <c r="F27" s="156">
        <f>ROUND(+SUM(F14:F26),0)</f>
        <v>0</v>
      </c>
    </row>
    <row r="28" spans="2:6">
      <c r="B28" s="154"/>
      <c r="C28" s="154"/>
      <c r="D28" s="154"/>
      <c r="E28" s="154"/>
    </row>
    <row r="29" spans="2:6">
      <c r="B29" s="166"/>
      <c r="D29" s="4"/>
    </row>
    <row r="30" spans="2:6">
      <c r="B30" s="166"/>
      <c r="D30" s="4"/>
    </row>
    <row r="31" spans="2:6">
      <c r="B31" s="166"/>
      <c r="D31" s="4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indexed="12"/>
    <pageSetUpPr fitToPage="1"/>
  </sheetPr>
  <dimension ref="A1:AQ280"/>
  <sheetViews>
    <sheetView topLeftCell="A25" zoomScale="95" workbookViewId="0">
      <selection activeCell="H57" sqref="H57"/>
    </sheetView>
  </sheetViews>
  <sheetFormatPr baseColWidth="10" defaultRowHeight="15"/>
  <cols>
    <col min="1" max="1" width="3.42578125" style="939" customWidth="1"/>
    <col min="2" max="2" width="30.140625" style="939" customWidth="1"/>
    <col min="3" max="3" width="11.42578125" style="939"/>
    <col min="4" max="4" width="14.42578125" style="939" customWidth="1"/>
    <col min="5" max="5" width="13.140625" style="939" customWidth="1"/>
    <col min="6" max="6" width="9.140625" style="939" customWidth="1"/>
    <col min="7" max="7" width="13.7109375" style="939" customWidth="1"/>
    <col min="8" max="8" width="19.5703125" style="939" customWidth="1"/>
    <col min="9" max="9" width="20" style="939" customWidth="1"/>
    <col min="10" max="10" width="13.140625" style="939" customWidth="1"/>
    <col min="11" max="11" width="12.85546875" style="939" customWidth="1"/>
    <col min="12" max="12" width="13.5703125" style="939" customWidth="1"/>
    <col min="13" max="13" width="13.140625" style="939" customWidth="1"/>
    <col min="14" max="14" width="7.28515625" style="939" customWidth="1"/>
    <col min="15" max="15" width="5.85546875" style="939" customWidth="1"/>
    <col min="16" max="256" width="11.42578125" style="939"/>
    <col min="257" max="257" width="3.42578125" style="939" customWidth="1"/>
    <col min="258" max="258" width="24.5703125" style="939" customWidth="1"/>
    <col min="259" max="259" width="11.42578125" style="939"/>
    <col min="260" max="260" width="14.42578125" style="939" customWidth="1"/>
    <col min="261" max="261" width="13.140625" style="939" customWidth="1"/>
    <col min="262" max="262" width="9.140625" style="939" customWidth="1"/>
    <col min="263" max="263" width="13.7109375" style="939" customWidth="1"/>
    <col min="264" max="264" width="19.5703125" style="939" customWidth="1"/>
    <col min="265" max="265" width="20" style="939" customWidth="1"/>
    <col min="266" max="266" width="13.140625" style="939" customWidth="1"/>
    <col min="267" max="267" width="12.85546875" style="939" customWidth="1"/>
    <col min="268" max="268" width="13.5703125" style="939" customWidth="1"/>
    <col min="269" max="269" width="13.140625" style="939" customWidth="1"/>
    <col min="270" max="270" width="7.28515625" style="939" customWidth="1"/>
    <col min="271" max="271" width="5.85546875" style="939" customWidth="1"/>
    <col min="272" max="512" width="11.42578125" style="939"/>
    <col min="513" max="513" width="3.42578125" style="939" customWidth="1"/>
    <col min="514" max="514" width="24.5703125" style="939" customWidth="1"/>
    <col min="515" max="515" width="11.42578125" style="939"/>
    <col min="516" max="516" width="14.42578125" style="939" customWidth="1"/>
    <col min="517" max="517" width="13.140625" style="939" customWidth="1"/>
    <col min="518" max="518" width="9.140625" style="939" customWidth="1"/>
    <col min="519" max="519" width="13.7109375" style="939" customWidth="1"/>
    <col min="520" max="520" width="19.5703125" style="939" customWidth="1"/>
    <col min="521" max="521" width="20" style="939" customWidth="1"/>
    <col min="522" max="522" width="13.140625" style="939" customWidth="1"/>
    <col min="523" max="523" width="12.85546875" style="939" customWidth="1"/>
    <col min="524" max="524" width="13.5703125" style="939" customWidth="1"/>
    <col min="525" max="525" width="13.140625" style="939" customWidth="1"/>
    <col min="526" max="526" width="7.28515625" style="939" customWidth="1"/>
    <col min="527" max="527" width="5.85546875" style="939" customWidth="1"/>
    <col min="528" max="768" width="11.42578125" style="939"/>
    <col min="769" max="769" width="3.42578125" style="939" customWidth="1"/>
    <col min="770" max="770" width="24.5703125" style="939" customWidth="1"/>
    <col min="771" max="771" width="11.42578125" style="939"/>
    <col min="772" max="772" width="14.42578125" style="939" customWidth="1"/>
    <col min="773" max="773" width="13.140625" style="939" customWidth="1"/>
    <col min="774" max="774" width="9.140625" style="939" customWidth="1"/>
    <col min="775" max="775" width="13.7109375" style="939" customWidth="1"/>
    <col min="776" max="776" width="19.5703125" style="939" customWidth="1"/>
    <col min="777" max="777" width="20" style="939" customWidth="1"/>
    <col min="778" max="778" width="13.140625" style="939" customWidth="1"/>
    <col min="779" max="779" width="12.85546875" style="939" customWidth="1"/>
    <col min="780" max="780" width="13.5703125" style="939" customWidth="1"/>
    <col min="781" max="781" width="13.140625" style="939" customWidth="1"/>
    <col min="782" max="782" width="7.28515625" style="939" customWidth="1"/>
    <col min="783" max="783" width="5.85546875" style="939" customWidth="1"/>
    <col min="784" max="1024" width="11.42578125" style="939"/>
    <col min="1025" max="1025" width="3.42578125" style="939" customWidth="1"/>
    <col min="1026" max="1026" width="24.5703125" style="939" customWidth="1"/>
    <col min="1027" max="1027" width="11.42578125" style="939"/>
    <col min="1028" max="1028" width="14.42578125" style="939" customWidth="1"/>
    <col min="1029" max="1029" width="13.140625" style="939" customWidth="1"/>
    <col min="1030" max="1030" width="9.140625" style="939" customWidth="1"/>
    <col min="1031" max="1031" width="13.7109375" style="939" customWidth="1"/>
    <col min="1032" max="1032" width="19.5703125" style="939" customWidth="1"/>
    <col min="1033" max="1033" width="20" style="939" customWidth="1"/>
    <col min="1034" max="1034" width="13.140625" style="939" customWidth="1"/>
    <col min="1035" max="1035" width="12.85546875" style="939" customWidth="1"/>
    <col min="1036" max="1036" width="13.5703125" style="939" customWidth="1"/>
    <col min="1037" max="1037" width="13.140625" style="939" customWidth="1"/>
    <col min="1038" max="1038" width="7.28515625" style="939" customWidth="1"/>
    <col min="1039" max="1039" width="5.85546875" style="939" customWidth="1"/>
    <col min="1040" max="1280" width="11.42578125" style="939"/>
    <col min="1281" max="1281" width="3.42578125" style="939" customWidth="1"/>
    <col min="1282" max="1282" width="24.5703125" style="939" customWidth="1"/>
    <col min="1283" max="1283" width="11.42578125" style="939"/>
    <col min="1284" max="1284" width="14.42578125" style="939" customWidth="1"/>
    <col min="1285" max="1285" width="13.140625" style="939" customWidth="1"/>
    <col min="1286" max="1286" width="9.140625" style="939" customWidth="1"/>
    <col min="1287" max="1287" width="13.7109375" style="939" customWidth="1"/>
    <col min="1288" max="1288" width="19.5703125" style="939" customWidth="1"/>
    <col min="1289" max="1289" width="20" style="939" customWidth="1"/>
    <col min="1290" max="1290" width="13.140625" style="939" customWidth="1"/>
    <col min="1291" max="1291" width="12.85546875" style="939" customWidth="1"/>
    <col min="1292" max="1292" width="13.5703125" style="939" customWidth="1"/>
    <col min="1293" max="1293" width="13.140625" style="939" customWidth="1"/>
    <col min="1294" max="1294" width="7.28515625" style="939" customWidth="1"/>
    <col min="1295" max="1295" width="5.85546875" style="939" customWidth="1"/>
    <col min="1296" max="1536" width="11.42578125" style="939"/>
    <col min="1537" max="1537" width="3.42578125" style="939" customWidth="1"/>
    <col min="1538" max="1538" width="24.5703125" style="939" customWidth="1"/>
    <col min="1539" max="1539" width="11.42578125" style="939"/>
    <col min="1540" max="1540" width="14.42578125" style="939" customWidth="1"/>
    <col min="1541" max="1541" width="13.140625" style="939" customWidth="1"/>
    <col min="1542" max="1542" width="9.140625" style="939" customWidth="1"/>
    <col min="1543" max="1543" width="13.7109375" style="939" customWidth="1"/>
    <col min="1544" max="1544" width="19.5703125" style="939" customWidth="1"/>
    <col min="1545" max="1545" width="20" style="939" customWidth="1"/>
    <col min="1546" max="1546" width="13.140625" style="939" customWidth="1"/>
    <col min="1547" max="1547" width="12.85546875" style="939" customWidth="1"/>
    <col min="1548" max="1548" width="13.5703125" style="939" customWidth="1"/>
    <col min="1549" max="1549" width="13.140625" style="939" customWidth="1"/>
    <col min="1550" max="1550" width="7.28515625" style="939" customWidth="1"/>
    <col min="1551" max="1551" width="5.85546875" style="939" customWidth="1"/>
    <col min="1552" max="1792" width="11.42578125" style="939"/>
    <col min="1793" max="1793" width="3.42578125" style="939" customWidth="1"/>
    <col min="1794" max="1794" width="24.5703125" style="939" customWidth="1"/>
    <col min="1795" max="1795" width="11.42578125" style="939"/>
    <col min="1796" max="1796" width="14.42578125" style="939" customWidth="1"/>
    <col min="1797" max="1797" width="13.140625" style="939" customWidth="1"/>
    <col min="1798" max="1798" width="9.140625" style="939" customWidth="1"/>
    <col min="1799" max="1799" width="13.7109375" style="939" customWidth="1"/>
    <col min="1800" max="1800" width="19.5703125" style="939" customWidth="1"/>
    <col min="1801" max="1801" width="20" style="939" customWidth="1"/>
    <col min="1802" max="1802" width="13.140625" style="939" customWidth="1"/>
    <col min="1803" max="1803" width="12.85546875" style="939" customWidth="1"/>
    <col min="1804" max="1804" width="13.5703125" style="939" customWidth="1"/>
    <col min="1805" max="1805" width="13.140625" style="939" customWidth="1"/>
    <col min="1806" max="1806" width="7.28515625" style="939" customWidth="1"/>
    <col min="1807" max="1807" width="5.85546875" style="939" customWidth="1"/>
    <col min="1808" max="2048" width="11.42578125" style="939"/>
    <col min="2049" max="2049" width="3.42578125" style="939" customWidth="1"/>
    <col min="2050" max="2050" width="24.5703125" style="939" customWidth="1"/>
    <col min="2051" max="2051" width="11.42578125" style="939"/>
    <col min="2052" max="2052" width="14.42578125" style="939" customWidth="1"/>
    <col min="2053" max="2053" width="13.140625" style="939" customWidth="1"/>
    <col min="2054" max="2054" width="9.140625" style="939" customWidth="1"/>
    <col min="2055" max="2055" width="13.7109375" style="939" customWidth="1"/>
    <col min="2056" max="2056" width="19.5703125" style="939" customWidth="1"/>
    <col min="2057" max="2057" width="20" style="939" customWidth="1"/>
    <col min="2058" max="2058" width="13.140625" style="939" customWidth="1"/>
    <col min="2059" max="2059" width="12.85546875" style="939" customWidth="1"/>
    <col min="2060" max="2060" width="13.5703125" style="939" customWidth="1"/>
    <col min="2061" max="2061" width="13.140625" style="939" customWidth="1"/>
    <col min="2062" max="2062" width="7.28515625" style="939" customWidth="1"/>
    <col min="2063" max="2063" width="5.85546875" style="939" customWidth="1"/>
    <col min="2064" max="2304" width="11.42578125" style="939"/>
    <col min="2305" max="2305" width="3.42578125" style="939" customWidth="1"/>
    <col min="2306" max="2306" width="24.5703125" style="939" customWidth="1"/>
    <col min="2307" max="2307" width="11.42578125" style="939"/>
    <col min="2308" max="2308" width="14.42578125" style="939" customWidth="1"/>
    <col min="2309" max="2309" width="13.140625" style="939" customWidth="1"/>
    <col min="2310" max="2310" width="9.140625" style="939" customWidth="1"/>
    <col min="2311" max="2311" width="13.7109375" style="939" customWidth="1"/>
    <col min="2312" max="2312" width="19.5703125" style="939" customWidth="1"/>
    <col min="2313" max="2313" width="20" style="939" customWidth="1"/>
    <col min="2314" max="2314" width="13.140625" style="939" customWidth="1"/>
    <col min="2315" max="2315" width="12.85546875" style="939" customWidth="1"/>
    <col min="2316" max="2316" width="13.5703125" style="939" customWidth="1"/>
    <col min="2317" max="2317" width="13.140625" style="939" customWidth="1"/>
    <col min="2318" max="2318" width="7.28515625" style="939" customWidth="1"/>
    <col min="2319" max="2319" width="5.85546875" style="939" customWidth="1"/>
    <col min="2320" max="2560" width="11.42578125" style="939"/>
    <col min="2561" max="2561" width="3.42578125" style="939" customWidth="1"/>
    <col min="2562" max="2562" width="24.5703125" style="939" customWidth="1"/>
    <col min="2563" max="2563" width="11.42578125" style="939"/>
    <col min="2564" max="2564" width="14.42578125" style="939" customWidth="1"/>
    <col min="2565" max="2565" width="13.140625" style="939" customWidth="1"/>
    <col min="2566" max="2566" width="9.140625" style="939" customWidth="1"/>
    <col min="2567" max="2567" width="13.7109375" style="939" customWidth="1"/>
    <col min="2568" max="2568" width="19.5703125" style="939" customWidth="1"/>
    <col min="2569" max="2569" width="20" style="939" customWidth="1"/>
    <col min="2570" max="2570" width="13.140625" style="939" customWidth="1"/>
    <col min="2571" max="2571" width="12.85546875" style="939" customWidth="1"/>
    <col min="2572" max="2572" width="13.5703125" style="939" customWidth="1"/>
    <col min="2573" max="2573" width="13.140625" style="939" customWidth="1"/>
    <col min="2574" max="2574" width="7.28515625" style="939" customWidth="1"/>
    <col min="2575" max="2575" width="5.85546875" style="939" customWidth="1"/>
    <col min="2576" max="2816" width="11.42578125" style="939"/>
    <col min="2817" max="2817" width="3.42578125" style="939" customWidth="1"/>
    <col min="2818" max="2818" width="24.5703125" style="939" customWidth="1"/>
    <col min="2819" max="2819" width="11.42578125" style="939"/>
    <col min="2820" max="2820" width="14.42578125" style="939" customWidth="1"/>
    <col min="2821" max="2821" width="13.140625" style="939" customWidth="1"/>
    <col min="2822" max="2822" width="9.140625" style="939" customWidth="1"/>
    <col min="2823" max="2823" width="13.7109375" style="939" customWidth="1"/>
    <col min="2824" max="2824" width="19.5703125" style="939" customWidth="1"/>
    <col min="2825" max="2825" width="20" style="939" customWidth="1"/>
    <col min="2826" max="2826" width="13.140625" style="939" customWidth="1"/>
    <col min="2827" max="2827" width="12.85546875" style="939" customWidth="1"/>
    <col min="2828" max="2828" width="13.5703125" style="939" customWidth="1"/>
    <col min="2829" max="2829" width="13.140625" style="939" customWidth="1"/>
    <col min="2830" max="2830" width="7.28515625" style="939" customWidth="1"/>
    <col min="2831" max="2831" width="5.85546875" style="939" customWidth="1"/>
    <col min="2832" max="3072" width="11.42578125" style="939"/>
    <col min="3073" max="3073" width="3.42578125" style="939" customWidth="1"/>
    <col min="3074" max="3074" width="24.5703125" style="939" customWidth="1"/>
    <col min="3075" max="3075" width="11.42578125" style="939"/>
    <col min="3076" max="3076" width="14.42578125" style="939" customWidth="1"/>
    <col min="3077" max="3077" width="13.140625" style="939" customWidth="1"/>
    <col min="3078" max="3078" width="9.140625" style="939" customWidth="1"/>
    <col min="3079" max="3079" width="13.7109375" style="939" customWidth="1"/>
    <col min="3080" max="3080" width="19.5703125" style="939" customWidth="1"/>
    <col min="3081" max="3081" width="20" style="939" customWidth="1"/>
    <col min="3082" max="3082" width="13.140625" style="939" customWidth="1"/>
    <col min="3083" max="3083" width="12.85546875" style="939" customWidth="1"/>
    <col min="3084" max="3084" width="13.5703125" style="939" customWidth="1"/>
    <col min="3085" max="3085" width="13.140625" style="939" customWidth="1"/>
    <col min="3086" max="3086" width="7.28515625" style="939" customWidth="1"/>
    <col min="3087" max="3087" width="5.85546875" style="939" customWidth="1"/>
    <col min="3088" max="3328" width="11.42578125" style="939"/>
    <col min="3329" max="3329" width="3.42578125" style="939" customWidth="1"/>
    <col min="3330" max="3330" width="24.5703125" style="939" customWidth="1"/>
    <col min="3331" max="3331" width="11.42578125" style="939"/>
    <col min="3332" max="3332" width="14.42578125" style="939" customWidth="1"/>
    <col min="3333" max="3333" width="13.140625" style="939" customWidth="1"/>
    <col min="3334" max="3334" width="9.140625" style="939" customWidth="1"/>
    <col min="3335" max="3335" width="13.7109375" style="939" customWidth="1"/>
    <col min="3336" max="3336" width="19.5703125" style="939" customWidth="1"/>
    <col min="3337" max="3337" width="20" style="939" customWidth="1"/>
    <col min="3338" max="3338" width="13.140625" style="939" customWidth="1"/>
    <col min="3339" max="3339" width="12.85546875" style="939" customWidth="1"/>
    <col min="3340" max="3340" width="13.5703125" style="939" customWidth="1"/>
    <col min="3341" max="3341" width="13.140625" style="939" customWidth="1"/>
    <col min="3342" max="3342" width="7.28515625" style="939" customWidth="1"/>
    <col min="3343" max="3343" width="5.85546875" style="939" customWidth="1"/>
    <col min="3344" max="3584" width="11.42578125" style="939"/>
    <col min="3585" max="3585" width="3.42578125" style="939" customWidth="1"/>
    <col min="3586" max="3586" width="24.5703125" style="939" customWidth="1"/>
    <col min="3587" max="3587" width="11.42578125" style="939"/>
    <col min="3588" max="3588" width="14.42578125" style="939" customWidth="1"/>
    <col min="3589" max="3589" width="13.140625" style="939" customWidth="1"/>
    <col min="3590" max="3590" width="9.140625" style="939" customWidth="1"/>
    <col min="3591" max="3591" width="13.7109375" style="939" customWidth="1"/>
    <col min="3592" max="3592" width="19.5703125" style="939" customWidth="1"/>
    <col min="3593" max="3593" width="20" style="939" customWidth="1"/>
    <col min="3594" max="3594" width="13.140625" style="939" customWidth="1"/>
    <col min="3595" max="3595" width="12.85546875" style="939" customWidth="1"/>
    <col min="3596" max="3596" width="13.5703125" style="939" customWidth="1"/>
    <col min="3597" max="3597" width="13.140625" style="939" customWidth="1"/>
    <col min="3598" max="3598" width="7.28515625" style="939" customWidth="1"/>
    <col min="3599" max="3599" width="5.85546875" style="939" customWidth="1"/>
    <col min="3600" max="3840" width="11.42578125" style="939"/>
    <col min="3841" max="3841" width="3.42578125" style="939" customWidth="1"/>
    <col min="3842" max="3842" width="24.5703125" style="939" customWidth="1"/>
    <col min="3843" max="3843" width="11.42578125" style="939"/>
    <col min="3844" max="3844" width="14.42578125" style="939" customWidth="1"/>
    <col min="3845" max="3845" width="13.140625" style="939" customWidth="1"/>
    <col min="3846" max="3846" width="9.140625" style="939" customWidth="1"/>
    <col min="3847" max="3847" width="13.7109375" style="939" customWidth="1"/>
    <col min="3848" max="3848" width="19.5703125" style="939" customWidth="1"/>
    <col min="3849" max="3849" width="20" style="939" customWidth="1"/>
    <col min="3850" max="3850" width="13.140625" style="939" customWidth="1"/>
    <col min="3851" max="3851" width="12.85546875" style="939" customWidth="1"/>
    <col min="3852" max="3852" width="13.5703125" style="939" customWidth="1"/>
    <col min="3853" max="3853" width="13.140625" style="939" customWidth="1"/>
    <col min="3854" max="3854" width="7.28515625" style="939" customWidth="1"/>
    <col min="3855" max="3855" width="5.85546875" style="939" customWidth="1"/>
    <col min="3856" max="4096" width="11.42578125" style="939"/>
    <col min="4097" max="4097" width="3.42578125" style="939" customWidth="1"/>
    <col min="4098" max="4098" width="24.5703125" style="939" customWidth="1"/>
    <col min="4099" max="4099" width="11.42578125" style="939"/>
    <col min="4100" max="4100" width="14.42578125" style="939" customWidth="1"/>
    <col min="4101" max="4101" width="13.140625" style="939" customWidth="1"/>
    <col min="4102" max="4102" width="9.140625" style="939" customWidth="1"/>
    <col min="4103" max="4103" width="13.7109375" style="939" customWidth="1"/>
    <col min="4104" max="4104" width="19.5703125" style="939" customWidth="1"/>
    <col min="4105" max="4105" width="20" style="939" customWidth="1"/>
    <col min="4106" max="4106" width="13.140625" style="939" customWidth="1"/>
    <col min="4107" max="4107" width="12.85546875" style="939" customWidth="1"/>
    <col min="4108" max="4108" width="13.5703125" style="939" customWidth="1"/>
    <col min="4109" max="4109" width="13.140625" style="939" customWidth="1"/>
    <col min="4110" max="4110" width="7.28515625" style="939" customWidth="1"/>
    <col min="4111" max="4111" width="5.85546875" style="939" customWidth="1"/>
    <col min="4112" max="4352" width="11.42578125" style="939"/>
    <col min="4353" max="4353" width="3.42578125" style="939" customWidth="1"/>
    <col min="4354" max="4354" width="24.5703125" style="939" customWidth="1"/>
    <col min="4355" max="4355" width="11.42578125" style="939"/>
    <col min="4356" max="4356" width="14.42578125" style="939" customWidth="1"/>
    <col min="4357" max="4357" width="13.140625" style="939" customWidth="1"/>
    <col min="4358" max="4358" width="9.140625" style="939" customWidth="1"/>
    <col min="4359" max="4359" width="13.7109375" style="939" customWidth="1"/>
    <col min="4360" max="4360" width="19.5703125" style="939" customWidth="1"/>
    <col min="4361" max="4361" width="20" style="939" customWidth="1"/>
    <col min="4362" max="4362" width="13.140625" style="939" customWidth="1"/>
    <col min="4363" max="4363" width="12.85546875" style="939" customWidth="1"/>
    <col min="4364" max="4364" width="13.5703125" style="939" customWidth="1"/>
    <col min="4365" max="4365" width="13.140625" style="939" customWidth="1"/>
    <col min="4366" max="4366" width="7.28515625" style="939" customWidth="1"/>
    <col min="4367" max="4367" width="5.85546875" style="939" customWidth="1"/>
    <col min="4368" max="4608" width="11.42578125" style="939"/>
    <col min="4609" max="4609" width="3.42578125" style="939" customWidth="1"/>
    <col min="4610" max="4610" width="24.5703125" style="939" customWidth="1"/>
    <col min="4611" max="4611" width="11.42578125" style="939"/>
    <col min="4612" max="4612" width="14.42578125" style="939" customWidth="1"/>
    <col min="4613" max="4613" width="13.140625" style="939" customWidth="1"/>
    <col min="4614" max="4614" width="9.140625" style="939" customWidth="1"/>
    <col min="4615" max="4615" width="13.7109375" style="939" customWidth="1"/>
    <col min="4616" max="4616" width="19.5703125" style="939" customWidth="1"/>
    <col min="4617" max="4617" width="20" style="939" customWidth="1"/>
    <col min="4618" max="4618" width="13.140625" style="939" customWidth="1"/>
    <col min="4619" max="4619" width="12.85546875" style="939" customWidth="1"/>
    <col min="4620" max="4620" width="13.5703125" style="939" customWidth="1"/>
    <col min="4621" max="4621" width="13.140625" style="939" customWidth="1"/>
    <col min="4622" max="4622" width="7.28515625" style="939" customWidth="1"/>
    <col min="4623" max="4623" width="5.85546875" style="939" customWidth="1"/>
    <col min="4624" max="4864" width="11.42578125" style="939"/>
    <col min="4865" max="4865" width="3.42578125" style="939" customWidth="1"/>
    <col min="4866" max="4866" width="24.5703125" style="939" customWidth="1"/>
    <col min="4867" max="4867" width="11.42578125" style="939"/>
    <col min="4868" max="4868" width="14.42578125" style="939" customWidth="1"/>
    <col min="4869" max="4869" width="13.140625" style="939" customWidth="1"/>
    <col min="4870" max="4870" width="9.140625" style="939" customWidth="1"/>
    <col min="4871" max="4871" width="13.7109375" style="939" customWidth="1"/>
    <col min="4872" max="4872" width="19.5703125" style="939" customWidth="1"/>
    <col min="4873" max="4873" width="20" style="939" customWidth="1"/>
    <col min="4874" max="4874" width="13.140625" style="939" customWidth="1"/>
    <col min="4875" max="4875" width="12.85546875" style="939" customWidth="1"/>
    <col min="4876" max="4876" width="13.5703125" style="939" customWidth="1"/>
    <col min="4877" max="4877" width="13.140625" style="939" customWidth="1"/>
    <col min="4878" max="4878" width="7.28515625" style="939" customWidth="1"/>
    <col min="4879" max="4879" width="5.85546875" style="939" customWidth="1"/>
    <col min="4880" max="5120" width="11.42578125" style="939"/>
    <col min="5121" max="5121" width="3.42578125" style="939" customWidth="1"/>
    <col min="5122" max="5122" width="24.5703125" style="939" customWidth="1"/>
    <col min="5123" max="5123" width="11.42578125" style="939"/>
    <col min="5124" max="5124" width="14.42578125" style="939" customWidth="1"/>
    <col min="5125" max="5125" width="13.140625" style="939" customWidth="1"/>
    <col min="5126" max="5126" width="9.140625" style="939" customWidth="1"/>
    <col min="5127" max="5127" width="13.7109375" style="939" customWidth="1"/>
    <col min="5128" max="5128" width="19.5703125" style="939" customWidth="1"/>
    <col min="5129" max="5129" width="20" style="939" customWidth="1"/>
    <col min="5130" max="5130" width="13.140625" style="939" customWidth="1"/>
    <col min="5131" max="5131" width="12.85546875" style="939" customWidth="1"/>
    <col min="5132" max="5132" width="13.5703125" style="939" customWidth="1"/>
    <col min="5133" max="5133" width="13.140625" style="939" customWidth="1"/>
    <col min="5134" max="5134" width="7.28515625" style="939" customWidth="1"/>
    <col min="5135" max="5135" width="5.85546875" style="939" customWidth="1"/>
    <col min="5136" max="5376" width="11.42578125" style="939"/>
    <col min="5377" max="5377" width="3.42578125" style="939" customWidth="1"/>
    <col min="5378" max="5378" width="24.5703125" style="939" customWidth="1"/>
    <col min="5379" max="5379" width="11.42578125" style="939"/>
    <col min="5380" max="5380" width="14.42578125" style="939" customWidth="1"/>
    <col min="5381" max="5381" width="13.140625" style="939" customWidth="1"/>
    <col min="5382" max="5382" width="9.140625" style="939" customWidth="1"/>
    <col min="5383" max="5383" width="13.7109375" style="939" customWidth="1"/>
    <col min="5384" max="5384" width="19.5703125" style="939" customWidth="1"/>
    <col min="5385" max="5385" width="20" style="939" customWidth="1"/>
    <col min="5386" max="5386" width="13.140625" style="939" customWidth="1"/>
    <col min="5387" max="5387" width="12.85546875" style="939" customWidth="1"/>
    <col min="5388" max="5388" width="13.5703125" style="939" customWidth="1"/>
    <col min="5389" max="5389" width="13.140625" style="939" customWidth="1"/>
    <col min="5390" max="5390" width="7.28515625" style="939" customWidth="1"/>
    <col min="5391" max="5391" width="5.85546875" style="939" customWidth="1"/>
    <col min="5392" max="5632" width="11.42578125" style="939"/>
    <col min="5633" max="5633" width="3.42578125" style="939" customWidth="1"/>
    <col min="5634" max="5634" width="24.5703125" style="939" customWidth="1"/>
    <col min="5635" max="5635" width="11.42578125" style="939"/>
    <col min="5636" max="5636" width="14.42578125" style="939" customWidth="1"/>
    <col min="5637" max="5637" width="13.140625" style="939" customWidth="1"/>
    <col min="5638" max="5638" width="9.140625" style="939" customWidth="1"/>
    <col min="5639" max="5639" width="13.7109375" style="939" customWidth="1"/>
    <col min="5640" max="5640" width="19.5703125" style="939" customWidth="1"/>
    <col min="5641" max="5641" width="20" style="939" customWidth="1"/>
    <col min="5642" max="5642" width="13.140625" style="939" customWidth="1"/>
    <col min="5643" max="5643" width="12.85546875" style="939" customWidth="1"/>
    <col min="5644" max="5644" width="13.5703125" style="939" customWidth="1"/>
    <col min="5645" max="5645" width="13.140625" style="939" customWidth="1"/>
    <col min="5646" max="5646" width="7.28515625" style="939" customWidth="1"/>
    <col min="5647" max="5647" width="5.85546875" style="939" customWidth="1"/>
    <col min="5648" max="5888" width="11.42578125" style="939"/>
    <col min="5889" max="5889" width="3.42578125" style="939" customWidth="1"/>
    <col min="5890" max="5890" width="24.5703125" style="939" customWidth="1"/>
    <col min="5891" max="5891" width="11.42578125" style="939"/>
    <col min="5892" max="5892" width="14.42578125" style="939" customWidth="1"/>
    <col min="5893" max="5893" width="13.140625" style="939" customWidth="1"/>
    <col min="5894" max="5894" width="9.140625" style="939" customWidth="1"/>
    <col min="5895" max="5895" width="13.7109375" style="939" customWidth="1"/>
    <col min="5896" max="5896" width="19.5703125" style="939" customWidth="1"/>
    <col min="5897" max="5897" width="20" style="939" customWidth="1"/>
    <col min="5898" max="5898" width="13.140625" style="939" customWidth="1"/>
    <col min="5899" max="5899" width="12.85546875" style="939" customWidth="1"/>
    <col min="5900" max="5900" width="13.5703125" style="939" customWidth="1"/>
    <col min="5901" max="5901" width="13.140625" style="939" customWidth="1"/>
    <col min="5902" max="5902" width="7.28515625" style="939" customWidth="1"/>
    <col min="5903" max="5903" width="5.85546875" style="939" customWidth="1"/>
    <col min="5904" max="6144" width="11.42578125" style="939"/>
    <col min="6145" max="6145" width="3.42578125" style="939" customWidth="1"/>
    <col min="6146" max="6146" width="24.5703125" style="939" customWidth="1"/>
    <col min="6147" max="6147" width="11.42578125" style="939"/>
    <col min="6148" max="6148" width="14.42578125" style="939" customWidth="1"/>
    <col min="6149" max="6149" width="13.140625" style="939" customWidth="1"/>
    <col min="6150" max="6150" width="9.140625" style="939" customWidth="1"/>
    <col min="6151" max="6151" width="13.7109375" style="939" customWidth="1"/>
    <col min="6152" max="6152" width="19.5703125" style="939" customWidth="1"/>
    <col min="6153" max="6153" width="20" style="939" customWidth="1"/>
    <col min="6154" max="6154" width="13.140625" style="939" customWidth="1"/>
    <col min="6155" max="6155" width="12.85546875" style="939" customWidth="1"/>
    <col min="6156" max="6156" width="13.5703125" style="939" customWidth="1"/>
    <col min="6157" max="6157" width="13.140625" style="939" customWidth="1"/>
    <col min="6158" max="6158" width="7.28515625" style="939" customWidth="1"/>
    <col min="6159" max="6159" width="5.85546875" style="939" customWidth="1"/>
    <col min="6160" max="6400" width="11.42578125" style="939"/>
    <col min="6401" max="6401" width="3.42578125" style="939" customWidth="1"/>
    <col min="6402" max="6402" width="24.5703125" style="939" customWidth="1"/>
    <col min="6403" max="6403" width="11.42578125" style="939"/>
    <col min="6404" max="6404" width="14.42578125" style="939" customWidth="1"/>
    <col min="6405" max="6405" width="13.140625" style="939" customWidth="1"/>
    <col min="6406" max="6406" width="9.140625" style="939" customWidth="1"/>
    <col min="6407" max="6407" width="13.7109375" style="939" customWidth="1"/>
    <col min="6408" max="6408" width="19.5703125" style="939" customWidth="1"/>
    <col min="6409" max="6409" width="20" style="939" customWidth="1"/>
    <col min="6410" max="6410" width="13.140625" style="939" customWidth="1"/>
    <col min="6411" max="6411" width="12.85546875" style="939" customWidth="1"/>
    <col min="6412" max="6412" width="13.5703125" style="939" customWidth="1"/>
    <col min="6413" max="6413" width="13.140625" style="939" customWidth="1"/>
    <col min="6414" max="6414" width="7.28515625" style="939" customWidth="1"/>
    <col min="6415" max="6415" width="5.85546875" style="939" customWidth="1"/>
    <col min="6416" max="6656" width="11.42578125" style="939"/>
    <col min="6657" max="6657" width="3.42578125" style="939" customWidth="1"/>
    <col min="6658" max="6658" width="24.5703125" style="939" customWidth="1"/>
    <col min="6659" max="6659" width="11.42578125" style="939"/>
    <col min="6660" max="6660" width="14.42578125" style="939" customWidth="1"/>
    <col min="6661" max="6661" width="13.140625" style="939" customWidth="1"/>
    <col min="6662" max="6662" width="9.140625" style="939" customWidth="1"/>
    <col min="6663" max="6663" width="13.7109375" style="939" customWidth="1"/>
    <col min="6664" max="6664" width="19.5703125" style="939" customWidth="1"/>
    <col min="6665" max="6665" width="20" style="939" customWidth="1"/>
    <col min="6666" max="6666" width="13.140625" style="939" customWidth="1"/>
    <col min="6667" max="6667" width="12.85546875" style="939" customWidth="1"/>
    <col min="6668" max="6668" width="13.5703125" style="939" customWidth="1"/>
    <col min="6669" max="6669" width="13.140625" style="939" customWidth="1"/>
    <col min="6670" max="6670" width="7.28515625" style="939" customWidth="1"/>
    <col min="6671" max="6671" width="5.85546875" style="939" customWidth="1"/>
    <col min="6672" max="6912" width="11.42578125" style="939"/>
    <col min="6913" max="6913" width="3.42578125" style="939" customWidth="1"/>
    <col min="6914" max="6914" width="24.5703125" style="939" customWidth="1"/>
    <col min="6915" max="6915" width="11.42578125" style="939"/>
    <col min="6916" max="6916" width="14.42578125" style="939" customWidth="1"/>
    <col min="6917" max="6917" width="13.140625" style="939" customWidth="1"/>
    <col min="6918" max="6918" width="9.140625" style="939" customWidth="1"/>
    <col min="6919" max="6919" width="13.7109375" style="939" customWidth="1"/>
    <col min="6920" max="6920" width="19.5703125" style="939" customWidth="1"/>
    <col min="6921" max="6921" width="20" style="939" customWidth="1"/>
    <col min="6922" max="6922" width="13.140625" style="939" customWidth="1"/>
    <col min="6923" max="6923" width="12.85546875" style="939" customWidth="1"/>
    <col min="6924" max="6924" width="13.5703125" style="939" customWidth="1"/>
    <col min="6925" max="6925" width="13.140625" style="939" customWidth="1"/>
    <col min="6926" max="6926" width="7.28515625" style="939" customWidth="1"/>
    <col min="6927" max="6927" width="5.85546875" style="939" customWidth="1"/>
    <col min="6928" max="7168" width="11.42578125" style="939"/>
    <col min="7169" max="7169" width="3.42578125" style="939" customWidth="1"/>
    <col min="7170" max="7170" width="24.5703125" style="939" customWidth="1"/>
    <col min="7171" max="7171" width="11.42578125" style="939"/>
    <col min="7172" max="7172" width="14.42578125" style="939" customWidth="1"/>
    <col min="7173" max="7173" width="13.140625" style="939" customWidth="1"/>
    <col min="7174" max="7174" width="9.140625" style="939" customWidth="1"/>
    <col min="7175" max="7175" width="13.7109375" style="939" customWidth="1"/>
    <col min="7176" max="7176" width="19.5703125" style="939" customWidth="1"/>
    <col min="7177" max="7177" width="20" style="939" customWidth="1"/>
    <col min="7178" max="7178" width="13.140625" style="939" customWidth="1"/>
    <col min="7179" max="7179" width="12.85546875" style="939" customWidth="1"/>
    <col min="7180" max="7180" width="13.5703125" style="939" customWidth="1"/>
    <col min="7181" max="7181" width="13.140625" style="939" customWidth="1"/>
    <col min="7182" max="7182" width="7.28515625" style="939" customWidth="1"/>
    <col min="7183" max="7183" width="5.85546875" style="939" customWidth="1"/>
    <col min="7184" max="7424" width="11.42578125" style="939"/>
    <col min="7425" max="7425" width="3.42578125" style="939" customWidth="1"/>
    <col min="7426" max="7426" width="24.5703125" style="939" customWidth="1"/>
    <col min="7427" max="7427" width="11.42578125" style="939"/>
    <col min="7428" max="7428" width="14.42578125" style="939" customWidth="1"/>
    <col min="7429" max="7429" width="13.140625" style="939" customWidth="1"/>
    <col min="7430" max="7430" width="9.140625" style="939" customWidth="1"/>
    <col min="7431" max="7431" width="13.7109375" style="939" customWidth="1"/>
    <col min="7432" max="7432" width="19.5703125" style="939" customWidth="1"/>
    <col min="7433" max="7433" width="20" style="939" customWidth="1"/>
    <col min="7434" max="7434" width="13.140625" style="939" customWidth="1"/>
    <col min="7435" max="7435" width="12.85546875" style="939" customWidth="1"/>
    <col min="7436" max="7436" width="13.5703125" style="939" customWidth="1"/>
    <col min="7437" max="7437" width="13.140625" style="939" customWidth="1"/>
    <col min="7438" max="7438" width="7.28515625" style="939" customWidth="1"/>
    <col min="7439" max="7439" width="5.85546875" style="939" customWidth="1"/>
    <col min="7440" max="7680" width="11.42578125" style="939"/>
    <col min="7681" max="7681" width="3.42578125" style="939" customWidth="1"/>
    <col min="7682" max="7682" width="24.5703125" style="939" customWidth="1"/>
    <col min="7683" max="7683" width="11.42578125" style="939"/>
    <col min="7684" max="7684" width="14.42578125" style="939" customWidth="1"/>
    <col min="7685" max="7685" width="13.140625" style="939" customWidth="1"/>
    <col min="7686" max="7686" width="9.140625" style="939" customWidth="1"/>
    <col min="7687" max="7687" width="13.7109375" style="939" customWidth="1"/>
    <col min="7688" max="7688" width="19.5703125" style="939" customWidth="1"/>
    <col min="7689" max="7689" width="20" style="939" customWidth="1"/>
    <col min="7690" max="7690" width="13.140625" style="939" customWidth="1"/>
    <col min="7691" max="7691" width="12.85546875" style="939" customWidth="1"/>
    <col min="7692" max="7692" width="13.5703125" style="939" customWidth="1"/>
    <col min="7693" max="7693" width="13.140625" style="939" customWidth="1"/>
    <col min="7694" max="7694" width="7.28515625" style="939" customWidth="1"/>
    <col min="7695" max="7695" width="5.85546875" style="939" customWidth="1"/>
    <col min="7696" max="7936" width="11.42578125" style="939"/>
    <col min="7937" max="7937" width="3.42578125" style="939" customWidth="1"/>
    <col min="7938" max="7938" width="24.5703125" style="939" customWidth="1"/>
    <col min="7939" max="7939" width="11.42578125" style="939"/>
    <col min="7940" max="7940" width="14.42578125" style="939" customWidth="1"/>
    <col min="7941" max="7941" width="13.140625" style="939" customWidth="1"/>
    <col min="7942" max="7942" width="9.140625" style="939" customWidth="1"/>
    <col min="7943" max="7943" width="13.7109375" style="939" customWidth="1"/>
    <col min="7944" max="7944" width="19.5703125" style="939" customWidth="1"/>
    <col min="7945" max="7945" width="20" style="939" customWidth="1"/>
    <col min="7946" max="7946" width="13.140625" style="939" customWidth="1"/>
    <col min="7947" max="7947" width="12.85546875" style="939" customWidth="1"/>
    <col min="7948" max="7948" width="13.5703125" style="939" customWidth="1"/>
    <col min="7949" max="7949" width="13.140625" style="939" customWidth="1"/>
    <col min="7950" max="7950" width="7.28515625" style="939" customWidth="1"/>
    <col min="7951" max="7951" width="5.85546875" style="939" customWidth="1"/>
    <col min="7952" max="8192" width="11.42578125" style="939"/>
    <col min="8193" max="8193" width="3.42578125" style="939" customWidth="1"/>
    <col min="8194" max="8194" width="24.5703125" style="939" customWidth="1"/>
    <col min="8195" max="8195" width="11.42578125" style="939"/>
    <col min="8196" max="8196" width="14.42578125" style="939" customWidth="1"/>
    <col min="8197" max="8197" width="13.140625" style="939" customWidth="1"/>
    <col min="8198" max="8198" width="9.140625" style="939" customWidth="1"/>
    <col min="8199" max="8199" width="13.7109375" style="939" customWidth="1"/>
    <col min="8200" max="8200" width="19.5703125" style="939" customWidth="1"/>
    <col min="8201" max="8201" width="20" style="939" customWidth="1"/>
    <col min="8202" max="8202" width="13.140625" style="939" customWidth="1"/>
    <col min="8203" max="8203" width="12.85546875" style="939" customWidth="1"/>
    <col min="8204" max="8204" width="13.5703125" style="939" customWidth="1"/>
    <col min="8205" max="8205" width="13.140625" style="939" customWidth="1"/>
    <col min="8206" max="8206" width="7.28515625" style="939" customWidth="1"/>
    <col min="8207" max="8207" width="5.85546875" style="939" customWidth="1"/>
    <col min="8208" max="8448" width="11.42578125" style="939"/>
    <col min="8449" max="8449" width="3.42578125" style="939" customWidth="1"/>
    <col min="8450" max="8450" width="24.5703125" style="939" customWidth="1"/>
    <col min="8451" max="8451" width="11.42578125" style="939"/>
    <col min="8452" max="8452" width="14.42578125" style="939" customWidth="1"/>
    <col min="8453" max="8453" width="13.140625" style="939" customWidth="1"/>
    <col min="8454" max="8454" width="9.140625" style="939" customWidth="1"/>
    <col min="8455" max="8455" width="13.7109375" style="939" customWidth="1"/>
    <col min="8456" max="8456" width="19.5703125" style="939" customWidth="1"/>
    <col min="8457" max="8457" width="20" style="939" customWidth="1"/>
    <col min="8458" max="8458" width="13.140625" style="939" customWidth="1"/>
    <col min="8459" max="8459" width="12.85546875" style="939" customWidth="1"/>
    <col min="8460" max="8460" width="13.5703125" style="939" customWidth="1"/>
    <col min="8461" max="8461" width="13.140625" style="939" customWidth="1"/>
    <col min="8462" max="8462" width="7.28515625" style="939" customWidth="1"/>
    <col min="8463" max="8463" width="5.85546875" style="939" customWidth="1"/>
    <col min="8464" max="8704" width="11.42578125" style="939"/>
    <col min="8705" max="8705" width="3.42578125" style="939" customWidth="1"/>
    <col min="8706" max="8706" width="24.5703125" style="939" customWidth="1"/>
    <col min="8707" max="8707" width="11.42578125" style="939"/>
    <col min="8708" max="8708" width="14.42578125" style="939" customWidth="1"/>
    <col min="8709" max="8709" width="13.140625" style="939" customWidth="1"/>
    <col min="8710" max="8710" width="9.140625" style="939" customWidth="1"/>
    <col min="8711" max="8711" width="13.7109375" style="939" customWidth="1"/>
    <col min="8712" max="8712" width="19.5703125" style="939" customWidth="1"/>
    <col min="8713" max="8713" width="20" style="939" customWidth="1"/>
    <col min="8714" max="8714" width="13.140625" style="939" customWidth="1"/>
    <col min="8715" max="8715" width="12.85546875" style="939" customWidth="1"/>
    <col min="8716" max="8716" width="13.5703125" style="939" customWidth="1"/>
    <col min="8717" max="8717" width="13.140625" style="939" customWidth="1"/>
    <col min="8718" max="8718" width="7.28515625" style="939" customWidth="1"/>
    <col min="8719" max="8719" width="5.85546875" style="939" customWidth="1"/>
    <col min="8720" max="8960" width="11.42578125" style="939"/>
    <col min="8961" max="8961" width="3.42578125" style="939" customWidth="1"/>
    <col min="8962" max="8962" width="24.5703125" style="939" customWidth="1"/>
    <col min="8963" max="8963" width="11.42578125" style="939"/>
    <col min="8964" max="8964" width="14.42578125" style="939" customWidth="1"/>
    <col min="8965" max="8965" width="13.140625" style="939" customWidth="1"/>
    <col min="8966" max="8966" width="9.140625" style="939" customWidth="1"/>
    <col min="8967" max="8967" width="13.7109375" style="939" customWidth="1"/>
    <col min="8968" max="8968" width="19.5703125" style="939" customWidth="1"/>
    <col min="8969" max="8969" width="20" style="939" customWidth="1"/>
    <col min="8970" max="8970" width="13.140625" style="939" customWidth="1"/>
    <col min="8971" max="8971" width="12.85546875" style="939" customWidth="1"/>
    <col min="8972" max="8972" width="13.5703125" style="939" customWidth="1"/>
    <col min="8973" max="8973" width="13.140625" style="939" customWidth="1"/>
    <col min="8974" max="8974" width="7.28515625" style="939" customWidth="1"/>
    <col min="8975" max="8975" width="5.85546875" style="939" customWidth="1"/>
    <col min="8976" max="9216" width="11.42578125" style="939"/>
    <col min="9217" max="9217" width="3.42578125" style="939" customWidth="1"/>
    <col min="9218" max="9218" width="24.5703125" style="939" customWidth="1"/>
    <col min="9219" max="9219" width="11.42578125" style="939"/>
    <col min="9220" max="9220" width="14.42578125" style="939" customWidth="1"/>
    <col min="9221" max="9221" width="13.140625" style="939" customWidth="1"/>
    <col min="9222" max="9222" width="9.140625" style="939" customWidth="1"/>
    <col min="9223" max="9223" width="13.7109375" style="939" customWidth="1"/>
    <col min="9224" max="9224" width="19.5703125" style="939" customWidth="1"/>
    <col min="9225" max="9225" width="20" style="939" customWidth="1"/>
    <col min="9226" max="9226" width="13.140625" style="939" customWidth="1"/>
    <col min="9227" max="9227" width="12.85546875" style="939" customWidth="1"/>
    <col min="9228" max="9228" width="13.5703125" style="939" customWidth="1"/>
    <col min="9229" max="9229" width="13.140625" style="939" customWidth="1"/>
    <col min="9230" max="9230" width="7.28515625" style="939" customWidth="1"/>
    <col min="9231" max="9231" width="5.85546875" style="939" customWidth="1"/>
    <col min="9232" max="9472" width="11.42578125" style="939"/>
    <col min="9473" max="9473" width="3.42578125" style="939" customWidth="1"/>
    <col min="9474" max="9474" width="24.5703125" style="939" customWidth="1"/>
    <col min="9475" max="9475" width="11.42578125" style="939"/>
    <col min="9476" max="9476" width="14.42578125" style="939" customWidth="1"/>
    <col min="9477" max="9477" width="13.140625" style="939" customWidth="1"/>
    <col min="9478" max="9478" width="9.140625" style="939" customWidth="1"/>
    <col min="9479" max="9479" width="13.7109375" style="939" customWidth="1"/>
    <col min="9480" max="9480" width="19.5703125" style="939" customWidth="1"/>
    <col min="9481" max="9481" width="20" style="939" customWidth="1"/>
    <col min="9482" max="9482" width="13.140625" style="939" customWidth="1"/>
    <col min="9483" max="9483" width="12.85546875" style="939" customWidth="1"/>
    <col min="9484" max="9484" width="13.5703125" style="939" customWidth="1"/>
    <col min="9485" max="9485" width="13.140625" style="939" customWidth="1"/>
    <col min="9486" max="9486" width="7.28515625" style="939" customWidth="1"/>
    <col min="9487" max="9487" width="5.85546875" style="939" customWidth="1"/>
    <col min="9488" max="9728" width="11.42578125" style="939"/>
    <col min="9729" max="9729" width="3.42578125" style="939" customWidth="1"/>
    <col min="9730" max="9730" width="24.5703125" style="939" customWidth="1"/>
    <col min="9731" max="9731" width="11.42578125" style="939"/>
    <col min="9732" max="9732" width="14.42578125" style="939" customWidth="1"/>
    <col min="9733" max="9733" width="13.140625" style="939" customWidth="1"/>
    <col min="9734" max="9734" width="9.140625" style="939" customWidth="1"/>
    <col min="9735" max="9735" width="13.7109375" style="939" customWidth="1"/>
    <col min="9736" max="9736" width="19.5703125" style="939" customWidth="1"/>
    <col min="9737" max="9737" width="20" style="939" customWidth="1"/>
    <col min="9738" max="9738" width="13.140625" style="939" customWidth="1"/>
    <col min="9739" max="9739" width="12.85546875" style="939" customWidth="1"/>
    <col min="9740" max="9740" width="13.5703125" style="939" customWidth="1"/>
    <col min="9741" max="9741" width="13.140625" style="939" customWidth="1"/>
    <col min="9742" max="9742" width="7.28515625" style="939" customWidth="1"/>
    <col min="9743" max="9743" width="5.85546875" style="939" customWidth="1"/>
    <col min="9744" max="9984" width="11.42578125" style="939"/>
    <col min="9985" max="9985" width="3.42578125" style="939" customWidth="1"/>
    <col min="9986" max="9986" width="24.5703125" style="939" customWidth="1"/>
    <col min="9987" max="9987" width="11.42578125" style="939"/>
    <col min="9988" max="9988" width="14.42578125" style="939" customWidth="1"/>
    <col min="9989" max="9989" width="13.140625" style="939" customWidth="1"/>
    <col min="9990" max="9990" width="9.140625" style="939" customWidth="1"/>
    <col min="9991" max="9991" width="13.7109375" style="939" customWidth="1"/>
    <col min="9992" max="9992" width="19.5703125" style="939" customWidth="1"/>
    <col min="9993" max="9993" width="20" style="939" customWidth="1"/>
    <col min="9994" max="9994" width="13.140625" style="939" customWidth="1"/>
    <col min="9995" max="9995" width="12.85546875" style="939" customWidth="1"/>
    <col min="9996" max="9996" width="13.5703125" style="939" customWidth="1"/>
    <col min="9997" max="9997" width="13.140625" style="939" customWidth="1"/>
    <col min="9998" max="9998" width="7.28515625" style="939" customWidth="1"/>
    <col min="9999" max="9999" width="5.85546875" style="939" customWidth="1"/>
    <col min="10000" max="10240" width="11.42578125" style="939"/>
    <col min="10241" max="10241" width="3.42578125" style="939" customWidth="1"/>
    <col min="10242" max="10242" width="24.5703125" style="939" customWidth="1"/>
    <col min="10243" max="10243" width="11.42578125" style="939"/>
    <col min="10244" max="10244" width="14.42578125" style="939" customWidth="1"/>
    <col min="10245" max="10245" width="13.140625" style="939" customWidth="1"/>
    <col min="10246" max="10246" width="9.140625" style="939" customWidth="1"/>
    <col min="10247" max="10247" width="13.7109375" style="939" customWidth="1"/>
    <col min="10248" max="10248" width="19.5703125" style="939" customWidth="1"/>
    <col min="10249" max="10249" width="20" style="939" customWidth="1"/>
    <col min="10250" max="10250" width="13.140625" style="939" customWidth="1"/>
    <col min="10251" max="10251" width="12.85546875" style="939" customWidth="1"/>
    <col min="10252" max="10252" width="13.5703125" style="939" customWidth="1"/>
    <col min="10253" max="10253" width="13.140625" style="939" customWidth="1"/>
    <col min="10254" max="10254" width="7.28515625" style="939" customWidth="1"/>
    <col min="10255" max="10255" width="5.85546875" style="939" customWidth="1"/>
    <col min="10256" max="10496" width="11.42578125" style="939"/>
    <col min="10497" max="10497" width="3.42578125" style="939" customWidth="1"/>
    <col min="10498" max="10498" width="24.5703125" style="939" customWidth="1"/>
    <col min="10499" max="10499" width="11.42578125" style="939"/>
    <col min="10500" max="10500" width="14.42578125" style="939" customWidth="1"/>
    <col min="10501" max="10501" width="13.140625" style="939" customWidth="1"/>
    <col min="10502" max="10502" width="9.140625" style="939" customWidth="1"/>
    <col min="10503" max="10503" width="13.7109375" style="939" customWidth="1"/>
    <col min="10504" max="10504" width="19.5703125" style="939" customWidth="1"/>
    <col min="10505" max="10505" width="20" style="939" customWidth="1"/>
    <col min="10506" max="10506" width="13.140625" style="939" customWidth="1"/>
    <col min="10507" max="10507" width="12.85546875" style="939" customWidth="1"/>
    <col min="10508" max="10508" width="13.5703125" style="939" customWidth="1"/>
    <col min="10509" max="10509" width="13.140625" style="939" customWidth="1"/>
    <col min="10510" max="10510" width="7.28515625" style="939" customWidth="1"/>
    <col min="10511" max="10511" width="5.85546875" style="939" customWidth="1"/>
    <col min="10512" max="10752" width="11.42578125" style="939"/>
    <col min="10753" max="10753" width="3.42578125" style="939" customWidth="1"/>
    <col min="10754" max="10754" width="24.5703125" style="939" customWidth="1"/>
    <col min="10755" max="10755" width="11.42578125" style="939"/>
    <col min="10756" max="10756" width="14.42578125" style="939" customWidth="1"/>
    <col min="10757" max="10757" width="13.140625" style="939" customWidth="1"/>
    <col min="10758" max="10758" width="9.140625" style="939" customWidth="1"/>
    <col min="10759" max="10759" width="13.7109375" style="939" customWidth="1"/>
    <col min="10760" max="10760" width="19.5703125" style="939" customWidth="1"/>
    <col min="10761" max="10761" width="20" style="939" customWidth="1"/>
    <col min="10762" max="10762" width="13.140625" style="939" customWidth="1"/>
    <col min="10763" max="10763" width="12.85546875" style="939" customWidth="1"/>
    <col min="10764" max="10764" width="13.5703125" style="939" customWidth="1"/>
    <col min="10765" max="10765" width="13.140625" style="939" customWidth="1"/>
    <col min="10766" max="10766" width="7.28515625" style="939" customWidth="1"/>
    <col min="10767" max="10767" width="5.85546875" style="939" customWidth="1"/>
    <col min="10768" max="11008" width="11.42578125" style="939"/>
    <col min="11009" max="11009" width="3.42578125" style="939" customWidth="1"/>
    <col min="11010" max="11010" width="24.5703125" style="939" customWidth="1"/>
    <col min="11011" max="11011" width="11.42578125" style="939"/>
    <col min="11012" max="11012" width="14.42578125" style="939" customWidth="1"/>
    <col min="11013" max="11013" width="13.140625" style="939" customWidth="1"/>
    <col min="11014" max="11014" width="9.140625" style="939" customWidth="1"/>
    <col min="11015" max="11015" width="13.7109375" style="939" customWidth="1"/>
    <col min="11016" max="11016" width="19.5703125" style="939" customWidth="1"/>
    <col min="11017" max="11017" width="20" style="939" customWidth="1"/>
    <col min="11018" max="11018" width="13.140625" style="939" customWidth="1"/>
    <col min="11019" max="11019" width="12.85546875" style="939" customWidth="1"/>
    <col min="11020" max="11020" width="13.5703125" style="939" customWidth="1"/>
    <col min="11021" max="11021" width="13.140625" style="939" customWidth="1"/>
    <col min="11022" max="11022" width="7.28515625" style="939" customWidth="1"/>
    <col min="11023" max="11023" width="5.85546875" style="939" customWidth="1"/>
    <col min="11024" max="11264" width="11.42578125" style="939"/>
    <col min="11265" max="11265" width="3.42578125" style="939" customWidth="1"/>
    <col min="11266" max="11266" width="24.5703125" style="939" customWidth="1"/>
    <col min="11267" max="11267" width="11.42578125" style="939"/>
    <col min="11268" max="11268" width="14.42578125" style="939" customWidth="1"/>
    <col min="11269" max="11269" width="13.140625" style="939" customWidth="1"/>
    <col min="11270" max="11270" width="9.140625" style="939" customWidth="1"/>
    <col min="11271" max="11271" width="13.7109375" style="939" customWidth="1"/>
    <col min="11272" max="11272" width="19.5703125" style="939" customWidth="1"/>
    <col min="11273" max="11273" width="20" style="939" customWidth="1"/>
    <col min="11274" max="11274" width="13.140625" style="939" customWidth="1"/>
    <col min="11275" max="11275" width="12.85546875" style="939" customWidth="1"/>
    <col min="11276" max="11276" width="13.5703125" style="939" customWidth="1"/>
    <col min="11277" max="11277" width="13.140625" style="939" customWidth="1"/>
    <col min="11278" max="11278" width="7.28515625" style="939" customWidth="1"/>
    <col min="11279" max="11279" width="5.85546875" style="939" customWidth="1"/>
    <col min="11280" max="11520" width="11.42578125" style="939"/>
    <col min="11521" max="11521" width="3.42578125" style="939" customWidth="1"/>
    <col min="11522" max="11522" width="24.5703125" style="939" customWidth="1"/>
    <col min="11523" max="11523" width="11.42578125" style="939"/>
    <col min="11524" max="11524" width="14.42578125" style="939" customWidth="1"/>
    <col min="11525" max="11525" width="13.140625" style="939" customWidth="1"/>
    <col min="11526" max="11526" width="9.140625" style="939" customWidth="1"/>
    <col min="11527" max="11527" width="13.7109375" style="939" customWidth="1"/>
    <col min="11528" max="11528" width="19.5703125" style="939" customWidth="1"/>
    <col min="11529" max="11529" width="20" style="939" customWidth="1"/>
    <col min="11530" max="11530" width="13.140625" style="939" customWidth="1"/>
    <col min="11531" max="11531" width="12.85546875" style="939" customWidth="1"/>
    <col min="11532" max="11532" width="13.5703125" style="939" customWidth="1"/>
    <col min="11533" max="11533" width="13.140625" style="939" customWidth="1"/>
    <col min="11534" max="11534" width="7.28515625" style="939" customWidth="1"/>
    <col min="11535" max="11535" width="5.85546875" style="939" customWidth="1"/>
    <col min="11536" max="11776" width="11.42578125" style="939"/>
    <col min="11777" max="11777" width="3.42578125" style="939" customWidth="1"/>
    <col min="11778" max="11778" width="24.5703125" style="939" customWidth="1"/>
    <col min="11779" max="11779" width="11.42578125" style="939"/>
    <col min="11780" max="11780" width="14.42578125" style="939" customWidth="1"/>
    <col min="11781" max="11781" width="13.140625" style="939" customWidth="1"/>
    <col min="11782" max="11782" width="9.140625" style="939" customWidth="1"/>
    <col min="11783" max="11783" width="13.7109375" style="939" customWidth="1"/>
    <col min="11784" max="11784" width="19.5703125" style="939" customWidth="1"/>
    <col min="11785" max="11785" width="20" style="939" customWidth="1"/>
    <col min="11786" max="11786" width="13.140625" style="939" customWidth="1"/>
    <col min="11787" max="11787" width="12.85546875" style="939" customWidth="1"/>
    <col min="11788" max="11788" width="13.5703125" style="939" customWidth="1"/>
    <col min="11789" max="11789" width="13.140625" style="939" customWidth="1"/>
    <col min="11790" max="11790" width="7.28515625" style="939" customWidth="1"/>
    <col min="11791" max="11791" width="5.85546875" style="939" customWidth="1"/>
    <col min="11792" max="12032" width="11.42578125" style="939"/>
    <col min="12033" max="12033" width="3.42578125" style="939" customWidth="1"/>
    <col min="12034" max="12034" width="24.5703125" style="939" customWidth="1"/>
    <col min="12035" max="12035" width="11.42578125" style="939"/>
    <col min="12036" max="12036" width="14.42578125" style="939" customWidth="1"/>
    <col min="12037" max="12037" width="13.140625" style="939" customWidth="1"/>
    <col min="12038" max="12038" width="9.140625" style="939" customWidth="1"/>
    <col min="12039" max="12039" width="13.7109375" style="939" customWidth="1"/>
    <col min="12040" max="12040" width="19.5703125" style="939" customWidth="1"/>
    <col min="12041" max="12041" width="20" style="939" customWidth="1"/>
    <col min="12042" max="12042" width="13.140625" style="939" customWidth="1"/>
    <col min="12043" max="12043" width="12.85546875" style="939" customWidth="1"/>
    <col min="12044" max="12044" width="13.5703125" style="939" customWidth="1"/>
    <col min="12045" max="12045" width="13.140625" style="939" customWidth="1"/>
    <col min="12046" max="12046" width="7.28515625" style="939" customWidth="1"/>
    <col min="12047" max="12047" width="5.85546875" style="939" customWidth="1"/>
    <col min="12048" max="12288" width="11.42578125" style="939"/>
    <col min="12289" max="12289" width="3.42578125" style="939" customWidth="1"/>
    <col min="12290" max="12290" width="24.5703125" style="939" customWidth="1"/>
    <col min="12291" max="12291" width="11.42578125" style="939"/>
    <col min="12292" max="12292" width="14.42578125" style="939" customWidth="1"/>
    <col min="12293" max="12293" width="13.140625" style="939" customWidth="1"/>
    <col min="12294" max="12294" width="9.140625" style="939" customWidth="1"/>
    <col min="12295" max="12295" width="13.7109375" style="939" customWidth="1"/>
    <col min="12296" max="12296" width="19.5703125" style="939" customWidth="1"/>
    <col min="12297" max="12297" width="20" style="939" customWidth="1"/>
    <col min="12298" max="12298" width="13.140625" style="939" customWidth="1"/>
    <col min="12299" max="12299" width="12.85546875" style="939" customWidth="1"/>
    <col min="12300" max="12300" width="13.5703125" style="939" customWidth="1"/>
    <col min="12301" max="12301" width="13.140625" style="939" customWidth="1"/>
    <col min="12302" max="12302" width="7.28515625" style="939" customWidth="1"/>
    <col min="12303" max="12303" width="5.85546875" style="939" customWidth="1"/>
    <col min="12304" max="12544" width="11.42578125" style="939"/>
    <col min="12545" max="12545" width="3.42578125" style="939" customWidth="1"/>
    <col min="12546" max="12546" width="24.5703125" style="939" customWidth="1"/>
    <col min="12547" max="12547" width="11.42578125" style="939"/>
    <col min="12548" max="12548" width="14.42578125" style="939" customWidth="1"/>
    <col min="12549" max="12549" width="13.140625" style="939" customWidth="1"/>
    <col min="12550" max="12550" width="9.140625" style="939" customWidth="1"/>
    <col min="12551" max="12551" width="13.7109375" style="939" customWidth="1"/>
    <col min="12552" max="12552" width="19.5703125" style="939" customWidth="1"/>
    <col min="12553" max="12553" width="20" style="939" customWidth="1"/>
    <col min="12554" max="12554" width="13.140625" style="939" customWidth="1"/>
    <col min="12555" max="12555" width="12.85546875" style="939" customWidth="1"/>
    <col min="12556" max="12556" width="13.5703125" style="939" customWidth="1"/>
    <col min="12557" max="12557" width="13.140625" style="939" customWidth="1"/>
    <col min="12558" max="12558" width="7.28515625" style="939" customWidth="1"/>
    <col min="12559" max="12559" width="5.85546875" style="939" customWidth="1"/>
    <col min="12560" max="12800" width="11.42578125" style="939"/>
    <col min="12801" max="12801" width="3.42578125" style="939" customWidth="1"/>
    <col min="12802" max="12802" width="24.5703125" style="939" customWidth="1"/>
    <col min="12803" max="12803" width="11.42578125" style="939"/>
    <col min="12804" max="12804" width="14.42578125" style="939" customWidth="1"/>
    <col min="12805" max="12805" width="13.140625" style="939" customWidth="1"/>
    <col min="12806" max="12806" width="9.140625" style="939" customWidth="1"/>
    <col min="12807" max="12807" width="13.7109375" style="939" customWidth="1"/>
    <col min="12808" max="12808" width="19.5703125" style="939" customWidth="1"/>
    <col min="12809" max="12809" width="20" style="939" customWidth="1"/>
    <col min="12810" max="12810" width="13.140625" style="939" customWidth="1"/>
    <col min="12811" max="12811" width="12.85546875" style="939" customWidth="1"/>
    <col min="12812" max="12812" width="13.5703125" style="939" customWidth="1"/>
    <col min="12813" max="12813" width="13.140625" style="939" customWidth="1"/>
    <col min="12814" max="12814" width="7.28515625" style="939" customWidth="1"/>
    <col min="12815" max="12815" width="5.85546875" style="939" customWidth="1"/>
    <col min="12816" max="13056" width="11.42578125" style="939"/>
    <col min="13057" max="13057" width="3.42578125" style="939" customWidth="1"/>
    <col min="13058" max="13058" width="24.5703125" style="939" customWidth="1"/>
    <col min="13059" max="13059" width="11.42578125" style="939"/>
    <col min="13060" max="13060" width="14.42578125" style="939" customWidth="1"/>
    <col min="13061" max="13061" width="13.140625" style="939" customWidth="1"/>
    <col min="13062" max="13062" width="9.140625" style="939" customWidth="1"/>
    <col min="13063" max="13063" width="13.7109375" style="939" customWidth="1"/>
    <col min="13064" max="13064" width="19.5703125" style="939" customWidth="1"/>
    <col min="13065" max="13065" width="20" style="939" customWidth="1"/>
    <col min="13066" max="13066" width="13.140625" style="939" customWidth="1"/>
    <col min="13067" max="13067" width="12.85546875" style="939" customWidth="1"/>
    <col min="13068" max="13068" width="13.5703125" style="939" customWidth="1"/>
    <col min="13069" max="13069" width="13.140625" style="939" customWidth="1"/>
    <col min="13070" max="13070" width="7.28515625" style="939" customWidth="1"/>
    <col min="13071" max="13071" width="5.85546875" style="939" customWidth="1"/>
    <col min="13072" max="13312" width="11.42578125" style="939"/>
    <col min="13313" max="13313" width="3.42578125" style="939" customWidth="1"/>
    <col min="13314" max="13314" width="24.5703125" style="939" customWidth="1"/>
    <col min="13315" max="13315" width="11.42578125" style="939"/>
    <col min="13316" max="13316" width="14.42578125" style="939" customWidth="1"/>
    <col min="13317" max="13317" width="13.140625" style="939" customWidth="1"/>
    <col min="13318" max="13318" width="9.140625" style="939" customWidth="1"/>
    <col min="13319" max="13319" width="13.7109375" style="939" customWidth="1"/>
    <col min="13320" max="13320" width="19.5703125" style="939" customWidth="1"/>
    <col min="13321" max="13321" width="20" style="939" customWidth="1"/>
    <col min="13322" max="13322" width="13.140625" style="939" customWidth="1"/>
    <col min="13323" max="13323" width="12.85546875" style="939" customWidth="1"/>
    <col min="13324" max="13324" width="13.5703125" style="939" customWidth="1"/>
    <col min="13325" max="13325" width="13.140625" style="939" customWidth="1"/>
    <col min="13326" max="13326" width="7.28515625" style="939" customWidth="1"/>
    <col min="13327" max="13327" width="5.85546875" style="939" customWidth="1"/>
    <col min="13328" max="13568" width="11.42578125" style="939"/>
    <col min="13569" max="13569" width="3.42578125" style="939" customWidth="1"/>
    <col min="13570" max="13570" width="24.5703125" style="939" customWidth="1"/>
    <col min="13571" max="13571" width="11.42578125" style="939"/>
    <col min="13572" max="13572" width="14.42578125" style="939" customWidth="1"/>
    <col min="13573" max="13573" width="13.140625" style="939" customWidth="1"/>
    <col min="13574" max="13574" width="9.140625" style="939" customWidth="1"/>
    <col min="13575" max="13575" width="13.7109375" style="939" customWidth="1"/>
    <col min="13576" max="13576" width="19.5703125" style="939" customWidth="1"/>
    <col min="13577" max="13577" width="20" style="939" customWidth="1"/>
    <col min="13578" max="13578" width="13.140625" style="939" customWidth="1"/>
    <col min="13579" max="13579" width="12.85546875" style="939" customWidth="1"/>
    <col min="13580" max="13580" width="13.5703125" style="939" customWidth="1"/>
    <col min="13581" max="13581" width="13.140625" style="939" customWidth="1"/>
    <col min="13582" max="13582" width="7.28515625" style="939" customWidth="1"/>
    <col min="13583" max="13583" width="5.85546875" style="939" customWidth="1"/>
    <col min="13584" max="13824" width="11.42578125" style="939"/>
    <col min="13825" max="13825" width="3.42578125" style="939" customWidth="1"/>
    <col min="13826" max="13826" width="24.5703125" style="939" customWidth="1"/>
    <col min="13827" max="13827" width="11.42578125" style="939"/>
    <col min="13828" max="13828" width="14.42578125" style="939" customWidth="1"/>
    <col min="13829" max="13829" width="13.140625" style="939" customWidth="1"/>
    <col min="13830" max="13830" width="9.140625" style="939" customWidth="1"/>
    <col min="13831" max="13831" width="13.7109375" style="939" customWidth="1"/>
    <col min="13832" max="13832" width="19.5703125" style="939" customWidth="1"/>
    <col min="13833" max="13833" width="20" style="939" customWidth="1"/>
    <col min="13834" max="13834" width="13.140625" style="939" customWidth="1"/>
    <col min="13835" max="13835" width="12.85546875" style="939" customWidth="1"/>
    <col min="13836" max="13836" width="13.5703125" style="939" customWidth="1"/>
    <col min="13837" max="13837" width="13.140625" style="939" customWidth="1"/>
    <col min="13838" max="13838" width="7.28515625" style="939" customWidth="1"/>
    <col min="13839" max="13839" width="5.85546875" style="939" customWidth="1"/>
    <col min="13840" max="14080" width="11.42578125" style="939"/>
    <col min="14081" max="14081" width="3.42578125" style="939" customWidth="1"/>
    <col min="14082" max="14082" width="24.5703125" style="939" customWidth="1"/>
    <col min="14083" max="14083" width="11.42578125" style="939"/>
    <col min="14084" max="14084" width="14.42578125" style="939" customWidth="1"/>
    <col min="14085" max="14085" width="13.140625" style="939" customWidth="1"/>
    <col min="14086" max="14086" width="9.140625" style="939" customWidth="1"/>
    <col min="14087" max="14087" width="13.7109375" style="939" customWidth="1"/>
    <col min="14088" max="14088" width="19.5703125" style="939" customWidth="1"/>
    <col min="14089" max="14089" width="20" style="939" customWidth="1"/>
    <col min="14090" max="14090" width="13.140625" style="939" customWidth="1"/>
    <col min="14091" max="14091" width="12.85546875" style="939" customWidth="1"/>
    <col min="14092" max="14092" width="13.5703125" style="939" customWidth="1"/>
    <col min="14093" max="14093" width="13.140625" style="939" customWidth="1"/>
    <col min="14094" max="14094" width="7.28515625" style="939" customWidth="1"/>
    <col min="14095" max="14095" width="5.85546875" style="939" customWidth="1"/>
    <col min="14096" max="14336" width="11.42578125" style="939"/>
    <col min="14337" max="14337" width="3.42578125" style="939" customWidth="1"/>
    <col min="14338" max="14338" width="24.5703125" style="939" customWidth="1"/>
    <col min="14339" max="14339" width="11.42578125" style="939"/>
    <col min="14340" max="14340" width="14.42578125" style="939" customWidth="1"/>
    <col min="14341" max="14341" width="13.140625" style="939" customWidth="1"/>
    <col min="14342" max="14342" width="9.140625" style="939" customWidth="1"/>
    <col min="14343" max="14343" width="13.7109375" style="939" customWidth="1"/>
    <col min="14344" max="14344" width="19.5703125" style="939" customWidth="1"/>
    <col min="14345" max="14345" width="20" style="939" customWidth="1"/>
    <col min="14346" max="14346" width="13.140625" style="939" customWidth="1"/>
    <col min="14347" max="14347" width="12.85546875" style="939" customWidth="1"/>
    <col min="14348" max="14348" width="13.5703125" style="939" customWidth="1"/>
    <col min="14349" max="14349" width="13.140625" style="939" customWidth="1"/>
    <col min="14350" max="14350" width="7.28515625" style="939" customWidth="1"/>
    <col min="14351" max="14351" width="5.85546875" style="939" customWidth="1"/>
    <col min="14352" max="14592" width="11.42578125" style="939"/>
    <col min="14593" max="14593" width="3.42578125" style="939" customWidth="1"/>
    <col min="14594" max="14594" width="24.5703125" style="939" customWidth="1"/>
    <col min="14595" max="14595" width="11.42578125" style="939"/>
    <col min="14596" max="14596" width="14.42578125" style="939" customWidth="1"/>
    <col min="14597" max="14597" width="13.140625" style="939" customWidth="1"/>
    <col min="14598" max="14598" width="9.140625" style="939" customWidth="1"/>
    <col min="14599" max="14599" width="13.7109375" style="939" customWidth="1"/>
    <col min="14600" max="14600" width="19.5703125" style="939" customWidth="1"/>
    <col min="14601" max="14601" width="20" style="939" customWidth="1"/>
    <col min="14602" max="14602" width="13.140625" style="939" customWidth="1"/>
    <col min="14603" max="14603" width="12.85546875" style="939" customWidth="1"/>
    <col min="14604" max="14604" width="13.5703125" style="939" customWidth="1"/>
    <col min="14605" max="14605" width="13.140625" style="939" customWidth="1"/>
    <col min="14606" max="14606" width="7.28515625" style="939" customWidth="1"/>
    <col min="14607" max="14607" width="5.85546875" style="939" customWidth="1"/>
    <col min="14608" max="14848" width="11.42578125" style="939"/>
    <col min="14849" max="14849" width="3.42578125" style="939" customWidth="1"/>
    <col min="14850" max="14850" width="24.5703125" style="939" customWidth="1"/>
    <col min="14851" max="14851" width="11.42578125" style="939"/>
    <col min="14852" max="14852" width="14.42578125" style="939" customWidth="1"/>
    <col min="14853" max="14853" width="13.140625" style="939" customWidth="1"/>
    <col min="14854" max="14854" width="9.140625" style="939" customWidth="1"/>
    <col min="14855" max="14855" width="13.7109375" style="939" customWidth="1"/>
    <col min="14856" max="14856" width="19.5703125" style="939" customWidth="1"/>
    <col min="14857" max="14857" width="20" style="939" customWidth="1"/>
    <col min="14858" max="14858" width="13.140625" style="939" customWidth="1"/>
    <col min="14859" max="14859" width="12.85546875" style="939" customWidth="1"/>
    <col min="14860" max="14860" width="13.5703125" style="939" customWidth="1"/>
    <col min="14861" max="14861" width="13.140625" style="939" customWidth="1"/>
    <col min="14862" max="14862" width="7.28515625" style="939" customWidth="1"/>
    <col min="14863" max="14863" width="5.85546875" style="939" customWidth="1"/>
    <col min="14864" max="15104" width="11.42578125" style="939"/>
    <col min="15105" max="15105" width="3.42578125" style="939" customWidth="1"/>
    <col min="15106" max="15106" width="24.5703125" style="939" customWidth="1"/>
    <col min="15107" max="15107" width="11.42578125" style="939"/>
    <col min="15108" max="15108" width="14.42578125" style="939" customWidth="1"/>
    <col min="15109" max="15109" width="13.140625" style="939" customWidth="1"/>
    <col min="15110" max="15110" width="9.140625" style="939" customWidth="1"/>
    <col min="15111" max="15111" width="13.7109375" style="939" customWidth="1"/>
    <col min="15112" max="15112" width="19.5703125" style="939" customWidth="1"/>
    <col min="15113" max="15113" width="20" style="939" customWidth="1"/>
    <col min="15114" max="15114" width="13.140625" style="939" customWidth="1"/>
    <col min="15115" max="15115" width="12.85546875" style="939" customWidth="1"/>
    <col min="15116" max="15116" width="13.5703125" style="939" customWidth="1"/>
    <col min="15117" max="15117" width="13.140625" style="939" customWidth="1"/>
    <col min="15118" max="15118" width="7.28515625" style="939" customWidth="1"/>
    <col min="15119" max="15119" width="5.85546875" style="939" customWidth="1"/>
    <col min="15120" max="15360" width="11.42578125" style="939"/>
    <col min="15361" max="15361" width="3.42578125" style="939" customWidth="1"/>
    <col min="15362" max="15362" width="24.5703125" style="939" customWidth="1"/>
    <col min="15363" max="15363" width="11.42578125" style="939"/>
    <col min="15364" max="15364" width="14.42578125" style="939" customWidth="1"/>
    <col min="15365" max="15365" width="13.140625" style="939" customWidth="1"/>
    <col min="15366" max="15366" width="9.140625" style="939" customWidth="1"/>
    <col min="15367" max="15367" width="13.7109375" style="939" customWidth="1"/>
    <col min="15368" max="15368" width="19.5703125" style="939" customWidth="1"/>
    <col min="15369" max="15369" width="20" style="939" customWidth="1"/>
    <col min="15370" max="15370" width="13.140625" style="939" customWidth="1"/>
    <col min="15371" max="15371" width="12.85546875" style="939" customWidth="1"/>
    <col min="15372" max="15372" width="13.5703125" style="939" customWidth="1"/>
    <col min="15373" max="15373" width="13.140625" style="939" customWidth="1"/>
    <col min="15374" max="15374" width="7.28515625" style="939" customWidth="1"/>
    <col min="15375" max="15375" width="5.85546875" style="939" customWidth="1"/>
    <col min="15376" max="15616" width="11.42578125" style="939"/>
    <col min="15617" max="15617" width="3.42578125" style="939" customWidth="1"/>
    <col min="15618" max="15618" width="24.5703125" style="939" customWidth="1"/>
    <col min="15619" max="15619" width="11.42578125" style="939"/>
    <col min="15620" max="15620" width="14.42578125" style="939" customWidth="1"/>
    <col min="15621" max="15621" width="13.140625" style="939" customWidth="1"/>
    <col min="15622" max="15622" width="9.140625" style="939" customWidth="1"/>
    <col min="15623" max="15623" width="13.7109375" style="939" customWidth="1"/>
    <col min="15624" max="15624" width="19.5703125" style="939" customWidth="1"/>
    <col min="15625" max="15625" width="20" style="939" customWidth="1"/>
    <col min="15626" max="15626" width="13.140625" style="939" customWidth="1"/>
    <col min="15627" max="15627" width="12.85546875" style="939" customWidth="1"/>
    <col min="15628" max="15628" width="13.5703125" style="939" customWidth="1"/>
    <col min="15629" max="15629" width="13.140625" style="939" customWidth="1"/>
    <col min="15630" max="15630" width="7.28515625" style="939" customWidth="1"/>
    <col min="15631" max="15631" width="5.85546875" style="939" customWidth="1"/>
    <col min="15632" max="15872" width="11.42578125" style="939"/>
    <col min="15873" max="15873" width="3.42578125" style="939" customWidth="1"/>
    <col min="15874" max="15874" width="24.5703125" style="939" customWidth="1"/>
    <col min="15875" max="15875" width="11.42578125" style="939"/>
    <col min="15876" max="15876" width="14.42578125" style="939" customWidth="1"/>
    <col min="15877" max="15877" width="13.140625" style="939" customWidth="1"/>
    <col min="15878" max="15878" width="9.140625" style="939" customWidth="1"/>
    <col min="15879" max="15879" width="13.7109375" style="939" customWidth="1"/>
    <col min="15880" max="15880" width="19.5703125" style="939" customWidth="1"/>
    <col min="15881" max="15881" width="20" style="939" customWidth="1"/>
    <col min="15882" max="15882" width="13.140625" style="939" customWidth="1"/>
    <col min="15883" max="15883" width="12.85546875" style="939" customWidth="1"/>
    <col min="15884" max="15884" width="13.5703125" style="939" customWidth="1"/>
    <col min="15885" max="15885" width="13.140625" style="939" customWidth="1"/>
    <col min="15886" max="15886" width="7.28515625" style="939" customWidth="1"/>
    <col min="15887" max="15887" width="5.85546875" style="939" customWidth="1"/>
    <col min="15888" max="16128" width="11.42578125" style="939"/>
    <col min="16129" max="16129" width="3.42578125" style="939" customWidth="1"/>
    <col min="16130" max="16130" width="24.5703125" style="939" customWidth="1"/>
    <col min="16131" max="16131" width="11.42578125" style="939"/>
    <col min="16132" max="16132" width="14.42578125" style="939" customWidth="1"/>
    <col min="16133" max="16133" width="13.140625" style="939" customWidth="1"/>
    <col min="16134" max="16134" width="9.140625" style="939" customWidth="1"/>
    <col min="16135" max="16135" width="13.7109375" style="939" customWidth="1"/>
    <col min="16136" max="16136" width="19.5703125" style="939" customWidth="1"/>
    <col min="16137" max="16137" width="20" style="939" customWidth="1"/>
    <col min="16138" max="16138" width="13.140625" style="939" customWidth="1"/>
    <col min="16139" max="16139" width="12.85546875" style="939" customWidth="1"/>
    <col min="16140" max="16140" width="13.5703125" style="939" customWidth="1"/>
    <col min="16141" max="16141" width="13.140625" style="939" customWidth="1"/>
    <col min="16142" max="16142" width="7.28515625" style="939" customWidth="1"/>
    <col min="16143" max="16143" width="5.85546875" style="939" customWidth="1"/>
    <col min="16144" max="16384" width="11.42578125" style="939"/>
  </cols>
  <sheetData>
    <row r="1" spans="1:43" s="938" customFormat="1" ht="18">
      <c r="A1" s="934"/>
      <c r="B1" s="547" t="s">
        <v>649</v>
      </c>
      <c r="C1" s="935"/>
      <c r="D1" s="935"/>
      <c r="E1" s="935"/>
      <c r="F1" s="935"/>
      <c r="G1" s="935"/>
      <c r="H1" s="935"/>
      <c r="I1" s="935"/>
      <c r="J1" s="935"/>
      <c r="K1" s="936"/>
      <c r="L1" s="937"/>
      <c r="M1" s="935"/>
      <c r="N1" s="935"/>
      <c r="O1" s="935"/>
      <c r="Y1" s="939"/>
      <c r="Z1" s="939"/>
      <c r="AA1" s="939"/>
      <c r="AB1" s="939"/>
      <c r="AC1" s="939"/>
      <c r="AD1" s="939"/>
      <c r="AE1" s="939"/>
      <c r="AF1" s="939"/>
      <c r="AG1" s="939"/>
      <c r="AH1" s="939"/>
    </row>
    <row r="2" spans="1:43" s="938" customFormat="1">
      <c r="A2" s="934"/>
      <c r="B2" s="940" t="s">
        <v>732</v>
      </c>
      <c r="C2" s="935"/>
      <c r="D2" s="935"/>
      <c r="E2" s="935"/>
      <c r="F2" s="935"/>
      <c r="G2" s="935"/>
      <c r="H2" s="935"/>
      <c r="I2" s="935"/>
      <c r="J2" s="935"/>
      <c r="K2" s="936"/>
      <c r="L2" s="937"/>
      <c r="M2" s="935"/>
      <c r="N2" s="935"/>
      <c r="O2" s="935"/>
      <c r="Y2" s="939"/>
      <c r="Z2" s="939"/>
      <c r="AA2" s="939"/>
      <c r="AB2" s="939"/>
      <c r="AC2" s="939"/>
      <c r="AD2" s="939"/>
      <c r="AE2" s="939"/>
      <c r="AF2" s="939"/>
      <c r="AG2" s="939"/>
      <c r="AH2" s="939"/>
    </row>
    <row r="3" spans="1:43" s="938" customFormat="1">
      <c r="A3" s="934"/>
      <c r="B3" s="940" t="s">
        <v>650</v>
      </c>
      <c r="C3" s="941"/>
      <c r="D3" s="941"/>
      <c r="E3" s="935"/>
      <c r="F3" s="935"/>
      <c r="G3" s="935"/>
      <c r="H3" s="935"/>
      <c r="I3" s="935"/>
      <c r="J3" s="935"/>
      <c r="K3" s="935"/>
      <c r="L3" s="937"/>
      <c r="M3" s="935"/>
      <c r="N3" s="935"/>
      <c r="O3" s="935"/>
      <c r="X3" s="939"/>
      <c r="Y3" s="939"/>
      <c r="Z3" s="939"/>
      <c r="AA3" s="939"/>
      <c r="AB3" s="939"/>
      <c r="AC3" s="939"/>
      <c r="AD3" s="939"/>
      <c r="AE3" s="939"/>
      <c r="AF3" s="939"/>
      <c r="AG3" s="939"/>
      <c r="AH3" s="939"/>
    </row>
    <row r="4" spans="1:43" s="938" customFormat="1" ht="18.75" customHeight="1">
      <c r="A4" s="942"/>
      <c r="B4" s="536" t="s">
        <v>799</v>
      </c>
      <c r="C4" s="935"/>
      <c r="D4" s="935"/>
      <c r="E4" s="943">
        <v>45157395</v>
      </c>
      <c r="F4" s="935"/>
      <c r="G4" s="944">
        <v>36270028</v>
      </c>
      <c r="H4" s="935"/>
      <c r="I4" s="935"/>
      <c r="K4" s="935"/>
      <c r="L4" s="936"/>
      <c r="M4" s="937"/>
      <c r="N4" s="935"/>
      <c r="O4" s="935"/>
      <c r="P4" s="935"/>
      <c r="X4" s="939"/>
      <c r="Y4" s="939"/>
      <c r="Z4" s="945" t="s">
        <v>800</v>
      </c>
      <c r="AA4" s="939"/>
      <c r="AB4" s="939"/>
      <c r="AC4" s="939"/>
      <c r="AD4" s="939"/>
      <c r="AE4" s="939"/>
      <c r="AF4" s="939"/>
      <c r="AG4" s="939"/>
      <c r="AH4" s="939"/>
    </row>
    <row r="5" spans="1:43" s="938" customFormat="1">
      <c r="A5" s="941"/>
      <c r="B5" s="941"/>
      <c r="C5" s="941"/>
      <c r="D5" s="941"/>
      <c r="E5" s="935"/>
      <c r="F5" s="935"/>
      <c r="G5" s="935"/>
      <c r="H5" s="935">
        <f>+E9*F9</f>
        <v>0</v>
      </c>
      <c r="I5" s="935"/>
      <c r="K5" s="946" t="s">
        <v>801</v>
      </c>
      <c r="L5" s="935"/>
      <c r="M5" s="937"/>
      <c r="N5" s="935"/>
      <c r="O5" s="935"/>
      <c r="P5" s="935"/>
      <c r="X5" s="939"/>
      <c r="Y5" s="939"/>
      <c r="Z5" s="939"/>
      <c r="AA5" s="939"/>
      <c r="AB5" s="939"/>
      <c r="AC5" s="939"/>
      <c r="AD5" s="939"/>
      <c r="AE5" s="939"/>
      <c r="AF5" s="939"/>
      <c r="AG5" s="939"/>
      <c r="AH5" s="939"/>
    </row>
    <row r="6" spans="1:43" s="938" customFormat="1" ht="16.5" thickBot="1">
      <c r="A6" s="941"/>
      <c r="B6" s="947" t="s">
        <v>802</v>
      </c>
      <c r="C6" s="941"/>
      <c r="D6" s="948"/>
      <c r="F6" s="949"/>
      <c r="G6" s="946" t="s">
        <v>20</v>
      </c>
      <c r="I6" s="949"/>
      <c r="K6" s="950" t="s">
        <v>803</v>
      </c>
      <c r="L6" s="946" t="s">
        <v>21</v>
      </c>
      <c r="M6" s="949"/>
      <c r="N6" s="935"/>
      <c r="O6" s="949"/>
      <c r="X6" s="939"/>
      <c r="Y6" s="951" t="s">
        <v>804</v>
      </c>
      <c r="Z6" s="952" t="s">
        <v>805</v>
      </c>
      <c r="AA6" s="952" t="s">
        <v>806</v>
      </c>
      <c r="AB6" s="952" t="s">
        <v>807</v>
      </c>
      <c r="AC6" s="953" t="s">
        <v>725</v>
      </c>
      <c r="AD6" s="939"/>
      <c r="AE6" s="939"/>
      <c r="AF6" s="939"/>
      <c r="AG6" s="939"/>
      <c r="AH6" s="939"/>
    </row>
    <row r="7" spans="1:43" s="938" customFormat="1">
      <c r="A7" s="941"/>
      <c r="B7" s="954" t="s">
        <v>78</v>
      </c>
      <c r="C7" s="954" t="s">
        <v>808</v>
      </c>
      <c r="D7" s="955" t="s">
        <v>78</v>
      </c>
      <c r="E7" s="956" t="s">
        <v>214</v>
      </c>
      <c r="F7" s="954" t="s">
        <v>60</v>
      </c>
      <c r="G7" s="955" t="s">
        <v>78</v>
      </c>
      <c r="H7" s="956" t="s">
        <v>809</v>
      </c>
      <c r="I7" s="957" t="s">
        <v>810</v>
      </c>
      <c r="J7" s="957" t="s">
        <v>811</v>
      </c>
      <c r="K7" s="957" t="s">
        <v>812</v>
      </c>
      <c r="L7" s="957" t="s">
        <v>812</v>
      </c>
      <c r="M7" s="958" t="s">
        <v>78</v>
      </c>
      <c r="N7" s="959" t="s">
        <v>136</v>
      </c>
      <c r="O7" s="960" t="s">
        <v>813</v>
      </c>
      <c r="X7" s="939"/>
      <c r="Y7" s="939"/>
      <c r="Z7" s="939"/>
      <c r="AA7" s="939"/>
      <c r="AB7" s="939"/>
      <c r="AC7" s="939"/>
      <c r="AD7" s="939"/>
      <c r="AE7" s="939"/>
      <c r="AF7" s="939"/>
      <c r="AG7" s="939"/>
      <c r="AH7" s="939"/>
    </row>
    <row r="8" spans="1:43" s="938" customFormat="1" ht="15.75" customHeight="1" thickBot="1">
      <c r="A8" s="941"/>
      <c r="B8" s="961"/>
      <c r="C8" s="961"/>
      <c r="D8" s="962"/>
      <c r="E8" s="963" t="s">
        <v>814</v>
      </c>
      <c r="F8" s="961"/>
      <c r="G8" s="962" t="s">
        <v>815</v>
      </c>
      <c r="H8" s="963" t="s">
        <v>815</v>
      </c>
      <c r="I8" s="964" t="s">
        <v>816</v>
      </c>
      <c r="J8" s="964" t="s">
        <v>817</v>
      </c>
      <c r="K8" s="964" t="s">
        <v>818</v>
      </c>
      <c r="L8" s="964" t="s">
        <v>814</v>
      </c>
      <c r="M8" s="965" t="s">
        <v>806</v>
      </c>
      <c r="N8" s="966" t="s">
        <v>138</v>
      </c>
      <c r="O8" s="967" t="s">
        <v>819</v>
      </c>
      <c r="P8" s="938">
        <v>10</v>
      </c>
      <c r="Q8" s="938">
        <v>12</v>
      </c>
      <c r="R8" s="938">
        <f>+P8*Q8</f>
        <v>120</v>
      </c>
      <c r="X8" s="939"/>
      <c r="Y8" s="968">
        <v>40421</v>
      </c>
      <c r="Z8" s="939" t="s">
        <v>820</v>
      </c>
      <c r="AA8" s="969">
        <v>3093244</v>
      </c>
      <c r="AB8" s="969">
        <v>587716</v>
      </c>
      <c r="AC8" s="969">
        <v>3680960</v>
      </c>
      <c r="AD8" s="939"/>
      <c r="AE8" s="939"/>
      <c r="AF8" s="939"/>
      <c r="AG8" s="939"/>
      <c r="AH8" s="939"/>
    </row>
    <row r="9" spans="1:43" s="938" customFormat="1">
      <c r="A9" s="941"/>
      <c r="B9" s="970" t="s">
        <v>821</v>
      </c>
      <c r="C9" s="971">
        <v>1</v>
      </c>
      <c r="D9" s="972">
        <v>0</v>
      </c>
      <c r="E9" s="944">
        <v>0</v>
      </c>
      <c r="F9" s="973">
        <v>1.028</v>
      </c>
      <c r="G9" s="944">
        <f>ROUND((+D9*F9),0)</f>
        <v>0</v>
      </c>
      <c r="H9" s="944">
        <f>ROUND((+E9*F9),0)</f>
        <v>0</v>
      </c>
      <c r="I9" s="944">
        <f>+G9-D9-H9+E9</f>
        <v>0</v>
      </c>
      <c r="J9" s="974">
        <f>+G9-H9+I9</f>
        <v>0</v>
      </c>
      <c r="K9" s="944">
        <f>ROUND(((+J9)/N9*12),0)</f>
        <v>0</v>
      </c>
      <c r="L9" s="944">
        <f>+H9+K9</f>
        <v>0</v>
      </c>
      <c r="M9" s="944">
        <f>+G9-L9</f>
        <v>0</v>
      </c>
      <c r="N9" s="975">
        <v>480</v>
      </c>
      <c r="O9" s="976">
        <f>+N9-12</f>
        <v>468</v>
      </c>
      <c r="P9" s="938">
        <v>40</v>
      </c>
      <c r="Q9" s="938">
        <v>12</v>
      </c>
      <c r="R9" s="938">
        <f>+P9*Q9</f>
        <v>480</v>
      </c>
      <c r="X9" s="939"/>
      <c r="Y9" s="968">
        <v>40421</v>
      </c>
      <c r="Z9" s="939" t="s">
        <v>822</v>
      </c>
      <c r="AA9" s="969">
        <v>3594447</v>
      </c>
      <c r="AB9" s="969">
        <v>682945</v>
      </c>
      <c r="AC9" s="969">
        <v>4277392</v>
      </c>
      <c r="AD9" s="939"/>
      <c r="AE9" s="939"/>
      <c r="AF9" s="939"/>
      <c r="AG9" s="939"/>
      <c r="AH9" s="939"/>
      <c r="AL9" s="938">
        <v>29337162</v>
      </c>
      <c r="AM9" s="938">
        <v>7554531</v>
      </c>
      <c r="AN9" s="938">
        <v>448027</v>
      </c>
      <c r="AO9" s="938">
        <v>22230658</v>
      </c>
      <c r="AP9" s="938">
        <v>5928175</v>
      </c>
      <c r="AQ9" s="938">
        <v>13482706</v>
      </c>
    </row>
    <row r="10" spans="1:43" s="938" customFormat="1">
      <c r="A10" s="941"/>
      <c r="B10" s="970"/>
      <c r="C10" s="971"/>
      <c r="D10" s="972">
        <f>+$E$4*C10</f>
        <v>0</v>
      </c>
      <c r="E10" s="944">
        <f>+$G$4*C10</f>
        <v>0</v>
      </c>
      <c r="F10" s="973">
        <v>1.028</v>
      </c>
      <c r="G10" s="944">
        <f>ROUND((+D10*F10),0)</f>
        <v>0</v>
      </c>
      <c r="H10" s="944">
        <f>ROUND((+E10*F10),0)</f>
        <v>0</v>
      </c>
      <c r="I10" s="944">
        <f>+G10-D10-H10+E10</f>
        <v>0</v>
      </c>
      <c r="J10" s="974">
        <f>+G10-H10+I10</f>
        <v>0</v>
      </c>
      <c r="K10" s="944">
        <f>ROUND(((+J10)/N10*12),0)</f>
        <v>0</v>
      </c>
      <c r="L10" s="944">
        <f>+H10+K10</f>
        <v>0</v>
      </c>
      <c r="M10" s="944">
        <f>+G10-L10</f>
        <v>0</v>
      </c>
      <c r="N10" s="975">
        <v>1</v>
      </c>
      <c r="O10" s="976">
        <f>+N10</f>
        <v>1</v>
      </c>
      <c r="P10" s="938">
        <v>50</v>
      </c>
      <c r="Q10" s="938">
        <v>12</v>
      </c>
      <c r="R10" s="938">
        <f>+P10*Q10</f>
        <v>600</v>
      </c>
      <c r="X10" s="939"/>
      <c r="Y10" s="968">
        <v>40415</v>
      </c>
      <c r="Z10" s="939" t="s">
        <v>823</v>
      </c>
      <c r="AA10" s="969">
        <v>1675708</v>
      </c>
      <c r="AB10" s="969">
        <v>318385</v>
      </c>
      <c r="AC10" s="969">
        <v>1994093</v>
      </c>
      <c r="AD10" s="939"/>
      <c r="AE10" s="939"/>
      <c r="AF10" s="939"/>
      <c r="AG10" s="939"/>
      <c r="AH10" s="939"/>
      <c r="AL10" s="938">
        <v>14463631</v>
      </c>
      <c r="AM10" s="938">
        <v>3242368</v>
      </c>
      <c r="AN10" s="938">
        <v>230800</v>
      </c>
      <c r="AO10" s="938">
        <v>11452063</v>
      </c>
      <c r="AP10" s="938">
        <v>2923931</v>
      </c>
      <c r="AQ10" s="938">
        <v>6166299</v>
      </c>
    </row>
    <row r="11" spans="1:43" s="938" customFormat="1">
      <c r="A11" s="941"/>
      <c r="B11" s="921" t="s">
        <v>795</v>
      </c>
      <c r="C11" s="971"/>
      <c r="D11" s="972">
        <v>11456334</v>
      </c>
      <c r="E11" s="944"/>
      <c r="F11" s="973"/>
      <c r="G11" s="944"/>
      <c r="H11" s="944"/>
      <c r="I11" s="944"/>
      <c r="J11" s="974"/>
      <c r="K11" s="944"/>
      <c r="L11" s="944"/>
      <c r="M11" s="944"/>
      <c r="N11" s="975"/>
      <c r="O11" s="976"/>
      <c r="X11" s="939"/>
      <c r="Y11" s="968"/>
      <c r="Z11" s="939"/>
      <c r="AA11" s="969"/>
      <c r="AB11" s="969"/>
      <c r="AC11" s="969"/>
      <c r="AD11" s="939"/>
      <c r="AE11" s="939"/>
      <c r="AF11" s="939"/>
      <c r="AG11" s="939"/>
      <c r="AH11" s="939"/>
    </row>
    <row r="12" spans="1:43" s="938" customFormat="1">
      <c r="A12" s="941"/>
      <c r="B12" s="921" t="s">
        <v>791</v>
      </c>
      <c r="C12" s="971"/>
      <c r="D12" s="855">
        <v>43204101</v>
      </c>
      <c r="E12" s="944">
        <v>40035990</v>
      </c>
      <c r="F12" s="973"/>
      <c r="G12" s="944"/>
      <c r="H12" s="944"/>
      <c r="I12" s="944"/>
      <c r="J12" s="974"/>
      <c r="K12" s="944"/>
      <c r="L12" s="944"/>
      <c r="M12" s="944"/>
      <c r="N12" s="975"/>
      <c r="O12" s="976"/>
      <c r="X12" s="939"/>
      <c r="Y12" s="968"/>
      <c r="Z12" s="939"/>
      <c r="AA12" s="969"/>
      <c r="AB12" s="969"/>
      <c r="AC12" s="969"/>
      <c r="AD12" s="939"/>
      <c r="AE12" s="939"/>
      <c r="AF12" s="939"/>
      <c r="AG12" s="939"/>
      <c r="AH12" s="939"/>
    </row>
    <row r="13" spans="1:43" s="938" customFormat="1">
      <c r="A13" s="941"/>
      <c r="B13" s="921"/>
      <c r="C13" s="971"/>
      <c r="D13" s="855">
        <f>+D11+D12</f>
        <v>54660435</v>
      </c>
      <c r="E13" s="944"/>
      <c r="F13" s="973"/>
      <c r="G13" s="944"/>
      <c r="H13" s="944"/>
      <c r="I13" s="944"/>
      <c r="J13" s="974"/>
      <c r="K13" s="944"/>
      <c r="L13" s="944"/>
      <c r="M13" s="944"/>
      <c r="N13" s="975"/>
      <c r="O13" s="976"/>
      <c r="X13" s="939"/>
      <c r="Y13" s="968"/>
      <c r="Z13" s="939"/>
      <c r="AA13" s="969"/>
      <c r="AB13" s="969"/>
      <c r="AC13" s="969"/>
      <c r="AD13" s="939"/>
      <c r="AE13" s="939"/>
      <c r="AF13" s="939"/>
      <c r="AG13" s="939"/>
      <c r="AH13" s="939"/>
    </row>
    <row r="14" spans="1:43" s="938" customFormat="1">
      <c r="A14" s="941"/>
      <c r="B14" s="970"/>
      <c r="C14" s="971"/>
      <c r="D14" s="972"/>
      <c r="E14" s="944">
        <f>SUM(E17:E19)</f>
        <v>31644807.722349633</v>
      </c>
      <c r="F14" s="973"/>
      <c r="G14" s="944"/>
      <c r="H14" s="944"/>
      <c r="I14" s="944"/>
      <c r="J14" s="974"/>
      <c r="K14" s="944"/>
      <c r="L14" s="944"/>
      <c r="M14" s="944"/>
      <c r="N14" s="975"/>
      <c r="O14" s="976"/>
      <c r="X14" s="939"/>
      <c r="Y14" s="968"/>
      <c r="Z14" s="939"/>
      <c r="AA14" s="969"/>
      <c r="AB14" s="969"/>
      <c r="AC14" s="969"/>
      <c r="AD14" s="939"/>
      <c r="AE14" s="939"/>
      <c r="AF14" s="939"/>
      <c r="AG14" s="939"/>
      <c r="AH14" s="939"/>
    </row>
    <row r="15" spans="1:43" s="938" customFormat="1">
      <c r="A15" s="941"/>
      <c r="B15" s="921" t="s">
        <v>795</v>
      </c>
      <c r="C15" s="971">
        <f>+D15/$D$13</f>
        <v>0.20959097745929026</v>
      </c>
      <c r="D15" s="913">
        <v>11456334</v>
      </c>
      <c r="E15" s="944">
        <f>+$E$12*C15</f>
        <v>8391182.2776503693</v>
      </c>
      <c r="F15" s="973">
        <v>1.0669999999999999</v>
      </c>
      <c r="G15" s="944">
        <f>ROUND((+D15*F15),0)</f>
        <v>12223908</v>
      </c>
      <c r="H15" s="944">
        <f>ROUND((+E15*F15),0)</f>
        <v>8953391</v>
      </c>
      <c r="I15" s="944">
        <f>+G15-D15-H15+E15</f>
        <v>205365.27765036933</v>
      </c>
      <c r="J15" s="974">
        <f>+G15-H15+I15</f>
        <v>3475882.2776503693</v>
      </c>
      <c r="K15" s="944">
        <f>ROUND(((+J15)/N15*12),0)</f>
        <v>86897</v>
      </c>
      <c r="L15" s="944">
        <f>+H15+K15</f>
        <v>9040288</v>
      </c>
      <c r="M15" s="944">
        <f>+G15-L15</f>
        <v>3183620</v>
      </c>
      <c r="N15" s="975">
        <v>480</v>
      </c>
      <c r="O15" s="976">
        <f>+N15-12</f>
        <v>468</v>
      </c>
      <c r="X15" s="939"/>
      <c r="Y15" s="968"/>
      <c r="Z15" s="939"/>
      <c r="AA15" s="969"/>
      <c r="AB15" s="969"/>
      <c r="AC15" s="969"/>
      <c r="AD15" s="939"/>
      <c r="AE15" s="939"/>
      <c r="AF15" s="939"/>
      <c r="AG15" s="939"/>
      <c r="AH15" s="939"/>
    </row>
    <row r="16" spans="1:43" s="938" customFormat="1" ht="15.75" thickBot="1">
      <c r="A16" s="941"/>
      <c r="B16" s="1088"/>
      <c r="C16" s="971"/>
      <c r="D16" s="1089"/>
      <c r="E16" s="944"/>
      <c r="F16" s="973"/>
      <c r="G16" s="944"/>
      <c r="H16" s="944"/>
      <c r="I16" s="944"/>
      <c r="J16" s="974"/>
      <c r="K16" s="944"/>
      <c r="L16" s="944"/>
      <c r="M16" s="944"/>
      <c r="N16" s="975"/>
      <c r="O16" s="976"/>
      <c r="X16" s="939"/>
      <c r="Y16" s="968"/>
      <c r="Z16" s="939"/>
      <c r="AA16" s="969"/>
      <c r="AB16" s="969"/>
      <c r="AC16" s="969"/>
      <c r="AD16" s="939"/>
      <c r="AE16" s="939"/>
      <c r="AF16" s="939"/>
      <c r="AG16" s="939"/>
      <c r="AH16" s="939"/>
    </row>
    <row r="17" spans="1:43" s="938" customFormat="1" ht="15.75" thickBot="1">
      <c r="A17" s="941"/>
      <c r="B17" s="1080" t="s">
        <v>792</v>
      </c>
      <c r="C17" s="1081">
        <f>+D17/$D$13</f>
        <v>0.26346967418023659</v>
      </c>
      <c r="D17" s="1082">
        <v>14401367</v>
      </c>
      <c r="E17" s="1083">
        <f>+$E$12*C17</f>
        <v>10548269.240783211</v>
      </c>
      <c r="F17" s="1084"/>
      <c r="G17" s="1083">
        <f>ROUND((+D17*F17),0)</f>
        <v>0</v>
      </c>
      <c r="H17" s="1083">
        <f>ROUND((+E17*F17),0)</f>
        <v>0</v>
      </c>
      <c r="I17" s="1083"/>
      <c r="J17" s="1085"/>
      <c r="K17" s="1083"/>
      <c r="L17" s="1083"/>
      <c r="M17" s="1083">
        <f>+D17-E17</f>
        <v>3853097.7592167892</v>
      </c>
      <c r="N17" s="1086"/>
      <c r="O17" s="1087"/>
      <c r="X17" s="939"/>
      <c r="Y17" s="968"/>
      <c r="Z17" s="939"/>
      <c r="AA17" s="969"/>
      <c r="AB17" s="969"/>
      <c r="AC17" s="969"/>
      <c r="AD17" s="939"/>
      <c r="AE17" s="939"/>
      <c r="AF17" s="939"/>
      <c r="AG17" s="939"/>
      <c r="AH17" s="939"/>
    </row>
    <row r="18" spans="1:43" s="938" customFormat="1" ht="15.75" thickBot="1">
      <c r="A18" s="941"/>
      <c r="B18" s="1080" t="s">
        <v>793</v>
      </c>
      <c r="C18" s="1081">
        <f>+D18/$D$13</f>
        <v>0.26346967418023659</v>
      </c>
      <c r="D18" s="1082">
        <v>14401367</v>
      </c>
      <c r="E18" s="1083">
        <f>+$E$12*C18</f>
        <v>10548269.240783211</v>
      </c>
      <c r="F18" s="1084"/>
      <c r="G18" s="1083">
        <f>ROUND((+D18*F18),0)</f>
        <v>0</v>
      </c>
      <c r="H18" s="1083">
        <f>ROUND((+E18*F18),0)</f>
        <v>0</v>
      </c>
      <c r="I18" s="1083"/>
      <c r="J18" s="1085"/>
      <c r="K18" s="1083"/>
      <c r="L18" s="1083"/>
      <c r="M18" s="1083">
        <f>+D18-E18</f>
        <v>3853097.7592167892</v>
      </c>
      <c r="N18" s="1086"/>
      <c r="O18" s="1087"/>
      <c r="X18" s="939"/>
      <c r="Y18" s="968"/>
      <c r="Z18" s="939"/>
      <c r="AA18" s="969"/>
      <c r="AB18" s="969"/>
      <c r="AC18" s="969"/>
      <c r="AD18" s="939"/>
      <c r="AE18" s="939"/>
      <c r="AF18" s="939"/>
      <c r="AG18" s="939"/>
      <c r="AH18" s="939"/>
    </row>
    <row r="19" spans="1:43" s="938" customFormat="1" ht="15.75" thickBot="1">
      <c r="A19" s="941"/>
      <c r="B19" s="1080" t="s">
        <v>794</v>
      </c>
      <c r="C19" s="1081">
        <f>+D19/$D$13</f>
        <v>0.26346967418023659</v>
      </c>
      <c r="D19" s="1082">
        <v>14401367</v>
      </c>
      <c r="E19" s="1083">
        <f>+$E$12*C19</f>
        <v>10548269.240783211</v>
      </c>
      <c r="F19" s="1084"/>
      <c r="G19" s="1083">
        <f>ROUND((+D19*F19),0)</f>
        <v>0</v>
      </c>
      <c r="H19" s="1083">
        <f>ROUND((+E19*F19),0)</f>
        <v>0</v>
      </c>
      <c r="I19" s="1083"/>
      <c r="J19" s="1085"/>
      <c r="K19" s="1083"/>
      <c r="L19" s="1083"/>
      <c r="M19" s="1083">
        <f>+D19-E19</f>
        <v>3853097.7592167892</v>
      </c>
      <c r="N19" s="1086"/>
      <c r="O19" s="1087"/>
      <c r="X19" s="939"/>
      <c r="Y19" s="968"/>
      <c r="Z19" s="939"/>
      <c r="AA19" s="969"/>
      <c r="AB19" s="969"/>
      <c r="AC19" s="969"/>
      <c r="AD19" s="939"/>
      <c r="AE19" s="939"/>
      <c r="AF19" s="939"/>
      <c r="AG19" s="939"/>
      <c r="AH19" s="939"/>
    </row>
    <row r="20" spans="1:43" s="938" customFormat="1" ht="15.75" thickBot="1">
      <c r="A20" s="941"/>
      <c r="B20" s="1080"/>
      <c r="C20" s="1081"/>
      <c r="D20" s="1082"/>
      <c r="E20" s="1090"/>
      <c r="F20" s="1084"/>
      <c r="G20" s="1083"/>
      <c r="H20" s="1083"/>
      <c r="I20" s="1083"/>
      <c r="J20" s="1085"/>
      <c r="K20" s="1083"/>
      <c r="L20" s="1083"/>
      <c r="M20" s="1083"/>
      <c r="N20" s="1086"/>
      <c r="O20" s="1087"/>
      <c r="X20" s="939"/>
      <c r="Y20" s="968"/>
      <c r="Z20" s="939"/>
      <c r="AA20" s="969"/>
      <c r="AB20" s="969"/>
      <c r="AC20" s="969"/>
      <c r="AD20" s="939"/>
      <c r="AE20" s="939"/>
      <c r="AF20" s="939"/>
      <c r="AG20" s="939"/>
      <c r="AH20" s="939"/>
    </row>
    <row r="21" spans="1:43" s="938" customFormat="1" ht="15.75" thickBot="1">
      <c r="A21" s="941"/>
      <c r="B21" s="925"/>
      <c r="C21" s="971">
        <f>SUM(C15:C19)</f>
        <v>1</v>
      </c>
      <c r="D21" s="926">
        <f>SUM(D15:D19)</f>
        <v>54660435</v>
      </c>
      <c r="E21" s="926">
        <f>SUM(E15:E19)</f>
        <v>40035990</v>
      </c>
      <c r="F21" s="973"/>
      <c r="G21" s="944"/>
      <c r="H21" s="944"/>
      <c r="I21" s="944"/>
      <c r="J21" s="974"/>
      <c r="K21" s="944"/>
      <c r="L21" s="944"/>
      <c r="M21" s="944"/>
      <c r="N21" s="975"/>
      <c r="O21" s="976"/>
      <c r="X21" s="939"/>
      <c r="Y21" s="968"/>
      <c r="Z21" s="939"/>
      <c r="AA21" s="969"/>
      <c r="AB21" s="969"/>
      <c r="AC21" s="969"/>
      <c r="AD21" s="939"/>
      <c r="AE21" s="939"/>
      <c r="AF21" s="939"/>
      <c r="AG21" s="939"/>
      <c r="AH21" s="939"/>
    </row>
    <row r="22" spans="1:43" s="938" customFormat="1" ht="15.75" thickBot="1">
      <c r="A22" s="941"/>
      <c r="B22" s="925"/>
      <c r="C22" s="971"/>
      <c r="D22" s="926"/>
      <c r="E22" s="926"/>
      <c r="F22" s="973"/>
      <c r="G22" s="944"/>
      <c r="H22" s="944"/>
      <c r="I22" s="944"/>
      <c r="J22" s="974"/>
      <c r="K22" s="944"/>
      <c r="L22" s="944"/>
      <c r="M22" s="944"/>
      <c r="N22" s="975"/>
      <c r="O22" s="976"/>
      <c r="X22" s="939"/>
      <c r="Y22" s="968"/>
      <c r="Z22" s="939"/>
      <c r="AA22" s="969"/>
      <c r="AB22" s="969"/>
      <c r="AC22" s="969"/>
      <c r="AD22" s="939"/>
      <c r="AE22" s="939"/>
      <c r="AF22" s="939"/>
      <c r="AG22" s="939"/>
      <c r="AH22" s="939"/>
    </row>
    <row r="23" spans="1:43" s="938" customFormat="1" ht="15.75" thickBot="1">
      <c r="A23" s="941"/>
      <c r="B23" s="921" t="s">
        <v>795</v>
      </c>
      <c r="C23" s="971"/>
      <c r="D23" s="913">
        <v>11456334</v>
      </c>
      <c r="E23" s="944">
        <v>8391182.2776503693</v>
      </c>
      <c r="F23" s="973">
        <v>1.0669999999999999</v>
      </c>
      <c r="G23" s="944">
        <f>ROUND((+D23*F23),0)</f>
        <v>12223908</v>
      </c>
      <c r="H23" s="944">
        <f>ROUND((+E23*F23),0)</f>
        <v>8953391</v>
      </c>
      <c r="I23" s="944">
        <f>+G23-D23-H23+E23</f>
        <v>205365.27765036933</v>
      </c>
      <c r="J23" s="974">
        <f>+G23-H23+I23</f>
        <v>3475882.2776503693</v>
      </c>
      <c r="K23" s="944">
        <f>ROUND(((+J23)/N23*12),0)</f>
        <v>496555</v>
      </c>
      <c r="L23" s="944">
        <f>+H23+K23</f>
        <v>9449946</v>
      </c>
      <c r="M23" s="944">
        <f>+G23-L23</f>
        <v>2773962</v>
      </c>
      <c r="N23" s="975">
        <v>84</v>
      </c>
      <c r="O23" s="976">
        <f>+N23-12-12-12-12</f>
        <v>36</v>
      </c>
      <c r="X23" s="939"/>
      <c r="Y23" s="968"/>
      <c r="Z23" s="939"/>
      <c r="AA23" s="969"/>
      <c r="AB23" s="969"/>
      <c r="AC23" s="969"/>
      <c r="AD23" s="939"/>
      <c r="AE23" s="939"/>
      <c r="AF23" s="939"/>
      <c r="AG23" s="939"/>
      <c r="AH23" s="939"/>
    </row>
    <row r="24" spans="1:43" s="938" customFormat="1" ht="15.75" thickBot="1">
      <c r="A24" s="941"/>
      <c r="B24" s="929" t="s">
        <v>786</v>
      </c>
      <c r="C24" s="971"/>
      <c r="D24" s="930">
        <v>18027096</v>
      </c>
      <c r="E24" s="944"/>
      <c r="F24" s="973">
        <v>1</v>
      </c>
      <c r="G24" s="944">
        <f>ROUND((+D24*F24),0)</f>
        <v>18027096</v>
      </c>
      <c r="H24" s="944">
        <f>ROUND((+E24*F24),0)</f>
        <v>0</v>
      </c>
      <c r="I24" s="944">
        <f>+G24-D24-H24+E24</f>
        <v>0</v>
      </c>
      <c r="J24" s="974">
        <f>+G24-H24+I24</f>
        <v>18027096</v>
      </c>
      <c r="K24" s="944">
        <f>ROUND(((+J24)/N24*1),0)</f>
        <v>214608</v>
      </c>
      <c r="L24" s="944">
        <f>+H24+K24</f>
        <v>214608</v>
      </c>
      <c r="M24" s="944">
        <f>+G24-L24</f>
        <v>17812488</v>
      </c>
      <c r="N24" s="975">
        <v>84</v>
      </c>
      <c r="O24" s="976">
        <f>+N24-1</f>
        <v>83</v>
      </c>
      <c r="X24" s="939"/>
      <c r="Y24" s="968"/>
      <c r="Z24" s="939"/>
      <c r="AA24" s="969"/>
      <c r="AB24" s="969"/>
      <c r="AC24" s="969"/>
      <c r="AD24" s="939"/>
      <c r="AE24" s="939"/>
      <c r="AF24" s="939"/>
      <c r="AG24" s="939"/>
      <c r="AH24" s="939"/>
    </row>
    <row r="25" spans="1:43" s="938" customFormat="1" ht="15.75" thickBot="1">
      <c r="A25" s="941"/>
      <c r="B25" s="929" t="s">
        <v>787</v>
      </c>
      <c r="C25" s="971"/>
      <c r="D25" s="930">
        <v>16295680</v>
      </c>
      <c r="E25" s="944"/>
      <c r="F25" s="973">
        <v>1</v>
      </c>
      <c r="G25" s="944">
        <f>ROUND((+D25*F25),0)</f>
        <v>16295680</v>
      </c>
      <c r="H25" s="944">
        <f>ROUND((+E25*F25),0)</f>
        <v>0</v>
      </c>
      <c r="I25" s="944">
        <f>+G25-D25-H25+E25</f>
        <v>0</v>
      </c>
      <c r="J25" s="974">
        <f>+G25-H25+I25</f>
        <v>16295680</v>
      </c>
      <c r="K25" s="944">
        <f>ROUND(((+J25)/N25*1),0)</f>
        <v>193996</v>
      </c>
      <c r="L25" s="944">
        <f>+H25+K25</f>
        <v>193996</v>
      </c>
      <c r="M25" s="944">
        <f>+G25-L25</f>
        <v>16101684</v>
      </c>
      <c r="N25" s="975">
        <v>84</v>
      </c>
      <c r="O25" s="976">
        <f>+N25-1</f>
        <v>83</v>
      </c>
      <c r="X25" s="939"/>
      <c r="Y25" s="968"/>
      <c r="Z25" s="939"/>
      <c r="AA25" s="969"/>
      <c r="AB25" s="969"/>
      <c r="AC25" s="969"/>
      <c r="AD25" s="939"/>
      <c r="AE25" s="939"/>
      <c r="AF25" s="939"/>
      <c r="AG25" s="939"/>
      <c r="AH25" s="939"/>
    </row>
    <row r="26" spans="1:43" s="938" customFormat="1" ht="15.75" thickBot="1">
      <c r="A26" s="941"/>
      <c r="B26" s="929" t="s">
        <v>787</v>
      </c>
      <c r="C26" s="971"/>
      <c r="D26" s="930">
        <v>16295680</v>
      </c>
      <c r="E26" s="944"/>
      <c r="F26" s="973">
        <v>1</v>
      </c>
      <c r="G26" s="944">
        <f>ROUND((+D26*F26),0)</f>
        <v>16295680</v>
      </c>
      <c r="H26" s="944">
        <f>ROUND((+E26*F26),0)</f>
        <v>0</v>
      </c>
      <c r="I26" s="944">
        <f>+G26-D26-H26+E26</f>
        <v>0</v>
      </c>
      <c r="J26" s="974">
        <f>+G26-H26+I26</f>
        <v>16295680</v>
      </c>
      <c r="K26" s="944">
        <f>ROUND(((+J26)/N26*1),0)</f>
        <v>193996</v>
      </c>
      <c r="L26" s="944">
        <f>+H26+K26</f>
        <v>193996</v>
      </c>
      <c r="M26" s="944">
        <f>+G26-L26</f>
        <v>16101684</v>
      </c>
      <c r="N26" s="975">
        <v>84</v>
      </c>
      <c r="O26" s="976">
        <f>+N26-1</f>
        <v>83</v>
      </c>
      <c r="X26" s="939"/>
      <c r="Y26" s="968"/>
      <c r="Z26" s="939"/>
      <c r="AA26" s="969"/>
      <c r="AB26" s="969"/>
      <c r="AC26" s="969"/>
      <c r="AD26" s="939"/>
      <c r="AE26" s="939"/>
      <c r="AF26" s="939"/>
      <c r="AG26" s="939"/>
      <c r="AH26" s="939"/>
    </row>
    <row r="27" spans="1:43" s="938" customFormat="1">
      <c r="A27" s="941"/>
      <c r="B27" s="970"/>
      <c r="C27" s="971"/>
      <c r="D27" s="972"/>
      <c r="E27" s="944"/>
      <c r="F27" s="973"/>
      <c r="G27" s="944"/>
      <c r="H27" s="944"/>
      <c r="I27" s="944"/>
      <c r="J27" s="974"/>
      <c r="K27" s="944"/>
      <c r="L27" s="944"/>
      <c r="M27" s="944"/>
      <c r="N27" s="975"/>
      <c r="O27" s="976"/>
      <c r="X27" s="939"/>
      <c r="Y27" s="968"/>
      <c r="Z27" s="939"/>
      <c r="AA27" s="969"/>
      <c r="AB27" s="969"/>
      <c r="AC27" s="969"/>
      <c r="AD27" s="939"/>
      <c r="AE27" s="939"/>
      <c r="AF27" s="939"/>
      <c r="AG27" s="939"/>
      <c r="AH27" s="939"/>
    </row>
    <row r="28" spans="1:43" s="938" customFormat="1">
      <c r="A28" s="977" t="s">
        <v>889</v>
      </c>
      <c r="B28" s="978"/>
      <c r="C28" s="979"/>
      <c r="D28" s="980"/>
      <c r="E28" s="980"/>
      <c r="F28" s="973"/>
      <c r="G28" s="944"/>
      <c r="H28" s="944"/>
      <c r="I28" s="944"/>
      <c r="J28" s="944"/>
      <c r="K28" s="944"/>
      <c r="L28" s="944"/>
      <c r="M28" s="944"/>
      <c r="N28" s="975"/>
      <c r="O28" s="976"/>
      <c r="X28" s="939"/>
      <c r="Y28" s="968"/>
      <c r="Z28" s="939"/>
      <c r="AA28" s="969">
        <f>SUM(AA8:AA10)</f>
        <v>8363399</v>
      </c>
      <c r="AB28" s="969"/>
      <c r="AC28" s="969"/>
      <c r="AD28" s="939"/>
      <c r="AE28" s="939"/>
      <c r="AF28" s="939"/>
      <c r="AG28" s="939"/>
      <c r="AH28" s="939"/>
      <c r="AO28" s="938">
        <v>0</v>
      </c>
    </row>
    <row r="29" spans="1:43" s="938" customFormat="1" ht="15.75" thickBot="1">
      <c r="A29" s="977"/>
      <c r="B29" s="981"/>
      <c r="C29" s="982"/>
      <c r="D29" s="983">
        <f>SUM(D23:D28)</f>
        <v>62074790</v>
      </c>
      <c r="E29" s="983">
        <f t="shared" ref="E29:M29" si="0">SUM(E23:E28)</f>
        <v>8391182.2776503693</v>
      </c>
      <c r="F29" s="983">
        <f t="shared" si="0"/>
        <v>4.0670000000000002</v>
      </c>
      <c r="G29" s="983">
        <f t="shared" si="0"/>
        <v>62842364</v>
      </c>
      <c r="H29" s="983">
        <f t="shared" si="0"/>
        <v>8953391</v>
      </c>
      <c r="I29" s="983">
        <f t="shared" si="0"/>
        <v>205365.27765036933</v>
      </c>
      <c r="J29" s="983">
        <f t="shared" si="0"/>
        <v>54094338.277650371</v>
      </c>
      <c r="K29" s="983">
        <f t="shared" si="0"/>
        <v>1099155</v>
      </c>
      <c r="L29" s="983">
        <f t="shared" si="0"/>
        <v>10052546</v>
      </c>
      <c r="M29" s="983">
        <f t="shared" si="0"/>
        <v>52789818</v>
      </c>
      <c r="N29" s="983"/>
      <c r="O29" s="983"/>
      <c r="X29" s="939"/>
      <c r="Y29" s="968"/>
      <c r="Z29" s="939"/>
      <c r="AA29" s="969"/>
      <c r="AB29" s="969"/>
      <c r="AC29" s="969"/>
      <c r="AD29" s="939"/>
      <c r="AE29" s="939"/>
      <c r="AF29" s="939"/>
      <c r="AG29" s="939"/>
      <c r="AH29" s="939"/>
      <c r="AL29" s="938">
        <v>81217191</v>
      </c>
      <c r="AM29" s="938">
        <v>19808285</v>
      </c>
      <c r="AN29" s="938">
        <v>1263063</v>
      </c>
      <c r="AO29" s="938">
        <v>62671969</v>
      </c>
      <c r="AP29" s="938">
        <v>16414518</v>
      </c>
      <c r="AQ29" s="938">
        <v>36222803</v>
      </c>
    </row>
    <row r="30" spans="1:43" s="938" customFormat="1" ht="15.75" thickTop="1">
      <c r="A30" s="977"/>
      <c r="B30" s="536"/>
      <c r="C30" s="968"/>
      <c r="D30" s="969"/>
      <c r="E30" s="985"/>
      <c r="F30" s="986"/>
      <c r="G30" s="987">
        <f>+G29-D29</f>
        <v>767574</v>
      </c>
      <c r="H30" s="987">
        <f>+H29-E29</f>
        <v>562208.72234963067</v>
      </c>
      <c r="I30" s="985"/>
      <c r="K30" s="985"/>
      <c r="L30" s="988" t="s">
        <v>824</v>
      </c>
      <c r="M30" s="989"/>
      <c r="N30" s="985"/>
      <c r="O30" s="985"/>
      <c r="P30" s="985"/>
      <c r="X30" s="939"/>
      <c r="Y30" s="968">
        <v>40460</v>
      </c>
      <c r="Z30" s="939" t="s">
        <v>825</v>
      </c>
      <c r="AA30" s="990">
        <v>30000000</v>
      </c>
      <c r="AB30" s="969">
        <v>5700000</v>
      </c>
      <c r="AC30" s="969">
        <v>35700000</v>
      </c>
      <c r="AD30" s="939"/>
      <c r="AE30" s="428">
        <v>40422</v>
      </c>
      <c r="AF30" s="939"/>
      <c r="AG30" s="939"/>
      <c r="AH30" s="939"/>
    </row>
    <row r="31" spans="1:43" s="938" customFormat="1" ht="23.25" customHeight="1">
      <c r="A31" s="977"/>
      <c r="B31" s="991"/>
      <c r="C31" s="992"/>
      <c r="D31" s="992"/>
      <c r="E31" s="992"/>
      <c r="F31" s="993"/>
      <c r="G31" s="994" t="s">
        <v>826</v>
      </c>
      <c r="H31" s="935"/>
      <c r="I31" s="995" t="s">
        <v>827</v>
      </c>
      <c r="J31" s="995" t="s">
        <v>828</v>
      </c>
      <c r="K31" s="996"/>
      <c r="L31" s="996"/>
      <c r="M31" s="997"/>
      <c r="N31" s="998"/>
      <c r="O31" s="999"/>
      <c r="X31" s="939"/>
      <c r="Y31" s="968">
        <v>40526</v>
      </c>
      <c r="Z31" s="939" t="s">
        <v>829</v>
      </c>
      <c r="AA31" s="990">
        <v>14820000</v>
      </c>
      <c r="AB31" s="969">
        <v>2815800</v>
      </c>
      <c r="AC31" s="969">
        <v>17635800</v>
      </c>
      <c r="AD31" s="939"/>
      <c r="AE31" s="428">
        <v>40452</v>
      </c>
      <c r="AF31" s="939"/>
      <c r="AG31" s="939"/>
      <c r="AH31" s="939"/>
    </row>
    <row r="32" spans="1:43" s="938" customFormat="1" ht="5.25" customHeight="1">
      <c r="A32" s="977"/>
      <c r="B32" s="763"/>
      <c r="C32" s="992"/>
      <c r="D32" s="996"/>
      <c r="E32" s="992"/>
      <c r="F32" s="993"/>
      <c r="G32" s="993"/>
      <c r="H32" s="935"/>
      <c r="I32" s="996"/>
      <c r="J32" s="996"/>
      <c r="K32" s="996"/>
      <c r="L32" s="996"/>
      <c r="M32" s="989"/>
      <c r="N32" s="998"/>
      <c r="O32" s="999"/>
      <c r="P32" s="1000"/>
      <c r="X32" s="939"/>
      <c r="Y32" s="968">
        <v>40511</v>
      </c>
      <c r="Z32" s="939" t="s">
        <v>830</v>
      </c>
      <c r="AA32" s="990">
        <v>2000000</v>
      </c>
      <c r="AB32" s="969">
        <v>380000</v>
      </c>
      <c r="AC32" s="969">
        <v>2380000</v>
      </c>
      <c r="AD32" s="939"/>
      <c r="AE32" s="428">
        <v>40483</v>
      </c>
      <c r="AF32" s="939"/>
      <c r="AG32" s="939"/>
      <c r="AH32" s="939"/>
    </row>
    <row r="33" spans="1:34" s="938" customFormat="1">
      <c r="A33" s="977"/>
      <c r="B33" s="1001" t="s">
        <v>831</v>
      </c>
      <c r="C33" s="1002"/>
      <c r="D33" s="1003">
        <f>+G29</f>
        <v>62842364</v>
      </c>
      <c r="E33" s="992"/>
      <c r="F33" s="994"/>
      <c r="G33" s="1004" t="s">
        <v>832</v>
      </c>
      <c r="H33" s="1005"/>
      <c r="I33" s="1003">
        <f>+G30</f>
        <v>767574</v>
      </c>
      <c r="J33" s="1006"/>
      <c r="K33" s="996"/>
      <c r="L33" s="996"/>
      <c r="M33" s="1007">
        <f>7*12</f>
        <v>84</v>
      </c>
      <c r="N33" s="998"/>
      <c r="O33" s="999"/>
      <c r="P33" s="1000"/>
      <c r="X33" s="939"/>
      <c r="Y33" s="968">
        <v>40511</v>
      </c>
      <c r="Z33" s="939" t="s">
        <v>833</v>
      </c>
      <c r="AA33" s="990">
        <v>1000000</v>
      </c>
      <c r="AB33" s="969">
        <v>190000</v>
      </c>
      <c r="AC33" s="969">
        <v>1190000</v>
      </c>
      <c r="AD33" s="939"/>
      <c r="AE33" s="428">
        <v>40513</v>
      </c>
      <c r="AF33" s="939"/>
      <c r="AG33" s="939"/>
      <c r="AH33" s="939"/>
    </row>
    <row r="34" spans="1:34" s="938" customFormat="1">
      <c r="A34" s="977"/>
      <c r="B34" s="1008"/>
      <c r="C34" s="1009"/>
      <c r="D34" s="1010"/>
      <c r="E34" s="992"/>
      <c r="F34" s="994"/>
      <c r="G34" s="1011"/>
      <c r="H34" s="1012"/>
      <c r="I34" s="1010"/>
      <c r="J34" s="1013"/>
      <c r="K34" s="996"/>
      <c r="L34" s="996"/>
      <c r="M34" s="1007"/>
      <c r="N34" s="998"/>
      <c r="O34" s="999"/>
      <c r="P34" s="1000"/>
      <c r="X34" s="939"/>
      <c r="Y34" s="968"/>
      <c r="Z34" s="939"/>
      <c r="AA34" s="990"/>
      <c r="AB34" s="969"/>
      <c r="AC34" s="969"/>
      <c r="AD34" s="939"/>
      <c r="AE34" s="1014"/>
      <c r="AF34" s="939"/>
      <c r="AG34" s="939"/>
      <c r="AH34" s="939"/>
    </row>
    <row r="35" spans="1:34" s="938" customFormat="1">
      <c r="A35" s="977"/>
      <c r="B35" s="1008" t="s">
        <v>834</v>
      </c>
      <c r="C35" s="1009"/>
      <c r="D35" s="1010"/>
      <c r="E35" s="992"/>
      <c r="F35" s="994"/>
      <c r="G35" s="1015" t="s">
        <v>835</v>
      </c>
      <c r="H35" s="1016"/>
      <c r="I35" s="1017"/>
      <c r="J35" s="1018">
        <f>+I33+I34</f>
        <v>767574</v>
      </c>
      <c r="K35" s="996"/>
      <c r="L35" s="996">
        <f>+J35-I37-J41</f>
        <v>-893789.72234963067</v>
      </c>
      <c r="M35" s="1007"/>
      <c r="N35" s="998"/>
      <c r="O35" s="999"/>
      <c r="P35" s="1000"/>
      <c r="X35" s="939"/>
      <c r="Y35" s="968"/>
      <c r="Z35" s="939"/>
      <c r="AA35" s="990"/>
      <c r="AB35" s="969"/>
      <c r="AC35" s="969"/>
      <c r="AD35" s="939"/>
      <c r="AE35" s="1014"/>
      <c r="AF35" s="939"/>
      <c r="AG35" s="939"/>
      <c r="AH35" s="939"/>
    </row>
    <row r="36" spans="1:34" s="938" customFormat="1">
      <c r="A36" s="977"/>
      <c r="B36" s="1008"/>
      <c r="C36" s="1009"/>
      <c r="D36" s="1010"/>
      <c r="E36" s="992"/>
      <c r="F36" s="994"/>
      <c r="G36" s="1011"/>
      <c r="H36" s="1012"/>
      <c r="I36" s="1010"/>
      <c r="J36" s="1013"/>
      <c r="K36" s="996"/>
      <c r="L36" s="996"/>
      <c r="M36" s="1007"/>
      <c r="N36" s="998"/>
      <c r="O36" s="999"/>
      <c r="P36" s="1000"/>
      <c r="X36" s="939"/>
      <c r="Y36" s="968"/>
      <c r="Z36" s="939"/>
      <c r="AA36" s="990"/>
      <c r="AB36" s="969"/>
      <c r="AC36" s="969"/>
      <c r="AD36" s="939"/>
      <c r="AE36" s="1014"/>
      <c r="AF36" s="939"/>
      <c r="AG36" s="939"/>
      <c r="AH36" s="939"/>
    </row>
    <row r="37" spans="1:34" s="938" customFormat="1">
      <c r="A37" s="977"/>
      <c r="B37" s="1008" t="s">
        <v>836</v>
      </c>
      <c r="C37" s="1009"/>
      <c r="D37" s="1010">
        <f>-H29</f>
        <v>-8953391</v>
      </c>
      <c r="E37" s="992"/>
      <c r="F37" s="994"/>
      <c r="G37" s="1004" t="s">
        <v>835</v>
      </c>
      <c r="H37" s="1005"/>
      <c r="I37" s="1019">
        <f>+J38</f>
        <v>562208.72234963067</v>
      </c>
      <c r="J37" s="1006"/>
      <c r="K37" s="996"/>
      <c r="L37" s="996"/>
      <c r="M37" s="1007"/>
      <c r="N37" s="998"/>
      <c r="O37" s="999"/>
      <c r="P37" s="1000"/>
      <c r="X37" s="939"/>
      <c r="Y37" s="968"/>
      <c r="Z37" s="939"/>
      <c r="AA37" s="990"/>
      <c r="AB37" s="969"/>
      <c r="AC37" s="969"/>
      <c r="AD37" s="939"/>
      <c r="AE37" s="1014"/>
      <c r="AF37" s="939"/>
      <c r="AG37" s="939"/>
      <c r="AH37" s="939"/>
    </row>
    <row r="38" spans="1:34" s="938" customFormat="1">
      <c r="A38" s="977"/>
      <c r="B38" s="1008"/>
      <c r="C38" s="1009"/>
      <c r="D38" s="1010"/>
      <c r="E38" s="992"/>
      <c r="F38" s="994"/>
      <c r="G38" s="1020" t="s">
        <v>837</v>
      </c>
      <c r="H38" s="1016"/>
      <c r="I38" s="1017"/>
      <c r="J38" s="1021">
        <f>+H29-E29</f>
        <v>562208.72234963067</v>
      </c>
      <c r="K38" s="996"/>
      <c r="L38" s="996"/>
      <c r="M38" s="1007"/>
      <c r="N38" s="998"/>
      <c r="O38" s="999"/>
      <c r="P38" s="1000"/>
      <c r="X38" s="939"/>
      <c r="Y38" s="968"/>
      <c r="Z38" s="939"/>
      <c r="AA38" s="990"/>
      <c r="AB38" s="969"/>
      <c r="AC38" s="969"/>
      <c r="AD38" s="939"/>
      <c r="AE38" s="1014"/>
      <c r="AF38" s="939"/>
      <c r="AG38" s="939"/>
      <c r="AH38" s="939"/>
    </row>
    <row r="39" spans="1:34" s="938" customFormat="1">
      <c r="A39" s="977"/>
      <c r="B39" s="1022" t="s">
        <v>838</v>
      </c>
      <c r="C39" s="1023"/>
      <c r="D39" s="1017">
        <f>-K29</f>
        <v>-1099155</v>
      </c>
      <c r="E39" s="992"/>
      <c r="F39" s="994"/>
      <c r="G39" s="1004"/>
      <c r="H39" s="1005"/>
      <c r="I39" s="1003"/>
      <c r="J39" s="1006"/>
      <c r="K39" s="996"/>
      <c r="L39" s="996"/>
      <c r="M39" s="1007"/>
      <c r="N39" s="998"/>
      <c r="O39" s="999"/>
      <c r="P39" s="1000"/>
      <c r="X39" s="939"/>
      <c r="Y39" s="968"/>
      <c r="Z39" s="939"/>
      <c r="AA39" s="990"/>
      <c r="AB39" s="969"/>
      <c r="AC39" s="969"/>
      <c r="AD39" s="939"/>
      <c r="AE39" s="1014"/>
      <c r="AF39" s="939"/>
      <c r="AG39" s="939"/>
      <c r="AH39" s="939"/>
    </row>
    <row r="40" spans="1:34" s="938" customFormat="1">
      <c r="A40" s="977"/>
      <c r="B40" s="1001"/>
      <c r="C40" s="1002"/>
      <c r="D40" s="1024"/>
      <c r="E40" s="992"/>
      <c r="F40" s="994"/>
      <c r="G40" s="1025" t="s">
        <v>839</v>
      </c>
      <c r="H40" s="1012"/>
      <c r="I40" s="1026">
        <f>+K29</f>
        <v>1099155</v>
      </c>
      <c r="J40" s="1013"/>
      <c r="K40" s="996"/>
      <c r="L40" s="996"/>
      <c r="M40" s="1007"/>
      <c r="N40" s="998"/>
      <c r="O40" s="999"/>
      <c r="P40" s="1000"/>
      <c r="X40" s="939"/>
      <c r="Y40" s="968"/>
      <c r="Z40" s="939"/>
      <c r="AA40" s="990"/>
      <c r="AB40" s="969"/>
      <c r="AC40" s="969"/>
      <c r="AD40" s="939"/>
      <c r="AE40" s="1014"/>
      <c r="AF40" s="939"/>
      <c r="AG40" s="939"/>
      <c r="AH40" s="939"/>
    </row>
    <row r="41" spans="1:34" s="938" customFormat="1">
      <c r="A41" s="977"/>
      <c r="B41" s="1022" t="s">
        <v>140</v>
      </c>
      <c r="C41" s="1023"/>
      <c r="D41" s="1027">
        <f>+D33+D35+D39+D37</f>
        <v>52789818</v>
      </c>
      <c r="E41" s="992"/>
      <c r="F41" s="992"/>
      <c r="G41" s="1020" t="s">
        <v>837</v>
      </c>
      <c r="H41" s="1016"/>
      <c r="I41" s="1017"/>
      <c r="J41" s="1021">
        <f>+I40</f>
        <v>1099155</v>
      </c>
      <c r="K41" s="996"/>
      <c r="L41" s="996"/>
      <c r="M41" s="1007"/>
      <c r="N41" s="998"/>
      <c r="O41" s="999"/>
      <c r="P41" s="1000"/>
      <c r="X41" s="939"/>
      <c r="Y41" s="968"/>
      <c r="Z41" s="939"/>
      <c r="AA41" s="990"/>
      <c r="AB41" s="969"/>
      <c r="AC41" s="969"/>
      <c r="AD41" s="939"/>
      <c r="AE41" s="1014"/>
      <c r="AF41" s="939"/>
      <c r="AG41" s="939"/>
      <c r="AH41" s="939"/>
    </row>
    <row r="42" spans="1:34" s="938" customFormat="1">
      <c r="A42" s="977"/>
      <c r="B42" s="536"/>
      <c r="C42" s="968"/>
      <c r="D42" s="969"/>
      <c r="E42" s="430"/>
      <c r="F42" s="994"/>
      <c r="G42" s="1025"/>
      <c r="H42" s="1012"/>
      <c r="I42" s="1010"/>
      <c r="J42" s="1013"/>
      <c r="K42" s="996"/>
      <c r="L42" s="996"/>
      <c r="M42" s="1007"/>
      <c r="N42" s="998"/>
      <c r="O42" s="999"/>
      <c r="P42" s="1000"/>
      <c r="X42" s="939"/>
      <c r="Y42" s="968"/>
      <c r="Z42" s="939"/>
      <c r="AA42" s="990"/>
      <c r="AB42" s="969"/>
      <c r="AC42" s="969"/>
      <c r="AD42" s="939"/>
      <c r="AE42" s="1014"/>
      <c r="AF42" s="939"/>
      <c r="AG42" s="939"/>
      <c r="AH42" s="939"/>
    </row>
    <row r="43" spans="1:34" s="938" customFormat="1">
      <c r="A43" s="977"/>
      <c r="B43" s="536"/>
      <c r="C43" s="968"/>
      <c r="D43" s="969"/>
      <c r="E43" s="430"/>
      <c r="F43" s="994"/>
      <c r="G43" s="1020"/>
      <c r="H43" s="1016"/>
      <c r="I43" s="1017"/>
      <c r="J43" s="1021"/>
      <c r="K43" s="996"/>
      <c r="L43" s="996"/>
      <c r="M43" s="1028"/>
      <c r="N43" s="998"/>
      <c r="O43" s="999"/>
      <c r="P43" s="1000"/>
      <c r="X43" s="939"/>
      <c r="Y43" s="968">
        <v>40508</v>
      </c>
      <c r="Z43" s="939" t="s">
        <v>840</v>
      </c>
      <c r="AA43" s="990">
        <v>28500000</v>
      </c>
      <c r="AB43" s="969">
        <v>5415000</v>
      </c>
      <c r="AC43" s="969">
        <v>33915000</v>
      </c>
      <c r="AD43" s="939"/>
      <c r="AE43" s="939"/>
      <c r="AF43" s="939"/>
      <c r="AG43" s="939"/>
      <c r="AH43" s="939"/>
    </row>
    <row r="44" spans="1:34" s="938" customFormat="1" ht="15.75" thickBot="1">
      <c r="A44" s="977"/>
      <c r="B44" s="536"/>
      <c r="C44" s="968"/>
      <c r="D44" s="969"/>
      <c r="E44" s="430"/>
      <c r="F44" s="992"/>
      <c r="G44" s="1029"/>
      <c r="H44" s="1030" t="s">
        <v>212</v>
      </c>
      <c r="I44" s="1031">
        <f>SUM(I30:I43)</f>
        <v>2428937.7223496307</v>
      </c>
      <c r="J44" s="1031">
        <f>SUM(J30:J43)</f>
        <v>2428937.7223496307</v>
      </c>
      <c r="K44" s="996"/>
      <c r="L44" s="996"/>
      <c r="M44" s="1032"/>
      <c r="N44" s="998"/>
      <c r="O44" s="999"/>
      <c r="P44" s="1000"/>
      <c r="X44" s="939"/>
      <c r="Y44" s="968">
        <v>40512</v>
      </c>
      <c r="Z44" s="939" t="s">
        <v>841</v>
      </c>
      <c r="AA44" s="990">
        <v>6800000</v>
      </c>
      <c r="AB44" s="969">
        <v>1292000</v>
      </c>
      <c r="AC44" s="969">
        <v>8092000</v>
      </c>
      <c r="AD44" s="939"/>
      <c r="AE44" s="939"/>
      <c r="AF44" s="939"/>
      <c r="AG44" s="939"/>
      <c r="AH44" s="939"/>
    </row>
    <row r="45" spans="1:34" s="938" customFormat="1" ht="16.5" thickTop="1" thickBot="1">
      <c r="A45" s="977"/>
      <c r="B45" s="536"/>
      <c r="C45" s="968"/>
      <c r="D45" s="969"/>
      <c r="E45" s="430"/>
      <c r="F45" s="993"/>
      <c r="G45" s="993"/>
      <c r="H45" s="993"/>
      <c r="I45" s="996"/>
      <c r="J45" s="996"/>
      <c r="K45" s="996"/>
      <c r="L45" s="996"/>
      <c r="M45" s="985"/>
      <c r="N45" s="998"/>
      <c r="O45" s="999"/>
      <c r="P45" s="1000"/>
      <c r="X45" s="939"/>
      <c r="Y45" s="1033"/>
      <c r="Z45" s="1033" t="s">
        <v>187</v>
      </c>
      <c r="AA45" s="1034">
        <f>SUM(AA30:AA44)</f>
        <v>83120000</v>
      </c>
      <c r="AB45" s="1034">
        <f>SUM(AB8:AB44)</f>
        <v>17381846</v>
      </c>
      <c r="AC45" s="1034">
        <f>SUM(AC8:AC44)</f>
        <v>108865245</v>
      </c>
      <c r="AD45" s="939"/>
      <c r="AE45" s="939"/>
      <c r="AF45" s="939"/>
      <c r="AG45" s="939"/>
      <c r="AH45" s="939"/>
    </row>
    <row r="46" spans="1:34" s="938" customFormat="1" ht="15.75" thickTop="1">
      <c r="A46" s="977"/>
      <c r="B46" s="536"/>
      <c r="C46" s="968"/>
      <c r="D46" s="969"/>
      <c r="E46" s="430"/>
      <c r="F46" s="993"/>
      <c r="G46" s="993"/>
      <c r="H46" s="993"/>
      <c r="I46" s="996"/>
      <c r="J46" s="996"/>
      <c r="K46" s="996"/>
      <c r="L46" s="996"/>
      <c r="M46" s="985"/>
      <c r="N46" s="998"/>
      <c r="O46" s="999"/>
      <c r="P46" s="1000"/>
      <c r="X46" s="939"/>
      <c r="Y46" s="939"/>
      <c r="Z46" s="1035">
        <v>0.08</v>
      </c>
      <c r="AA46" s="969">
        <f>+AA45*Z46</f>
        <v>6649600</v>
      </c>
      <c r="AB46" s="939"/>
      <c r="AC46" s="939"/>
      <c r="AD46" s="939"/>
      <c r="AE46" s="939"/>
      <c r="AF46" s="939"/>
      <c r="AG46" s="939"/>
      <c r="AH46" s="939"/>
    </row>
    <row r="47" spans="1:34" s="938" customFormat="1">
      <c r="A47" s="977"/>
      <c r="B47" s="536"/>
      <c r="C47" s="968"/>
      <c r="D47" s="969"/>
      <c r="E47" s="430"/>
      <c r="F47" s="993"/>
      <c r="G47" s="993"/>
      <c r="H47" s="993"/>
      <c r="I47" s="996"/>
      <c r="J47" s="996"/>
      <c r="K47" s="996"/>
      <c r="L47" s="996"/>
      <c r="M47" s="985"/>
      <c r="N47" s="998"/>
      <c r="O47" s="999"/>
      <c r="P47" s="1000"/>
      <c r="X47" s="939"/>
      <c r="Y47" s="939"/>
      <c r="Z47" s="939"/>
      <c r="AA47" s="969">
        <f>+AA45-AA46</f>
        <v>76470400</v>
      </c>
      <c r="AB47" s="939"/>
      <c r="AC47" s="939"/>
      <c r="AD47" s="939"/>
      <c r="AE47" s="939"/>
      <c r="AF47" s="939"/>
      <c r="AG47" s="939"/>
      <c r="AH47" s="939"/>
    </row>
    <row r="48" spans="1:34" s="938" customFormat="1">
      <c r="A48" s="977"/>
      <c r="B48" s="536"/>
      <c r="C48" s="968"/>
      <c r="D48" s="969"/>
      <c r="E48" s="430"/>
      <c r="F48" s="993"/>
      <c r="G48" s="993"/>
      <c r="H48" s="993"/>
      <c r="I48" s="996"/>
      <c r="J48" s="996"/>
      <c r="K48" s="996"/>
      <c r="L48" s="996"/>
      <c r="M48" s="985"/>
      <c r="N48" s="998"/>
      <c r="O48" s="999"/>
      <c r="P48" s="1000"/>
      <c r="X48" s="939"/>
      <c r="Y48" s="939"/>
      <c r="Z48" s="939"/>
      <c r="AA48" s="939"/>
      <c r="AB48" s="939"/>
      <c r="AC48" s="939"/>
      <c r="AD48" s="939"/>
      <c r="AE48" s="939"/>
      <c r="AF48" s="939"/>
      <c r="AG48" s="939"/>
      <c r="AH48" s="939"/>
    </row>
    <row r="49" spans="1:34" s="938" customFormat="1">
      <c r="A49" s="977"/>
      <c r="B49" s="536"/>
      <c r="C49" s="968"/>
      <c r="D49" s="969"/>
      <c r="E49" s="430"/>
      <c r="F49" s="993"/>
      <c r="G49" s="993"/>
      <c r="H49" s="993"/>
      <c r="I49" s="996"/>
      <c r="J49" s="996"/>
      <c r="K49" s="996"/>
      <c r="L49" s="996"/>
      <c r="M49" s="985"/>
      <c r="N49" s="998"/>
      <c r="O49" s="999"/>
      <c r="P49" s="1000"/>
      <c r="X49" s="939"/>
      <c r="Y49" s="939"/>
      <c r="Z49" s="939"/>
      <c r="AA49" s="939"/>
      <c r="AB49" s="939"/>
      <c r="AC49" s="939"/>
      <c r="AD49" s="939"/>
      <c r="AE49" s="939"/>
      <c r="AF49" s="939"/>
      <c r="AG49" s="939"/>
      <c r="AH49" s="939"/>
    </row>
    <row r="50" spans="1:34" s="938" customFormat="1">
      <c r="A50" s="977"/>
      <c r="B50" s="536"/>
      <c r="C50" s="968"/>
      <c r="D50" s="969"/>
      <c r="E50" s="430"/>
      <c r="F50" s="993"/>
      <c r="G50" s="993"/>
      <c r="H50" s="993"/>
      <c r="I50" s="996"/>
      <c r="J50" s="996"/>
      <c r="K50" s="996"/>
      <c r="L50" s="996"/>
      <c r="M50" s="985"/>
      <c r="N50" s="998"/>
      <c r="O50" s="999"/>
      <c r="P50" s="1000"/>
      <c r="X50" s="939"/>
      <c r="Y50" s="939"/>
      <c r="Z50" s="939"/>
      <c r="AA50" s="939"/>
      <c r="AB50" s="939"/>
      <c r="AC50" s="939"/>
      <c r="AD50" s="939"/>
      <c r="AE50" s="939"/>
      <c r="AF50" s="939"/>
      <c r="AG50" s="939"/>
      <c r="AH50" s="939"/>
    </row>
    <row r="51" spans="1:34" s="938" customFormat="1" ht="15.75" thickBot="1">
      <c r="A51" s="977"/>
      <c r="B51" s="892" t="s">
        <v>777</v>
      </c>
      <c r="C51"/>
      <c r="D51" s="248" t="s">
        <v>789</v>
      </c>
      <c r="E51"/>
      <c r="F51"/>
      <c r="G51"/>
      <c r="H51"/>
      <c r="I51"/>
      <c r="J51"/>
      <c r="K51" s="168"/>
      <c r="L51" s="168"/>
      <c r="M51" s="168"/>
      <c r="N51" s="998"/>
      <c r="O51" s="999"/>
      <c r="P51" s="1000"/>
      <c r="X51" s="939"/>
      <c r="Y51" s="939"/>
      <c r="Z51" s="939"/>
      <c r="AA51" s="939"/>
      <c r="AB51" s="939"/>
      <c r="AC51" s="939"/>
      <c r="AD51" s="939"/>
      <c r="AE51" s="939"/>
      <c r="AF51" s="939"/>
      <c r="AG51" s="939"/>
      <c r="AH51" s="939"/>
    </row>
    <row r="52" spans="1:34" s="938" customFormat="1" ht="36.75" thickBot="1">
      <c r="A52" s="977"/>
      <c r="B52" s="893" t="s">
        <v>757</v>
      </c>
      <c r="C52" s="893" t="s">
        <v>758</v>
      </c>
      <c r="D52" s="893" t="s">
        <v>759</v>
      </c>
      <c r="E52" s="893" t="s">
        <v>760</v>
      </c>
      <c r="F52" s="893" t="s">
        <v>761</v>
      </c>
      <c r="G52" s="893" t="s">
        <v>762</v>
      </c>
      <c r="H52" s="918" t="s">
        <v>778</v>
      </c>
      <c r="I52" s="893" t="s">
        <v>394</v>
      </c>
      <c r="J52" s="893" t="s">
        <v>764</v>
      </c>
      <c r="K52" s="917" t="s">
        <v>788</v>
      </c>
      <c r="L52" s="168"/>
      <c r="M52" s="168"/>
      <c r="N52" s="998"/>
      <c r="O52" s="999"/>
      <c r="P52" s="1000"/>
      <c r="X52" s="939"/>
      <c r="Y52" s="939"/>
      <c r="Z52" s="939"/>
      <c r="AA52" s="939"/>
      <c r="AB52" s="939"/>
      <c r="AC52" s="939"/>
      <c r="AD52" s="939"/>
      <c r="AE52" s="939"/>
      <c r="AF52" s="939"/>
      <c r="AG52" s="939"/>
      <c r="AH52" s="939"/>
    </row>
    <row r="53" spans="1:34" s="938" customFormat="1" ht="15.75" thickBot="1">
      <c r="A53" s="977"/>
      <c r="B53" s="894">
        <v>40</v>
      </c>
      <c r="C53" s="894" t="s">
        <v>779</v>
      </c>
      <c r="D53" s="894" t="s">
        <v>780</v>
      </c>
      <c r="E53" s="894" t="s">
        <v>781</v>
      </c>
      <c r="F53" s="894" t="s">
        <v>782</v>
      </c>
      <c r="G53" s="894">
        <v>2019</v>
      </c>
      <c r="H53" s="896">
        <v>18027096</v>
      </c>
      <c r="I53" s="894" t="s">
        <v>769</v>
      </c>
      <c r="J53" s="894" t="s">
        <v>770</v>
      </c>
      <c r="K53" s="907">
        <v>13445378</v>
      </c>
      <c r="L53" s="168"/>
      <c r="M53" s="168"/>
      <c r="N53" s="998"/>
      <c r="O53" s="999"/>
      <c r="P53" s="1000"/>
      <c r="X53" s="939"/>
      <c r="Y53" s="939"/>
      <c r="Z53" s="939"/>
      <c r="AA53" s="939"/>
      <c r="AB53" s="939"/>
      <c r="AC53" s="939"/>
      <c r="AD53" s="939"/>
      <c r="AE53" s="939"/>
      <c r="AF53" s="939"/>
      <c r="AG53" s="939"/>
      <c r="AH53" s="939"/>
    </row>
    <row r="54" spans="1:34" s="938" customFormat="1" ht="15.75" thickBot="1">
      <c r="A54" s="977"/>
      <c r="B54" s="895">
        <v>40</v>
      </c>
      <c r="C54" s="895" t="s">
        <v>779</v>
      </c>
      <c r="D54" s="895" t="s">
        <v>780</v>
      </c>
      <c r="E54" s="895" t="s">
        <v>783</v>
      </c>
      <c r="F54" s="895" t="s">
        <v>784</v>
      </c>
      <c r="G54" s="895">
        <v>2019</v>
      </c>
      <c r="H54" s="897">
        <v>16295680</v>
      </c>
      <c r="I54" s="895" t="s">
        <v>769</v>
      </c>
      <c r="J54" s="895" t="s">
        <v>770</v>
      </c>
      <c r="K54" s="907">
        <v>13445378</v>
      </c>
      <c r="L54" s="168"/>
      <c r="M54" s="168"/>
      <c r="N54" s="998"/>
      <c r="O54" s="999"/>
      <c r="P54" s="1000"/>
      <c r="X54" s="939"/>
      <c r="Y54" s="939"/>
      <c r="Z54" s="939"/>
      <c r="AA54" s="939"/>
      <c r="AB54" s="939"/>
      <c r="AC54" s="939"/>
      <c r="AD54" s="939"/>
      <c r="AE54" s="939"/>
      <c r="AF54" s="939"/>
      <c r="AG54" s="939"/>
      <c r="AH54" s="939"/>
    </row>
    <row r="55" spans="1:34" s="938" customFormat="1" ht="15.75" thickBot="1">
      <c r="A55" s="977"/>
      <c r="B55" s="894">
        <v>40</v>
      </c>
      <c r="C55" s="894" t="s">
        <v>779</v>
      </c>
      <c r="D55" s="894" t="s">
        <v>780</v>
      </c>
      <c r="E55" s="894" t="s">
        <v>783</v>
      </c>
      <c r="F55" s="894" t="s">
        <v>785</v>
      </c>
      <c r="G55" s="894">
        <v>2019</v>
      </c>
      <c r="H55" s="896">
        <v>16295680</v>
      </c>
      <c r="I55" s="894" t="s">
        <v>769</v>
      </c>
      <c r="J55" s="894" t="s">
        <v>770</v>
      </c>
      <c r="K55" s="907">
        <v>14873950</v>
      </c>
      <c r="L55" s="168"/>
      <c r="M55" s="168"/>
      <c r="N55" s="998"/>
      <c r="O55" s="999"/>
      <c r="P55" s="1000"/>
      <c r="X55" s="939"/>
      <c r="Y55" s="939"/>
      <c r="Z55" s="939"/>
      <c r="AA55" s="939"/>
      <c r="AB55" s="939"/>
      <c r="AC55" s="939"/>
      <c r="AD55" s="939"/>
      <c r="AE55" s="939"/>
      <c r="AF55" s="939"/>
      <c r="AG55" s="939"/>
      <c r="AH55" s="939"/>
    </row>
    <row r="56" spans="1:34" s="938" customFormat="1">
      <c r="A56" s="977"/>
      <c r="B56"/>
      <c r="C56"/>
      <c r="D56"/>
      <c r="E56"/>
      <c r="F56"/>
      <c r="G56"/>
      <c r="H56" s="916">
        <f>SUM(H53:H55)</f>
        <v>50618456</v>
      </c>
      <c r="I56" s="168"/>
      <c r="J56" s="168"/>
      <c r="K56" s="168">
        <f>SUM(K53:K55)</f>
        <v>41764706</v>
      </c>
      <c r="L56" s="168">
        <f>+K56*1.19</f>
        <v>49700000.140000001</v>
      </c>
      <c r="M56" s="168"/>
      <c r="N56" s="998"/>
      <c r="O56" s="999"/>
      <c r="P56" s="1000"/>
      <c r="X56" s="939"/>
      <c r="Y56" s="939"/>
      <c r="Z56" s="939"/>
      <c r="AA56" s="939"/>
      <c r="AB56" s="939"/>
      <c r="AC56" s="939"/>
      <c r="AD56" s="939"/>
      <c r="AE56" s="939"/>
      <c r="AF56" s="939"/>
      <c r="AG56" s="939"/>
      <c r="AH56" s="939"/>
    </row>
    <row r="57" spans="1:34" s="938" customFormat="1">
      <c r="A57" s="977"/>
      <c r="B57"/>
      <c r="C57"/>
      <c r="D57"/>
      <c r="E57"/>
      <c r="F57"/>
      <c r="G57"/>
      <c r="H57" s="898"/>
      <c r="I57" s="168"/>
      <c r="J57" s="168"/>
      <c r="K57" s="168"/>
      <c r="L57" s="168"/>
      <c r="M57" s="168"/>
      <c r="N57" s="998"/>
      <c r="O57" s="999"/>
      <c r="P57" s="1000"/>
      <c r="X57" s="939"/>
      <c r="Y57" s="939"/>
      <c r="Z57" s="939"/>
      <c r="AA57" s="939"/>
      <c r="AB57" s="939"/>
      <c r="AC57" s="939"/>
      <c r="AD57" s="939"/>
      <c r="AE57" s="939"/>
      <c r="AF57" s="939"/>
      <c r="AG57" s="939"/>
      <c r="AH57" s="939"/>
    </row>
    <row r="58" spans="1:34" s="938" customFormat="1">
      <c r="A58" s="977"/>
      <c r="B58"/>
      <c r="C58"/>
      <c r="D58"/>
      <c r="E58"/>
      <c r="F58"/>
      <c r="G58"/>
      <c r="H58" s="168"/>
      <c r="I58" s="168"/>
      <c r="J58" s="168"/>
      <c r="K58" s="168"/>
      <c r="L58" s="168"/>
      <c r="M58" s="168"/>
      <c r="N58" s="998"/>
      <c r="O58" s="999"/>
      <c r="P58" s="1000"/>
      <c r="X58" s="939"/>
      <c r="Y58" s="939"/>
      <c r="Z58" s="939"/>
      <c r="AA58" s="939"/>
      <c r="AB58" s="939"/>
      <c r="AC58" s="939"/>
      <c r="AD58" s="939"/>
      <c r="AE58" s="939"/>
      <c r="AF58" s="939"/>
      <c r="AG58" s="939"/>
      <c r="AH58" s="939"/>
    </row>
    <row r="59" spans="1:34" s="938" customFormat="1">
      <c r="A59" s="977"/>
      <c r="B59"/>
      <c r="C59"/>
      <c r="D59"/>
      <c r="E59"/>
      <c r="F59"/>
      <c r="G59"/>
      <c r="H59" s="168"/>
      <c r="I59" s="168"/>
      <c r="J59" s="168"/>
      <c r="K59" s="168"/>
      <c r="L59" s="168"/>
      <c r="M59" s="168"/>
      <c r="N59" s="998"/>
      <c r="O59" s="999"/>
      <c r="P59" s="1000"/>
      <c r="X59" s="939"/>
      <c r="Y59" s="939"/>
      <c r="Z59" s="939"/>
      <c r="AA59" s="939"/>
      <c r="AB59" s="939"/>
      <c r="AC59" s="939"/>
      <c r="AD59" s="939"/>
      <c r="AE59" s="939"/>
      <c r="AF59" s="939"/>
      <c r="AG59" s="939"/>
      <c r="AH59" s="939"/>
    </row>
    <row r="60" spans="1:34" s="938" customFormat="1" ht="15.75" thickBot="1">
      <c r="A60" s="977"/>
      <c r="B60" s="892" t="s">
        <v>756</v>
      </c>
      <c r="C60"/>
      <c r="D60" s="248" t="s">
        <v>790</v>
      </c>
      <c r="E60"/>
      <c r="F60"/>
      <c r="G60"/>
      <c r="H60"/>
      <c r="I60"/>
      <c r="J60"/>
      <c r="K60" s="168"/>
      <c r="L60" s="168"/>
      <c r="M60" s="168"/>
      <c r="N60" s="998"/>
      <c r="O60" s="999"/>
      <c r="P60" s="1000"/>
      <c r="X60" s="939"/>
      <c r="Y60" s="939"/>
      <c r="Z60" s="939"/>
      <c r="AA60" s="939"/>
      <c r="AB60" s="939"/>
      <c r="AC60" s="939"/>
      <c r="AD60" s="939"/>
      <c r="AE60" s="939"/>
      <c r="AF60" s="939"/>
      <c r="AG60" s="939"/>
      <c r="AH60" s="939"/>
    </row>
    <row r="61" spans="1:34" s="938" customFormat="1" ht="36.75" thickBot="1">
      <c r="A61" s="977"/>
      <c r="B61" s="893" t="s">
        <v>757</v>
      </c>
      <c r="C61" s="893" t="s">
        <v>758</v>
      </c>
      <c r="D61" s="893" t="s">
        <v>759</v>
      </c>
      <c r="E61" s="893" t="s">
        <v>760</v>
      </c>
      <c r="F61" s="893" t="s">
        <v>761</v>
      </c>
      <c r="G61" s="893" t="s">
        <v>762</v>
      </c>
      <c r="H61" s="918" t="s">
        <v>763</v>
      </c>
      <c r="I61" s="893" t="s">
        <v>394</v>
      </c>
      <c r="J61" s="893" t="s">
        <v>764</v>
      </c>
      <c r="K61" s="168"/>
      <c r="L61" s="168"/>
      <c r="M61" s="168"/>
      <c r="N61" s="998"/>
      <c r="O61" s="999"/>
      <c r="P61" s="1000"/>
      <c r="X61" s="939"/>
      <c r="Y61" s="939"/>
      <c r="Z61" s="939"/>
      <c r="AA61" s="939"/>
      <c r="AB61" s="939"/>
      <c r="AC61" s="939"/>
      <c r="AD61" s="939"/>
      <c r="AE61" s="939"/>
      <c r="AF61" s="939"/>
      <c r="AG61" s="939"/>
      <c r="AH61" s="939"/>
    </row>
    <row r="62" spans="1:34" s="938" customFormat="1" ht="15.75" thickBot="1">
      <c r="A62" s="977"/>
      <c r="B62" s="894">
        <v>41</v>
      </c>
      <c r="C62" s="894" t="s">
        <v>765</v>
      </c>
      <c r="D62" s="894" t="s">
        <v>766</v>
      </c>
      <c r="E62" s="894" t="s">
        <v>767</v>
      </c>
      <c r="F62" s="894" t="s">
        <v>768</v>
      </c>
      <c r="G62" s="894">
        <v>2014</v>
      </c>
      <c r="H62" s="894">
        <v>30292622</v>
      </c>
      <c r="I62" s="894" t="s">
        <v>769</v>
      </c>
      <c r="J62" s="894" t="s">
        <v>770</v>
      </c>
      <c r="K62" s="168"/>
      <c r="L62" s="168"/>
      <c r="M62" s="168"/>
      <c r="N62" s="998"/>
      <c r="O62" s="999"/>
      <c r="P62" s="1000"/>
      <c r="X62" s="939"/>
      <c r="Y62" s="939"/>
      <c r="Z62" s="939"/>
      <c r="AA62" s="939"/>
      <c r="AB62" s="939"/>
      <c r="AC62" s="939"/>
      <c r="AD62" s="939"/>
      <c r="AE62" s="939"/>
      <c r="AF62" s="939"/>
      <c r="AG62" s="939"/>
      <c r="AH62" s="939"/>
    </row>
    <row r="63" spans="1:34" s="938" customFormat="1" ht="15.75" thickBot="1">
      <c r="A63" s="977"/>
      <c r="B63" s="895">
        <v>41</v>
      </c>
      <c r="C63" s="895" t="s">
        <v>765</v>
      </c>
      <c r="D63" s="895" t="s">
        <v>766</v>
      </c>
      <c r="E63" s="895" t="s">
        <v>771</v>
      </c>
      <c r="F63" s="895" t="s">
        <v>772</v>
      </c>
      <c r="G63" s="895">
        <v>2011</v>
      </c>
      <c r="H63" s="895">
        <v>22504063</v>
      </c>
      <c r="I63" s="895" t="s">
        <v>769</v>
      </c>
      <c r="J63" s="895" t="s">
        <v>770</v>
      </c>
      <c r="K63" s="168"/>
      <c r="L63" s="168"/>
      <c r="M63" s="168"/>
      <c r="N63" s="998"/>
      <c r="O63" s="999"/>
      <c r="P63" s="1000"/>
      <c r="X63" s="939"/>
      <c r="Y63" s="939"/>
      <c r="Z63" s="939"/>
      <c r="AA63" s="939"/>
      <c r="AB63" s="939"/>
      <c r="AC63" s="939"/>
      <c r="AD63" s="939"/>
      <c r="AE63" s="939"/>
      <c r="AF63" s="939"/>
      <c r="AG63" s="939"/>
      <c r="AH63" s="939"/>
    </row>
    <row r="64" spans="1:34" s="938" customFormat="1" ht="15.75" thickBot="1">
      <c r="A64" s="977"/>
      <c r="B64" s="894">
        <v>41</v>
      </c>
      <c r="C64" s="894" t="s">
        <v>765</v>
      </c>
      <c r="D64" s="894" t="s">
        <v>773</v>
      </c>
      <c r="E64" s="894" t="s">
        <v>774</v>
      </c>
      <c r="F64" s="894" t="s">
        <v>775</v>
      </c>
      <c r="G64" s="894">
        <v>2011</v>
      </c>
      <c r="H64" s="894">
        <v>22356652</v>
      </c>
      <c r="I64" s="894" t="s">
        <v>769</v>
      </c>
      <c r="J64" s="894" t="s">
        <v>770</v>
      </c>
      <c r="K64" s="168"/>
      <c r="L64" s="168"/>
      <c r="M64" s="168"/>
      <c r="N64" s="998"/>
      <c r="O64" s="999"/>
      <c r="P64" s="1000"/>
      <c r="X64" s="939"/>
      <c r="Y64" s="939"/>
      <c r="Z64" s="939"/>
      <c r="AA64" s="939"/>
      <c r="AB64" s="939"/>
      <c r="AC64" s="939"/>
      <c r="AD64" s="939"/>
      <c r="AE64" s="939"/>
      <c r="AF64" s="939"/>
      <c r="AG64" s="939"/>
      <c r="AH64" s="939"/>
    </row>
    <row r="65" spans="1:34" s="938" customFormat="1">
      <c r="A65" s="977"/>
      <c r="B65"/>
      <c r="C65"/>
      <c r="D65"/>
      <c r="E65"/>
      <c r="F65"/>
      <c r="G65"/>
      <c r="H65" s="915">
        <f>SUM(H62:H64)</f>
        <v>75153337</v>
      </c>
      <c r="I65" s="168"/>
      <c r="J65" s="168"/>
      <c r="K65" s="168"/>
      <c r="L65" s="168"/>
      <c r="M65" s="168"/>
      <c r="N65" s="998"/>
      <c r="O65" s="999"/>
      <c r="P65" s="1000"/>
      <c r="X65" s="939"/>
      <c r="Y65" s="939"/>
      <c r="Z65" s="939"/>
      <c r="AA65" s="939"/>
      <c r="AB65" s="939"/>
      <c r="AC65" s="939"/>
      <c r="AD65" s="939"/>
      <c r="AE65" s="939"/>
      <c r="AF65" s="939"/>
      <c r="AG65" s="939"/>
      <c r="AH65" s="939"/>
    </row>
    <row r="66" spans="1:34" s="938" customFormat="1">
      <c r="A66" s="977"/>
      <c r="B66"/>
      <c r="C66"/>
      <c r="D66"/>
      <c r="E66"/>
      <c r="F66"/>
      <c r="G66"/>
      <c r="H66" s="168"/>
      <c r="I66" s="168"/>
      <c r="J66" s="168"/>
      <c r="K66" s="168"/>
      <c r="L66" s="168"/>
      <c r="M66" s="168"/>
      <c r="N66" s="998"/>
      <c r="O66" s="999"/>
      <c r="P66" s="1000"/>
      <c r="X66" s="939"/>
      <c r="Y66" s="939"/>
      <c r="Z66" s="939"/>
      <c r="AA66" s="939"/>
      <c r="AB66" s="939"/>
      <c r="AC66" s="939"/>
      <c r="AD66" s="939"/>
      <c r="AE66" s="939"/>
      <c r="AF66" s="939"/>
      <c r="AG66" s="939"/>
      <c r="AH66" s="939"/>
    </row>
    <row r="67" spans="1:34" s="938" customFormat="1">
      <c r="A67" s="977"/>
      <c r="B67" s="536"/>
      <c r="C67" s="968"/>
      <c r="D67" s="969"/>
      <c r="E67" s="430"/>
      <c r="F67" s="993"/>
      <c r="G67" s="993"/>
      <c r="H67" s="855">
        <v>43204101</v>
      </c>
      <c r="I67" s="996"/>
      <c r="J67" s="996"/>
      <c r="K67" s="996"/>
      <c r="L67" s="996"/>
      <c r="M67" s="985"/>
      <c r="N67" s="998"/>
      <c r="O67" s="999"/>
      <c r="P67" s="1000"/>
      <c r="X67" s="939"/>
      <c r="Y67" s="939"/>
      <c r="Z67" s="939"/>
      <c r="AA67" s="939"/>
      <c r="AB67" s="939"/>
      <c r="AC67" s="939"/>
      <c r="AD67" s="939"/>
      <c r="AE67" s="939"/>
      <c r="AF67" s="939"/>
      <c r="AG67" s="939"/>
      <c r="AH67" s="939"/>
    </row>
    <row r="68" spans="1:34" s="938" customFormat="1">
      <c r="A68" s="977"/>
      <c r="B68" s="536"/>
      <c r="C68" s="968"/>
      <c r="D68" s="969"/>
      <c r="E68" s="430"/>
      <c r="F68" s="993"/>
      <c r="G68" s="993"/>
      <c r="H68" s="993">
        <v>31644807.722349633</v>
      </c>
      <c r="I68" s="996"/>
      <c r="J68" s="996"/>
      <c r="K68" s="996"/>
      <c r="L68" s="996"/>
      <c r="M68" s="985"/>
      <c r="N68" s="998"/>
      <c r="O68" s="999"/>
      <c r="P68" s="1000"/>
      <c r="X68" s="939"/>
      <c r="Y68" s="939"/>
      <c r="Z68" s="939"/>
      <c r="AA68" s="939"/>
      <c r="AB68" s="939"/>
      <c r="AC68" s="939"/>
      <c r="AD68" s="939"/>
      <c r="AE68" s="939"/>
      <c r="AF68" s="939"/>
      <c r="AG68" s="939"/>
      <c r="AH68" s="939"/>
    </row>
    <row r="69" spans="1:34" s="938" customFormat="1">
      <c r="A69" s="977"/>
      <c r="B69" s="536"/>
      <c r="C69" s="968"/>
      <c r="D69" s="969"/>
      <c r="E69" s="430"/>
      <c r="F69" s="993"/>
      <c r="G69" s="993" t="s">
        <v>890</v>
      </c>
      <c r="H69" s="993">
        <f>+H67-H68</f>
        <v>11559293.277650367</v>
      </c>
      <c r="I69" s="996"/>
      <c r="J69" s="996"/>
      <c r="K69" s="996"/>
      <c r="L69" s="996"/>
      <c r="M69" s="985"/>
      <c r="N69" s="998"/>
      <c r="O69" s="999"/>
      <c r="P69" s="1000"/>
      <c r="X69" s="939"/>
      <c r="Y69" s="939"/>
      <c r="Z69" s="939"/>
      <c r="AA69" s="939"/>
      <c r="AB69" s="939"/>
      <c r="AC69" s="939"/>
      <c r="AD69" s="939"/>
      <c r="AE69" s="939"/>
      <c r="AF69" s="939"/>
      <c r="AG69" s="939"/>
      <c r="AH69" s="939"/>
    </row>
    <row r="70" spans="1:34" s="938" customFormat="1">
      <c r="A70" s="977"/>
      <c r="B70" s="536"/>
      <c r="C70" s="968"/>
      <c r="D70" s="969"/>
      <c r="E70" s="430"/>
      <c r="F70" s="993"/>
      <c r="G70" s="993"/>
      <c r="H70" s="993">
        <f>+H65-H69</f>
        <v>63594043.722349629</v>
      </c>
      <c r="I70" s="996"/>
      <c r="J70" s="996"/>
      <c r="K70" s="996"/>
      <c r="L70" s="996"/>
      <c r="M70" s="985"/>
      <c r="N70" s="998"/>
      <c r="O70" s="999"/>
      <c r="P70" s="1000"/>
      <c r="X70" s="939"/>
      <c r="Y70" s="939"/>
      <c r="Z70" s="939"/>
      <c r="AA70" s="939"/>
      <c r="AB70" s="939"/>
      <c r="AC70" s="939"/>
      <c r="AD70" s="939"/>
      <c r="AE70" s="939"/>
      <c r="AF70" s="939"/>
      <c r="AG70" s="939"/>
      <c r="AH70" s="939"/>
    </row>
    <row r="71" spans="1:34" s="938" customFormat="1">
      <c r="A71" s="977"/>
      <c r="B71" s="536"/>
      <c r="C71" s="968"/>
      <c r="D71" s="969"/>
      <c r="E71" s="430"/>
      <c r="F71" s="993"/>
      <c r="G71" s="993"/>
      <c r="H71" s="993"/>
      <c r="I71" s="996"/>
      <c r="J71" s="996"/>
      <c r="K71" s="996"/>
      <c r="L71" s="996"/>
      <c r="M71" s="985"/>
      <c r="N71" s="998"/>
      <c r="O71" s="999"/>
      <c r="P71" s="1000"/>
      <c r="X71" s="939"/>
      <c r="Y71" s="939"/>
      <c r="Z71" s="939"/>
      <c r="AA71" s="939"/>
      <c r="AB71" s="939"/>
      <c r="AC71" s="939"/>
      <c r="AD71" s="939"/>
      <c r="AE71" s="939"/>
      <c r="AF71" s="939"/>
      <c r="AG71" s="939"/>
      <c r="AH71" s="939"/>
    </row>
    <row r="72" spans="1:34" s="938" customFormat="1">
      <c r="A72" s="977"/>
      <c r="B72" s="536"/>
      <c r="C72" s="968"/>
      <c r="D72" s="969"/>
      <c r="E72" s="430"/>
      <c r="F72" s="993"/>
      <c r="G72" s="993"/>
      <c r="H72" s="993"/>
      <c r="I72" s="996"/>
      <c r="J72" s="996"/>
      <c r="K72" s="996"/>
      <c r="L72" s="996"/>
      <c r="M72" s="985"/>
      <c r="N72" s="998"/>
      <c r="O72" s="999"/>
      <c r="P72" s="1000"/>
      <c r="X72" s="939"/>
      <c r="Y72" s="939"/>
      <c r="Z72" s="939"/>
      <c r="AA72" s="939"/>
      <c r="AB72" s="939"/>
      <c r="AC72" s="939"/>
      <c r="AD72" s="939"/>
      <c r="AE72" s="939"/>
      <c r="AF72" s="939"/>
      <c r="AG72" s="939"/>
      <c r="AH72" s="939"/>
    </row>
    <row r="73" spans="1:34" s="938" customFormat="1">
      <c r="A73" s="977"/>
      <c r="B73" s="536"/>
      <c r="C73" s="968"/>
      <c r="D73" s="969"/>
      <c r="E73" s="430"/>
      <c r="F73" s="993"/>
      <c r="G73" s="993"/>
      <c r="H73" s="993"/>
      <c r="I73" s="996"/>
      <c r="J73" s="996"/>
      <c r="K73" s="996"/>
      <c r="L73" s="996"/>
      <c r="M73" s="985"/>
      <c r="N73" s="998"/>
      <c r="O73" s="999"/>
      <c r="P73" s="1000"/>
      <c r="X73" s="939"/>
      <c r="Y73" s="939"/>
      <c r="Z73" s="939"/>
      <c r="AA73" s="939"/>
      <c r="AB73" s="939"/>
      <c r="AC73" s="939"/>
      <c r="AD73" s="939"/>
      <c r="AE73" s="939"/>
      <c r="AF73" s="939"/>
      <c r="AG73" s="939"/>
      <c r="AH73" s="939"/>
    </row>
    <row r="74" spans="1:34" s="938" customFormat="1">
      <c r="A74" s="977"/>
      <c r="B74" s="536"/>
      <c r="C74" s="968"/>
      <c r="D74" s="969"/>
      <c r="E74" s="430"/>
      <c r="F74" s="993"/>
      <c r="G74" s="993" t="s">
        <v>898</v>
      </c>
      <c r="H74" s="993"/>
      <c r="I74" s="996">
        <v>54660435</v>
      </c>
      <c r="J74" s="996"/>
      <c r="K74" s="996"/>
      <c r="L74" s="996"/>
      <c r="M74" s="985"/>
      <c r="N74" s="998"/>
      <c r="O74" s="999"/>
      <c r="P74" s="1000"/>
      <c r="X74" s="939"/>
      <c r="Y74" s="939"/>
      <c r="Z74" s="939"/>
      <c r="AA74" s="939"/>
      <c r="AB74" s="939"/>
      <c r="AC74" s="939"/>
      <c r="AD74" s="939"/>
      <c r="AE74" s="939"/>
      <c r="AF74" s="939"/>
      <c r="AG74" s="939"/>
      <c r="AH74" s="939"/>
    </row>
    <row r="75" spans="1:34" s="938" customFormat="1">
      <c r="A75" s="977"/>
      <c r="B75" s="536"/>
      <c r="C75" s="968"/>
      <c r="D75" s="969"/>
      <c r="E75" s="430"/>
      <c r="F75" s="993"/>
      <c r="G75" s="993" t="s">
        <v>897</v>
      </c>
      <c r="H75" s="993"/>
      <c r="I75" s="996">
        <v>40035990</v>
      </c>
      <c r="J75" s="996"/>
      <c r="K75" s="996"/>
      <c r="L75" s="996"/>
      <c r="M75" s="985"/>
      <c r="N75" s="998"/>
      <c r="O75" s="999"/>
      <c r="P75" s="1000"/>
      <c r="X75" s="939"/>
      <c r="Y75" s="939"/>
      <c r="Z75" s="939"/>
      <c r="AA75" s="939"/>
      <c r="AB75" s="939"/>
      <c r="AC75" s="939"/>
      <c r="AD75" s="939"/>
      <c r="AE75" s="939"/>
      <c r="AF75" s="939"/>
      <c r="AG75" s="939"/>
      <c r="AH75" s="939"/>
    </row>
    <row r="76" spans="1:34" s="938" customFormat="1">
      <c r="A76" s="977"/>
      <c r="B76" s="536"/>
      <c r="C76" s="968"/>
      <c r="D76" s="969"/>
      <c r="E76" s="430"/>
      <c r="F76" s="993"/>
      <c r="G76" s="993" t="s">
        <v>896</v>
      </c>
      <c r="H76" s="993"/>
      <c r="I76" s="996">
        <f>+I74-I75</f>
        <v>14624445</v>
      </c>
      <c r="J76" s="996"/>
      <c r="K76" s="996"/>
      <c r="L76" s="996"/>
      <c r="M76" s="985"/>
      <c r="N76" s="998"/>
      <c r="O76" s="999"/>
      <c r="P76" s="1000"/>
      <c r="X76" s="939"/>
      <c r="Y76" s="939"/>
      <c r="Z76" s="939"/>
      <c r="AA76" s="939"/>
      <c r="AB76" s="939"/>
      <c r="AC76" s="939"/>
      <c r="AD76" s="939"/>
      <c r="AE76" s="939"/>
      <c r="AF76" s="939"/>
      <c r="AG76" s="939"/>
      <c r="AH76" s="939"/>
    </row>
    <row r="77" spans="1:34" s="938" customFormat="1">
      <c r="A77" s="977"/>
      <c r="B77" s="536"/>
      <c r="C77" s="968"/>
      <c r="D77" s="969"/>
      <c r="E77" s="430"/>
      <c r="F77" s="993"/>
      <c r="G77" s="993" t="s">
        <v>899</v>
      </c>
      <c r="H77" s="993"/>
      <c r="I77" s="996">
        <v>75153337</v>
      </c>
      <c r="J77" s="996"/>
      <c r="K77" s="996"/>
      <c r="L77" s="996"/>
      <c r="M77" s="985"/>
      <c r="N77" s="998"/>
      <c r="O77" s="999"/>
      <c r="P77" s="1000"/>
      <c r="X77" s="939"/>
      <c r="Y77" s="939"/>
      <c r="Z77" s="939"/>
      <c r="AA77" s="939"/>
      <c r="AB77" s="939"/>
      <c r="AC77" s="939"/>
      <c r="AD77" s="939"/>
      <c r="AE77" s="939"/>
      <c r="AF77" s="939"/>
      <c r="AG77" s="939"/>
      <c r="AH77" s="939"/>
    </row>
    <row r="78" spans="1:34" s="938" customFormat="1">
      <c r="A78" s="977"/>
      <c r="B78" s="536"/>
      <c r="C78" s="968"/>
      <c r="D78" s="969"/>
      <c r="E78" s="430"/>
      <c r="F78" s="993"/>
      <c r="G78" s="993" t="s">
        <v>882</v>
      </c>
      <c r="H78" s="993"/>
      <c r="I78" s="1102">
        <f>+I76-I77</f>
        <v>-60528892</v>
      </c>
      <c r="J78" s="996"/>
      <c r="K78" s="996"/>
      <c r="L78" s="996"/>
      <c r="M78" s="985"/>
      <c r="N78" s="998"/>
      <c r="O78" s="999"/>
      <c r="P78" s="1000"/>
      <c r="X78" s="939"/>
      <c r="Y78" s="939"/>
      <c r="Z78" s="939"/>
      <c r="AA78" s="939"/>
      <c r="AB78" s="939"/>
      <c r="AC78" s="939"/>
      <c r="AD78" s="939"/>
      <c r="AE78" s="939"/>
      <c r="AF78" s="939"/>
      <c r="AG78" s="939"/>
      <c r="AH78" s="939"/>
    </row>
    <row r="79" spans="1:34" s="938" customFormat="1">
      <c r="A79" s="977"/>
      <c r="B79" s="536"/>
      <c r="C79" s="968"/>
      <c r="D79" s="969"/>
      <c r="E79" s="430"/>
      <c r="F79" s="993"/>
      <c r="G79" s="993"/>
      <c r="H79" s="993"/>
      <c r="I79" s="996"/>
      <c r="J79" s="996"/>
      <c r="K79" s="996"/>
      <c r="L79" s="996"/>
      <c r="M79" s="985"/>
      <c r="N79" s="998"/>
      <c r="O79" s="999"/>
      <c r="P79" s="1000"/>
      <c r="X79" s="939"/>
      <c r="Y79" s="939"/>
      <c r="Z79" s="939"/>
      <c r="AA79" s="939"/>
      <c r="AB79" s="939"/>
      <c r="AC79" s="939"/>
      <c r="AD79" s="939"/>
      <c r="AE79" s="939"/>
      <c r="AF79" s="939"/>
      <c r="AG79" s="939"/>
      <c r="AH79" s="939"/>
    </row>
    <row r="80" spans="1:34" s="938" customFormat="1">
      <c r="A80" s="977"/>
      <c r="B80" s="536"/>
      <c r="C80" s="968"/>
      <c r="D80" s="969"/>
      <c r="E80" s="430"/>
      <c r="F80" s="993"/>
      <c r="G80" s="993"/>
      <c r="H80" s="993"/>
      <c r="I80" s="996"/>
      <c r="J80" s="996"/>
      <c r="K80" s="996"/>
      <c r="L80" s="996"/>
      <c r="M80" s="985"/>
      <c r="N80" s="998"/>
      <c r="O80" s="999"/>
      <c r="P80" s="1000"/>
      <c r="X80" s="939"/>
      <c r="Y80" s="939"/>
      <c r="Z80" s="939"/>
      <c r="AA80" s="939"/>
      <c r="AB80" s="939"/>
      <c r="AC80" s="939"/>
      <c r="AD80" s="939"/>
      <c r="AE80" s="939"/>
      <c r="AF80" s="939"/>
      <c r="AG80" s="939"/>
      <c r="AH80" s="939"/>
    </row>
    <row r="81" spans="1:34" s="938" customFormat="1">
      <c r="A81" s="977"/>
      <c r="B81" s="536"/>
      <c r="C81" s="968"/>
      <c r="D81" s="969"/>
      <c r="E81" s="430"/>
      <c r="F81" s="993"/>
      <c r="G81" s="993"/>
      <c r="H81" s="993"/>
      <c r="I81" s="996"/>
      <c r="J81" s="996"/>
      <c r="K81" s="996"/>
      <c r="L81" s="996"/>
      <c r="M81" s="985"/>
      <c r="N81" s="998"/>
      <c r="O81" s="999"/>
      <c r="P81" s="1000"/>
      <c r="X81" s="939"/>
      <c r="Y81" s="939"/>
      <c r="Z81" s="939"/>
      <c r="AA81" s="939"/>
      <c r="AB81" s="939"/>
      <c r="AC81" s="939"/>
      <c r="AD81" s="939"/>
      <c r="AE81" s="939"/>
      <c r="AF81" s="939"/>
      <c r="AG81" s="939"/>
      <c r="AH81" s="939"/>
    </row>
    <row r="82" spans="1:34" s="938" customFormat="1">
      <c r="A82" s="977"/>
      <c r="B82" s="536"/>
      <c r="C82" s="968"/>
      <c r="D82" s="969"/>
      <c r="E82" s="430"/>
      <c r="F82" s="993"/>
      <c r="G82" s="993"/>
      <c r="H82" s="993"/>
      <c r="I82" s="996"/>
      <c r="J82" s="996"/>
      <c r="K82" s="996"/>
      <c r="L82" s="996"/>
      <c r="M82" s="985"/>
      <c r="N82" s="998"/>
      <c r="O82" s="999"/>
      <c r="P82" s="1000"/>
      <c r="X82" s="939"/>
      <c r="Y82" s="939"/>
      <c r="Z82" s="939"/>
      <c r="AA82" s="939"/>
      <c r="AB82" s="939"/>
      <c r="AC82" s="939"/>
      <c r="AD82" s="939"/>
      <c r="AE82" s="939"/>
      <c r="AF82" s="939"/>
      <c r="AG82" s="939"/>
      <c r="AH82" s="939"/>
    </row>
    <row r="83" spans="1:34" s="938" customFormat="1">
      <c r="A83" s="977"/>
      <c r="B83" s="536"/>
      <c r="C83" s="968"/>
      <c r="D83" s="969"/>
      <c r="E83" s="430"/>
      <c r="F83" s="993"/>
      <c r="G83" s="993"/>
      <c r="H83" s="993"/>
      <c r="I83" s="996"/>
      <c r="J83" s="996"/>
      <c r="K83" s="996"/>
      <c r="L83" s="996"/>
      <c r="M83" s="985"/>
      <c r="N83" s="998"/>
      <c r="O83" s="999"/>
      <c r="P83" s="1000"/>
      <c r="X83" s="939"/>
      <c r="Y83" s="939"/>
      <c r="Z83" s="939"/>
      <c r="AA83" s="939"/>
      <c r="AB83" s="939"/>
      <c r="AC83" s="939"/>
      <c r="AD83" s="939"/>
      <c r="AE83" s="939"/>
      <c r="AF83" s="939"/>
      <c r="AG83" s="939"/>
      <c r="AH83" s="939"/>
    </row>
    <row r="84" spans="1:34" s="938" customFormat="1">
      <c r="A84" s="977"/>
      <c r="B84" s="536"/>
      <c r="C84" s="968"/>
      <c r="D84" s="969"/>
      <c r="E84" s="430"/>
      <c r="F84" s="993"/>
      <c r="G84" s="993"/>
      <c r="H84" s="993"/>
      <c r="I84" s="996"/>
      <c r="J84" s="996"/>
      <c r="K84" s="996"/>
      <c r="L84" s="996"/>
      <c r="M84" s="985"/>
      <c r="N84" s="998"/>
      <c r="O84" s="999"/>
      <c r="P84" s="1000"/>
      <c r="X84" s="939"/>
      <c r="Y84" s="939"/>
      <c r="Z84" s="939"/>
      <c r="AA84" s="939"/>
      <c r="AB84" s="939"/>
      <c r="AC84" s="939"/>
      <c r="AD84" s="939"/>
      <c r="AE84" s="939"/>
      <c r="AF84" s="939"/>
      <c r="AG84" s="939"/>
      <c r="AH84" s="939"/>
    </row>
    <row r="85" spans="1:34" s="938" customFormat="1">
      <c r="A85" s="977"/>
      <c r="B85" s="536"/>
      <c r="C85" s="968"/>
      <c r="D85" s="969"/>
      <c r="E85" s="430"/>
      <c r="F85" s="993"/>
      <c r="G85" s="993"/>
      <c r="H85" s="993"/>
      <c r="I85" s="996"/>
      <c r="J85" s="996"/>
      <c r="K85" s="996"/>
      <c r="L85" s="996"/>
      <c r="M85" s="985"/>
      <c r="N85" s="998"/>
      <c r="O85" s="999"/>
      <c r="P85" s="1000"/>
      <c r="X85" s="939"/>
      <c r="Y85" s="939"/>
      <c r="Z85" s="939"/>
      <c r="AA85" s="939"/>
      <c r="AB85" s="939"/>
      <c r="AC85" s="939"/>
      <c r="AD85" s="939"/>
      <c r="AE85" s="939"/>
      <c r="AF85" s="939"/>
      <c r="AG85" s="939"/>
      <c r="AH85" s="939"/>
    </row>
    <row r="86" spans="1:34" s="938" customFormat="1">
      <c r="A86" s="977"/>
      <c r="B86" s="536"/>
      <c r="C86" s="968"/>
      <c r="D86" s="969"/>
      <c r="E86" s="430"/>
      <c r="F86" s="993"/>
      <c r="G86" s="993"/>
      <c r="H86" s="993"/>
      <c r="I86" s="996"/>
      <c r="J86" s="996"/>
      <c r="K86" s="996"/>
      <c r="L86" s="996"/>
      <c r="M86" s="985"/>
      <c r="N86" s="998"/>
      <c r="O86" s="999"/>
      <c r="P86" s="1000"/>
      <c r="X86" s="939"/>
      <c r="Y86" s="939"/>
      <c r="Z86" s="939"/>
      <c r="AA86" s="939"/>
      <c r="AB86" s="939"/>
      <c r="AC86" s="939"/>
      <c r="AD86" s="939"/>
      <c r="AE86" s="939"/>
      <c r="AF86" s="939"/>
      <c r="AG86" s="939"/>
      <c r="AH86" s="939"/>
    </row>
    <row r="87" spans="1:34" s="938" customFormat="1">
      <c r="A87" s="977"/>
      <c r="B87" s="536"/>
      <c r="C87" s="968"/>
      <c r="D87" s="969"/>
      <c r="E87" s="430"/>
      <c r="F87" s="993"/>
      <c r="G87" s="993"/>
      <c r="H87" s="993"/>
      <c r="I87" s="996"/>
      <c r="J87" s="996"/>
      <c r="K87" s="996"/>
      <c r="L87" s="996"/>
      <c r="M87" s="985"/>
      <c r="N87" s="998"/>
      <c r="O87" s="999"/>
      <c r="P87" s="1000"/>
      <c r="X87" s="939"/>
      <c r="Y87" s="939"/>
      <c r="Z87" s="939"/>
      <c r="AA87" s="939"/>
      <c r="AB87" s="939"/>
      <c r="AC87" s="939"/>
      <c r="AD87" s="939"/>
      <c r="AE87" s="939"/>
      <c r="AF87" s="939"/>
      <c r="AG87" s="939"/>
      <c r="AH87" s="939"/>
    </row>
    <row r="88" spans="1:34" s="938" customFormat="1">
      <c r="A88" s="977"/>
      <c r="B88" s="536"/>
      <c r="C88" s="968"/>
      <c r="D88" s="969"/>
      <c r="E88" s="430"/>
      <c r="F88" s="993"/>
      <c r="G88" s="993"/>
      <c r="H88" s="993"/>
      <c r="I88" s="996"/>
      <c r="J88" s="996"/>
      <c r="K88" s="996"/>
      <c r="L88" s="996"/>
      <c r="M88" s="985"/>
      <c r="N88" s="998"/>
      <c r="O88" s="999"/>
      <c r="P88" s="1000"/>
      <c r="X88" s="939"/>
      <c r="Y88" s="939"/>
      <c r="Z88" s="939"/>
      <c r="AA88" s="939"/>
      <c r="AB88" s="939"/>
      <c r="AC88" s="939"/>
      <c r="AD88" s="939"/>
      <c r="AE88" s="939"/>
      <c r="AF88" s="939"/>
      <c r="AG88" s="939"/>
      <c r="AH88" s="939"/>
    </row>
    <row r="89" spans="1:34" s="938" customFormat="1">
      <c r="A89" s="977"/>
      <c r="B89" s="536"/>
      <c r="C89" s="968"/>
      <c r="D89" s="969"/>
      <c r="E89" s="430"/>
      <c r="F89" s="993"/>
      <c r="G89" s="993"/>
      <c r="H89" s="993"/>
      <c r="I89" s="996"/>
      <c r="J89" s="996"/>
      <c r="K89" s="996"/>
      <c r="L89" s="996"/>
      <c r="M89" s="985"/>
      <c r="N89" s="998"/>
      <c r="O89" s="999"/>
      <c r="P89" s="1000"/>
      <c r="X89" s="939"/>
      <c r="Y89" s="939"/>
      <c r="Z89" s="939"/>
      <c r="AA89" s="939"/>
      <c r="AB89" s="939"/>
      <c r="AC89" s="939"/>
      <c r="AD89" s="939"/>
      <c r="AE89" s="939"/>
      <c r="AF89" s="939"/>
      <c r="AG89" s="939"/>
      <c r="AH89" s="939"/>
    </row>
    <row r="90" spans="1:34" s="938" customFormat="1">
      <c r="A90" s="977"/>
      <c r="B90" s="536"/>
      <c r="C90" s="968"/>
      <c r="D90" s="969"/>
      <c r="E90" s="430"/>
      <c r="F90" s="993"/>
      <c r="G90" s="993"/>
      <c r="H90" s="993"/>
      <c r="I90" s="996"/>
      <c r="J90" s="996"/>
      <c r="K90" s="996"/>
      <c r="L90" s="996"/>
      <c r="M90" s="985"/>
      <c r="N90" s="998"/>
      <c r="O90" s="999"/>
      <c r="P90" s="1000"/>
      <c r="X90" s="939"/>
      <c r="Y90" s="939"/>
      <c r="Z90" s="939"/>
      <c r="AA90" s="939"/>
      <c r="AB90" s="939"/>
      <c r="AC90" s="939"/>
      <c r="AD90" s="939"/>
      <c r="AE90" s="939"/>
      <c r="AF90" s="939"/>
      <c r="AG90" s="939"/>
      <c r="AH90" s="939"/>
    </row>
    <row r="91" spans="1:34" s="938" customFormat="1">
      <c r="A91" s="977"/>
      <c r="B91" s="536"/>
      <c r="C91" s="968"/>
      <c r="D91" s="969"/>
      <c r="E91" s="430"/>
      <c r="F91" s="993"/>
      <c r="G91" s="993"/>
      <c r="H91" s="993"/>
      <c r="I91" s="996"/>
      <c r="J91" s="996"/>
      <c r="K91" s="996"/>
      <c r="L91" s="996"/>
      <c r="M91" s="985"/>
      <c r="N91" s="998"/>
      <c r="O91" s="999"/>
      <c r="P91" s="1000"/>
      <c r="X91" s="939"/>
      <c r="Y91" s="939"/>
      <c r="Z91" s="939"/>
      <c r="AA91" s="939"/>
      <c r="AB91" s="939"/>
      <c r="AC91" s="939"/>
      <c r="AD91" s="939"/>
      <c r="AE91" s="939"/>
      <c r="AF91" s="939"/>
      <c r="AG91" s="939"/>
      <c r="AH91" s="939"/>
    </row>
    <row r="92" spans="1:34" s="938" customFormat="1">
      <c r="A92" s="977"/>
      <c r="B92" s="536"/>
      <c r="C92" s="968"/>
      <c r="D92" s="969"/>
      <c r="E92" s="430"/>
      <c r="F92" s="993"/>
      <c r="G92" s="993"/>
      <c r="H92" s="993"/>
      <c r="I92" s="996"/>
      <c r="J92" s="996"/>
      <c r="K92" s="996"/>
      <c r="L92" s="996"/>
      <c r="M92" s="985"/>
      <c r="N92" s="998"/>
      <c r="O92" s="999"/>
      <c r="P92" s="1000"/>
      <c r="X92" s="939"/>
      <c r="Y92" s="939"/>
      <c r="Z92" s="939"/>
      <c r="AA92" s="939"/>
      <c r="AB92" s="939"/>
      <c r="AC92" s="939"/>
      <c r="AD92" s="939"/>
      <c r="AE92" s="939"/>
      <c r="AF92" s="939"/>
      <c r="AG92" s="939"/>
      <c r="AH92" s="939"/>
    </row>
    <row r="93" spans="1:34" s="938" customFormat="1">
      <c r="A93" s="977"/>
      <c r="B93" s="536"/>
      <c r="C93" s="968"/>
      <c r="D93" s="969"/>
      <c r="E93" s="430"/>
      <c r="F93" s="993"/>
      <c r="G93" s="993"/>
      <c r="H93" s="993"/>
      <c r="I93" s="996"/>
      <c r="J93" s="996"/>
      <c r="K93" s="996"/>
      <c r="L93" s="996"/>
      <c r="M93" s="985"/>
      <c r="N93" s="998"/>
      <c r="O93" s="999"/>
      <c r="P93" s="1000"/>
      <c r="X93" s="939"/>
      <c r="Y93" s="939"/>
      <c r="Z93" s="939"/>
      <c r="AA93" s="939"/>
      <c r="AB93" s="939"/>
      <c r="AC93" s="939"/>
      <c r="AD93" s="939"/>
      <c r="AE93" s="939"/>
      <c r="AF93" s="939"/>
      <c r="AG93" s="939"/>
      <c r="AH93" s="939"/>
    </row>
    <row r="94" spans="1:34" s="938" customFormat="1">
      <c r="A94" s="977"/>
      <c r="B94" s="536"/>
      <c r="C94" s="968"/>
      <c r="D94" s="969"/>
      <c r="E94" s="430"/>
      <c r="F94" s="993"/>
      <c r="G94" s="993"/>
      <c r="H94" s="993"/>
      <c r="I94" s="996"/>
      <c r="J94" s="996"/>
      <c r="K94" s="996"/>
      <c r="L94" s="996"/>
      <c r="M94" s="985"/>
      <c r="N94" s="998"/>
      <c r="O94" s="999"/>
      <c r="P94" s="1000"/>
      <c r="X94" s="939"/>
      <c r="Y94" s="939"/>
      <c r="Z94" s="939"/>
      <c r="AA94" s="939"/>
      <c r="AB94" s="939"/>
      <c r="AC94" s="939"/>
      <c r="AD94" s="939"/>
      <c r="AE94" s="939"/>
      <c r="AF94" s="939"/>
      <c r="AG94" s="939"/>
      <c r="AH94" s="939"/>
    </row>
    <row r="95" spans="1:34" s="938" customFormat="1">
      <c r="A95" s="977"/>
      <c r="B95" s="536"/>
      <c r="C95" s="968"/>
      <c r="D95" s="969"/>
      <c r="E95" s="430"/>
      <c r="F95" s="993"/>
      <c r="G95" s="993"/>
      <c r="H95" s="993"/>
      <c r="I95" s="996"/>
      <c r="J95" s="996"/>
      <c r="K95" s="996"/>
      <c r="L95" s="996"/>
      <c r="M95" s="985"/>
      <c r="N95" s="998"/>
      <c r="O95" s="999"/>
      <c r="P95" s="1000"/>
      <c r="X95" s="939"/>
      <c r="Y95" s="939"/>
      <c r="Z95" s="939"/>
      <c r="AA95" s="939"/>
      <c r="AB95" s="939"/>
      <c r="AC95" s="939"/>
      <c r="AD95" s="939"/>
      <c r="AE95" s="939"/>
      <c r="AF95" s="939"/>
      <c r="AG95" s="939"/>
      <c r="AH95" s="939"/>
    </row>
    <row r="96" spans="1:34" s="938" customFormat="1">
      <c r="A96" s="977"/>
      <c r="B96" s="536"/>
      <c r="C96" s="968"/>
      <c r="D96" s="969"/>
      <c r="E96" s="430"/>
      <c r="F96" s="993"/>
      <c r="G96" s="993"/>
      <c r="H96" s="993"/>
      <c r="I96" s="996"/>
      <c r="J96" s="996"/>
      <c r="K96" s="996"/>
      <c r="L96" s="996"/>
      <c r="M96" s="985"/>
      <c r="N96" s="998"/>
      <c r="O96" s="999"/>
      <c r="P96" s="1000"/>
      <c r="X96" s="939"/>
      <c r="Y96" s="939"/>
      <c r="Z96" s="939"/>
      <c r="AA96" s="939"/>
      <c r="AB96" s="939"/>
      <c r="AC96" s="939"/>
      <c r="AD96" s="939"/>
      <c r="AE96" s="939"/>
      <c r="AF96" s="939"/>
      <c r="AG96" s="939"/>
      <c r="AH96" s="939"/>
    </row>
    <row r="97" spans="1:34" s="938" customFormat="1">
      <c r="A97" s="977"/>
      <c r="B97" s="536"/>
      <c r="C97" s="968"/>
      <c r="D97" s="969"/>
      <c r="E97" s="430"/>
      <c r="F97" s="993"/>
      <c r="G97" s="993"/>
      <c r="H97" s="993"/>
      <c r="I97" s="996"/>
      <c r="J97" s="996"/>
      <c r="K97" s="996"/>
      <c r="L97" s="996"/>
      <c r="M97" s="985"/>
      <c r="N97" s="998"/>
      <c r="O97" s="999"/>
      <c r="P97" s="1000"/>
      <c r="X97" s="939"/>
      <c r="Y97" s="939"/>
      <c r="Z97" s="939"/>
      <c r="AA97" s="939"/>
      <c r="AB97" s="939"/>
      <c r="AC97" s="939"/>
      <c r="AD97" s="939"/>
      <c r="AE97" s="939"/>
      <c r="AF97" s="939"/>
      <c r="AG97" s="939"/>
      <c r="AH97" s="939"/>
    </row>
    <row r="98" spans="1:34" s="938" customFormat="1">
      <c r="A98" s="977"/>
      <c r="B98" s="536"/>
      <c r="C98" s="968"/>
      <c r="D98" s="969"/>
      <c r="E98" s="430"/>
      <c r="F98" s="993"/>
      <c r="G98" s="993"/>
      <c r="H98" s="993"/>
      <c r="I98" s="996"/>
      <c r="J98" s="996"/>
      <c r="K98" s="996"/>
      <c r="L98" s="996"/>
      <c r="M98" s="985"/>
      <c r="N98" s="998"/>
      <c r="O98" s="999"/>
      <c r="P98" s="1000"/>
      <c r="X98" s="939"/>
      <c r="Y98" s="939"/>
      <c r="Z98" s="939"/>
      <c r="AA98" s="939"/>
      <c r="AB98" s="939"/>
      <c r="AC98" s="939"/>
      <c r="AD98" s="939"/>
      <c r="AE98" s="939"/>
      <c r="AF98" s="939"/>
      <c r="AG98" s="939"/>
      <c r="AH98" s="939"/>
    </row>
    <row r="99" spans="1:34" s="938" customFormat="1">
      <c r="A99" s="977"/>
      <c r="B99" s="536"/>
      <c r="C99" s="968"/>
      <c r="D99" s="969"/>
      <c r="E99" s="430"/>
      <c r="F99" s="993"/>
      <c r="G99" s="993"/>
      <c r="H99" s="993"/>
      <c r="I99" s="996"/>
      <c r="J99" s="996"/>
      <c r="K99" s="996"/>
      <c r="L99" s="996"/>
      <c r="M99" s="985"/>
      <c r="N99" s="998"/>
      <c r="O99" s="999"/>
      <c r="P99" s="1000"/>
      <c r="X99" s="939"/>
      <c r="Y99" s="939"/>
      <c r="Z99" s="939"/>
      <c r="AA99" s="939"/>
      <c r="AB99" s="939"/>
      <c r="AC99" s="939"/>
      <c r="AD99" s="939"/>
      <c r="AE99" s="939"/>
      <c r="AF99" s="939"/>
      <c r="AG99" s="939"/>
      <c r="AH99" s="939"/>
    </row>
    <row r="100" spans="1:34" s="938" customFormat="1">
      <c r="A100" s="977"/>
      <c r="B100" s="536"/>
      <c r="C100" s="968"/>
      <c r="D100" s="969"/>
      <c r="E100" s="430"/>
      <c r="F100" s="993"/>
      <c r="G100" s="993"/>
      <c r="H100" s="993"/>
      <c r="I100" s="996"/>
      <c r="J100" s="996"/>
      <c r="K100" s="996"/>
      <c r="L100" s="996"/>
      <c r="M100" s="985"/>
      <c r="N100" s="998"/>
      <c r="O100" s="999"/>
      <c r="P100" s="1000"/>
      <c r="X100" s="939"/>
      <c r="Y100" s="939"/>
      <c r="Z100" s="939"/>
      <c r="AA100" s="939"/>
      <c r="AB100" s="939"/>
      <c r="AC100" s="939"/>
      <c r="AD100" s="939"/>
      <c r="AE100" s="939"/>
      <c r="AF100" s="939"/>
      <c r="AG100" s="939"/>
      <c r="AH100" s="939"/>
    </row>
    <row r="101" spans="1:34" s="938" customFormat="1">
      <c r="A101" s="977"/>
      <c r="B101" s="536"/>
      <c r="C101" s="968"/>
      <c r="D101" s="969"/>
      <c r="E101" s="430"/>
      <c r="F101" s="993"/>
      <c r="G101" s="993"/>
      <c r="H101" s="993"/>
      <c r="I101" s="996"/>
      <c r="J101" s="996"/>
      <c r="K101" s="996"/>
      <c r="L101" s="996"/>
      <c r="M101" s="985"/>
      <c r="N101" s="998"/>
      <c r="O101" s="999"/>
      <c r="P101" s="1000"/>
      <c r="X101" s="939"/>
      <c r="Y101" s="939"/>
      <c r="Z101" s="939"/>
      <c r="AA101" s="939"/>
      <c r="AB101" s="939"/>
      <c r="AC101" s="939"/>
      <c r="AD101" s="939"/>
      <c r="AE101" s="939"/>
      <c r="AF101" s="939"/>
      <c r="AG101" s="939"/>
      <c r="AH101" s="939"/>
    </row>
    <row r="102" spans="1:34" s="938" customFormat="1">
      <c r="A102" s="977"/>
      <c r="B102" s="536"/>
      <c r="C102" s="968"/>
      <c r="D102" s="969"/>
      <c r="E102" s="430"/>
      <c r="F102" s="993"/>
      <c r="G102" s="993"/>
      <c r="H102" s="993"/>
      <c r="I102" s="996"/>
      <c r="J102" s="996"/>
      <c r="K102" s="996"/>
      <c r="L102" s="996"/>
      <c r="M102" s="985"/>
      <c r="N102" s="998"/>
      <c r="O102" s="999"/>
      <c r="P102" s="1000"/>
      <c r="X102" s="939"/>
      <c r="Y102" s="939"/>
      <c r="Z102" s="939"/>
      <c r="AA102" s="939"/>
      <c r="AB102" s="939"/>
      <c r="AC102" s="939"/>
      <c r="AD102" s="939"/>
      <c r="AE102" s="939"/>
      <c r="AF102" s="939"/>
      <c r="AG102" s="939"/>
      <c r="AH102" s="939"/>
    </row>
    <row r="103" spans="1:34" s="938" customFormat="1">
      <c r="A103" s="977"/>
      <c r="B103" s="536"/>
      <c r="C103" s="968"/>
      <c r="D103" s="969"/>
      <c r="E103" s="430"/>
      <c r="F103" s="993"/>
      <c r="G103" s="993"/>
      <c r="H103" s="993"/>
      <c r="I103" s="996"/>
      <c r="J103" s="996"/>
      <c r="K103" s="996"/>
      <c r="L103" s="996"/>
      <c r="M103" s="985"/>
      <c r="N103" s="998"/>
      <c r="O103" s="999"/>
      <c r="P103" s="1000"/>
      <c r="X103" s="939"/>
      <c r="Y103" s="939"/>
      <c r="Z103" s="939"/>
      <c r="AA103" s="939"/>
      <c r="AB103" s="939"/>
      <c r="AC103" s="939"/>
      <c r="AD103" s="939"/>
      <c r="AE103" s="939"/>
      <c r="AF103" s="939"/>
      <c r="AG103" s="939"/>
      <c r="AH103" s="939"/>
    </row>
    <row r="104" spans="1:34" s="938" customFormat="1">
      <c r="A104" s="977"/>
      <c r="B104" s="536"/>
      <c r="C104" s="968"/>
      <c r="D104" s="969"/>
      <c r="E104" s="430"/>
      <c r="F104" s="993"/>
      <c r="G104" s="993"/>
      <c r="H104" s="993"/>
      <c r="I104" s="996"/>
      <c r="J104" s="996"/>
      <c r="K104" s="996"/>
      <c r="L104" s="996"/>
      <c r="M104" s="985"/>
      <c r="N104" s="998"/>
      <c r="O104" s="999"/>
      <c r="P104" s="1000"/>
      <c r="X104" s="939"/>
      <c r="Y104" s="939"/>
      <c r="Z104" s="939"/>
      <c r="AA104" s="939"/>
      <c r="AB104" s="939"/>
      <c r="AC104" s="939"/>
      <c r="AD104" s="939"/>
      <c r="AE104" s="939"/>
      <c r="AF104" s="939"/>
      <c r="AG104" s="939"/>
      <c r="AH104" s="939"/>
    </row>
    <row r="105" spans="1:34" s="938" customFormat="1">
      <c r="A105" s="977"/>
      <c r="B105" s="536"/>
      <c r="C105" s="968"/>
      <c r="D105" s="969"/>
      <c r="E105" s="430"/>
      <c r="F105" s="993"/>
      <c r="G105" s="993"/>
      <c r="H105" s="993"/>
      <c r="I105" s="996"/>
      <c r="J105" s="996"/>
      <c r="K105" s="996"/>
      <c r="L105" s="996"/>
      <c r="M105" s="985"/>
      <c r="N105" s="998"/>
      <c r="O105" s="999"/>
      <c r="P105" s="1000"/>
      <c r="X105" s="939"/>
      <c r="Y105" s="939"/>
      <c r="Z105" s="939"/>
      <c r="AA105" s="939"/>
      <c r="AB105" s="939"/>
      <c r="AC105" s="939"/>
      <c r="AD105" s="939"/>
      <c r="AE105" s="939"/>
      <c r="AF105" s="939"/>
      <c r="AG105" s="939"/>
      <c r="AH105" s="939"/>
    </row>
    <row r="106" spans="1:34" s="938" customFormat="1">
      <c r="A106" s="977"/>
      <c r="B106" s="536"/>
      <c r="C106" s="968"/>
      <c r="D106" s="969"/>
      <c r="E106" s="430"/>
      <c r="F106" s="993"/>
      <c r="G106" s="993"/>
      <c r="H106" s="993"/>
      <c r="I106" s="996"/>
      <c r="J106" s="996"/>
      <c r="K106" s="996"/>
      <c r="L106" s="996"/>
      <c r="M106" s="985"/>
      <c r="N106" s="998"/>
      <c r="O106" s="999"/>
      <c r="P106" s="1000"/>
      <c r="X106" s="939"/>
      <c r="Y106" s="939"/>
      <c r="Z106" s="939"/>
      <c r="AA106" s="939"/>
      <c r="AB106" s="939"/>
      <c r="AC106" s="939"/>
      <c r="AD106" s="939"/>
      <c r="AE106" s="939"/>
      <c r="AF106" s="939"/>
      <c r="AG106" s="939"/>
      <c r="AH106" s="939"/>
    </row>
    <row r="107" spans="1:34" s="938" customFormat="1">
      <c r="A107" s="977"/>
      <c r="B107" s="536"/>
      <c r="C107" s="968"/>
      <c r="D107" s="969"/>
      <c r="E107" s="430"/>
      <c r="F107" s="993"/>
      <c r="G107" s="993"/>
      <c r="H107" s="993"/>
      <c r="I107" s="996"/>
      <c r="J107" s="996"/>
      <c r="K107" s="996"/>
      <c r="L107" s="996"/>
      <c r="M107" s="985"/>
      <c r="N107" s="998"/>
      <c r="O107" s="999"/>
      <c r="P107" s="1000"/>
      <c r="X107" s="939"/>
      <c r="Y107" s="939"/>
      <c r="Z107" s="939"/>
      <c r="AA107" s="939"/>
      <c r="AB107" s="939"/>
      <c r="AC107" s="939"/>
      <c r="AD107" s="939"/>
      <c r="AE107" s="939"/>
      <c r="AF107" s="939"/>
      <c r="AG107" s="939"/>
      <c r="AH107" s="939"/>
    </row>
    <row r="108" spans="1:34" s="938" customFormat="1">
      <c r="A108" s="1036"/>
      <c r="B108" s="939"/>
      <c r="C108" s="939"/>
      <c r="D108" s="939"/>
      <c r="E108" s="939"/>
      <c r="F108" s="993"/>
      <c r="G108" s="993"/>
      <c r="H108" s="993"/>
      <c r="I108" s="996"/>
      <c r="J108" s="996"/>
      <c r="K108" s="996"/>
      <c r="L108" s="996"/>
      <c r="M108" s="985"/>
      <c r="N108" s="998"/>
      <c r="O108" s="999"/>
      <c r="P108" s="1000"/>
      <c r="X108" s="939"/>
      <c r="Y108" s="939"/>
      <c r="Z108" s="939"/>
      <c r="AA108" s="939"/>
      <c r="AB108" s="939"/>
      <c r="AC108" s="939"/>
      <c r="AD108" s="939"/>
      <c r="AE108" s="939"/>
      <c r="AF108" s="939"/>
      <c r="AG108" s="939"/>
      <c r="AH108" s="939"/>
    </row>
    <row r="109" spans="1:34" s="938" customFormat="1">
      <c r="A109" s="977"/>
      <c r="B109" s="536"/>
      <c r="C109" s="968"/>
      <c r="D109" s="969"/>
      <c r="E109" s="430"/>
      <c r="F109" s="993"/>
      <c r="G109" s="993"/>
      <c r="H109" s="993"/>
      <c r="I109" s="996"/>
      <c r="J109" s="996"/>
      <c r="K109" s="996"/>
      <c r="L109" s="996"/>
      <c r="M109" s="985"/>
      <c r="N109" s="998"/>
      <c r="O109" s="999"/>
      <c r="P109" s="1000"/>
      <c r="X109" s="939"/>
      <c r="Y109" s="939"/>
      <c r="Z109" s="939"/>
      <c r="AA109" s="939"/>
      <c r="AB109" s="939"/>
      <c r="AC109" s="939"/>
      <c r="AD109" s="939"/>
      <c r="AE109" s="939"/>
      <c r="AF109" s="939"/>
      <c r="AG109" s="939"/>
      <c r="AH109" s="939"/>
    </row>
    <row r="110" spans="1:34" s="938" customFormat="1">
      <c r="A110" s="977"/>
      <c r="B110" s="536"/>
      <c r="C110" s="968"/>
      <c r="D110" s="969"/>
      <c r="E110" s="430"/>
      <c r="F110" s="993"/>
      <c r="G110" s="993"/>
      <c r="H110" s="993"/>
      <c r="I110" s="996"/>
      <c r="J110" s="996"/>
      <c r="K110" s="996"/>
      <c r="L110" s="996"/>
      <c r="M110" s="985"/>
      <c r="N110" s="998"/>
      <c r="O110" s="999"/>
      <c r="P110" s="1000"/>
      <c r="X110" s="939"/>
      <c r="Y110" s="939"/>
      <c r="Z110" s="939"/>
      <c r="AA110" s="939"/>
      <c r="AB110" s="939"/>
      <c r="AC110" s="939"/>
      <c r="AD110" s="939"/>
      <c r="AE110" s="939"/>
      <c r="AF110" s="939"/>
      <c r="AG110" s="939"/>
      <c r="AH110" s="939"/>
    </row>
    <row r="111" spans="1:34" s="938" customFormat="1">
      <c r="A111" s="977"/>
      <c r="B111" s="536"/>
      <c r="C111" s="968"/>
      <c r="D111" s="969"/>
      <c r="E111" s="430"/>
      <c r="F111" s="993"/>
      <c r="G111" s="993"/>
      <c r="H111" s="993"/>
      <c r="I111" s="996"/>
      <c r="J111" s="996"/>
      <c r="K111" s="996"/>
      <c r="L111" s="996"/>
      <c r="M111" s="985"/>
      <c r="N111" s="998"/>
      <c r="O111" s="999"/>
      <c r="P111" s="1000"/>
      <c r="X111" s="939"/>
      <c r="Y111" s="939"/>
      <c r="Z111" s="939"/>
      <c r="AA111" s="939"/>
      <c r="AB111" s="939"/>
      <c r="AC111" s="939"/>
      <c r="AD111" s="939"/>
      <c r="AE111" s="939"/>
      <c r="AF111" s="939"/>
      <c r="AG111" s="939"/>
      <c r="AH111" s="939"/>
    </row>
    <row r="112" spans="1:34" s="938" customFormat="1">
      <c r="A112" s="977"/>
      <c r="B112" s="536"/>
      <c r="C112" s="968"/>
      <c r="D112" s="969"/>
      <c r="E112" s="430"/>
      <c r="F112" s="993"/>
      <c r="G112" s="993"/>
      <c r="H112" s="993"/>
      <c r="I112" s="996"/>
      <c r="J112" s="996"/>
      <c r="K112" s="996"/>
      <c r="L112" s="996"/>
      <c r="M112" s="985"/>
      <c r="N112" s="998"/>
      <c r="O112" s="999"/>
      <c r="P112" s="1000"/>
      <c r="X112" s="939"/>
      <c r="Y112" s="939"/>
      <c r="Z112" s="939"/>
      <c r="AA112" s="939"/>
      <c r="AB112" s="939"/>
      <c r="AC112" s="939"/>
      <c r="AD112" s="939"/>
      <c r="AE112" s="939"/>
      <c r="AF112" s="939"/>
      <c r="AG112" s="939"/>
      <c r="AH112" s="939"/>
    </row>
    <row r="113" spans="1:34" s="938" customFormat="1">
      <c r="A113" s="977"/>
      <c r="B113" s="536"/>
      <c r="C113" s="968"/>
      <c r="D113" s="969"/>
      <c r="E113" s="430"/>
      <c r="F113" s="993"/>
      <c r="G113" s="993"/>
      <c r="H113" s="993"/>
      <c r="I113" s="996"/>
      <c r="J113" s="996"/>
      <c r="K113" s="996"/>
      <c r="L113" s="996"/>
      <c r="M113" s="985"/>
      <c r="N113" s="998"/>
      <c r="O113" s="999"/>
      <c r="P113" s="1000"/>
      <c r="X113" s="939"/>
      <c r="Y113" s="939"/>
      <c r="Z113" s="939"/>
      <c r="AA113" s="939"/>
      <c r="AB113" s="939"/>
      <c r="AC113" s="939"/>
      <c r="AD113" s="939"/>
      <c r="AE113" s="939"/>
      <c r="AF113" s="939"/>
      <c r="AG113" s="939"/>
      <c r="AH113" s="939"/>
    </row>
    <row r="114" spans="1:34" s="938" customFormat="1">
      <c r="A114" s="977"/>
      <c r="B114" s="536"/>
      <c r="C114" s="968"/>
      <c r="D114" s="969"/>
      <c r="E114" s="430"/>
      <c r="F114" s="993"/>
      <c r="G114" s="993"/>
      <c r="H114" s="993"/>
      <c r="I114" s="996"/>
      <c r="J114" s="996"/>
      <c r="K114" s="996"/>
      <c r="L114" s="996"/>
      <c r="M114" s="985"/>
      <c r="N114" s="998"/>
      <c r="O114" s="999"/>
      <c r="P114" s="1000"/>
      <c r="X114" s="939"/>
      <c r="Y114" s="939"/>
      <c r="Z114" s="939"/>
      <c r="AA114" s="939"/>
      <c r="AB114" s="939"/>
      <c r="AC114" s="939"/>
      <c r="AD114" s="939"/>
      <c r="AE114" s="939"/>
      <c r="AF114" s="939"/>
      <c r="AG114" s="939"/>
      <c r="AH114" s="939"/>
    </row>
    <row r="115" spans="1:34" s="938" customFormat="1">
      <c r="A115" s="1036"/>
      <c r="B115" s="939"/>
      <c r="C115" s="939"/>
      <c r="D115" s="939"/>
      <c r="E115" s="939"/>
      <c r="F115" s="939"/>
      <c r="G115" s="939"/>
      <c r="H115" s="939"/>
      <c r="I115" s="992"/>
      <c r="J115" s="992"/>
      <c r="K115" s="993"/>
      <c r="L115" s="993"/>
      <c r="M115" s="935"/>
      <c r="N115" s="935"/>
      <c r="O115" s="935"/>
      <c r="X115" s="939"/>
      <c r="Y115" s="935"/>
      <c r="Z115" s="428"/>
      <c r="AA115" s="1037"/>
      <c r="AB115" s="939"/>
      <c r="AC115" s="939"/>
      <c r="AD115" s="939"/>
      <c r="AE115" s="939"/>
      <c r="AF115" s="939"/>
      <c r="AG115" s="939"/>
      <c r="AH115" s="939"/>
    </row>
    <row r="116" spans="1:34" s="938" customFormat="1">
      <c r="A116" s="1038"/>
      <c r="B116" s="1039"/>
      <c r="C116" s="1039"/>
      <c r="D116" s="1039"/>
      <c r="E116" s="1040"/>
      <c r="F116" s="1040"/>
      <c r="G116" s="1041"/>
      <c r="H116" s="1042"/>
      <c r="I116" s="1042"/>
      <c r="J116" s="1042"/>
      <c r="K116" s="1043"/>
      <c r="L116" s="1043"/>
      <c r="M116" s="1039"/>
      <c r="N116" s="1039"/>
      <c r="O116" s="1039"/>
      <c r="P116" s="1044"/>
      <c r="Q116" s="1044"/>
      <c r="R116" s="1044"/>
      <c r="S116" s="1044"/>
      <c r="T116" s="1044"/>
      <c r="U116" s="1044"/>
      <c r="V116" s="1044"/>
      <c r="W116" s="1044"/>
      <c r="X116" s="1045"/>
      <c r="Y116" s="1039"/>
      <c r="Z116" s="1046"/>
      <c r="AA116" s="1040"/>
      <c r="AB116" s="1045"/>
      <c r="AC116" s="1045"/>
      <c r="AD116" s="1045"/>
      <c r="AE116" s="1045"/>
      <c r="AF116" s="939"/>
      <c r="AG116" s="939"/>
      <c r="AH116" s="939"/>
    </row>
    <row r="117" spans="1:34" s="938" customFormat="1">
      <c r="A117" s="1036"/>
      <c r="B117" s="935"/>
      <c r="C117" s="935"/>
      <c r="D117" s="935"/>
      <c r="E117" s="1037"/>
      <c r="F117" s="1037"/>
      <c r="G117" s="763"/>
      <c r="H117" s="992"/>
      <c r="I117" s="992"/>
      <c r="J117" s="992"/>
      <c r="K117" s="993"/>
      <c r="L117" s="993"/>
      <c r="M117" s="935"/>
      <c r="N117" s="935"/>
      <c r="O117" s="935"/>
      <c r="X117" s="939"/>
      <c r="Y117" s="935"/>
      <c r="Z117" s="428"/>
      <c r="AA117" s="1037"/>
      <c r="AB117" s="939"/>
      <c r="AC117" s="939"/>
      <c r="AD117" s="939"/>
      <c r="AE117" s="939"/>
      <c r="AF117" s="939"/>
      <c r="AG117" s="939"/>
      <c r="AH117" s="939"/>
    </row>
    <row r="118" spans="1:34" s="938" customFormat="1">
      <c r="A118" s="1036"/>
      <c r="B118" s="935"/>
      <c r="C118" s="935"/>
      <c r="D118" s="935"/>
      <c r="E118" s="1037"/>
      <c r="F118" s="994">
        <v>12308</v>
      </c>
      <c r="G118" s="994" t="s">
        <v>842</v>
      </c>
      <c r="H118" s="1047"/>
      <c r="I118" s="1047"/>
      <c r="J118" s="1010">
        <v>101484295</v>
      </c>
      <c r="K118" s="992"/>
      <c r="L118" s="992"/>
      <c r="M118" s="935"/>
      <c r="N118" s="935"/>
      <c r="O118" s="935"/>
      <c r="X118" s="939"/>
      <c r="Y118" s="935"/>
      <c r="Z118" s="1014"/>
      <c r="AA118" s="1037"/>
      <c r="AB118" s="939"/>
      <c r="AC118" s="939"/>
      <c r="AD118" s="939"/>
      <c r="AE118" s="939"/>
      <c r="AF118" s="939"/>
      <c r="AG118" s="939"/>
      <c r="AH118" s="939"/>
    </row>
    <row r="119" spans="1:34" s="938" customFormat="1">
      <c r="A119" s="1036"/>
      <c r="B119" s="935"/>
      <c r="C119" s="935"/>
      <c r="D119" s="935"/>
      <c r="E119" s="1037"/>
      <c r="F119" s="994">
        <v>13310</v>
      </c>
      <c r="G119" s="994" t="s">
        <v>843</v>
      </c>
      <c r="H119" s="1047"/>
      <c r="I119" s="1047"/>
      <c r="J119" s="1010">
        <v>95914467</v>
      </c>
      <c r="K119" s="992"/>
      <c r="L119" s="992"/>
      <c r="M119" s="935"/>
      <c r="N119" s="935"/>
      <c r="O119" s="935"/>
      <c r="Y119" s="935"/>
      <c r="Z119" s="1014"/>
      <c r="AA119" s="1037"/>
      <c r="AB119" s="939"/>
      <c r="AC119" s="939"/>
      <c r="AD119" s="939"/>
      <c r="AE119" s="939"/>
      <c r="AF119" s="939"/>
      <c r="AG119" s="939"/>
      <c r="AH119" s="939"/>
    </row>
    <row r="120" spans="1:34" s="938" customFormat="1" ht="12.75">
      <c r="A120" s="1036"/>
      <c r="B120" s="935"/>
      <c r="C120" s="935"/>
      <c r="D120" s="935"/>
      <c r="E120" s="1037"/>
      <c r="F120" s="994">
        <v>12311</v>
      </c>
      <c r="G120" s="994" t="s">
        <v>844</v>
      </c>
      <c r="H120" s="1047"/>
      <c r="I120" s="1047"/>
      <c r="J120" s="1010">
        <v>11293011</v>
      </c>
      <c r="K120" s="992"/>
      <c r="L120" s="992"/>
      <c r="M120" s="935"/>
      <c r="N120" s="935"/>
      <c r="O120" s="935"/>
      <c r="Y120" s="935"/>
      <c r="Z120" s="1014"/>
      <c r="AA120" s="1037"/>
    </row>
    <row r="121" spans="1:34" s="938" customFormat="1" ht="15.75">
      <c r="A121" s="934"/>
      <c r="B121" s="1048"/>
      <c r="C121" s="935"/>
      <c r="D121" s="935"/>
      <c r="E121" s="935"/>
      <c r="F121" s="994">
        <v>12312</v>
      </c>
      <c r="G121" s="994" t="s">
        <v>845</v>
      </c>
      <c r="H121" s="1049"/>
      <c r="I121" s="1049"/>
      <c r="J121" s="1010">
        <v>9869364</v>
      </c>
      <c r="K121" s="936"/>
      <c r="L121" s="937"/>
      <c r="M121" s="935"/>
      <c r="N121" s="935"/>
      <c r="O121" s="935"/>
      <c r="Y121" s="939"/>
      <c r="Z121" s="939"/>
      <c r="AA121" s="1037"/>
    </row>
    <row r="122" spans="1:34" s="938" customFormat="1">
      <c r="A122" s="934"/>
      <c r="B122" s="1050"/>
      <c r="C122" s="935"/>
      <c r="D122" s="935"/>
      <c r="E122" s="935"/>
      <c r="F122" s="994">
        <v>12313</v>
      </c>
      <c r="G122" s="994" t="s">
        <v>846</v>
      </c>
      <c r="H122" s="1049"/>
      <c r="I122" s="1049"/>
      <c r="J122" s="1010">
        <v>63365392</v>
      </c>
      <c r="K122" s="936"/>
      <c r="L122" s="937"/>
      <c r="M122" s="935"/>
      <c r="N122" s="935"/>
      <c r="O122" s="935"/>
      <c r="Y122" s="939"/>
      <c r="Z122" s="939"/>
      <c r="AA122" s="1037"/>
    </row>
    <row r="123" spans="1:34" s="938" customFormat="1">
      <c r="A123" s="934"/>
      <c r="B123" s="934"/>
      <c r="C123" s="941"/>
      <c r="D123" s="941"/>
      <c r="E123" s="935"/>
      <c r="F123" s="994">
        <v>12314</v>
      </c>
      <c r="G123" s="994" t="s">
        <v>847</v>
      </c>
      <c r="H123" s="1049"/>
      <c r="I123" s="1049"/>
      <c r="J123" s="1010">
        <v>18740095</v>
      </c>
      <c r="K123" s="935"/>
      <c r="L123" s="937"/>
      <c r="M123" s="935"/>
      <c r="N123" s="935"/>
      <c r="O123" s="935"/>
      <c r="X123" s="939"/>
      <c r="Y123" s="939"/>
      <c r="Z123" s="939"/>
      <c r="AA123" s="1037"/>
    </row>
    <row r="124" spans="1:34" s="938" customFormat="1" ht="21">
      <c r="A124" s="942"/>
      <c r="B124" s="536"/>
      <c r="C124" s="935"/>
      <c r="D124" s="935"/>
      <c r="E124" s="935"/>
      <c r="F124" s="994">
        <v>12315</v>
      </c>
      <c r="G124" s="994" t="s">
        <v>848</v>
      </c>
      <c r="H124" s="1049"/>
      <c r="I124" s="1049"/>
      <c r="J124" s="1010">
        <v>41657831</v>
      </c>
      <c r="K124" s="936"/>
      <c r="L124" s="937"/>
      <c r="M124" s="935"/>
      <c r="N124" s="935"/>
      <c r="O124" s="935"/>
      <c r="X124" s="939"/>
      <c r="Y124" s="939"/>
      <c r="Z124" s="945"/>
      <c r="AA124" s="1037"/>
    </row>
    <row r="125" spans="1:34" s="938" customFormat="1">
      <c r="A125" s="941"/>
      <c r="B125" s="941"/>
      <c r="C125" s="941"/>
      <c r="D125" s="941"/>
      <c r="E125" s="935"/>
      <c r="F125" s="935"/>
      <c r="G125" s="935"/>
      <c r="H125" s="935"/>
      <c r="I125" s="935"/>
      <c r="J125" s="935"/>
      <c r="K125" s="935"/>
      <c r="L125" s="937"/>
      <c r="M125" s="935"/>
      <c r="N125" s="935"/>
      <c r="O125" s="935"/>
      <c r="X125" s="939"/>
      <c r="Y125" s="939"/>
      <c r="Z125" s="939"/>
      <c r="AA125" s="1037"/>
    </row>
    <row r="132" spans="2:15" ht="18">
      <c r="B132" s="547" t="s">
        <v>796</v>
      </c>
      <c r="C132" s="935"/>
      <c r="D132" s="935"/>
      <c r="E132" s="935"/>
      <c r="F132" s="935"/>
      <c r="G132" s="935"/>
      <c r="H132" s="935"/>
      <c r="I132" s="935"/>
      <c r="J132" s="935"/>
      <c r="K132" s="936"/>
      <c r="L132" s="937"/>
      <c r="M132" s="935"/>
      <c r="N132" s="935"/>
      <c r="O132" s="935"/>
    </row>
    <row r="133" spans="2:15">
      <c r="B133" s="940" t="s">
        <v>797</v>
      </c>
      <c r="C133" s="935"/>
      <c r="D133" s="935"/>
      <c r="E133" s="935"/>
      <c r="F133" s="935"/>
      <c r="G133" s="935"/>
      <c r="H133" s="935"/>
      <c r="I133" s="935"/>
      <c r="J133" s="935"/>
      <c r="K133" s="936"/>
      <c r="L133" s="937"/>
      <c r="M133" s="935"/>
      <c r="N133" s="935"/>
      <c r="O133" s="935"/>
    </row>
    <row r="134" spans="2:15">
      <c r="B134" s="940" t="s">
        <v>798</v>
      </c>
      <c r="C134" s="941"/>
      <c r="D134" s="941"/>
      <c r="E134" s="935"/>
      <c r="F134" s="935"/>
      <c r="G134" s="935"/>
      <c r="H134" s="935"/>
      <c r="I134" s="935"/>
      <c r="J134" s="935"/>
      <c r="K134" s="935"/>
      <c r="L134" s="937"/>
      <c r="M134" s="935"/>
      <c r="N134" s="935"/>
      <c r="O134" s="935"/>
    </row>
    <row r="135" spans="2:15">
      <c r="B135" s="536" t="s">
        <v>799</v>
      </c>
      <c r="C135" s="935"/>
      <c r="D135" s="935"/>
      <c r="E135" s="943">
        <v>45157395</v>
      </c>
      <c r="F135" s="935"/>
      <c r="G135" s="944">
        <v>36270028</v>
      </c>
      <c r="H135" s="935"/>
      <c r="I135" s="935"/>
      <c r="J135" s="938"/>
      <c r="K135" s="935"/>
      <c r="L135" s="936"/>
      <c r="M135" s="937"/>
      <c r="N135" s="935"/>
      <c r="O135" s="935"/>
    </row>
    <row r="136" spans="2:15">
      <c r="B136" s="941">
        <v>2020</v>
      </c>
      <c r="C136" s="941"/>
      <c r="D136" s="941"/>
      <c r="E136" s="935"/>
      <c r="F136" s="935"/>
      <c r="G136" s="935"/>
      <c r="H136" s="935">
        <f>+E140*F140</f>
        <v>86385007.136999995</v>
      </c>
      <c r="I136" s="935"/>
      <c r="J136" s="938"/>
      <c r="K136" s="946" t="s">
        <v>801</v>
      </c>
      <c r="L136" s="935"/>
      <c r="M136" s="937"/>
      <c r="N136" s="935"/>
      <c r="O136" s="935"/>
    </row>
    <row r="137" spans="2:15" ht="16.5" thickBot="1">
      <c r="B137" s="947" t="s">
        <v>802</v>
      </c>
      <c r="C137" s="941"/>
      <c r="D137" s="948"/>
      <c r="E137" s="938"/>
      <c r="F137" s="949"/>
      <c r="G137" s="946" t="s">
        <v>20</v>
      </c>
      <c r="H137" s="938"/>
      <c r="I137" s="949"/>
      <c r="J137" s="938"/>
      <c r="K137" s="950" t="s">
        <v>803</v>
      </c>
      <c r="L137" s="946" t="s">
        <v>21</v>
      </c>
      <c r="M137" s="949"/>
      <c r="N137" s="935"/>
      <c r="O137" s="949"/>
    </row>
    <row r="138" spans="2:15">
      <c r="B138" s="954" t="s">
        <v>78</v>
      </c>
      <c r="C138" s="954" t="s">
        <v>808</v>
      </c>
      <c r="D138" s="955" t="s">
        <v>78</v>
      </c>
      <c r="E138" s="956" t="s">
        <v>214</v>
      </c>
      <c r="F138" s="954" t="s">
        <v>60</v>
      </c>
      <c r="G138" s="955" t="s">
        <v>78</v>
      </c>
      <c r="H138" s="956" t="s">
        <v>809</v>
      </c>
      <c r="I138" s="957" t="s">
        <v>810</v>
      </c>
      <c r="J138" s="957" t="s">
        <v>811</v>
      </c>
      <c r="K138" s="957" t="s">
        <v>812</v>
      </c>
      <c r="L138" s="957" t="s">
        <v>812</v>
      </c>
      <c r="M138" s="958" t="s">
        <v>78</v>
      </c>
      <c r="N138" s="959" t="s">
        <v>136</v>
      </c>
      <c r="O138" s="960" t="s">
        <v>813</v>
      </c>
    </row>
    <row r="139" spans="2:15" ht="15.75" thickBot="1">
      <c r="B139" s="961"/>
      <c r="C139" s="961"/>
      <c r="D139" s="962"/>
      <c r="E139" s="963" t="s">
        <v>814</v>
      </c>
      <c r="F139" s="961"/>
      <c r="G139" s="962" t="s">
        <v>815</v>
      </c>
      <c r="H139" s="963" t="s">
        <v>815</v>
      </c>
      <c r="I139" s="964" t="s">
        <v>816</v>
      </c>
      <c r="J139" s="964" t="s">
        <v>817</v>
      </c>
      <c r="K139" s="964" t="s">
        <v>818</v>
      </c>
      <c r="L139" s="964" t="s">
        <v>814</v>
      </c>
      <c r="M139" s="965" t="s">
        <v>806</v>
      </c>
      <c r="N139" s="966" t="s">
        <v>138</v>
      </c>
      <c r="O139" s="967" t="s">
        <v>819</v>
      </c>
    </row>
    <row r="140" spans="2:15">
      <c r="B140" s="970" t="s">
        <v>821</v>
      </c>
      <c r="C140" s="971">
        <v>1</v>
      </c>
      <c r="D140" s="972">
        <v>836697670</v>
      </c>
      <c r="E140" s="944">
        <v>84113931</v>
      </c>
      <c r="F140" s="973">
        <v>1.0269999999999999</v>
      </c>
      <c r="G140" s="944">
        <f>ROUND((+D140*F140),0)</f>
        <v>859288507</v>
      </c>
      <c r="H140" s="944">
        <f>ROUND((+E140*F140),0)</f>
        <v>86385007</v>
      </c>
      <c r="I140" s="944">
        <f>+G140-D140-H140+E140</f>
        <v>20319761</v>
      </c>
      <c r="J140" s="974">
        <f>+G140-H140+I140</f>
        <v>793223261</v>
      </c>
      <c r="K140" s="944">
        <f>ROUND(((+J140)/N140*12),0)</f>
        <v>19830582</v>
      </c>
      <c r="L140" s="944">
        <f>+H140+K140</f>
        <v>106215589</v>
      </c>
      <c r="M140" s="944">
        <f>+G140-L140</f>
        <v>753072918</v>
      </c>
      <c r="N140" s="975">
        <v>480</v>
      </c>
      <c r="O140" s="976">
        <f>+N140-12-12</f>
        <v>456</v>
      </c>
    </row>
    <row r="141" spans="2:15">
      <c r="B141" s="970"/>
      <c r="C141" s="971"/>
      <c r="D141" s="972">
        <f>+$E$4*C141</f>
        <v>0</v>
      </c>
      <c r="E141" s="944">
        <f>+$G$4*C141</f>
        <v>0</v>
      </c>
      <c r="F141" s="973">
        <v>0</v>
      </c>
      <c r="G141" s="944">
        <f>ROUND((+D141*F141),0)</f>
        <v>0</v>
      </c>
      <c r="H141" s="944">
        <f>ROUND((+E141*F141),0)</f>
        <v>0</v>
      </c>
      <c r="I141" s="944">
        <f>+G141-D141-H141+E141</f>
        <v>0</v>
      </c>
      <c r="J141" s="974">
        <f>+G141-H141+I141</f>
        <v>0</v>
      </c>
      <c r="K141" s="944">
        <f>ROUND(((+J141)/N141*12),0)</f>
        <v>0</v>
      </c>
      <c r="L141" s="944">
        <f>+H141+K141</f>
        <v>0</v>
      </c>
      <c r="M141" s="944">
        <f>+G141-L141</f>
        <v>0</v>
      </c>
      <c r="N141" s="975">
        <v>1</v>
      </c>
      <c r="O141" s="976">
        <f>+N141</f>
        <v>1</v>
      </c>
    </row>
    <row r="142" spans="2:15">
      <c r="B142" s="978"/>
      <c r="C142" s="979"/>
      <c r="D142" s="980"/>
      <c r="E142" s="980"/>
      <c r="F142" s="973"/>
      <c r="G142" s="944"/>
      <c r="H142" s="944"/>
      <c r="I142" s="944"/>
      <c r="J142" s="944"/>
      <c r="K142" s="944"/>
      <c r="L142" s="944"/>
      <c r="M142" s="944"/>
      <c r="N142" s="975"/>
      <c r="O142" s="976"/>
    </row>
    <row r="143" spans="2:15" ht="15.75" thickBot="1">
      <c r="B143" s="981"/>
      <c r="C143" s="982"/>
      <c r="D143" s="983">
        <f>SUM(D140:D142)</f>
        <v>836697670</v>
      </c>
      <c r="E143" s="983">
        <f t="shared" ref="E143:M143" si="1">SUM(E140:E142)</f>
        <v>84113931</v>
      </c>
      <c r="F143" s="983">
        <f t="shared" si="1"/>
        <v>1.0269999999999999</v>
      </c>
      <c r="G143" s="983">
        <f t="shared" si="1"/>
        <v>859288507</v>
      </c>
      <c r="H143" s="983">
        <f t="shared" si="1"/>
        <v>86385007</v>
      </c>
      <c r="I143" s="983">
        <f t="shared" si="1"/>
        <v>20319761</v>
      </c>
      <c r="J143" s="983">
        <f t="shared" si="1"/>
        <v>793223261</v>
      </c>
      <c r="K143" s="984">
        <f t="shared" si="1"/>
        <v>19830582</v>
      </c>
      <c r="L143" s="983">
        <f t="shared" si="1"/>
        <v>106215589</v>
      </c>
      <c r="M143" s="983">
        <f t="shared" si="1"/>
        <v>753072918</v>
      </c>
      <c r="N143" s="983"/>
      <c r="O143" s="983"/>
    </row>
    <row r="144" spans="2:15" ht="15.75" thickTop="1">
      <c r="B144" s="536"/>
      <c r="C144" s="968"/>
      <c r="D144" s="969"/>
      <c r="E144" s="985"/>
      <c r="F144" s="986"/>
      <c r="G144" s="987">
        <f>+G143-D143</f>
        <v>22590837</v>
      </c>
      <c r="H144" s="987">
        <f>+H143-E143</f>
        <v>2271076</v>
      </c>
      <c r="I144" s="985"/>
      <c r="J144" s="938"/>
      <c r="K144" s="985"/>
      <c r="L144" s="988" t="s">
        <v>824</v>
      </c>
      <c r="M144" s="989"/>
      <c r="N144" s="985"/>
      <c r="O144" s="985"/>
    </row>
    <row r="145" spans="2:15">
      <c r="B145" s="991"/>
      <c r="C145" s="992"/>
      <c r="D145" s="992"/>
      <c r="E145" s="992"/>
      <c r="F145" s="993"/>
      <c r="G145" s="994" t="s">
        <v>826</v>
      </c>
      <c r="H145" s="935"/>
      <c r="I145" s="995" t="s">
        <v>827</v>
      </c>
      <c r="J145" s="995" t="s">
        <v>828</v>
      </c>
      <c r="K145" s="996"/>
      <c r="L145" s="996"/>
      <c r="M145" s="997"/>
      <c r="N145" s="998"/>
      <c r="O145" s="999"/>
    </row>
    <row r="146" spans="2:15">
      <c r="B146" s="763"/>
      <c r="C146" s="992"/>
      <c r="D146" s="996"/>
      <c r="E146" s="992"/>
      <c r="F146" s="993"/>
      <c r="G146" s="993"/>
      <c r="H146" s="935"/>
      <c r="I146" s="996"/>
      <c r="J146" s="996"/>
      <c r="K146" s="996"/>
      <c r="L146" s="996"/>
      <c r="M146" s="989"/>
      <c r="N146" s="998"/>
      <c r="O146" s="999"/>
    </row>
    <row r="147" spans="2:15">
      <c r="B147" s="1001" t="s">
        <v>831</v>
      </c>
      <c r="C147" s="1002"/>
      <c r="D147" s="1003">
        <f>+G143</f>
        <v>859288507</v>
      </c>
      <c r="E147" s="992"/>
      <c r="F147" s="994"/>
      <c r="G147" s="1004" t="s">
        <v>832</v>
      </c>
      <c r="H147" s="1005"/>
      <c r="I147" s="1003">
        <f>+G144</f>
        <v>22590837</v>
      </c>
      <c r="J147" s="1006"/>
      <c r="K147" s="996"/>
      <c r="L147" s="996"/>
      <c r="M147" s="1007"/>
      <c r="N147" s="998"/>
      <c r="O147" s="999"/>
    </row>
    <row r="148" spans="2:15">
      <c r="B148" s="1008"/>
      <c r="C148" s="1009"/>
      <c r="D148" s="1010"/>
      <c r="E148" s="992"/>
      <c r="F148" s="994"/>
      <c r="G148" s="1011"/>
      <c r="H148" s="1012"/>
      <c r="I148" s="1010"/>
      <c r="J148" s="1013"/>
      <c r="K148" s="996"/>
      <c r="L148" s="996"/>
      <c r="M148" s="1007"/>
      <c r="N148" s="998"/>
      <c r="O148" s="999"/>
    </row>
    <row r="149" spans="2:15">
      <c r="B149" s="1008" t="s">
        <v>834</v>
      </c>
      <c r="C149" s="1009"/>
      <c r="D149" s="1010"/>
      <c r="E149" s="992"/>
      <c r="F149" s="994"/>
      <c r="G149" s="1015" t="s">
        <v>835</v>
      </c>
      <c r="H149" s="1016"/>
      <c r="I149" s="1017"/>
      <c r="J149" s="1018">
        <f>+I147+I148</f>
        <v>22590837</v>
      </c>
      <c r="K149" s="996"/>
      <c r="L149" s="996">
        <f>+J149-I151-J155</f>
        <v>489179</v>
      </c>
      <c r="M149" s="1007"/>
      <c r="N149" s="998"/>
      <c r="O149" s="999"/>
    </row>
    <row r="150" spans="2:15">
      <c r="B150" s="1008"/>
      <c r="C150" s="1009"/>
      <c r="D150" s="1010"/>
      <c r="E150" s="992"/>
      <c r="F150" s="994"/>
      <c r="G150" s="1011"/>
      <c r="H150" s="1012"/>
      <c r="I150" s="1010"/>
      <c r="J150" s="1013"/>
      <c r="K150" s="996"/>
      <c r="L150" s="996"/>
      <c r="M150" s="1007"/>
      <c r="N150" s="998"/>
      <c r="O150" s="999"/>
    </row>
    <row r="151" spans="2:15">
      <c r="B151" s="1008" t="s">
        <v>836</v>
      </c>
      <c r="C151" s="1009"/>
      <c r="D151" s="1010">
        <f>-H143</f>
        <v>-86385007</v>
      </c>
      <c r="E151" s="992"/>
      <c r="F151" s="994"/>
      <c r="G151" s="1004" t="s">
        <v>835</v>
      </c>
      <c r="H151" s="1005"/>
      <c r="I151" s="1019">
        <f>+J152</f>
        <v>2271076</v>
      </c>
      <c r="J151" s="1006"/>
      <c r="K151" s="996"/>
      <c r="L151" s="996"/>
      <c r="M151" s="1007"/>
      <c r="N151" s="998"/>
      <c r="O151" s="999"/>
    </row>
    <row r="152" spans="2:15">
      <c r="B152" s="1008"/>
      <c r="C152" s="1009"/>
      <c r="D152" s="1010"/>
      <c r="E152" s="992"/>
      <c r="F152" s="994"/>
      <c r="G152" s="1020" t="s">
        <v>837</v>
      </c>
      <c r="H152" s="1016"/>
      <c r="I152" s="1017"/>
      <c r="J152" s="1021">
        <f>+H143-E143</f>
        <v>2271076</v>
      </c>
      <c r="K152" s="996"/>
      <c r="L152" s="996"/>
      <c r="M152" s="1007"/>
      <c r="N152" s="998"/>
      <c r="O152" s="999"/>
    </row>
    <row r="153" spans="2:15">
      <c r="B153" s="1022" t="s">
        <v>838</v>
      </c>
      <c r="C153" s="1023"/>
      <c r="D153" s="1017">
        <f>-K143</f>
        <v>-19830582</v>
      </c>
      <c r="E153" s="992"/>
      <c r="F153" s="994"/>
      <c r="G153" s="1004"/>
      <c r="H153" s="1005"/>
      <c r="I153" s="1003"/>
      <c r="J153" s="1006"/>
      <c r="K153" s="996"/>
      <c r="L153" s="996"/>
      <c r="M153" s="1007"/>
      <c r="N153" s="998"/>
      <c r="O153" s="999"/>
    </row>
    <row r="154" spans="2:15">
      <c r="B154" s="1001"/>
      <c r="C154" s="1002"/>
      <c r="D154" s="1024"/>
      <c r="E154" s="992"/>
      <c r="F154" s="994"/>
      <c r="G154" s="1025" t="s">
        <v>839</v>
      </c>
      <c r="H154" s="1012"/>
      <c r="I154" s="1026">
        <f>+K143</f>
        <v>19830582</v>
      </c>
      <c r="J154" s="1013"/>
      <c r="K154" s="996"/>
      <c r="L154" s="996"/>
      <c r="M154" s="1007"/>
      <c r="N154" s="998"/>
      <c r="O154" s="999"/>
    </row>
    <row r="155" spans="2:15">
      <c r="B155" s="1022" t="s">
        <v>140</v>
      </c>
      <c r="C155" s="1023"/>
      <c r="D155" s="1027">
        <f>+D147+D149+D153+D151</f>
        <v>753072918</v>
      </c>
      <c r="E155" s="992"/>
      <c r="F155" s="992"/>
      <c r="G155" s="1020" t="s">
        <v>837</v>
      </c>
      <c r="H155" s="1016"/>
      <c r="I155" s="1017"/>
      <c r="J155" s="1021">
        <f>+I154</f>
        <v>19830582</v>
      </c>
      <c r="K155" s="996"/>
      <c r="L155" s="996"/>
      <c r="M155" s="1007"/>
      <c r="N155" s="998"/>
      <c r="O155" s="999"/>
    </row>
    <row r="156" spans="2:15">
      <c r="B156" s="536"/>
      <c r="C156" s="968"/>
      <c r="D156" s="969"/>
      <c r="E156" s="430"/>
      <c r="F156" s="994"/>
      <c r="G156" s="1025"/>
      <c r="H156" s="1012"/>
      <c r="I156" s="1010"/>
      <c r="J156" s="1013"/>
      <c r="K156" s="996"/>
      <c r="L156" s="996"/>
      <c r="M156" s="1007"/>
      <c r="N156" s="998"/>
      <c r="O156" s="999"/>
    </row>
    <row r="157" spans="2:15">
      <c r="B157" s="536"/>
      <c r="C157" s="968"/>
      <c r="D157" s="969"/>
      <c r="E157" s="430"/>
      <c r="F157" s="994"/>
      <c r="G157" s="1020"/>
      <c r="H157" s="1016"/>
      <c r="I157" s="1017"/>
      <c r="J157" s="1021"/>
      <c r="K157" s="996"/>
      <c r="L157" s="996"/>
      <c r="M157" s="1028"/>
      <c r="N157" s="998"/>
      <c r="O157" s="999"/>
    </row>
    <row r="158" spans="2:15" ht="15.75" thickBot="1">
      <c r="B158" s="536"/>
      <c r="C158" s="968"/>
      <c r="D158" s="969"/>
      <c r="E158" s="430"/>
      <c r="F158" s="992"/>
      <c r="G158" s="1029"/>
      <c r="H158" s="1030" t="s">
        <v>212</v>
      </c>
      <c r="I158" s="1031">
        <f>SUM(I144:I157)</f>
        <v>44692495</v>
      </c>
      <c r="J158" s="1031">
        <f>SUM(J144:J157)</f>
        <v>44692495</v>
      </c>
      <c r="K158" s="996"/>
      <c r="L158" s="996"/>
      <c r="M158" s="1032"/>
      <c r="N158" s="998"/>
      <c r="O158" s="999"/>
    </row>
    <row r="159" spans="2:15" ht="15.75" thickTop="1"/>
    <row r="163" spans="1:15">
      <c r="A163" s="1051"/>
      <c r="B163" s="1051"/>
      <c r="C163" s="1051"/>
      <c r="D163" s="1051"/>
      <c r="E163" s="1051"/>
      <c r="F163" s="1051"/>
      <c r="G163" s="1051"/>
      <c r="H163" s="1051"/>
      <c r="I163" s="1051"/>
      <c r="J163" s="1051"/>
      <c r="K163" s="1051"/>
      <c r="L163" s="1051"/>
      <c r="M163" s="1051"/>
      <c r="N163" s="1051"/>
      <c r="O163" s="1051"/>
    </row>
    <row r="167" spans="1:15" ht="18">
      <c r="B167" s="547" t="s">
        <v>796</v>
      </c>
      <c r="C167" s="935"/>
      <c r="D167" s="935"/>
      <c r="E167" s="935"/>
      <c r="F167" s="935"/>
      <c r="G167" s="935"/>
      <c r="H167" s="935"/>
      <c r="I167" s="935"/>
      <c r="J167" s="935"/>
      <c r="K167" s="936"/>
      <c r="L167" s="937"/>
      <c r="M167" s="935"/>
      <c r="N167" s="935"/>
      <c r="O167" s="935"/>
    </row>
    <row r="168" spans="1:15">
      <c r="B168" s="940" t="s">
        <v>797</v>
      </c>
      <c r="C168" s="935"/>
      <c r="D168" s="935"/>
      <c r="E168" s="935"/>
      <c r="F168" s="935"/>
      <c r="G168" s="935"/>
      <c r="H168" s="935"/>
      <c r="I168" s="935"/>
      <c r="J168" s="935"/>
      <c r="K168" s="936"/>
      <c r="L168" s="937"/>
      <c r="M168" s="935"/>
      <c r="N168" s="935"/>
      <c r="O168" s="935"/>
    </row>
    <row r="169" spans="1:15">
      <c r="B169" s="940" t="s">
        <v>798</v>
      </c>
      <c r="C169" s="941"/>
      <c r="D169" s="941"/>
      <c r="E169" s="935"/>
      <c r="F169" s="935"/>
      <c r="G169" s="935"/>
      <c r="H169" s="935"/>
      <c r="I169" s="935"/>
      <c r="J169" s="935"/>
      <c r="K169" s="935"/>
      <c r="L169" s="937"/>
      <c r="M169" s="935"/>
      <c r="N169" s="935"/>
      <c r="O169" s="935"/>
    </row>
    <row r="170" spans="1:15">
      <c r="B170" s="536" t="s">
        <v>799</v>
      </c>
      <c r="C170" s="935"/>
      <c r="D170" s="935"/>
      <c r="E170" s="943">
        <v>45157395</v>
      </c>
      <c r="F170" s="935"/>
      <c r="G170" s="944">
        <v>36270028</v>
      </c>
      <c r="H170" s="935"/>
      <c r="I170" s="935"/>
      <c r="J170" s="938"/>
      <c r="K170" s="935"/>
      <c r="L170" s="936"/>
      <c r="M170" s="937"/>
      <c r="N170" s="935"/>
      <c r="O170" s="935"/>
    </row>
    <row r="171" spans="1:15" ht="18">
      <c r="B171" s="1052">
        <v>2021</v>
      </c>
      <c r="C171" s="941"/>
      <c r="D171" s="941"/>
      <c r="E171" s="935"/>
      <c r="F171" s="935"/>
      <c r="G171" s="935"/>
      <c r="H171" s="935">
        <f>+E175*F175</f>
        <v>113332033.463</v>
      </c>
      <c r="I171" s="935"/>
      <c r="J171" s="938"/>
      <c r="K171" s="946" t="s">
        <v>801</v>
      </c>
      <c r="L171" s="935"/>
      <c r="M171" s="937"/>
      <c r="N171" s="935"/>
      <c r="O171" s="935"/>
    </row>
    <row r="172" spans="1:15" ht="16.5" thickBot="1">
      <c r="B172" s="947" t="s">
        <v>802</v>
      </c>
      <c r="C172" s="941"/>
      <c r="D172" s="948"/>
      <c r="E172" s="938"/>
      <c r="F172" s="949"/>
      <c r="G172" s="946" t="s">
        <v>20</v>
      </c>
      <c r="H172" s="938"/>
      <c r="I172" s="949"/>
      <c r="J172" s="938"/>
      <c r="K172" s="950" t="s">
        <v>803</v>
      </c>
      <c r="L172" s="946" t="s">
        <v>21</v>
      </c>
      <c r="M172" s="949"/>
      <c r="N172" s="935"/>
      <c r="O172" s="949"/>
    </row>
    <row r="173" spans="1:15">
      <c r="B173" s="954" t="s">
        <v>78</v>
      </c>
      <c r="C173" s="954" t="s">
        <v>808</v>
      </c>
      <c r="D173" s="955" t="s">
        <v>78</v>
      </c>
      <c r="E173" s="956" t="s">
        <v>214</v>
      </c>
      <c r="F173" s="954" t="s">
        <v>60</v>
      </c>
      <c r="G173" s="955" t="s">
        <v>78</v>
      </c>
      <c r="H173" s="956" t="s">
        <v>809</v>
      </c>
      <c r="I173" s="957" t="s">
        <v>810</v>
      </c>
      <c r="J173" s="957" t="s">
        <v>811</v>
      </c>
      <c r="K173" s="957" t="s">
        <v>812</v>
      </c>
      <c r="L173" s="957" t="s">
        <v>812</v>
      </c>
      <c r="M173" s="958" t="s">
        <v>78</v>
      </c>
      <c r="N173" s="959" t="s">
        <v>136</v>
      </c>
      <c r="O173" s="960" t="s">
        <v>813</v>
      </c>
    </row>
    <row r="174" spans="1:15" ht="15.75" thickBot="1">
      <c r="B174" s="961"/>
      <c r="C174" s="961"/>
      <c r="D174" s="962"/>
      <c r="E174" s="963" t="s">
        <v>814</v>
      </c>
      <c r="F174" s="961"/>
      <c r="G174" s="962" t="s">
        <v>815</v>
      </c>
      <c r="H174" s="963" t="s">
        <v>815</v>
      </c>
      <c r="I174" s="964" t="s">
        <v>816</v>
      </c>
      <c r="J174" s="964" t="s">
        <v>817</v>
      </c>
      <c r="K174" s="964" t="s">
        <v>818</v>
      </c>
      <c r="L174" s="964" t="s">
        <v>814</v>
      </c>
      <c r="M174" s="965" t="s">
        <v>806</v>
      </c>
      <c r="N174" s="966" t="s">
        <v>138</v>
      </c>
      <c r="O174" s="967" t="s">
        <v>819</v>
      </c>
    </row>
    <row r="175" spans="1:15">
      <c r="B175" s="970" t="s">
        <v>821</v>
      </c>
      <c r="C175" s="971">
        <v>1</v>
      </c>
      <c r="D175" s="972">
        <v>859288507</v>
      </c>
      <c r="E175" s="944">
        <v>106215589</v>
      </c>
      <c r="F175" s="973">
        <v>1.0669999999999999</v>
      </c>
      <c r="G175" s="944">
        <f>ROUND((+D175*F175),0)</f>
        <v>916860837</v>
      </c>
      <c r="H175" s="944">
        <f>ROUND((+E175*F175),0)</f>
        <v>113332033</v>
      </c>
      <c r="I175" s="944">
        <f>+G175-D175-H175+E175</f>
        <v>50455886</v>
      </c>
      <c r="J175" s="974">
        <f>+G175-H175+I175</f>
        <v>853984690</v>
      </c>
      <c r="K175" s="944">
        <f>ROUND(((+J175)/N175*12),0)</f>
        <v>21349617</v>
      </c>
      <c r="L175" s="944">
        <f>+H175+K175</f>
        <v>134681650</v>
      </c>
      <c r="M175" s="944">
        <f>+G175-L175</f>
        <v>782179187</v>
      </c>
      <c r="N175" s="975">
        <v>480</v>
      </c>
      <c r="O175" s="976">
        <f>+N175-12-12-12</f>
        <v>444</v>
      </c>
    </row>
    <row r="176" spans="1:15">
      <c r="B176" s="970"/>
      <c r="C176" s="971"/>
      <c r="D176" s="972"/>
      <c r="E176" s="944"/>
      <c r="F176" s="973"/>
      <c r="G176" s="944"/>
      <c r="H176" s="944"/>
      <c r="I176" s="944"/>
      <c r="J176" s="974"/>
      <c r="K176" s="944"/>
      <c r="L176" s="944"/>
      <c r="M176" s="944"/>
      <c r="N176" s="975"/>
      <c r="O176" s="976"/>
    </row>
    <row r="177" spans="2:15">
      <c r="B177" s="970"/>
      <c r="C177" s="971"/>
      <c r="D177" s="972"/>
      <c r="E177" s="944"/>
      <c r="F177" s="973"/>
      <c r="G177" s="944"/>
      <c r="H177" s="944"/>
      <c r="I177" s="944"/>
      <c r="J177" s="974"/>
      <c r="K177" s="944"/>
      <c r="L177" s="944"/>
      <c r="M177" s="944"/>
      <c r="N177" s="975"/>
      <c r="O177" s="976"/>
    </row>
    <row r="178" spans="2:15">
      <c r="B178" s="970"/>
      <c r="C178" s="971"/>
      <c r="D178" s="972"/>
      <c r="E178" s="944"/>
      <c r="F178" s="973"/>
      <c r="G178" s="944"/>
      <c r="H178" s="944"/>
      <c r="I178" s="944"/>
      <c r="J178" s="974"/>
      <c r="K178" s="944"/>
      <c r="L178" s="944"/>
      <c r="M178" s="944"/>
      <c r="N178" s="975"/>
      <c r="O178" s="976"/>
    </row>
    <row r="179" spans="2:15">
      <c r="B179" s="970" t="s">
        <v>849</v>
      </c>
      <c r="C179" s="971"/>
      <c r="D179" s="972">
        <v>73898811.601999998</v>
      </c>
      <c r="E179" s="944">
        <v>9134540.6539999992</v>
      </c>
      <c r="F179" s="973">
        <v>1.0669999999999999</v>
      </c>
      <c r="G179" s="944">
        <f>ROUND((+D179*F179),0)</f>
        <v>78850032</v>
      </c>
      <c r="H179" s="944">
        <f>ROUND((+E179*F179),0)</f>
        <v>9746555</v>
      </c>
      <c r="I179" s="944">
        <f>+G179-D179-H179+E179</f>
        <v>4339206.0520000011</v>
      </c>
      <c r="J179" s="974">
        <f>+G179-H179+I179</f>
        <v>73442683.052000001</v>
      </c>
      <c r="K179" s="944">
        <f>ROUND(((+J179)/N179*12),0)</f>
        <v>1836067</v>
      </c>
      <c r="L179" s="944">
        <f>+H179+K179</f>
        <v>11582622</v>
      </c>
      <c r="M179" s="944">
        <f>+G179-L179</f>
        <v>67267410</v>
      </c>
      <c r="N179" s="975">
        <v>480</v>
      </c>
      <c r="O179" s="976">
        <f>+N179-12-12-12</f>
        <v>444</v>
      </c>
    </row>
    <row r="180" spans="2:15">
      <c r="B180" s="970" t="s">
        <v>850</v>
      </c>
      <c r="C180" s="971"/>
      <c r="D180" s="972">
        <v>292158092.38</v>
      </c>
      <c r="E180" s="944">
        <v>36113300.260000005</v>
      </c>
      <c r="F180" s="973">
        <v>1.0669999999999999</v>
      </c>
      <c r="G180" s="944">
        <f>ROUND((+D180*F180),0)</f>
        <v>311732685</v>
      </c>
      <c r="H180" s="944">
        <f>ROUND((+E180*F180),0)</f>
        <v>38532891</v>
      </c>
      <c r="I180" s="944">
        <f>+G180-D180-H180+E180</f>
        <v>17155001.88000001</v>
      </c>
      <c r="J180" s="974">
        <f>+G180-H180+I180</f>
        <v>290354795.88</v>
      </c>
      <c r="K180" s="944">
        <f>ROUND(((+J180)/N180*12),0)</f>
        <v>7258870</v>
      </c>
      <c r="L180" s="944">
        <f>+H180+K180</f>
        <v>45791761</v>
      </c>
      <c r="M180" s="944">
        <f>+G180-L180</f>
        <v>265940924</v>
      </c>
      <c r="N180" s="975">
        <v>480</v>
      </c>
      <c r="O180" s="976">
        <f>+N180-12-12-12</f>
        <v>444</v>
      </c>
    </row>
    <row r="181" spans="2:15">
      <c r="B181" s="970" t="s">
        <v>851</v>
      </c>
      <c r="C181" s="971"/>
      <c r="D181" s="972">
        <v>257786552.09999999</v>
      </c>
      <c r="E181" s="944">
        <v>31864676.699999999</v>
      </c>
      <c r="F181" s="973">
        <v>1.0669999999999999</v>
      </c>
      <c r="G181" s="944">
        <f>ROUND((+D181*F181),0)</f>
        <v>275058251</v>
      </c>
      <c r="H181" s="944">
        <f>ROUND((+E181*F181),0)</f>
        <v>33999610</v>
      </c>
      <c r="I181" s="944">
        <f>+G181-D181-H181+E181</f>
        <v>15136765.600000005</v>
      </c>
      <c r="J181" s="974">
        <f>+G181-H181+I181</f>
        <v>256195406.59999999</v>
      </c>
      <c r="K181" s="944">
        <f>ROUND(((+J181)/N181*12),0)</f>
        <v>6404885</v>
      </c>
      <c r="L181" s="944">
        <f>+H181+K181</f>
        <v>40404495</v>
      </c>
      <c r="M181" s="944">
        <f>+G181-L181</f>
        <v>234653756</v>
      </c>
      <c r="N181" s="975">
        <v>480</v>
      </c>
      <c r="O181" s="976">
        <f>+N181-12-12-12</f>
        <v>444</v>
      </c>
    </row>
    <row r="182" spans="2:15">
      <c r="B182" s="970" t="s">
        <v>852</v>
      </c>
      <c r="C182" s="971"/>
      <c r="D182" s="972">
        <v>235445050.91800001</v>
      </c>
      <c r="E182" s="944">
        <v>29103071.386000004</v>
      </c>
      <c r="F182" s="973">
        <v>1.0669999999999999</v>
      </c>
      <c r="G182" s="944">
        <f>ROUND((+D182*F182),0)</f>
        <v>251219869</v>
      </c>
      <c r="H182" s="944">
        <f>ROUND((+E182*F182),0)</f>
        <v>31052977</v>
      </c>
      <c r="I182" s="944">
        <f>+G182-D182-H182+E182</f>
        <v>13824912.467999991</v>
      </c>
      <c r="J182" s="974">
        <f>+G182-H182+I182</f>
        <v>233991804.46799999</v>
      </c>
      <c r="K182" s="944">
        <f>ROUND(((+J182)/N182*12),0)</f>
        <v>5849795</v>
      </c>
      <c r="L182" s="944">
        <f>+H182+K182</f>
        <v>36902772</v>
      </c>
      <c r="M182" s="944">
        <f>+G182-L182</f>
        <v>214317097</v>
      </c>
      <c r="N182" s="975">
        <v>480</v>
      </c>
      <c r="O182" s="976">
        <f>+N182-12-12-12</f>
        <v>444</v>
      </c>
    </row>
    <row r="183" spans="2:15">
      <c r="B183" s="970"/>
      <c r="C183" s="971"/>
      <c r="D183" s="972"/>
      <c r="E183" s="944"/>
      <c r="F183" s="973"/>
      <c r="G183" s="944"/>
      <c r="H183" s="944"/>
      <c r="I183" s="944"/>
      <c r="J183" s="974"/>
      <c r="K183" s="944"/>
      <c r="L183" s="944"/>
      <c r="M183" s="944"/>
      <c r="N183" s="975"/>
      <c r="O183" s="976"/>
    </row>
    <row r="184" spans="2:15">
      <c r="B184" s="970"/>
      <c r="C184" s="971"/>
      <c r="D184" s="972"/>
      <c r="E184" s="944"/>
      <c r="F184" s="973"/>
      <c r="G184" s="944"/>
      <c r="H184" s="944"/>
      <c r="I184" s="944"/>
      <c r="J184" s="974"/>
      <c r="K184" s="944"/>
      <c r="L184" s="944"/>
      <c r="M184" s="944"/>
      <c r="N184" s="975"/>
      <c r="O184" s="976"/>
    </row>
    <row r="185" spans="2:15">
      <c r="B185" s="970"/>
      <c r="C185" s="971"/>
      <c r="D185" s="972"/>
      <c r="E185" s="944"/>
      <c r="F185" s="973"/>
      <c r="G185" s="944"/>
      <c r="H185" s="944"/>
      <c r="I185" s="944"/>
      <c r="J185" s="974"/>
      <c r="K185" s="944"/>
      <c r="L185" s="944"/>
      <c r="M185" s="944"/>
      <c r="N185" s="975"/>
      <c r="O185" s="976"/>
    </row>
    <row r="186" spans="2:15">
      <c r="B186" s="970"/>
      <c r="C186" s="971"/>
      <c r="D186" s="972"/>
      <c r="E186" s="944"/>
      <c r="F186" s="973"/>
      <c r="G186" s="944"/>
      <c r="H186" s="944"/>
      <c r="I186" s="944"/>
      <c r="J186" s="974"/>
      <c r="K186" s="944"/>
      <c r="L186" s="944"/>
      <c r="M186" s="944"/>
      <c r="N186" s="975"/>
      <c r="O186" s="976"/>
    </row>
    <row r="187" spans="2:15">
      <c r="B187" s="970"/>
      <c r="C187" s="971"/>
      <c r="D187" s="972"/>
      <c r="E187" s="944"/>
      <c r="F187" s="973"/>
      <c r="G187" s="944"/>
      <c r="H187" s="944"/>
      <c r="I187" s="944"/>
      <c r="J187" s="974"/>
      <c r="K187" s="944"/>
      <c r="L187" s="944"/>
      <c r="M187" s="944"/>
      <c r="N187" s="975"/>
      <c r="O187" s="976"/>
    </row>
    <row r="188" spans="2:15">
      <c r="B188" s="970"/>
      <c r="C188" s="971"/>
      <c r="D188" s="972"/>
      <c r="E188" s="944"/>
      <c r="F188" s="973"/>
      <c r="G188" s="944"/>
      <c r="H188" s="944"/>
      <c r="I188" s="944"/>
      <c r="J188" s="974"/>
      <c r="K188" s="944"/>
      <c r="L188" s="944"/>
      <c r="M188" s="944"/>
      <c r="N188" s="975"/>
      <c r="O188" s="976"/>
    </row>
    <row r="189" spans="2:15">
      <c r="B189" s="970"/>
      <c r="C189" s="971"/>
      <c r="D189" s="972"/>
      <c r="E189" s="944"/>
      <c r="F189" s="973"/>
      <c r="G189" s="944"/>
      <c r="H189" s="944"/>
      <c r="I189" s="944"/>
      <c r="J189" s="974"/>
      <c r="K189" s="944"/>
      <c r="L189" s="944"/>
      <c r="M189" s="944"/>
      <c r="N189" s="975"/>
      <c r="O189" s="976"/>
    </row>
    <row r="190" spans="2:15">
      <c r="B190" s="970"/>
      <c r="C190" s="971"/>
      <c r="D190" s="972"/>
      <c r="E190" s="944"/>
      <c r="F190" s="973"/>
      <c r="G190" s="944"/>
      <c r="H190" s="944"/>
      <c r="I190" s="944"/>
      <c r="J190" s="974"/>
      <c r="K190" s="944"/>
      <c r="L190" s="944"/>
      <c r="M190" s="944"/>
      <c r="N190" s="975"/>
      <c r="O190" s="976"/>
    </row>
    <row r="191" spans="2:15">
      <c r="B191" s="970"/>
      <c r="C191" s="971"/>
      <c r="D191" s="972"/>
      <c r="E191" s="944"/>
      <c r="F191" s="973"/>
      <c r="G191" s="944"/>
      <c r="H191" s="944"/>
      <c r="I191" s="944"/>
      <c r="J191" s="974"/>
      <c r="K191" s="944"/>
      <c r="L191" s="944"/>
      <c r="M191" s="944"/>
      <c r="N191" s="975"/>
      <c r="O191" s="976"/>
    </row>
    <row r="192" spans="2:15" ht="18">
      <c r="B192" s="1052">
        <v>2021</v>
      </c>
      <c r="C192" s="941"/>
      <c r="D192" s="941"/>
      <c r="E192" s="935"/>
      <c r="F192" s="935"/>
      <c r="G192" s="935"/>
      <c r="H192" s="935">
        <f>+E196*F196</f>
        <v>0</v>
      </c>
      <c r="I192" s="935"/>
      <c r="J192" s="938"/>
      <c r="K192" s="946" t="s">
        <v>801</v>
      </c>
      <c r="L192" s="935"/>
      <c r="M192" s="937"/>
      <c r="N192" s="935"/>
      <c r="O192" s="935"/>
    </row>
    <row r="193" spans="2:16" ht="16.5" thickBot="1">
      <c r="B193" s="947" t="s">
        <v>802</v>
      </c>
      <c r="C193" s="941"/>
      <c r="D193" s="948"/>
      <c r="E193" s="938"/>
      <c r="F193" s="949"/>
      <c r="G193" s="946" t="s">
        <v>20</v>
      </c>
      <c r="H193" s="938"/>
      <c r="I193" s="949"/>
      <c r="J193" s="938"/>
      <c r="K193" s="950" t="s">
        <v>803</v>
      </c>
      <c r="L193" s="946" t="s">
        <v>21</v>
      </c>
      <c r="M193" s="949"/>
      <c r="N193" s="935"/>
      <c r="O193" s="949"/>
    </row>
    <row r="194" spans="2:16">
      <c r="B194" s="954" t="s">
        <v>78</v>
      </c>
      <c r="C194" s="954" t="s">
        <v>808</v>
      </c>
      <c r="D194" s="955" t="s">
        <v>78</v>
      </c>
      <c r="E194" s="956" t="s">
        <v>214</v>
      </c>
      <c r="F194" s="954" t="s">
        <v>60</v>
      </c>
      <c r="G194" s="955" t="s">
        <v>78</v>
      </c>
      <c r="H194" s="956" t="s">
        <v>809</v>
      </c>
      <c r="I194" s="957" t="s">
        <v>810</v>
      </c>
      <c r="J194" s="957" t="s">
        <v>811</v>
      </c>
      <c r="K194" s="957" t="s">
        <v>812</v>
      </c>
      <c r="L194" s="957" t="s">
        <v>812</v>
      </c>
      <c r="M194" s="958" t="s">
        <v>78</v>
      </c>
      <c r="N194" s="959" t="s">
        <v>136</v>
      </c>
      <c r="O194" s="960" t="s">
        <v>813</v>
      </c>
    </row>
    <row r="195" spans="2:16" ht="15.75" thickBot="1">
      <c r="B195" s="961"/>
      <c r="C195" s="961"/>
      <c r="D195" s="962"/>
      <c r="E195" s="963" t="s">
        <v>814</v>
      </c>
      <c r="F195" s="961"/>
      <c r="G195" s="962" t="s">
        <v>815</v>
      </c>
      <c r="H195" s="963" t="s">
        <v>815</v>
      </c>
      <c r="I195" s="964" t="s">
        <v>816</v>
      </c>
      <c r="J195" s="964" t="s">
        <v>817</v>
      </c>
      <c r="K195" s="964" t="s">
        <v>818</v>
      </c>
      <c r="L195" s="964" t="s">
        <v>814</v>
      </c>
      <c r="M195" s="965" t="s">
        <v>806</v>
      </c>
      <c r="N195" s="966" t="s">
        <v>138</v>
      </c>
      <c r="O195" s="967" t="s">
        <v>819</v>
      </c>
    </row>
    <row r="196" spans="2:16">
      <c r="B196" s="1053"/>
      <c r="C196" s="1054"/>
      <c r="D196" s="1055"/>
      <c r="E196" s="1056"/>
      <c r="F196" s="1057"/>
      <c r="G196" s="1056"/>
      <c r="H196" s="1056"/>
      <c r="I196" s="1056"/>
      <c r="J196" s="1058"/>
      <c r="K196" s="1056"/>
      <c r="L196" s="1056"/>
      <c r="M196" s="1056"/>
      <c r="N196" s="1059"/>
      <c r="O196" s="1060"/>
      <c r="P196" s="1051"/>
    </row>
    <row r="197" spans="2:16">
      <c r="B197" s="970" t="s">
        <v>850</v>
      </c>
      <c r="C197" s="971"/>
      <c r="D197" s="972">
        <v>292158092.38</v>
      </c>
      <c r="E197" s="944">
        <v>36113300.260000005</v>
      </c>
      <c r="F197" s="973">
        <v>1.0669999999999999</v>
      </c>
      <c r="G197" s="944">
        <f>ROUND((+D197*F197),0)</f>
        <v>311732685</v>
      </c>
      <c r="H197" s="944">
        <f>ROUND((+E197*F197),0)</f>
        <v>38532891</v>
      </c>
      <c r="I197" s="944">
        <f>+G197-D197-H197+E197</f>
        <v>17155001.88000001</v>
      </c>
      <c r="J197" s="974">
        <f>+G197-H197+I197</f>
        <v>290354795.88</v>
      </c>
      <c r="K197" s="944">
        <f>ROUND(((+J197)/N197*12),0)</f>
        <v>7258870</v>
      </c>
      <c r="L197" s="944">
        <f>+H197+K197</f>
        <v>45791761</v>
      </c>
      <c r="M197" s="944">
        <f>+G197-L197</f>
        <v>265940924</v>
      </c>
      <c r="N197" s="975">
        <v>480</v>
      </c>
      <c r="O197" s="976">
        <f>+N197-12-12-12</f>
        <v>444</v>
      </c>
    </row>
    <row r="198" spans="2:16">
      <c r="B198" s="970" t="s">
        <v>851</v>
      </c>
      <c r="C198" s="971"/>
      <c r="D198" s="972">
        <v>257786552.09999999</v>
      </c>
      <c r="E198" s="944">
        <v>31864676.699999999</v>
      </c>
      <c r="F198" s="973">
        <v>1.0669999999999999</v>
      </c>
      <c r="G198" s="944">
        <f>ROUND((+D198*F198),0)</f>
        <v>275058251</v>
      </c>
      <c r="H198" s="944">
        <f>ROUND((+E198*F198),0)</f>
        <v>33999610</v>
      </c>
      <c r="I198" s="944">
        <f>+G198-D198-H198+E198</f>
        <v>15136765.600000005</v>
      </c>
      <c r="J198" s="974">
        <f>+G198-H198+I198</f>
        <v>256195406.59999999</v>
      </c>
      <c r="K198" s="944">
        <f>ROUND(((+J198)/N198*12),0)</f>
        <v>6404885</v>
      </c>
      <c r="L198" s="944">
        <f>+H198+K198</f>
        <v>40404495</v>
      </c>
      <c r="M198" s="944">
        <f>+G198-L198</f>
        <v>234653756</v>
      </c>
      <c r="N198" s="975">
        <v>480</v>
      </c>
      <c r="O198" s="976">
        <f>+N198-12-12-12</f>
        <v>444</v>
      </c>
    </row>
    <row r="199" spans="2:16">
      <c r="B199" s="970" t="s">
        <v>852</v>
      </c>
      <c r="C199" s="971"/>
      <c r="D199" s="972">
        <v>206229241.68000001</v>
      </c>
      <c r="E199" s="944">
        <v>25491741.359999999</v>
      </c>
      <c r="F199" s="973">
        <v>1.0669999999999999</v>
      </c>
      <c r="G199" s="944">
        <f>ROUND((+D199*F199),0)</f>
        <v>220046601</v>
      </c>
      <c r="H199" s="944">
        <f>ROUND((+E199*F199),0)</f>
        <v>27199688</v>
      </c>
      <c r="I199" s="944">
        <f>+G199-D199-H199+E199</f>
        <v>12109412.679999992</v>
      </c>
      <c r="J199" s="974">
        <f>+G199-H199+I199</f>
        <v>204956325.68000001</v>
      </c>
      <c r="K199" s="944">
        <f>ROUND(((+J199)/N199*12),0)</f>
        <v>5123908</v>
      </c>
      <c r="L199" s="944">
        <f>+H199+K199</f>
        <v>32323596</v>
      </c>
      <c r="M199" s="944">
        <f>+G199-L199</f>
        <v>187723005</v>
      </c>
      <c r="N199" s="975">
        <v>480</v>
      </c>
      <c r="O199" s="976">
        <f>+N199-12-12-12</f>
        <v>444</v>
      </c>
    </row>
    <row r="200" spans="2:16">
      <c r="B200" s="970"/>
      <c r="C200" s="971"/>
      <c r="D200" s="972"/>
      <c r="E200" s="944"/>
      <c r="F200" s="973"/>
      <c r="G200" s="944"/>
      <c r="H200" s="944"/>
      <c r="I200" s="944"/>
      <c r="J200" s="974"/>
      <c r="K200" s="944"/>
      <c r="L200" s="944"/>
      <c r="M200" s="944"/>
      <c r="N200" s="975"/>
      <c r="O200" s="976"/>
    </row>
    <row r="201" spans="2:16">
      <c r="B201" s="970"/>
      <c r="C201" s="971"/>
      <c r="D201" s="972"/>
      <c r="E201" s="944"/>
      <c r="F201" s="973"/>
      <c r="G201" s="944"/>
      <c r="H201" s="944"/>
      <c r="I201" s="944"/>
      <c r="J201" s="974"/>
      <c r="K201" s="944"/>
      <c r="L201" s="944"/>
      <c r="M201" s="944"/>
      <c r="N201" s="975"/>
      <c r="O201" s="976"/>
    </row>
    <row r="202" spans="2:16">
      <c r="B202" s="970"/>
      <c r="C202" s="971"/>
      <c r="D202" s="972"/>
      <c r="E202" s="944"/>
      <c r="F202" s="973"/>
      <c r="G202" s="944"/>
      <c r="H202" s="944"/>
      <c r="I202" s="944"/>
      <c r="J202" s="974"/>
      <c r="K202" s="944"/>
      <c r="L202" s="944"/>
      <c r="M202" s="944"/>
      <c r="N202" s="975"/>
      <c r="O202" s="976"/>
    </row>
    <row r="203" spans="2:16">
      <c r="B203" s="978"/>
      <c r="C203" s="979"/>
      <c r="D203" s="980"/>
      <c r="E203" s="980"/>
      <c r="F203" s="973"/>
      <c r="G203" s="944"/>
      <c r="H203" s="944"/>
      <c r="I203" s="944"/>
      <c r="J203" s="944"/>
      <c r="K203" s="944"/>
      <c r="L203" s="944"/>
      <c r="M203" s="944"/>
      <c r="N203" s="975"/>
      <c r="O203" s="976"/>
    </row>
    <row r="204" spans="2:16" ht="15.75" thickBot="1">
      <c r="B204" s="981"/>
      <c r="C204" s="982"/>
      <c r="D204" s="983">
        <f>SUM(D197:D203)</f>
        <v>756173886.16000009</v>
      </c>
      <c r="E204" s="983">
        <f t="shared" ref="E204:M204" si="2">SUM(E197:E203)</f>
        <v>93469718.320000008</v>
      </c>
      <c r="F204" s="983">
        <f t="shared" si="2"/>
        <v>3.2009999999999996</v>
      </c>
      <c r="G204" s="983">
        <f t="shared" si="2"/>
        <v>806837537</v>
      </c>
      <c r="H204" s="983">
        <f t="shared" si="2"/>
        <v>99732189</v>
      </c>
      <c r="I204" s="983">
        <f t="shared" si="2"/>
        <v>44401180.160000011</v>
      </c>
      <c r="J204" s="983">
        <f t="shared" si="2"/>
        <v>751506528.16000009</v>
      </c>
      <c r="K204" s="983">
        <f t="shared" si="2"/>
        <v>18787663</v>
      </c>
      <c r="L204" s="983">
        <f t="shared" si="2"/>
        <v>118519852</v>
      </c>
      <c r="M204" s="983">
        <f t="shared" si="2"/>
        <v>688317685</v>
      </c>
      <c r="N204" s="983"/>
      <c r="O204" s="983"/>
    </row>
    <row r="205" spans="2:16" ht="15.75" thickTop="1">
      <c r="B205" s="536"/>
      <c r="C205" s="968"/>
      <c r="D205" s="969"/>
      <c r="E205" s="985"/>
      <c r="F205" s="986"/>
      <c r="G205" s="987">
        <f>+G204-D204</f>
        <v>50663650.839999914</v>
      </c>
      <c r="H205" s="987">
        <f>+H204-E204</f>
        <v>6262470.6799999923</v>
      </c>
      <c r="I205" s="985"/>
      <c r="J205" s="938"/>
      <c r="K205" s="985"/>
      <c r="L205" s="988" t="s">
        <v>824</v>
      </c>
      <c r="M205" s="989"/>
      <c r="N205" s="985"/>
      <c r="O205" s="985"/>
    </row>
    <row r="206" spans="2:16">
      <c r="B206" s="991"/>
      <c r="C206" s="992"/>
      <c r="D206" s="992"/>
      <c r="E206" s="992"/>
      <c r="F206" s="993"/>
      <c r="G206" s="994" t="s">
        <v>826</v>
      </c>
      <c r="H206" s="935"/>
      <c r="I206" s="995" t="s">
        <v>827</v>
      </c>
      <c r="J206" s="995" t="s">
        <v>828</v>
      </c>
      <c r="K206" s="996"/>
      <c r="L206" s="996"/>
      <c r="M206" s="997"/>
      <c r="N206" s="998"/>
      <c r="O206" s="999"/>
    </row>
    <row r="207" spans="2:16">
      <c r="B207" s="763"/>
      <c r="C207" s="992"/>
      <c r="D207" s="996"/>
      <c r="E207" s="992"/>
      <c r="F207" s="993"/>
      <c r="G207" s="993"/>
      <c r="H207" s="935"/>
      <c r="I207" s="996"/>
      <c r="J207" s="996"/>
      <c r="K207" s="996"/>
      <c r="L207" s="996"/>
      <c r="M207" s="989"/>
      <c r="N207" s="998"/>
      <c r="O207" s="999"/>
    </row>
    <row r="208" spans="2:16">
      <c r="B208" s="1001" t="s">
        <v>831</v>
      </c>
      <c r="C208" s="1002"/>
      <c r="D208" s="1003">
        <f>+G204</f>
        <v>806837537</v>
      </c>
      <c r="E208" s="992"/>
      <c r="F208" s="994"/>
      <c r="G208" s="1004" t="s">
        <v>832</v>
      </c>
      <c r="H208" s="1005"/>
      <c r="I208" s="1003">
        <f>+G205</f>
        <v>50663650.839999914</v>
      </c>
      <c r="J208" s="1006"/>
      <c r="K208" s="996"/>
      <c r="L208" s="996"/>
      <c r="M208" s="1007"/>
      <c r="N208" s="998"/>
      <c r="O208" s="999"/>
    </row>
    <row r="209" spans="2:15">
      <c r="B209" s="1008"/>
      <c r="C209" s="1009"/>
      <c r="D209" s="1010"/>
      <c r="E209" s="992"/>
      <c r="F209" s="994"/>
      <c r="G209" s="1011"/>
      <c r="H209" s="1012"/>
      <c r="I209" s="1010"/>
      <c r="J209" s="1013"/>
      <c r="K209" s="996"/>
      <c r="L209" s="996"/>
      <c r="M209" s="1007"/>
      <c r="N209" s="998"/>
      <c r="O209" s="999"/>
    </row>
    <row r="210" spans="2:15">
      <c r="B210" s="1008" t="s">
        <v>834</v>
      </c>
      <c r="C210" s="1009"/>
      <c r="D210" s="1010"/>
      <c r="E210" s="992"/>
      <c r="F210" s="994"/>
      <c r="G210" s="1015" t="s">
        <v>835</v>
      </c>
      <c r="H210" s="1016"/>
      <c r="I210" s="1017"/>
      <c r="J210" s="1018">
        <f>+I208+I209</f>
        <v>50663650.839999914</v>
      </c>
      <c r="K210" s="996"/>
      <c r="L210" s="996">
        <f>+J210-I212-J216</f>
        <v>25613517.159999922</v>
      </c>
      <c r="M210" s="1007"/>
      <c r="N210" s="998"/>
      <c r="O210" s="999"/>
    </row>
    <row r="211" spans="2:15">
      <c r="B211" s="1008"/>
      <c r="C211" s="1009"/>
      <c r="D211" s="1010"/>
      <c r="E211" s="992"/>
      <c r="F211" s="994"/>
      <c r="G211" s="1011"/>
      <c r="H211" s="1012"/>
      <c r="I211" s="1010"/>
      <c r="J211" s="1013"/>
      <c r="K211" s="996"/>
      <c r="L211" s="996"/>
      <c r="M211" s="1007"/>
      <c r="N211" s="998"/>
      <c r="O211" s="999"/>
    </row>
    <row r="212" spans="2:15">
      <c r="B212" s="1008" t="s">
        <v>836</v>
      </c>
      <c r="C212" s="1009"/>
      <c r="D212" s="1010">
        <f>-H204</f>
        <v>-99732189</v>
      </c>
      <c r="E212" s="992"/>
      <c r="F212" s="994"/>
      <c r="G212" s="1004" t="s">
        <v>835</v>
      </c>
      <c r="H212" s="1005"/>
      <c r="I212" s="1019">
        <f>+J213</f>
        <v>6262470.6799999923</v>
      </c>
      <c r="J212" s="1006"/>
      <c r="K212" s="996"/>
      <c r="L212" s="996"/>
      <c r="M212" s="1007"/>
      <c r="N212" s="998"/>
      <c r="O212" s="999"/>
    </row>
    <row r="213" spans="2:15">
      <c r="B213" s="1008"/>
      <c r="C213" s="1009"/>
      <c r="D213" s="1010"/>
      <c r="E213" s="992"/>
      <c r="F213" s="994"/>
      <c r="G213" s="1020" t="s">
        <v>837</v>
      </c>
      <c r="H213" s="1016"/>
      <c r="I213" s="1017"/>
      <c r="J213" s="1021">
        <f>+H204-E204</f>
        <v>6262470.6799999923</v>
      </c>
      <c r="K213" s="996"/>
      <c r="L213" s="996"/>
      <c r="M213" s="1007"/>
      <c r="N213" s="998"/>
      <c r="O213" s="999"/>
    </row>
    <row r="214" spans="2:15">
      <c r="B214" s="1022" t="s">
        <v>838</v>
      </c>
      <c r="C214" s="1023"/>
      <c r="D214" s="1017">
        <f>-K204</f>
        <v>-18787663</v>
      </c>
      <c r="E214" s="992"/>
      <c r="F214" s="994"/>
      <c r="G214" s="1004"/>
      <c r="H214" s="1005"/>
      <c r="I214" s="1003"/>
      <c r="J214" s="1006"/>
      <c r="K214" s="996"/>
      <c r="L214" s="996"/>
      <c r="M214" s="1007"/>
      <c r="N214" s="998"/>
      <c r="O214" s="999"/>
    </row>
    <row r="215" spans="2:15">
      <c r="B215" s="1001"/>
      <c r="C215" s="1002"/>
      <c r="D215" s="1024"/>
      <c r="E215" s="992"/>
      <c r="F215" s="994"/>
      <c r="G215" s="1025" t="s">
        <v>839</v>
      </c>
      <c r="H215" s="1012"/>
      <c r="I215" s="1026">
        <f>+K204</f>
        <v>18787663</v>
      </c>
      <c r="J215" s="1013"/>
      <c r="K215" s="996"/>
      <c r="L215" s="996"/>
      <c r="M215" s="1007"/>
      <c r="N215" s="998"/>
      <c r="O215" s="999"/>
    </row>
    <row r="216" spans="2:15">
      <c r="B216" s="1022" t="s">
        <v>140</v>
      </c>
      <c r="C216" s="1023"/>
      <c r="D216" s="1027">
        <f>+D208+D210+D214+D212</f>
        <v>688317685</v>
      </c>
      <c r="E216" s="992"/>
      <c r="F216" s="992"/>
      <c r="G216" s="1020" t="s">
        <v>837</v>
      </c>
      <c r="H216" s="1016"/>
      <c r="I216" s="1017"/>
      <c r="J216" s="1021">
        <f>+I215</f>
        <v>18787663</v>
      </c>
      <c r="K216" s="996"/>
      <c r="L216" s="996"/>
      <c r="M216" s="1007"/>
      <c r="N216" s="998"/>
      <c r="O216" s="999"/>
    </row>
    <row r="217" spans="2:15">
      <c r="B217" s="536"/>
      <c r="C217" s="968"/>
      <c r="D217" s="969"/>
      <c r="E217" s="430"/>
      <c r="F217" s="994"/>
      <c r="G217" s="1025"/>
      <c r="H217" s="1012"/>
      <c r="I217" s="1010"/>
      <c r="J217" s="1013"/>
      <c r="K217" s="996"/>
      <c r="L217" s="996"/>
      <c r="M217" s="1007"/>
      <c r="N217" s="998"/>
      <c r="O217" s="999"/>
    </row>
    <row r="218" spans="2:15">
      <c r="B218" s="536"/>
      <c r="C218" s="968"/>
      <c r="D218" s="969"/>
      <c r="E218" s="430"/>
      <c r="F218" s="994"/>
      <c r="G218" s="1020"/>
      <c r="H218" s="1016"/>
      <c r="I218" s="1017"/>
      <c r="J218" s="1021"/>
      <c r="K218" s="996"/>
      <c r="L218" s="996"/>
      <c r="M218" s="1028"/>
      <c r="N218" s="998"/>
      <c r="O218" s="999"/>
    </row>
    <row r="219" spans="2:15" ht="15.75" thickBot="1">
      <c r="B219" s="970"/>
      <c r="C219" s="970"/>
      <c r="D219" s="970"/>
      <c r="E219" s="430">
        <v>712511068</v>
      </c>
      <c r="F219" s="992"/>
      <c r="G219" s="1029"/>
      <c r="H219" s="1030" t="s">
        <v>212</v>
      </c>
      <c r="I219" s="1031">
        <f>SUM(I205:I218)</f>
        <v>75713784.519999906</v>
      </c>
      <c r="J219" s="1031">
        <f>SUM(J205:J218)</f>
        <v>75713784.519999906</v>
      </c>
      <c r="K219" s="996"/>
      <c r="L219" s="996"/>
      <c r="M219" s="1032"/>
      <c r="N219" s="998"/>
      <c r="O219" s="999"/>
    </row>
    <row r="220" spans="2:15" ht="15.75" thickTop="1">
      <c r="B220" s="970" t="s">
        <v>849</v>
      </c>
      <c r="C220" s="970"/>
      <c r="D220" s="972">
        <f>58916208+969010</f>
        <v>59885218</v>
      </c>
      <c r="E220" s="939">
        <f>+D220/$E$219</f>
        <v>8.4048123165435515E-2</v>
      </c>
      <c r="F220" s="939">
        <v>8.6</v>
      </c>
    </row>
    <row r="221" spans="2:15">
      <c r="B221" s="970" t="s">
        <v>850</v>
      </c>
      <c r="C221" s="971"/>
      <c r="D221" s="972">
        <v>242855533</v>
      </c>
      <c r="E221" s="939">
        <f>+D221/$E$219</f>
        <v>0.34084457618558706</v>
      </c>
      <c r="F221" s="939">
        <v>34</v>
      </c>
    </row>
    <row r="222" spans="2:15">
      <c r="B222" s="970" t="s">
        <v>851</v>
      </c>
      <c r="C222" s="971"/>
      <c r="D222" s="972">
        <v>214448121</v>
      </c>
      <c r="E222" s="939">
        <f>+D222/$E$219</f>
        <v>0.30097514358892735</v>
      </c>
      <c r="F222" s="939">
        <v>30</v>
      </c>
    </row>
    <row r="223" spans="2:15">
      <c r="B223" s="970" t="s">
        <v>852</v>
      </c>
      <c r="C223" s="971"/>
      <c r="D223" s="972">
        <v>195322196</v>
      </c>
      <c r="E223" s="939">
        <f>+D223/$E$219</f>
        <v>0.27413215706005006</v>
      </c>
      <c r="F223" s="939">
        <v>27.4</v>
      </c>
    </row>
    <row r="224" spans="2:15">
      <c r="B224" s="970"/>
      <c r="C224" s="971"/>
      <c r="D224" s="1061">
        <f>SUM(D220:D223)</f>
        <v>712511068</v>
      </c>
      <c r="E224" s="939">
        <f>SUM(E220:E223)</f>
        <v>1</v>
      </c>
      <c r="F224" s="939">
        <f>SUM(F220:F223)</f>
        <v>100</v>
      </c>
    </row>
    <row r="227" spans="2:22">
      <c r="B227" s="1062"/>
      <c r="C227" s="1062"/>
      <c r="D227" s="1055">
        <v>859288507</v>
      </c>
      <c r="E227" s="1056">
        <v>106215589</v>
      </c>
      <c r="H227" s="1062"/>
      <c r="I227" s="1062"/>
      <c r="J227" s="1055">
        <v>859288507</v>
      </c>
      <c r="K227" s="1056">
        <v>106215589</v>
      </c>
    </row>
    <row r="228" spans="2:22">
      <c r="B228" s="970" t="s">
        <v>849</v>
      </c>
      <c r="C228" s="1063">
        <v>8.5999999999999993E-2</v>
      </c>
      <c r="D228" s="972">
        <f>+C228*$D$227</f>
        <v>73898811.601999998</v>
      </c>
      <c r="E228" s="972">
        <f>+$E$227*C228</f>
        <v>9134540.6539999992</v>
      </c>
      <c r="H228" s="970" t="s">
        <v>849</v>
      </c>
      <c r="I228" s="1063">
        <v>8.5999999999999993E-2</v>
      </c>
      <c r="J228" s="972">
        <f>+I228*$D$227</f>
        <v>73898811.601999998</v>
      </c>
      <c r="K228" s="972">
        <f>+$E$227*I228</f>
        <v>9134540.6539999992</v>
      </c>
    </row>
    <row r="229" spans="2:22">
      <c r="B229" s="970" t="s">
        <v>850</v>
      </c>
      <c r="C229" s="1064">
        <v>0.34</v>
      </c>
      <c r="D229" s="972">
        <f>+C229*$D$227</f>
        <v>292158092.38</v>
      </c>
      <c r="E229" s="972">
        <f>+$E$227*C229</f>
        <v>36113300.260000005</v>
      </c>
      <c r="H229" s="970" t="s">
        <v>850</v>
      </c>
      <c r="I229" s="1064">
        <v>0.34</v>
      </c>
      <c r="J229" s="972">
        <f>+I229*$D$227</f>
        <v>292158092.38</v>
      </c>
      <c r="K229" s="972">
        <f>+$E$227*I229</f>
        <v>36113300.260000005</v>
      </c>
    </row>
    <row r="230" spans="2:22">
      <c r="B230" s="970" t="s">
        <v>851</v>
      </c>
      <c r="C230" s="1064">
        <v>0.3</v>
      </c>
      <c r="D230" s="972">
        <f>+C230*$D$227</f>
        <v>257786552.09999999</v>
      </c>
      <c r="E230" s="972">
        <f>+$E$227*C230</f>
        <v>31864676.699999999</v>
      </c>
      <c r="H230" s="970" t="s">
        <v>851</v>
      </c>
      <c r="I230" s="1064">
        <v>0.3</v>
      </c>
      <c r="J230" s="972">
        <f>+I230*$D$227</f>
        <v>257786552.09999999</v>
      </c>
      <c r="K230" s="972">
        <f>+$E$227*I230</f>
        <v>31864676.699999999</v>
      </c>
    </row>
    <row r="231" spans="2:22">
      <c r="B231" s="970" t="s">
        <v>852</v>
      </c>
      <c r="C231" s="1065">
        <v>0.27400000000000002</v>
      </c>
      <c r="D231" s="972">
        <f>+C231*$D$227</f>
        <v>235445050.91800001</v>
      </c>
      <c r="E231" s="972">
        <f>+$E$227*C231</f>
        <v>29103071.386000004</v>
      </c>
      <c r="H231" s="970" t="s">
        <v>852</v>
      </c>
      <c r="I231" s="1065">
        <v>0.27400000000000002</v>
      </c>
      <c r="J231" s="972">
        <f>+I231*$D$227</f>
        <v>235445050.91800001</v>
      </c>
      <c r="K231" s="972">
        <f>+$E$227*I231</f>
        <v>29103071.386000004</v>
      </c>
    </row>
    <row r="232" spans="2:22">
      <c r="C232" s="1066">
        <f>SUM(C228:C231)</f>
        <v>1</v>
      </c>
      <c r="D232" s="1055">
        <f>SUM(D228:D231)</f>
        <v>859288507</v>
      </c>
      <c r="E232" s="1055">
        <f>SUM(E228:E231)</f>
        <v>106215589.00000001</v>
      </c>
      <c r="I232" s="1066">
        <f>SUM(I228:I231)</f>
        <v>1</v>
      </c>
      <c r="J232" s="1055">
        <f>SUM(J228:J231)</f>
        <v>859288507</v>
      </c>
      <c r="K232" s="1055">
        <f>SUM(K228:K231)</f>
        <v>106215589.00000001</v>
      </c>
    </row>
    <row r="233" spans="2:22">
      <c r="I233" s="939">
        <v>27.4</v>
      </c>
    </row>
    <row r="234" spans="2:22">
      <c r="B234" s="1067" t="s">
        <v>849</v>
      </c>
      <c r="C234" s="971"/>
      <c r="D234" s="972">
        <v>73898811.601999998</v>
      </c>
      <c r="E234" s="944">
        <v>9134540.6539999992</v>
      </c>
      <c r="I234" s="939">
        <f>102.4-100</f>
        <v>2.4000000000000057</v>
      </c>
    </row>
    <row r="235" spans="2:22">
      <c r="D235" s="1068" t="s">
        <v>853</v>
      </c>
      <c r="E235" s="1069">
        <f>+D234-E234</f>
        <v>64764270.947999999</v>
      </c>
      <c r="I235" s="939">
        <f>+I233-I234</f>
        <v>24.999999999999993</v>
      </c>
    </row>
    <row r="236" spans="2:22">
      <c r="D236" s="1068" t="s">
        <v>854</v>
      </c>
      <c r="E236" s="1069">
        <v>94381216</v>
      </c>
    </row>
    <row r="237" spans="2:22">
      <c r="D237" s="1068" t="s">
        <v>855</v>
      </c>
      <c r="E237" s="1069">
        <f>+E236-E235</f>
        <v>29616945.052000001</v>
      </c>
    </row>
    <row r="239" spans="2:22">
      <c r="B239" s="1067" t="s">
        <v>849</v>
      </c>
      <c r="C239" s="971"/>
      <c r="D239" s="972">
        <f>+J228</f>
        <v>73898811.601999998</v>
      </c>
      <c r="E239" s="944">
        <f>+K228</f>
        <v>9134540.6539999992</v>
      </c>
      <c r="G239" s="1070">
        <f>+D239-E239</f>
        <v>64764270.947999999</v>
      </c>
    </row>
    <row r="240" spans="2:22">
      <c r="D240" s="1068" t="s">
        <v>853</v>
      </c>
      <c r="E240" s="1069">
        <f>+D239-E239</f>
        <v>64764270.947999999</v>
      </c>
      <c r="J240" s="430"/>
      <c r="K240" s="430"/>
      <c r="L240" s="430"/>
      <c r="M240" s="430"/>
      <c r="N240" s="430"/>
      <c r="O240" s="430"/>
      <c r="P240" s="430"/>
      <c r="Q240" s="430"/>
      <c r="R240" s="430"/>
      <c r="S240" s="430"/>
      <c r="T240" s="430"/>
      <c r="U240" s="430"/>
      <c r="V240" s="430"/>
    </row>
    <row r="241" spans="4:22">
      <c r="D241" s="1068" t="s">
        <v>854</v>
      </c>
      <c r="E241" s="1069">
        <v>94381216</v>
      </c>
      <c r="J241" s="1071" t="s">
        <v>856</v>
      </c>
      <c r="K241" s="430"/>
      <c r="L241" s="430"/>
      <c r="M241" s="430"/>
      <c r="N241" s="430"/>
      <c r="O241" s="430"/>
      <c r="P241" s="430"/>
      <c r="Q241" s="430"/>
      <c r="R241" s="430"/>
      <c r="S241" s="430"/>
      <c r="T241" s="430"/>
      <c r="U241" s="430"/>
      <c r="V241" s="430"/>
    </row>
    <row r="242" spans="4:22" ht="29.25">
      <c r="D242" s="1068" t="s">
        <v>855</v>
      </c>
      <c r="E242" s="1069">
        <f>+E241-E240</f>
        <v>29616945.052000001</v>
      </c>
      <c r="J242" s="1072" t="s">
        <v>857</v>
      </c>
      <c r="K242" s="1072" t="s">
        <v>858</v>
      </c>
      <c r="L242" s="1072" t="s">
        <v>859</v>
      </c>
      <c r="M242" s="1072" t="s">
        <v>860</v>
      </c>
      <c r="N242" s="1072" t="s">
        <v>861</v>
      </c>
      <c r="O242" s="1072" t="s">
        <v>862</v>
      </c>
      <c r="P242" s="1072" t="s">
        <v>863</v>
      </c>
      <c r="Q242" s="1072" t="s">
        <v>864</v>
      </c>
      <c r="R242" s="1072" t="s">
        <v>865</v>
      </c>
      <c r="S242" s="1072" t="s">
        <v>866</v>
      </c>
      <c r="T242" s="1072" t="s">
        <v>394</v>
      </c>
      <c r="U242" s="1072" t="s">
        <v>867</v>
      </c>
      <c r="V242" s="1072" t="s">
        <v>868</v>
      </c>
    </row>
    <row r="243" spans="4:22">
      <c r="J243" s="1073" t="s">
        <v>869</v>
      </c>
      <c r="K243" s="1073" t="s">
        <v>870</v>
      </c>
      <c r="L243" s="1073" t="s">
        <v>871</v>
      </c>
      <c r="M243" s="1074" t="s">
        <v>872</v>
      </c>
      <c r="N243" s="1074" t="s">
        <v>873</v>
      </c>
      <c r="O243" s="1073" t="s">
        <v>874</v>
      </c>
      <c r="P243" s="1074" t="s">
        <v>872</v>
      </c>
      <c r="Q243" s="1073" t="s">
        <v>875</v>
      </c>
      <c r="R243" s="1074" t="s">
        <v>876</v>
      </c>
      <c r="S243" s="1075" t="s">
        <v>877</v>
      </c>
      <c r="T243" s="1076" t="s">
        <v>878</v>
      </c>
      <c r="U243" s="1076" t="s">
        <v>879</v>
      </c>
      <c r="V243" s="1077">
        <v>74049265</v>
      </c>
    </row>
    <row r="244" spans="4:22">
      <c r="J244" s="1073" t="s">
        <v>869</v>
      </c>
      <c r="K244" s="1073" t="s">
        <v>880</v>
      </c>
      <c r="L244" s="1073" t="s">
        <v>871</v>
      </c>
      <c r="M244" s="1074" t="s">
        <v>881</v>
      </c>
      <c r="N244" s="1074" t="s">
        <v>873</v>
      </c>
      <c r="O244" s="1073" t="s">
        <v>874</v>
      </c>
      <c r="P244" s="1074" t="s">
        <v>881</v>
      </c>
      <c r="Q244" s="1073" t="s">
        <v>875</v>
      </c>
      <c r="R244" s="1074" t="s">
        <v>876</v>
      </c>
      <c r="S244" s="1075" t="s">
        <v>877</v>
      </c>
      <c r="T244" s="1076" t="s">
        <v>878</v>
      </c>
      <c r="U244" s="1076" t="s">
        <v>879</v>
      </c>
      <c r="V244" s="1077">
        <v>74049257</v>
      </c>
    </row>
    <row r="248" spans="4:22">
      <c r="D248" s="1062" t="s">
        <v>249</v>
      </c>
      <c r="E248" s="1062">
        <v>94381216</v>
      </c>
      <c r="F248" s="1062"/>
      <c r="G248" s="1062"/>
    </row>
    <row r="249" spans="4:22">
      <c r="D249" s="1062" t="s">
        <v>882</v>
      </c>
      <c r="E249" s="1062"/>
      <c r="F249" s="1062"/>
      <c r="G249" s="1062"/>
    </row>
    <row r="250" spans="4:22">
      <c r="D250" s="1062" t="s">
        <v>883</v>
      </c>
      <c r="E250" s="1062"/>
      <c r="F250" s="1062"/>
      <c r="G250" s="1062">
        <v>103114621</v>
      </c>
      <c r="H250" s="939">
        <f>+G250-E251</f>
        <v>90368750</v>
      </c>
    </row>
    <row r="251" spans="4:22">
      <c r="D251" s="1062" t="s">
        <v>884</v>
      </c>
      <c r="E251" s="1062">
        <v>12745871</v>
      </c>
      <c r="F251" s="1062"/>
      <c r="G251" s="1062"/>
    </row>
    <row r="252" spans="4:22">
      <c r="D252" s="1062" t="s">
        <v>885</v>
      </c>
      <c r="E252" s="1062"/>
      <c r="F252" s="1062"/>
      <c r="G252" s="1062">
        <v>401246</v>
      </c>
    </row>
    <row r="253" spans="4:22">
      <c r="D253" s="1062"/>
      <c r="E253" s="1062"/>
      <c r="F253" s="1062"/>
      <c r="G253" s="1062"/>
    </row>
    <row r="254" spans="4:22">
      <c r="D254" s="1062"/>
      <c r="E254" s="1062">
        <f>SUM(E248:E253)</f>
        <v>107127087</v>
      </c>
      <c r="F254" s="1062"/>
      <c r="G254" s="1062">
        <f>SUM(G248:G253)</f>
        <v>103515867</v>
      </c>
      <c r="H254" s="939">
        <f>+G254-E254</f>
        <v>-3611220</v>
      </c>
    </row>
    <row r="259" spans="2:8">
      <c r="D259" s="939" t="s">
        <v>853</v>
      </c>
      <c r="E259" s="939" t="s">
        <v>886</v>
      </c>
    </row>
    <row r="260" spans="2:8">
      <c r="D260" s="939">
        <v>2013</v>
      </c>
      <c r="E260" s="939">
        <v>2021</v>
      </c>
      <c r="G260" s="939" t="s">
        <v>854</v>
      </c>
    </row>
    <row r="261" spans="2:8">
      <c r="D261" s="1078">
        <v>41395</v>
      </c>
      <c r="E261" s="1078">
        <v>44287</v>
      </c>
      <c r="G261" s="1078">
        <v>44287</v>
      </c>
    </row>
    <row r="262" spans="2:8">
      <c r="C262" s="939" t="s">
        <v>887</v>
      </c>
      <c r="D262" s="972">
        <v>61346177</v>
      </c>
      <c r="E262" s="972">
        <v>80026814</v>
      </c>
      <c r="F262" s="972"/>
      <c r="G262" s="972">
        <v>94381216</v>
      </c>
    </row>
    <row r="263" spans="2:8">
      <c r="C263" s="939" t="s">
        <v>888</v>
      </c>
      <c r="D263" s="972">
        <v>4823177</v>
      </c>
      <c r="E263" s="972">
        <v>6291887</v>
      </c>
      <c r="F263" s="972"/>
      <c r="G263" s="972">
        <v>0</v>
      </c>
    </row>
    <row r="264" spans="2:8">
      <c r="D264" s="972"/>
      <c r="E264" s="972">
        <f>+E262+E263</f>
        <v>86318701</v>
      </c>
      <c r="F264" s="972"/>
      <c r="G264" s="972">
        <f>+G262+G263</f>
        <v>94381216</v>
      </c>
      <c r="H264" s="1079"/>
    </row>
    <row r="265" spans="2:8">
      <c r="D265" s="972"/>
      <c r="E265" s="972"/>
      <c r="F265" s="972"/>
      <c r="G265" s="972">
        <f>+G264-E264</f>
        <v>8062515</v>
      </c>
    </row>
    <row r="267" spans="2:8">
      <c r="B267" s="1067" t="s">
        <v>849</v>
      </c>
      <c r="C267" s="971"/>
      <c r="D267" s="972">
        <v>73898811.601999998</v>
      </c>
      <c r="E267" s="944">
        <v>9134540.6539999992</v>
      </c>
    </row>
    <row r="268" spans="2:8">
      <c r="D268" s="1068" t="s">
        <v>853</v>
      </c>
      <c r="E268" s="1069">
        <f>+D267-E267</f>
        <v>64764270.947999999</v>
      </c>
    </row>
    <row r="269" spans="2:8">
      <c r="D269" s="1068" t="s">
        <v>854</v>
      </c>
      <c r="E269" s="1069">
        <v>94381216</v>
      </c>
    </row>
    <row r="270" spans="2:8">
      <c r="D270" s="1068" t="s">
        <v>855</v>
      </c>
      <c r="E270" s="1069">
        <f>+E269-E268</f>
        <v>29616945.052000001</v>
      </c>
      <c r="G270" s="1079">
        <f>+G265-E270</f>
        <v>-21554430.052000001</v>
      </c>
    </row>
    <row r="274" spans="4:8">
      <c r="D274" s="1062" t="s">
        <v>249</v>
      </c>
      <c r="E274" s="1062">
        <v>94381216</v>
      </c>
      <c r="F274" s="1062"/>
      <c r="G274" s="1062"/>
    </row>
    <row r="275" spans="4:8">
      <c r="D275" s="1062" t="s">
        <v>882</v>
      </c>
      <c r="E275" s="1062"/>
      <c r="F275" s="1062"/>
      <c r="G275" s="1062"/>
    </row>
    <row r="276" spans="4:8">
      <c r="D276" s="1062" t="s">
        <v>883</v>
      </c>
      <c r="E276" s="1062"/>
      <c r="F276" s="1062"/>
      <c r="G276" s="1062">
        <v>86318701</v>
      </c>
      <c r="H276" s="939">
        <f>+G276-E277</f>
        <v>86318701</v>
      </c>
    </row>
    <row r="277" spans="4:8">
      <c r="D277" s="1062" t="s">
        <v>884</v>
      </c>
      <c r="E277" s="1062">
        <v>0</v>
      </c>
      <c r="F277" s="1062"/>
      <c r="G277" s="1062"/>
    </row>
    <row r="278" spans="4:8">
      <c r="D278" s="1062" t="s">
        <v>885</v>
      </c>
      <c r="E278" s="1062"/>
      <c r="F278" s="1062"/>
      <c r="G278" s="1062">
        <v>8062515</v>
      </c>
    </row>
    <row r="279" spans="4:8">
      <c r="D279" s="1062"/>
      <c r="E279" s="1062"/>
      <c r="F279" s="1062"/>
      <c r="G279" s="1062"/>
    </row>
    <row r="280" spans="4:8">
      <c r="D280" s="1062"/>
      <c r="E280" s="1062">
        <f>SUM(E274:E279)</f>
        <v>94381216</v>
      </c>
      <c r="F280" s="1062"/>
      <c r="G280" s="1062">
        <f>SUM(G274:G279)</f>
        <v>94381216</v>
      </c>
      <c r="H280" s="939">
        <f>+G280-E280</f>
        <v>0</v>
      </c>
    </row>
  </sheetData>
  <hyperlinks>
    <hyperlink ref="V243" r:id="rId1" display="https://zeus.sii.cl/avalu_cgi/br/brcy40.sh?NUM=00074049265" xr:uid="{00000000-0004-0000-1F00-000000000000}"/>
    <hyperlink ref="V244" r:id="rId2" display="https://zeus.sii.cl/avalu_cgi/br/brcy40.sh?NUM=00074049257" xr:uid="{00000000-0004-0000-1F00-000001000000}"/>
  </hyperlinks>
  <pageMargins left="0.64" right="0.63" top="0.75" bottom="0.75" header="0.3" footer="0.3"/>
  <pageSetup scale="66" orientation="landscape" r:id="rId3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25">
    <tabColor indexed="35"/>
    <pageSetUpPr fitToPage="1"/>
  </sheetPr>
  <dimension ref="A1:Q159"/>
  <sheetViews>
    <sheetView showGridLines="0" zoomScale="90" workbookViewId="0">
      <selection activeCell="E13" sqref="E13"/>
    </sheetView>
  </sheetViews>
  <sheetFormatPr baseColWidth="10" defaultRowHeight="12.75"/>
  <cols>
    <col min="1" max="1" width="2.140625" customWidth="1"/>
    <col min="2" max="2" width="12.28515625" customWidth="1"/>
    <col min="3" max="3" width="9.28515625" customWidth="1"/>
    <col min="4" max="4" width="32" customWidth="1"/>
    <col min="5" max="5" width="12.85546875" customWidth="1"/>
    <col min="6" max="6" width="12.7109375" customWidth="1"/>
    <col min="7" max="7" width="11.140625" customWidth="1"/>
    <col min="8" max="8" width="12.5703125" style="168" customWidth="1"/>
    <col min="9" max="9" width="12.7109375" style="168" customWidth="1"/>
    <col min="10" max="10" width="12.5703125" style="168" customWidth="1"/>
    <col min="11" max="11" width="14.85546875" style="168" customWidth="1"/>
    <col min="12" max="12" width="17.28515625" style="168" customWidth="1"/>
    <col min="13" max="13" width="12.5703125" style="168" customWidth="1"/>
    <col min="14" max="14" width="5.140625" customWidth="1"/>
  </cols>
  <sheetData>
    <row r="1" spans="2:16" ht="18">
      <c r="B1" s="259" t="str">
        <f>+MAYOR!B1</f>
        <v>SOCIEDAD COMERCIAL SOLMET SpA</v>
      </c>
      <c r="C1" s="158"/>
      <c r="D1" s="158"/>
      <c r="E1" s="158"/>
      <c r="P1" s="169"/>
    </row>
    <row r="2" spans="2:16">
      <c r="B2" s="417" t="str">
        <f>+MAYOR!B2</f>
        <v>BOMBEROS SALAS #1445 OFC 601B</v>
      </c>
      <c r="C2" s="158"/>
      <c r="D2" s="158"/>
      <c r="E2" s="158"/>
    </row>
    <row r="3" spans="2:16">
      <c r="B3" s="417" t="str">
        <f>+MAYOR!B3</f>
        <v>RUT: 76.541.377-K</v>
      </c>
      <c r="C3" s="158"/>
      <c r="D3" s="158"/>
      <c r="E3" s="158"/>
    </row>
    <row r="4" spans="2:16">
      <c r="B4" s="417">
        <f>+MAYOR!B4</f>
        <v>0</v>
      </c>
      <c r="C4" s="158"/>
      <c r="D4" s="158"/>
      <c r="E4" s="158"/>
    </row>
    <row r="5" spans="2:16">
      <c r="B5" s="167"/>
      <c r="C5" s="167"/>
      <c r="D5" s="167"/>
      <c r="E5" s="167"/>
    </row>
    <row r="6" spans="2:16">
      <c r="B6" s="167"/>
      <c r="C6" s="167"/>
      <c r="D6" s="167"/>
      <c r="E6" s="167"/>
    </row>
    <row r="7" spans="2:16" ht="23.25">
      <c r="B7" s="1492" t="s">
        <v>370</v>
      </c>
      <c r="C7" s="1492"/>
      <c r="D7" s="1492"/>
      <c r="E7" s="1492"/>
      <c r="F7" s="1492"/>
      <c r="G7" s="1492"/>
      <c r="H7" s="1492"/>
      <c r="I7" s="1492"/>
      <c r="J7" s="1492"/>
      <c r="K7" s="1492"/>
      <c r="L7" s="1492"/>
      <c r="M7" s="1492"/>
      <c r="N7" s="1492"/>
    </row>
    <row r="8" spans="2:16" ht="18">
      <c r="B8" s="170"/>
      <c r="C8" s="170"/>
      <c r="D8" s="170"/>
      <c r="E8" s="170"/>
      <c r="F8" s="170"/>
      <c r="G8" s="170"/>
      <c r="H8" s="171"/>
      <c r="I8" s="171"/>
      <c r="J8" s="171"/>
      <c r="K8" s="171"/>
      <c r="L8" s="171"/>
      <c r="M8" s="171"/>
      <c r="N8" s="170"/>
    </row>
    <row r="9" spans="2:16" ht="18">
      <c r="B9" s="170"/>
      <c r="C9" s="170"/>
      <c r="D9" s="170"/>
      <c r="E9" s="170"/>
      <c r="F9" s="170"/>
      <c r="G9" s="170"/>
      <c r="H9" s="171"/>
      <c r="I9" s="171"/>
      <c r="J9" s="171"/>
      <c r="K9" s="171"/>
      <c r="L9" s="171"/>
      <c r="M9" s="171"/>
      <c r="N9" s="170"/>
    </row>
    <row r="10" spans="2:16" ht="20.100000000000001" customHeight="1">
      <c r="B10" s="172"/>
      <c r="C10" s="173"/>
      <c r="D10" s="173"/>
      <c r="E10" s="173"/>
      <c r="F10" s="173"/>
      <c r="G10" s="173"/>
      <c r="H10" s="1493" t="s">
        <v>131</v>
      </c>
      <c r="I10" s="1494"/>
      <c r="J10" s="1494"/>
      <c r="K10" s="1495"/>
      <c r="L10" s="182" t="s">
        <v>132</v>
      </c>
      <c r="M10" s="173"/>
      <c r="N10" s="174"/>
    </row>
    <row r="11" spans="2:16" ht="12.75" customHeight="1">
      <c r="B11" s="1496" t="s">
        <v>366</v>
      </c>
      <c r="C11" s="1496" t="s">
        <v>371</v>
      </c>
      <c r="D11" s="1498" t="s">
        <v>141</v>
      </c>
      <c r="E11" s="1500" t="s">
        <v>367</v>
      </c>
      <c r="F11" s="1502" t="s">
        <v>133</v>
      </c>
      <c r="G11" s="1500" t="s">
        <v>368</v>
      </c>
      <c r="H11" s="1500" t="s">
        <v>369</v>
      </c>
      <c r="I11" s="322"/>
      <c r="J11" s="1500"/>
      <c r="K11" s="175"/>
      <c r="L11" s="1505" t="s">
        <v>135</v>
      </c>
      <c r="M11" s="175" t="s">
        <v>134</v>
      </c>
      <c r="N11" s="176" t="s">
        <v>136</v>
      </c>
    </row>
    <row r="12" spans="2:16">
      <c r="B12" s="1497"/>
      <c r="C12" s="1467"/>
      <c r="D12" s="1499"/>
      <c r="E12" s="1501"/>
      <c r="F12" s="1503"/>
      <c r="G12" s="1501"/>
      <c r="H12" s="1501"/>
      <c r="I12" s="323"/>
      <c r="J12" s="1501"/>
      <c r="K12" s="177"/>
      <c r="L12" s="1506"/>
      <c r="M12" s="177" t="s">
        <v>137</v>
      </c>
      <c r="N12" s="178" t="s">
        <v>138</v>
      </c>
    </row>
    <row r="13" spans="2:16">
      <c r="B13" s="338">
        <v>39526</v>
      </c>
      <c r="C13" s="341">
        <v>1</v>
      </c>
      <c r="D13" s="344" t="s">
        <v>372</v>
      </c>
      <c r="E13" s="345">
        <v>2878367.2</v>
      </c>
      <c r="F13" s="339">
        <v>1.0209999999999999</v>
      </c>
      <c r="G13" s="340">
        <f>+H13-E13</f>
        <v>60445.799999999814</v>
      </c>
      <c r="H13" s="340">
        <f>ROUND(+E13*F13,0)</f>
        <v>2938813</v>
      </c>
      <c r="I13" s="340"/>
      <c r="J13" s="340"/>
      <c r="K13" s="333"/>
      <c r="L13" s="333">
        <f>(+H13/N13)*22</f>
        <v>1077564.7666666666</v>
      </c>
      <c r="M13" s="333">
        <f>+H13-L13</f>
        <v>1861248.2333333334</v>
      </c>
      <c r="N13" s="178">
        <v>60</v>
      </c>
    </row>
    <row r="14" spans="2:16">
      <c r="B14" s="338">
        <v>39532</v>
      </c>
      <c r="C14" s="341">
        <v>1</v>
      </c>
      <c r="D14" s="344" t="s">
        <v>213</v>
      </c>
      <c r="E14" s="345">
        <v>219256</v>
      </c>
      <c r="F14" s="339">
        <f>+F13</f>
        <v>1.0209999999999999</v>
      </c>
      <c r="G14" s="340">
        <f>+H14-E14</f>
        <v>4604</v>
      </c>
      <c r="H14" s="340">
        <f>ROUND(+E14*F14,0)</f>
        <v>223860</v>
      </c>
      <c r="I14" s="340"/>
      <c r="J14" s="340"/>
      <c r="K14" s="333"/>
      <c r="L14" s="333">
        <f>(+H14/N14)*12</f>
        <v>111930</v>
      </c>
      <c r="M14" s="333">
        <f>+H14-L14</f>
        <v>111930</v>
      </c>
      <c r="N14" s="178">
        <f>36-12</f>
        <v>24</v>
      </c>
    </row>
    <row r="15" spans="2:16">
      <c r="B15" s="338">
        <v>39564</v>
      </c>
      <c r="C15" s="341">
        <v>1</v>
      </c>
      <c r="D15" s="344" t="s">
        <v>373</v>
      </c>
      <c r="E15" s="345">
        <v>66497</v>
      </c>
      <c r="F15" s="339">
        <f>+F14</f>
        <v>1.0209999999999999</v>
      </c>
      <c r="G15" s="340">
        <f>+H15-E15</f>
        <v>1396</v>
      </c>
      <c r="H15" s="340">
        <f>ROUND(+E15*F15,0)</f>
        <v>67893</v>
      </c>
      <c r="I15" s="340"/>
      <c r="J15" s="340"/>
      <c r="K15" s="333"/>
      <c r="L15" s="333">
        <f>(+H15/N15)*12</f>
        <v>33946.5</v>
      </c>
      <c r="M15" s="333">
        <f>+H15-L15</f>
        <v>33946.5</v>
      </c>
      <c r="N15" s="178">
        <f>36-12</f>
        <v>24</v>
      </c>
    </row>
    <row r="16" spans="2:16">
      <c r="B16" s="338">
        <v>39564</v>
      </c>
      <c r="C16" s="341">
        <v>1</v>
      </c>
      <c r="D16" s="344" t="s">
        <v>374</v>
      </c>
      <c r="E16" s="345">
        <v>65994</v>
      </c>
      <c r="F16" s="339">
        <f>+F15</f>
        <v>1.0209999999999999</v>
      </c>
      <c r="G16" s="340">
        <f>+H16-E16</f>
        <v>1386</v>
      </c>
      <c r="H16" s="340">
        <f>ROUND(+E16*F16,0)</f>
        <v>67380</v>
      </c>
      <c r="I16" s="340"/>
      <c r="J16" s="340"/>
      <c r="K16" s="333"/>
      <c r="L16" s="333">
        <f>(+H16/N16)*12</f>
        <v>33690</v>
      </c>
      <c r="M16" s="333">
        <f>+H16-L16</f>
        <v>33690</v>
      </c>
      <c r="N16" s="178">
        <f>36-12</f>
        <v>24</v>
      </c>
    </row>
    <row r="17" spans="2:16">
      <c r="B17" s="338">
        <v>39680</v>
      </c>
      <c r="C17" s="341">
        <v>1</v>
      </c>
      <c r="D17" s="344" t="s">
        <v>375</v>
      </c>
      <c r="E17" s="345">
        <v>1096876.8</v>
      </c>
      <c r="F17" s="339">
        <f>+F16</f>
        <v>1.0209999999999999</v>
      </c>
      <c r="G17" s="340">
        <f>+H17-E17</f>
        <v>23034.199999999953</v>
      </c>
      <c r="H17" s="340">
        <f>ROUND(+E17*F17,0)</f>
        <v>1119911</v>
      </c>
      <c r="I17" s="340"/>
      <c r="J17" s="340"/>
      <c r="K17" s="333"/>
      <c r="L17" s="333">
        <f>(+H17/N17)*12</f>
        <v>223982.2</v>
      </c>
      <c r="M17" s="333">
        <f>+H17-L17</f>
        <v>895928.8</v>
      </c>
      <c r="N17" s="178">
        <v>60</v>
      </c>
      <c r="P17" s="190"/>
    </row>
    <row r="18" spans="2:16">
      <c r="B18" s="338"/>
      <c r="C18" s="341"/>
      <c r="D18" s="344"/>
      <c r="E18" s="334"/>
      <c r="F18" s="339"/>
      <c r="G18" s="339"/>
      <c r="H18" s="187"/>
      <c r="I18" s="187"/>
      <c r="J18" s="187"/>
      <c r="K18" s="334"/>
      <c r="L18" s="334"/>
      <c r="M18" s="334"/>
      <c r="N18" s="335"/>
      <c r="P18" s="190"/>
    </row>
    <row r="19" spans="2:16">
      <c r="B19" s="338"/>
      <c r="C19" s="341"/>
      <c r="D19" s="344"/>
      <c r="E19" s="334"/>
      <c r="F19" s="341"/>
      <c r="G19" s="341"/>
      <c r="H19" s="187"/>
      <c r="I19" s="187"/>
      <c r="J19" s="187"/>
      <c r="K19" s="334"/>
      <c r="L19" s="334"/>
      <c r="M19" s="334"/>
      <c r="N19" s="335"/>
      <c r="P19" s="190"/>
    </row>
    <row r="20" spans="2:16">
      <c r="B20" s="338"/>
      <c r="C20" s="341"/>
      <c r="D20" s="344"/>
      <c r="E20" s="334"/>
      <c r="F20" s="341"/>
      <c r="G20" s="341"/>
      <c r="H20" s="187"/>
      <c r="I20" s="187"/>
      <c r="J20" s="187"/>
      <c r="K20" s="334"/>
      <c r="L20" s="334"/>
      <c r="M20" s="334"/>
      <c r="N20" s="335"/>
      <c r="P20" s="190"/>
    </row>
    <row r="21" spans="2:16">
      <c r="B21" s="338"/>
      <c r="C21" s="341"/>
      <c r="D21" s="344"/>
      <c r="E21" s="334"/>
      <c r="F21" s="341"/>
      <c r="G21" s="341"/>
      <c r="H21" s="187"/>
      <c r="I21" s="187"/>
      <c r="J21" s="187"/>
      <c r="K21" s="334"/>
      <c r="L21" s="334"/>
      <c r="M21" s="334"/>
      <c r="N21" s="335"/>
      <c r="P21" s="190"/>
    </row>
    <row r="22" spans="2:16">
      <c r="B22" s="338"/>
      <c r="C22" s="341"/>
      <c r="D22" s="344"/>
      <c r="E22" s="334"/>
      <c r="F22" s="341"/>
      <c r="G22" s="341"/>
      <c r="H22" s="187"/>
      <c r="I22" s="187"/>
      <c r="J22" s="187"/>
      <c r="K22" s="334"/>
      <c r="L22" s="334"/>
      <c r="M22" s="334"/>
      <c r="N22" s="335"/>
      <c r="P22" s="190"/>
    </row>
    <row r="23" spans="2:16">
      <c r="B23" s="342"/>
      <c r="C23" s="341"/>
      <c r="D23" s="344"/>
      <c r="E23" s="334"/>
      <c r="F23" s="341"/>
      <c r="G23" s="341"/>
      <c r="H23" s="187"/>
      <c r="I23" s="187"/>
      <c r="J23" s="187"/>
      <c r="K23" s="336"/>
      <c r="L23" s="336"/>
      <c r="M23" s="336"/>
      <c r="N23" s="335"/>
      <c r="P23" s="190"/>
    </row>
    <row r="24" spans="2:16">
      <c r="B24" s="343"/>
      <c r="C24" s="343"/>
      <c r="D24" s="346"/>
      <c r="E24" s="337">
        <f>SUM(E13:E23)</f>
        <v>4326991</v>
      </c>
      <c r="F24" s="343"/>
      <c r="G24" s="337">
        <f t="shared" ref="G24:M24" si="0">SUM(G13:G23)</f>
        <v>90865.999999999767</v>
      </c>
      <c r="H24" s="337">
        <f t="shared" si="0"/>
        <v>4417857</v>
      </c>
      <c r="I24" s="337">
        <f t="shared" si="0"/>
        <v>0</v>
      </c>
      <c r="J24" s="337">
        <f t="shared" si="0"/>
        <v>0</v>
      </c>
      <c r="K24" s="337">
        <f t="shared" si="0"/>
        <v>0</v>
      </c>
      <c r="L24" s="337">
        <f t="shared" si="0"/>
        <v>1481113.4666666666</v>
      </c>
      <c r="M24" s="347">
        <f t="shared" si="0"/>
        <v>2936743.5333333332</v>
      </c>
      <c r="N24" s="46"/>
      <c r="O24" s="181"/>
      <c r="P24" s="273"/>
    </row>
    <row r="25" spans="2:16">
      <c r="E25" s="347">
        <v>4326991</v>
      </c>
    </row>
    <row r="26" spans="2:16" ht="18">
      <c r="E26" s="348"/>
      <c r="F26" s="349"/>
      <c r="G26" s="331" t="s">
        <v>337</v>
      </c>
      <c r="H26" s="331" t="s">
        <v>338</v>
      </c>
      <c r="J26" s="317"/>
    </row>
    <row r="27" spans="2:16" ht="18">
      <c r="E27" s="350" t="s">
        <v>380</v>
      </c>
      <c r="F27" s="330"/>
      <c r="G27" s="351">
        <f>+G24</f>
        <v>90865.999999999767</v>
      </c>
      <c r="H27" s="332"/>
      <c r="J27" s="317"/>
    </row>
    <row r="28" spans="2:16" ht="18">
      <c r="E28" s="350" t="s">
        <v>363</v>
      </c>
      <c r="F28" s="330"/>
      <c r="G28" s="351"/>
      <c r="H28" s="332">
        <f>+G27</f>
        <v>90865.999999999767</v>
      </c>
      <c r="J28" s="317"/>
    </row>
    <row r="29" spans="2:16" ht="18">
      <c r="E29" s="350" t="s">
        <v>364</v>
      </c>
      <c r="F29" s="330"/>
      <c r="G29" s="351">
        <f>+L24</f>
        <v>1481113.4666666666</v>
      </c>
      <c r="H29" s="332"/>
      <c r="J29" s="317"/>
    </row>
    <row r="30" spans="2:16" ht="18">
      <c r="E30" s="350" t="s">
        <v>381</v>
      </c>
      <c r="F30" s="330"/>
      <c r="G30" s="351"/>
      <c r="H30" s="332">
        <f>+G29</f>
        <v>1481113.4666666666</v>
      </c>
      <c r="J30" s="317"/>
    </row>
    <row r="31" spans="2:16" ht="20.25" customHeight="1" thickBot="1">
      <c r="E31" s="352" t="s">
        <v>212</v>
      </c>
      <c r="F31" s="352"/>
      <c r="G31" s="353">
        <f>SUM(G27:G30)</f>
        <v>1571979.4666666663</v>
      </c>
      <c r="H31" s="353">
        <f>SUM(H27:H30)</f>
        <v>1571979.4666666663</v>
      </c>
      <c r="J31" s="317"/>
    </row>
    <row r="32" spans="2:16" ht="13.5" thickTop="1">
      <c r="J32" s="317"/>
    </row>
    <row r="33" spans="1:15">
      <c r="J33" s="317"/>
    </row>
    <row r="34" spans="1:15">
      <c r="J34" s="317"/>
    </row>
    <row r="35" spans="1:15">
      <c r="J35" s="317"/>
    </row>
    <row r="36" spans="1:15" ht="18">
      <c r="E36" s="168"/>
      <c r="F36" s="179" t="s">
        <v>376</v>
      </c>
      <c r="G36" s="179"/>
      <c r="H36" s="180"/>
      <c r="I36" s="180"/>
      <c r="J36" s="317"/>
    </row>
    <row r="37" spans="1:15">
      <c r="F37" s="181"/>
      <c r="G37" s="181"/>
      <c r="H37" s="180"/>
      <c r="I37" s="180"/>
      <c r="J37" s="317"/>
    </row>
    <row r="38" spans="1:15" ht="15.75">
      <c r="F38" s="354" t="s">
        <v>377</v>
      </c>
      <c r="G38" s="354"/>
      <c r="H38" s="355"/>
      <c r="I38" s="355"/>
      <c r="J38" s="317"/>
      <c r="K38" s="355">
        <f>+H24</f>
        <v>4417857</v>
      </c>
      <c r="L38" s="356"/>
    </row>
    <row r="39" spans="1:15" ht="15.75">
      <c r="F39" s="354" t="s">
        <v>378</v>
      </c>
      <c r="G39" s="354"/>
      <c r="H39" s="355"/>
      <c r="I39" s="355"/>
      <c r="J39" s="317"/>
      <c r="K39" s="355">
        <f>+I24</f>
        <v>0</v>
      </c>
      <c r="L39" s="356"/>
    </row>
    <row r="40" spans="1:15" ht="15.75">
      <c r="F40" s="354" t="s">
        <v>365</v>
      </c>
      <c r="G40" s="354"/>
      <c r="H40" s="355"/>
      <c r="I40" s="355"/>
      <c r="J40" s="355"/>
      <c r="K40" s="355"/>
      <c r="L40" s="356"/>
    </row>
    <row r="41" spans="1:15" ht="15.75">
      <c r="F41" s="354" t="s">
        <v>139</v>
      </c>
      <c r="G41" s="354"/>
      <c r="H41" s="355"/>
      <c r="I41" s="355"/>
      <c r="J41" s="355"/>
      <c r="K41" s="355">
        <f>+L24</f>
        <v>1481113.4666666666</v>
      </c>
      <c r="L41" s="356"/>
    </row>
    <row r="42" spans="1:15" ht="15.75">
      <c r="F42" s="354"/>
      <c r="G42" s="354"/>
      <c r="H42" s="355"/>
      <c r="I42" s="355"/>
      <c r="J42" s="355"/>
      <c r="K42" s="355"/>
      <c r="L42" s="356"/>
    </row>
    <row r="43" spans="1:15" ht="15.75">
      <c r="F43" s="354" t="s">
        <v>140</v>
      </c>
      <c r="G43" s="354"/>
      <c r="H43" s="355"/>
      <c r="I43" s="355"/>
      <c r="J43" s="355"/>
      <c r="K43" s="355">
        <f>+K38-K39+K40-K41</f>
        <v>2936743.5333333332</v>
      </c>
      <c r="L43" s="356"/>
    </row>
    <row r="44" spans="1:15">
      <c r="K44" s="168">
        <f>+K43-M24</f>
        <v>0</v>
      </c>
    </row>
    <row r="46" spans="1:15">
      <c r="A46" s="844"/>
      <c r="B46" s="844"/>
      <c r="C46" s="844"/>
      <c r="D46" s="844"/>
      <c r="E46" s="844"/>
      <c r="F46" s="844"/>
      <c r="G46" s="844"/>
      <c r="H46" s="915"/>
      <c r="I46" s="915"/>
      <c r="J46" s="915"/>
      <c r="K46" s="915"/>
      <c r="L46" s="915"/>
      <c r="M46" s="915"/>
      <c r="N46" s="844"/>
      <c r="O46" s="844"/>
    </row>
    <row r="49" spans="2:14" ht="23.25">
      <c r="B49" s="1492" t="s">
        <v>370</v>
      </c>
      <c r="C49" s="1492"/>
      <c r="D49" s="1492"/>
      <c r="E49" s="1492"/>
      <c r="F49" s="1492"/>
      <c r="G49" s="1492"/>
      <c r="H49" s="1492"/>
      <c r="I49" s="1492"/>
      <c r="J49" s="1492"/>
      <c r="K49" s="1492"/>
      <c r="L49" s="1492"/>
      <c r="M49" s="1492"/>
      <c r="N49" s="1492"/>
    </row>
    <row r="50" spans="2:14" ht="18">
      <c r="B50" s="170"/>
      <c r="C50" s="170"/>
      <c r="D50" s="170"/>
      <c r="E50" s="170"/>
      <c r="F50" s="170"/>
      <c r="G50" s="170"/>
      <c r="H50" s="171"/>
      <c r="I50" s="171"/>
      <c r="J50" s="171"/>
      <c r="K50" s="171"/>
      <c r="L50" s="171"/>
      <c r="M50" s="171"/>
      <c r="N50" s="170"/>
    </row>
    <row r="51" spans="2:14" ht="18">
      <c r="B51" s="170"/>
      <c r="C51" s="170"/>
      <c r="D51" s="170"/>
      <c r="E51" s="170"/>
      <c r="F51" s="170"/>
      <c r="G51" s="170"/>
      <c r="H51" s="171"/>
      <c r="I51" s="171"/>
      <c r="J51" s="171"/>
      <c r="K51" s="171"/>
      <c r="L51" s="171"/>
      <c r="M51" s="171"/>
      <c r="N51" s="170"/>
    </row>
    <row r="52" spans="2:14" ht="15.75">
      <c r="B52" s="172"/>
      <c r="C52" s="173"/>
      <c r="D52" s="173"/>
      <c r="E52" s="173"/>
      <c r="F52" s="173"/>
      <c r="G52" s="173"/>
      <c r="H52" s="1493" t="s">
        <v>131</v>
      </c>
      <c r="I52" s="1494"/>
      <c r="J52" s="1494"/>
      <c r="K52" s="1495"/>
      <c r="L52" s="182" t="s">
        <v>132</v>
      </c>
      <c r="M52" s="173"/>
      <c r="N52" s="174"/>
    </row>
    <row r="53" spans="2:14">
      <c r="B53" s="1496" t="s">
        <v>366</v>
      </c>
      <c r="C53" s="1496" t="s">
        <v>371</v>
      </c>
      <c r="D53" s="1498" t="s">
        <v>141</v>
      </c>
      <c r="E53" s="1500" t="s">
        <v>367</v>
      </c>
      <c r="F53" s="1502" t="s">
        <v>133</v>
      </c>
      <c r="G53" s="1500" t="s">
        <v>368</v>
      </c>
      <c r="H53" s="1500" t="s">
        <v>369</v>
      </c>
      <c r="I53" s="322"/>
      <c r="J53" s="1500"/>
      <c r="K53" s="175"/>
      <c r="L53" s="1505" t="s">
        <v>135</v>
      </c>
      <c r="M53" s="175" t="s">
        <v>134</v>
      </c>
      <c r="N53" s="176" t="s">
        <v>136</v>
      </c>
    </row>
    <row r="54" spans="2:14">
      <c r="B54" s="1497"/>
      <c r="C54" s="1467"/>
      <c r="D54" s="1499"/>
      <c r="E54" s="1501"/>
      <c r="F54" s="1503"/>
      <c r="G54" s="1501"/>
      <c r="H54" s="1501"/>
      <c r="I54" s="323"/>
      <c r="J54" s="1501"/>
      <c r="K54" s="177"/>
      <c r="L54" s="1506"/>
      <c r="M54" s="177" t="s">
        <v>137</v>
      </c>
      <c r="N54" s="178" t="s">
        <v>138</v>
      </c>
    </row>
    <row r="55" spans="2:14">
      <c r="B55" s="338">
        <v>39526</v>
      </c>
      <c r="C55" s="341">
        <v>1</v>
      </c>
      <c r="D55" s="344" t="s">
        <v>372</v>
      </c>
      <c r="E55" s="345">
        <v>2878367.2</v>
      </c>
      <c r="F55" s="339">
        <v>1.0209999999999999</v>
      </c>
      <c r="G55" s="340">
        <f>+H55-E55</f>
        <v>60445.799999999814</v>
      </c>
      <c r="H55" s="340">
        <f>ROUND(+E55*F55,0)</f>
        <v>2938813</v>
      </c>
      <c r="I55" s="340"/>
      <c r="J55" s="340"/>
      <c r="K55" s="333"/>
      <c r="L55" s="333">
        <f>(+H55/N55)*22</f>
        <v>1077564.7666666666</v>
      </c>
      <c r="M55" s="333">
        <f>+H55-L55</f>
        <v>1861248.2333333334</v>
      </c>
      <c r="N55" s="178">
        <v>60</v>
      </c>
    </row>
    <row r="56" spans="2:14">
      <c r="B56" s="338">
        <v>39532</v>
      </c>
      <c r="C56" s="341">
        <v>1</v>
      </c>
      <c r="D56" s="344" t="s">
        <v>213</v>
      </c>
      <c r="E56" s="345">
        <v>219256</v>
      </c>
      <c r="F56" s="339">
        <f>+F55</f>
        <v>1.0209999999999999</v>
      </c>
      <c r="G56" s="340">
        <f>+H56-E56</f>
        <v>4604</v>
      </c>
      <c r="H56" s="340">
        <f>ROUND(+E56*F56,0)</f>
        <v>223860</v>
      </c>
      <c r="I56" s="340"/>
      <c r="J56" s="340"/>
      <c r="K56" s="333"/>
      <c r="L56" s="333">
        <f>(+H56/N56)*12</f>
        <v>111930</v>
      </c>
      <c r="M56" s="333">
        <f>+H56-L56</f>
        <v>111930</v>
      </c>
      <c r="N56" s="178">
        <f>36-12</f>
        <v>24</v>
      </c>
    </row>
    <row r="57" spans="2:14">
      <c r="B57" s="338">
        <v>39564</v>
      </c>
      <c r="C57" s="341">
        <v>1</v>
      </c>
      <c r="D57" s="344" t="s">
        <v>373</v>
      </c>
      <c r="E57" s="345">
        <v>66497</v>
      </c>
      <c r="F57" s="339">
        <f>+F56</f>
        <v>1.0209999999999999</v>
      </c>
      <c r="G57" s="340">
        <f>+H57-E57</f>
        <v>1396</v>
      </c>
      <c r="H57" s="340">
        <f>ROUND(+E57*F57,0)</f>
        <v>67893</v>
      </c>
      <c r="I57" s="340"/>
      <c r="J57" s="340"/>
      <c r="K57" s="333"/>
      <c r="L57" s="333">
        <f>(+H57/N57)*12</f>
        <v>33946.5</v>
      </c>
      <c r="M57" s="333">
        <f>+H57-L57</f>
        <v>33946.5</v>
      </c>
      <c r="N57" s="178">
        <f>36-12</f>
        <v>24</v>
      </c>
    </row>
    <row r="58" spans="2:14">
      <c r="B58" s="338">
        <v>39564</v>
      </c>
      <c r="C58" s="341">
        <v>1</v>
      </c>
      <c r="D58" s="344" t="s">
        <v>374</v>
      </c>
      <c r="E58" s="345">
        <v>65994</v>
      </c>
      <c r="F58" s="339">
        <f>+F57</f>
        <v>1.0209999999999999</v>
      </c>
      <c r="G58" s="340">
        <f>+H58-E58</f>
        <v>1386</v>
      </c>
      <c r="H58" s="340">
        <f>ROUND(+E58*F58,0)</f>
        <v>67380</v>
      </c>
      <c r="I58" s="340"/>
      <c r="J58" s="340"/>
      <c r="K58" s="333"/>
      <c r="L58" s="333">
        <f>(+H58/N58)*12</f>
        <v>33690</v>
      </c>
      <c r="M58" s="333">
        <f>+H58-L58</f>
        <v>33690</v>
      </c>
      <c r="N58" s="178">
        <f>36-12</f>
        <v>24</v>
      </c>
    </row>
    <row r="59" spans="2:14">
      <c r="B59" s="338">
        <v>39680</v>
      </c>
      <c r="C59" s="341">
        <v>1</v>
      </c>
      <c r="D59" s="344" t="s">
        <v>375</v>
      </c>
      <c r="E59" s="345">
        <v>1096876.8</v>
      </c>
      <c r="F59" s="339">
        <f>+F58</f>
        <v>1.0209999999999999</v>
      </c>
      <c r="G59" s="340">
        <f>+H59-E59</f>
        <v>23034.199999999953</v>
      </c>
      <c r="H59" s="340">
        <f>ROUND(+E59*F59,0)</f>
        <v>1119911</v>
      </c>
      <c r="I59" s="340"/>
      <c r="J59" s="340"/>
      <c r="K59" s="333"/>
      <c r="L59" s="333">
        <f>(+H59/N59)*12</f>
        <v>223982.2</v>
      </c>
      <c r="M59" s="333">
        <f>+H59-L59</f>
        <v>895928.8</v>
      </c>
      <c r="N59" s="178">
        <v>60</v>
      </c>
    </row>
    <row r="60" spans="2:14">
      <c r="B60" s="338"/>
      <c r="C60" s="341"/>
      <c r="D60" s="344"/>
      <c r="E60" s="334"/>
      <c r="F60" s="339"/>
      <c r="G60" s="339"/>
      <c r="H60" s="187"/>
      <c r="I60" s="187"/>
      <c r="J60" s="187"/>
      <c r="K60" s="334"/>
      <c r="L60" s="334"/>
      <c r="M60" s="334"/>
      <c r="N60" s="335"/>
    </row>
    <row r="61" spans="2:14">
      <c r="B61" s="338"/>
      <c r="C61" s="341"/>
      <c r="D61" s="344"/>
      <c r="E61" s="334">
        <v>11456334</v>
      </c>
      <c r="F61" s="341"/>
      <c r="G61" s="341"/>
      <c r="H61" s="187"/>
      <c r="I61" s="187"/>
      <c r="J61" s="187"/>
      <c r="K61" s="334"/>
      <c r="L61" s="334"/>
      <c r="M61" s="334"/>
      <c r="N61" s="335"/>
    </row>
    <row r="62" spans="2:14">
      <c r="B62" s="338"/>
      <c r="C62" s="341"/>
      <c r="D62" s="344"/>
      <c r="E62" s="334">
        <v>43204101</v>
      </c>
      <c r="F62" s="341"/>
      <c r="G62" s="341"/>
      <c r="H62" s="187"/>
      <c r="I62" s="187"/>
      <c r="J62" s="187"/>
      <c r="K62" s="334"/>
      <c r="L62" s="334"/>
      <c r="M62" s="334"/>
      <c r="N62" s="335"/>
    </row>
    <row r="63" spans="2:14">
      <c r="B63" s="338"/>
      <c r="C63" s="341"/>
      <c r="D63" s="344"/>
      <c r="E63" s="334"/>
      <c r="F63" s="341"/>
      <c r="G63" s="341"/>
      <c r="H63" s="187"/>
      <c r="I63" s="187"/>
      <c r="J63" s="187"/>
      <c r="K63" s="334"/>
      <c r="L63" s="334"/>
      <c r="M63" s="334"/>
      <c r="N63" s="335"/>
    </row>
    <row r="64" spans="2:14">
      <c r="B64" s="338"/>
      <c r="C64" s="341"/>
      <c r="D64" s="344"/>
      <c r="E64" s="819">
        <v>40035990</v>
      </c>
      <c r="F64" s="341"/>
      <c r="G64" s="341"/>
      <c r="H64" s="187"/>
      <c r="I64" s="187"/>
      <c r="J64" s="187"/>
      <c r="K64" s="334"/>
      <c r="L64" s="334"/>
      <c r="M64" s="334"/>
      <c r="N64" s="335"/>
    </row>
    <row r="65" spans="2:16">
      <c r="B65" s="919"/>
      <c r="C65" s="920"/>
      <c r="D65" s="921" t="s">
        <v>795</v>
      </c>
      <c r="E65" s="913">
        <v>11456334</v>
      </c>
      <c r="F65" s="920"/>
      <c r="G65" s="920"/>
      <c r="H65" s="922"/>
      <c r="I65" s="922"/>
      <c r="J65" s="922"/>
      <c r="K65" s="923"/>
      <c r="L65" s="923"/>
      <c r="M65" s="923"/>
      <c r="N65" s="924"/>
    </row>
    <row r="66" spans="2:16" ht="13.5" thickBot="1">
      <c r="B66" s="919"/>
      <c r="C66" s="920"/>
      <c r="D66" s="921" t="s">
        <v>791</v>
      </c>
      <c r="E66" s="855">
        <v>43204101</v>
      </c>
      <c r="F66" s="920"/>
      <c r="G66" s="920"/>
      <c r="H66" s="922"/>
      <c r="I66" s="922"/>
      <c r="J66" s="922"/>
      <c r="K66" s="923"/>
      <c r="L66" s="923"/>
      <c r="M66" s="923"/>
      <c r="N66" s="924"/>
    </row>
    <row r="67" spans="2:16" ht="13.5" thickBot="1">
      <c r="B67" s="919"/>
      <c r="C67" s="920"/>
      <c r="D67" s="925" t="s">
        <v>792</v>
      </c>
      <c r="E67" s="926">
        <f>+E66/3</f>
        <v>14401367</v>
      </c>
      <c r="F67" s="920"/>
      <c r="G67" s="920"/>
      <c r="H67" s="922"/>
      <c r="I67" s="922"/>
      <c r="J67" s="922"/>
      <c r="K67" s="923"/>
      <c r="L67" s="923"/>
      <c r="M67" s="923"/>
      <c r="N67" s="924"/>
      <c r="O67" s="894" t="s">
        <v>782</v>
      </c>
      <c r="P67" s="894">
        <v>2019</v>
      </c>
    </row>
    <row r="68" spans="2:16" ht="13.5" thickBot="1">
      <c r="B68" s="919"/>
      <c r="C68" s="920"/>
      <c r="D68" s="925" t="s">
        <v>793</v>
      </c>
      <c r="E68" s="926">
        <f>+E67</f>
        <v>14401367</v>
      </c>
      <c r="F68" s="920"/>
      <c r="G68" s="920"/>
      <c r="H68" s="922"/>
      <c r="I68" s="922"/>
      <c r="J68" s="922"/>
      <c r="K68" s="923"/>
      <c r="L68" s="923"/>
      <c r="M68" s="923"/>
      <c r="N68" s="924"/>
      <c r="O68" s="895" t="s">
        <v>784</v>
      </c>
      <c r="P68" s="895">
        <v>2019</v>
      </c>
    </row>
    <row r="69" spans="2:16" ht="13.5" thickBot="1">
      <c r="B69" s="919"/>
      <c r="C69" s="920"/>
      <c r="D69" s="925" t="s">
        <v>794</v>
      </c>
      <c r="E69" s="926">
        <f>+E68</f>
        <v>14401367</v>
      </c>
      <c r="F69" s="920"/>
      <c r="G69" s="920"/>
      <c r="H69" s="922"/>
      <c r="I69" s="922"/>
      <c r="J69" s="922"/>
      <c r="K69" s="923"/>
      <c r="L69" s="923"/>
      <c r="M69" s="923"/>
      <c r="N69" s="924"/>
      <c r="O69" s="894" t="s">
        <v>785</v>
      </c>
      <c r="P69" s="894">
        <v>2019</v>
      </c>
    </row>
    <row r="70" spans="2:16" ht="13.5" thickBot="1">
      <c r="B70" s="927"/>
      <c r="C70" s="928"/>
      <c r="D70" s="929" t="s">
        <v>786</v>
      </c>
      <c r="E70" s="930">
        <v>18027096</v>
      </c>
      <c r="F70" s="928"/>
      <c r="G70" s="928"/>
      <c r="H70" s="931"/>
      <c r="I70" s="931"/>
      <c r="J70" s="931"/>
      <c r="K70" s="932"/>
      <c r="L70" s="932"/>
      <c r="M70" s="932"/>
      <c r="N70" s="933"/>
    </row>
    <row r="71" spans="2:16" ht="13.5" thickBot="1">
      <c r="B71" s="927"/>
      <c r="C71" s="928"/>
      <c r="D71" s="929" t="s">
        <v>787</v>
      </c>
      <c r="E71" s="930">
        <v>16295680</v>
      </c>
      <c r="F71" s="928"/>
      <c r="G71" s="928"/>
      <c r="H71" s="931"/>
      <c r="I71" s="931"/>
      <c r="J71" s="931"/>
      <c r="K71" s="932"/>
      <c r="L71" s="932"/>
      <c r="M71" s="932"/>
      <c r="N71" s="933"/>
    </row>
    <row r="72" spans="2:16" ht="13.5" thickBot="1">
      <c r="B72" s="927"/>
      <c r="C72" s="928"/>
      <c r="D72" s="929" t="s">
        <v>787</v>
      </c>
      <c r="E72" s="930">
        <v>16295680</v>
      </c>
      <c r="F72" s="928"/>
      <c r="G72" s="928"/>
      <c r="H72" s="931"/>
      <c r="I72" s="931"/>
      <c r="J72" s="931"/>
      <c r="K72" s="932"/>
      <c r="L72" s="932"/>
      <c r="M72" s="932"/>
      <c r="N72" s="933"/>
    </row>
    <row r="73" spans="2:16">
      <c r="B73" s="342"/>
      <c r="C73" s="341"/>
      <c r="D73" s="344"/>
      <c r="E73" s="819"/>
      <c r="F73" s="341"/>
      <c r="G73" s="341"/>
      <c r="H73" s="187"/>
      <c r="I73" s="187"/>
      <c r="J73" s="187"/>
      <c r="K73" s="336"/>
      <c r="L73" s="336"/>
      <c r="M73" s="336"/>
      <c r="N73" s="335"/>
    </row>
    <row r="74" spans="2:16">
      <c r="B74" s="342"/>
      <c r="C74" s="341"/>
      <c r="D74" s="344"/>
      <c r="E74" s="819"/>
      <c r="F74" s="341"/>
      <c r="G74" s="341"/>
      <c r="H74" s="187"/>
      <c r="I74" s="187"/>
      <c r="J74" s="187"/>
      <c r="K74" s="336"/>
      <c r="L74" s="336"/>
      <c r="M74" s="336"/>
      <c r="N74" s="335"/>
    </row>
    <row r="75" spans="2:16">
      <c r="B75" s="342"/>
      <c r="C75" s="341"/>
      <c r="D75" s="344"/>
      <c r="E75" s="819"/>
      <c r="F75" s="341"/>
      <c r="G75" s="341"/>
      <c r="H75" s="187"/>
      <c r="I75" s="187"/>
      <c r="J75" s="187"/>
      <c r="K75" s="336"/>
      <c r="L75" s="336"/>
      <c r="M75" s="336"/>
      <c r="N75" s="335"/>
    </row>
    <row r="76" spans="2:16">
      <c r="B76" s="342"/>
      <c r="C76" s="341"/>
      <c r="D76" s="344"/>
      <c r="E76" s="819"/>
      <c r="F76" s="341"/>
      <c r="G76" s="341"/>
      <c r="H76" s="187"/>
      <c r="I76" s="187"/>
      <c r="J76" s="187"/>
      <c r="K76" s="336"/>
      <c r="L76" s="336"/>
      <c r="M76" s="336"/>
      <c r="N76" s="335"/>
    </row>
    <row r="77" spans="2:16">
      <c r="B77" s="342"/>
      <c r="C77" s="341"/>
      <c r="D77" s="344"/>
      <c r="E77" s="334"/>
      <c r="F77" s="341"/>
      <c r="G77" s="341"/>
      <c r="H77" s="187"/>
      <c r="I77" s="187"/>
      <c r="J77" s="187"/>
      <c r="K77" s="336"/>
      <c r="L77" s="336"/>
      <c r="M77" s="336"/>
      <c r="N77" s="335"/>
    </row>
    <row r="78" spans="2:16">
      <c r="B78" s="343"/>
      <c r="C78" s="343"/>
      <c r="D78" s="346"/>
      <c r="E78" s="337">
        <f>SUM(E55:E77)</f>
        <v>247506408</v>
      </c>
      <c r="F78" s="343"/>
      <c r="G78" s="337">
        <f t="shared" ref="G78:M78" si="1">SUM(G55:G77)</f>
        <v>90865.999999999767</v>
      </c>
      <c r="H78" s="337">
        <f t="shared" si="1"/>
        <v>4417857</v>
      </c>
      <c r="I78" s="337">
        <f t="shared" si="1"/>
        <v>0</v>
      </c>
      <c r="J78" s="337">
        <f t="shared" si="1"/>
        <v>0</v>
      </c>
      <c r="K78" s="337">
        <f t="shared" si="1"/>
        <v>0</v>
      </c>
      <c r="L78" s="337">
        <f t="shared" si="1"/>
        <v>1481113.4666666666</v>
      </c>
      <c r="M78" s="347">
        <f t="shared" si="1"/>
        <v>2936743.5333333332</v>
      </c>
      <c r="N78" s="46"/>
    </row>
    <row r="79" spans="2:16">
      <c r="E79" s="347">
        <v>4326991</v>
      </c>
    </row>
    <row r="80" spans="2:16" ht="18">
      <c r="E80" s="348"/>
      <c r="F80" s="349"/>
      <c r="G80" s="331" t="s">
        <v>337</v>
      </c>
      <c r="H80" s="331" t="s">
        <v>338</v>
      </c>
      <c r="J80" s="317"/>
    </row>
    <row r="81" spans="5:12" ht="18">
      <c r="E81" s="350" t="s">
        <v>380</v>
      </c>
      <c r="F81" s="330"/>
      <c r="G81" s="351">
        <f>+G78</f>
        <v>90865.999999999767</v>
      </c>
      <c r="H81" s="332"/>
      <c r="J81" s="317"/>
    </row>
    <row r="82" spans="5:12" ht="18">
      <c r="E82" s="350" t="s">
        <v>363</v>
      </c>
      <c r="F82" s="330"/>
      <c r="G82" s="351"/>
      <c r="H82" s="332">
        <f>+G81</f>
        <v>90865.999999999767</v>
      </c>
      <c r="J82" s="317"/>
    </row>
    <row r="83" spans="5:12" ht="18">
      <c r="E83" s="350" t="s">
        <v>364</v>
      </c>
      <c r="F83" s="330"/>
      <c r="G83" s="351">
        <f>+L78</f>
        <v>1481113.4666666666</v>
      </c>
      <c r="H83" s="332"/>
      <c r="J83" s="317"/>
    </row>
    <row r="84" spans="5:12" ht="18">
      <c r="E84" s="350" t="s">
        <v>381</v>
      </c>
      <c r="F84" s="330"/>
      <c r="G84" s="351"/>
      <c r="H84" s="332">
        <f>+G83</f>
        <v>1481113.4666666666</v>
      </c>
      <c r="J84" s="317"/>
    </row>
    <row r="85" spans="5:12" ht="13.5" thickBot="1">
      <c r="E85" s="352" t="s">
        <v>212</v>
      </c>
      <c r="F85" s="352"/>
      <c r="G85" s="353">
        <f>SUM(G81:G84)</f>
        <v>1571979.4666666663</v>
      </c>
      <c r="H85" s="353">
        <f>SUM(H81:H84)</f>
        <v>1571979.4666666663</v>
      </c>
      <c r="J85" s="317"/>
    </row>
    <row r="86" spans="5:12" ht="13.5" thickTop="1">
      <c r="J86" s="317"/>
    </row>
    <row r="87" spans="5:12">
      <c r="J87" s="317"/>
    </row>
    <row r="88" spans="5:12">
      <c r="J88" s="317"/>
    </row>
    <row r="89" spans="5:12">
      <c r="J89" s="317"/>
    </row>
    <row r="90" spans="5:12" ht="18">
      <c r="E90" s="168"/>
      <c r="F90" s="179" t="s">
        <v>376</v>
      </c>
      <c r="G90" s="179"/>
      <c r="H90" s="180"/>
      <c r="I90" s="180"/>
      <c r="J90" s="317"/>
    </row>
    <row r="91" spans="5:12">
      <c r="F91" s="181"/>
      <c r="G91" s="181"/>
      <c r="H91" s="180"/>
      <c r="I91" s="180"/>
      <c r="J91" s="317"/>
    </row>
    <row r="92" spans="5:12" ht="15.75">
      <c r="F92" s="354" t="s">
        <v>377</v>
      </c>
      <c r="G92" s="354"/>
      <c r="H92" s="355"/>
      <c r="I92" s="355"/>
      <c r="J92" s="317"/>
      <c r="K92" s="355">
        <f>+H78</f>
        <v>4417857</v>
      </c>
      <c r="L92" s="356"/>
    </row>
    <row r="93" spans="5:12" ht="15.75">
      <c r="F93" s="354" t="s">
        <v>378</v>
      </c>
      <c r="G93" s="354"/>
      <c r="H93" s="355"/>
      <c r="I93" s="355"/>
      <c r="J93" s="317"/>
      <c r="K93" s="355">
        <f>+I78</f>
        <v>0</v>
      </c>
      <c r="L93" s="356"/>
    </row>
    <row r="94" spans="5:12" ht="15.75">
      <c r="F94" s="354" t="s">
        <v>365</v>
      </c>
      <c r="G94" s="354"/>
      <c r="H94" s="355"/>
      <c r="I94" s="355"/>
      <c r="J94" s="355"/>
      <c r="K94" s="355"/>
      <c r="L94" s="356"/>
    </row>
    <row r="95" spans="5:12" ht="15.75">
      <c r="F95" s="354" t="s">
        <v>139</v>
      </c>
      <c r="G95" s="354"/>
      <c r="H95" s="355"/>
      <c r="I95" s="355"/>
      <c r="J95" s="355"/>
      <c r="K95" s="355">
        <f>+L78</f>
        <v>1481113.4666666666</v>
      </c>
      <c r="L95" s="356"/>
    </row>
    <row r="96" spans="5:12" ht="15.75">
      <c r="F96" s="354"/>
      <c r="G96" s="354"/>
      <c r="H96" s="355"/>
      <c r="I96" s="355"/>
      <c r="J96" s="355"/>
      <c r="K96" s="355"/>
      <c r="L96" s="356"/>
    </row>
    <row r="97" spans="2:12" ht="15.75">
      <c r="F97" s="354" t="s">
        <v>140</v>
      </c>
      <c r="G97" s="354"/>
      <c r="H97" s="355"/>
      <c r="I97" s="355"/>
      <c r="J97" s="355"/>
      <c r="K97" s="355">
        <f>+K92-K93+K94-K95</f>
        <v>2936743.5333333332</v>
      </c>
      <c r="L97" s="356"/>
    </row>
    <row r="98" spans="2:12">
      <c r="K98" s="168">
        <f>+K97-M78</f>
        <v>0</v>
      </c>
    </row>
    <row r="101" spans="2:12" ht="39.75" thickBot="1">
      <c r="B101" s="892" t="s">
        <v>777</v>
      </c>
      <c r="D101" s="248" t="s">
        <v>789</v>
      </c>
      <c r="H101"/>
      <c r="I101"/>
      <c r="J101"/>
    </row>
    <row r="102" spans="2:12" ht="36.75" thickBot="1">
      <c r="B102" s="893" t="s">
        <v>757</v>
      </c>
      <c r="C102" s="893" t="s">
        <v>758</v>
      </c>
      <c r="D102" s="893" t="s">
        <v>759</v>
      </c>
      <c r="E102" s="893" t="s">
        <v>760</v>
      </c>
      <c r="F102" s="893" t="s">
        <v>761</v>
      </c>
      <c r="G102" s="893" t="s">
        <v>762</v>
      </c>
      <c r="H102" s="918" t="s">
        <v>778</v>
      </c>
      <c r="I102" s="893" t="s">
        <v>394</v>
      </c>
      <c r="J102" s="893" t="s">
        <v>764</v>
      </c>
      <c r="K102" s="917" t="s">
        <v>788</v>
      </c>
    </row>
    <row r="103" spans="2:12" ht="13.5" thickBot="1">
      <c r="B103" s="894">
        <v>40</v>
      </c>
      <c r="C103" s="894" t="s">
        <v>779</v>
      </c>
      <c r="D103" s="894" t="s">
        <v>780</v>
      </c>
      <c r="E103" s="894" t="s">
        <v>781</v>
      </c>
      <c r="F103" s="894" t="s">
        <v>782</v>
      </c>
      <c r="G103" s="894">
        <v>2019</v>
      </c>
      <c r="H103" s="896">
        <v>18027096</v>
      </c>
      <c r="I103" s="894" t="s">
        <v>769</v>
      </c>
      <c r="J103" s="894" t="s">
        <v>770</v>
      </c>
      <c r="K103" s="907">
        <v>13445378</v>
      </c>
    </row>
    <row r="104" spans="2:12" ht="13.5" thickBot="1">
      <c r="B104" s="895">
        <v>40</v>
      </c>
      <c r="C104" s="895" t="s">
        <v>779</v>
      </c>
      <c r="D104" s="895" t="s">
        <v>780</v>
      </c>
      <c r="E104" s="895" t="s">
        <v>783</v>
      </c>
      <c r="F104" s="895" t="s">
        <v>784</v>
      </c>
      <c r="G104" s="895">
        <v>2019</v>
      </c>
      <c r="H104" s="897">
        <v>16295680</v>
      </c>
      <c r="I104" s="895" t="s">
        <v>769</v>
      </c>
      <c r="J104" s="895" t="s">
        <v>770</v>
      </c>
      <c r="K104" s="907">
        <v>13445378</v>
      </c>
    </row>
    <row r="105" spans="2:12" ht="13.5" thickBot="1">
      <c r="B105" s="894">
        <v>40</v>
      </c>
      <c r="C105" s="894" t="s">
        <v>779</v>
      </c>
      <c r="D105" s="894" t="s">
        <v>780</v>
      </c>
      <c r="E105" s="894" t="s">
        <v>783</v>
      </c>
      <c r="F105" s="894" t="s">
        <v>785</v>
      </c>
      <c r="G105" s="894">
        <v>2019</v>
      </c>
      <c r="H105" s="896">
        <v>16295680</v>
      </c>
      <c r="I105" s="894" t="s">
        <v>769</v>
      </c>
      <c r="J105" s="894" t="s">
        <v>770</v>
      </c>
      <c r="K105" s="907">
        <v>14873950</v>
      </c>
    </row>
    <row r="106" spans="2:12">
      <c r="H106" s="916">
        <f>SUM(H103:H105)</f>
        <v>50618456</v>
      </c>
      <c r="K106" s="168">
        <f>SUM(K103:K105)</f>
        <v>41764706</v>
      </c>
      <c r="L106" s="168">
        <f>+K106*1.19</f>
        <v>49700000.140000001</v>
      </c>
    </row>
    <row r="107" spans="2:12">
      <c r="H107" s="898"/>
    </row>
    <row r="110" spans="2:12" ht="39.75" thickBot="1">
      <c r="B110" s="892" t="s">
        <v>756</v>
      </c>
      <c r="D110" s="248" t="s">
        <v>790</v>
      </c>
      <c r="H110"/>
      <c r="I110"/>
      <c r="J110"/>
    </row>
    <row r="111" spans="2:12" ht="36.75" thickBot="1">
      <c r="B111" s="893" t="s">
        <v>757</v>
      </c>
      <c r="C111" s="893" t="s">
        <v>758</v>
      </c>
      <c r="D111" s="893" t="s">
        <v>759</v>
      </c>
      <c r="E111" s="893" t="s">
        <v>760</v>
      </c>
      <c r="F111" s="893" t="s">
        <v>761</v>
      </c>
      <c r="G111" s="893" t="s">
        <v>762</v>
      </c>
      <c r="H111" s="918" t="s">
        <v>763</v>
      </c>
      <c r="I111" s="893" t="s">
        <v>394</v>
      </c>
      <c r="J111" s="893" t="s">
        <v>764</v>
      </c>
    </row>
    <row r="112" spans="2:12" ht="13.5" thickBot="1">
      <c r="B112" s="894">
        <v>41</v>
      </c>
      <c r="C112" s="894" t="s">
        <v>765</v>
      </c>
      <c r="D112" s="894" t="s">
        <v>766</v>
      </c>
      <c r="E112" s="894" t="s">
        <v>767</v>
      </c>
      <c r="F112" s="894" t="s">
        <v>768</v>
      </c>
      <c r="G112" s="894">
        <v>2014</v>
      </c>
      <c r="H112" s="894">
        <v>30292622</v>
      </c>
      <c r="I112" s="894" t="s">
        <v>769</v>
      </c>
      <c r="J112" s="894" t="s">
        <v>770</v>
      </c>
    </row>
    <row r="113" spans="1:17" ht="13.5" thickBot="1">
      <c r="B113" s="895">
        <v>41</v>
      </c>
      <c r="C113" s="895" t="s">
        <v>765</v>
      </c>
      <c r="D113" s="895" t="s">
        <v>766</v>
      </c>
      <c r="E113" s="895" t="s">
        <v>771</v>
      </c>
      <c r="F113" s="895" t="s">
        <v>772</v>
      </c>
      <c r="G113" s="895">
        <v>2011</v>
      </c>
      <c r="H113" s="895">
        <v>22504063</v>
      </c>
      <c r="I113" s="895" t="s">
        <v>769</v>
      </c>
      <c r="J113" s="895" t="s">
        <v>770</v>
      </c>
    </row>
    <row r="114" spans="1:17" ht="13.5" thickBot="1">
      <c r="B114" s="894">
        <v>41</v>
      </c>
      <c r="C114" s="894" t="s">
        <v>765</v>
      </c>
      <c r="D114" s="894" t="s">
        <v>773</v>
      </c>
      <c r="E114" s="894" t="s">
        <v>774</v>
      </c>
      <c r="F114" s="894" t="s">
        <v>775</v>
      </c>
      <c r="G114" s="894">
        <v>2011</v>
      </c>
      <c r="H114" s="894">
        <v>22356652</v>
      </c>
      <c r="I114" s="894" t="s">
        <v>769</v>
      </c>
      <c r="J114" s="894" t="s">
        <v>770</v>
      </c>
    </row>
    <row r="115" spans="1:17">
      <c r="H115" s="915">
        <f>SUM(H112:H114)</f>
        <v>75153337</v>
      </c>
    </row>
    <row r="118" spans="1:17">
      <c r="A118" s="1400"/>
      <c r="B118" s="1400"/>
      <c r="C118" s="1400"/>
      <c r="D118" s="1400"/>
      <c r="E118" s="1400"/>
      <c r="F118" s="1400"/>
      <c r="G118" s="1400"/>
      <c r="H118" s="1401"/>
      <c r="I118" s="1401"/>
      <c r="J118" s="1401"/>
      <c r="K118" s="1401"/>
      <c r="L118" s="1401"/>
      <c r="M118" s="1401"/>
      <c r="N118" s="1400"/>
      <c r="O118" s="1400"/>
      <c r="P118" s="1400"/>
      <c r="Q118" s="1400"/>
    </row>
    <row r="121" spans="1:17" ht="23.25">
      <c r="B121" s="1492" t="s">
        <v>370</v>
      </c>
      <c r="C121" s="1492"/>
      <c r="D121" s="1492"/>
      <c r="E121" s="1492"/>
      <c r="F121" s="1492"/>
      <c r="G121" s="1492"/>
      <c r="H121" s="1492"/>
      <c r="I121" s="1492"/>
      <c r="J121" s="1492"/>
      <c r="K121" s="1492"/>
      <c r="L121" s="1492"/>
      <c r="M121" s="1492"/>
      <c r="N121" s="1492"/>
    </row>
    <row r="122" spans="1:17" ht="18">
      <c r="B122" s="170"/>
      <c r="C122" s="170"/>
      <c r="D122" s="170"/>
      <c r="E122" s="170"/>
      <c r="F122" s="170"/>
      <c r="G122" s="170"/>
      <c r="H122" s="171"/>
      <c r="I122" s="171"/>
      <c r="J122" s="171"/>
      <c r="K122" s="171"/>
      <c r="L122" s="171"/>
      <c r="M122" s="171"/>
      <c r="N122" s="170"/>
    </row>
    <row r="123" spans="1:17" ht="18">
      <c r="B123" s="170"/>
      <c r="C123" s="170"/>
      <c r="D123" s="170"/>
      <c r="E123" s="170"/>
      <c r="F123" s="170"/>
      <c r="G123" s="170"/>
      <c r="H123" s="171"/>
      <c r="I123" s="171"/>
      <c r="J123" s="171"/>
      <c r="K123" s="171"/>
      <c r="L123" s="171"/>
      <c r="M123" s="171"/>
      <c r="N123" s="170"/>
    </row>
    <row r="124" spans="1:17" ht="15.75">
      <c r="B124" s="172"/>
      <c r="C124" s="173"/>
      <c r="D124" s="173"/>
      <c r="E124" s="173"/>
      <c r="F124" s="173"/>
      <c r="G124" s="173"/>
      <c r="H124" s="1493" t="s">
        <v>131</v>
      </c>
      <c r="I124" s="1494"/>
      <c r="J124" s="1494"/>
      <c r="K124" s="1495"/>
      <c r="L124" s="182" t="s">
        <v>132</v>
      </c>
      <c r="M124" s="173"/>
      <c r="N124" s="174"/>
    </row>
    <row r="125" spans="1:17">
      <c r="B125" s="1496" t="s">
        <v>366</v>
      </c>
      <c r="C125" s="1496" t="s">
        <v>371</v>
      </c>
      <c r="D125" s="1498" t="s">
        <v>141</v>
      </c>
      <c r="E125" s="1500" t="s">
        <v>367</v>
      </c>
      <c r="F125" s="1502" t="s">
        <v>133</v>
      </c>
      <c r="G125" s="1500" t="s">
        <v>368</v>
      </c>
      <c r="H125" s="1500" t="s">
        <v>369</v>
      </c>
      <c r="I125" s="1402" t="s">
        <v>1089</v>
      </c>
      <c r="J125" s="1504" t="s">
        <v>1090</v>
      </c>
      <c r="K125" s="175"/>
      <c r="L125" s="1505" t="s">
        <v>135</v>
      </c>
      <c r="M125" s="175" t="s">
        <v>134</v>
      </c>
      <c r="N125" s="176" t="s">
        <v>136</v>
      </c>
    </row>
    <row r="126" spans="1:17">
      <c r="B126" s="1497"/>
      <c r="C126" s="1467"/>
      <c r="D126" s="1499"/>
      <c r="E126" s="1501"/>
      <c r="F126" s="1503"/>
      <c r="G126" s="1501"/>
      <c r="H126" s="1501"/>
      <c r="I126" s="1403" t="s">
        <v>814</v>
      </c>
      <c r="J126" s="1501"/>
      <c r="K126" s="177"/>
      <c r="L126" s="1506"/>
      <c r="M126" s="177" t="s">
        <v>137</v>
      </c>
      <c r="N126" s="178" t="s">
        <v>138</v>
      </c>
    </row>
    <row r="127" spans="1:17" ht="20.25" customHeight="1">
      <c r="B127" s="338">
        <v>39526</v>
      </c>
      <c r="C127" s="341">
        <v>1</v>
      </c>
      <c r="D127" s="344" t="s">
        <v>726</v>
      </c>
      <c r="E127" s="345">
        <v>27800456</v>
      </c>
      <c r="F127" s="339">
        <v>1.048</v>
      </c>
      <c r="G127" s="340">
        <f>+H127-E127</f>
        <v>1334422</v>
      </c>
      <c r="H127" s="1419">
        <f>ROUND(+E127*F127,0)</f>
        <v>29134878</v>
      </c>
      <c r="I127" s="340">
        <v>12024037</v>
      </c>
      <c r="J127" s="340">
        <f>+ROUND(I127*$F$127,0)</f>
        <v>12601191</v>
      </c>
      <c r="K127" s="333"/>
      <c r="L127" s="333">
        <f>(+J127/N127)*22</f>
        <v>4331659.40625</v>
      </c>
      <c r="M127" s="333">
        <f>+H127-L127</f>
        <v>24803218.59375</v>
      </c>
      <c r="N127" s="178">
        <v>64</v>
      </c>
      <c r="O127">
        <v>12</v>
      </c>
      <c r="P127">
        <f>+N127-O127</f>
        <v>52</v>
      </c>
    </row>
    <row r="128" spans="1:17" ht="15" customHeight="1">
      <c r="B128" s="338">
        <v>39532</v>
      </c>
      <c r="C128" s="341">
        <v>1</v>
      </c>
      <c r="D128" s="344" t="s">
        <v>161</v>
      </c>
      <c r="E128" s="345">
        <v>57163788</v>
      </c>
      <c r="F128" s="339">
        <f>+F127</f>
        <v>1.048</v>
      </c>
      <c r="G128" s="340">
        <f>+H128-E128</f>
        <v>2743862</v>
      </c>
      <c r="H128" s="1419">
        <f>ROUND(+E128*F128,0)</f>
        <v>59907650</v>
      </c>
      <c r="I128" s="340">
        <v>24724038</v>
      </c>
      <c r="J128" s="340">
        <f t="shared" ref="J128:J129" si="2">+ROUND(I128*$F$127,0)</f>
        <v>25910792</v>
      </c>
      <c r="K128" s="333"/>
      <c r="L128" s="333">
        <f>(+J128/N128)*12</f>
        <v>4858273.5</v>
      </c>
      <c r="M128" s="333">
        <f>+H128-L128</f>
        <v>55049376.5</v>
      </c>
      <c r="N128" s="178">
        <v>64</v>
      </c>
    </row>
    <row r="129" spans="2:14" ht="15" customHeight="1">
      <c r="B129" s="338">
        <v>39564</v>
      </c>
      <c r="C129" s="341">
        <v>1</v>
      </c>
      <c r="D129" s="344" t="s">
        <v>1021</v>
      </c>
      <c r="E129" s="345">
        <v>38657437</v>
      </c>
      <c r="F129" s="339">
        <f>+F128</f>
        <v>1.048</v>
      </c>
      <c r="G129" s="340">
        <f>+H129-E129</f>
        <v>1855557</v>
      </c>
      <c r="H129" s="1419">
        <f>ROUND(+E129*F129,0)</f>
        <v>40512994</v>
      </c>
      <c r="I129" s="340">
        <v>16719815</v>
      </c>
      <c r="J129" s="340">
        <f t="shared" si="2"/>
        <v>17522366</v>
      </c>
      <c r="K129" s="333"/>
      <c r="L129" s="333">
        <f>(+J129/N129)*12</f>
        <v>3285443.625</v>
      </c>
      <c r="M129" s="333">
        <f>+H129-L129</f>
        <v>37227550.375</v>
      </c>
      <c r="N129" s="178">
        <v>64</v>
      </c>
    </row>
    <row r="130" spans="2:14">
      <c r="B130" s="338"/>
      <c r="C130" s="341"/>
      <c r="D130" s="344"/>
      <c r="E130" s="345"/>
      <c r="F130" s="339"/>
      <c r="G130" s="340"/>
      <c r="H130" s="1419"/>
      <c r="I130" s="340"/>
      <c r="J130" s="340"/>
      <c r="K130" s="333"/>
      <c r="L130" s="333"/>
      <c r="M130" s="333"/>
      <c r="N130" s="178"/>
    </row>
    <row r="131" spans="2:14">
      <c r="B131" s="338"/>
      <c r="C131" s="341"/>
      <c r="D131" s="344"/>
      <c r="E131" s="345"/>
      <c r="F131" s="339"/>
      <c r="G131" s="340"/>
      <c r="H131" s="1419"/>
      <c r="I131" s="340"/>
      <c r="J131" s="340"/>
      <c r="K131" s="333"/>
      <c r="L131" s="333"/>
      <c r="M131" s="333"/>
      <c r="N131" s="178"/>
    </row>
    <row r="132" spans="2:14">
      <c r="B132" s="338"/>
      <c r="C132" s="341"/>
      <c r="D132" s="344"/>
      <c r="E132" s="334"/>
      <c r="F132" s="339"/>
      <c r="G132" s="339"/>
      <c r="H132" s="1420"/>
      <c r="I132" s="187"/>
      <c r="J132" s="187"/>
      <c r="K132" s="334"/>
      <c r="L132" s="334"/>
      <c r="M132" s="334"/>
      <c r="N132" s="335"/>
    </row>
    <row r="133" spans="2:14">
      <c r="B133" s="338"/>
      <c r="C133" s="341"/>
      <c r="D133" s="344"/>
      <c r="E133" s="334"/>
      <c r="F133" s="341"/>
      <c r="G133" s="341"/>
      <c r="H133" s="1420"/>
      <c r="I133" s="187"/>
      <c r="J133" s="187"/>
      <c r="K133" s="334"/>
      <c r="L133" s="334"/>
      <c r="M133" s="334"/>
      <c r="N133" s="335"/>
    </row>
    <row r="134" spans="2:14">
      <c r="B134" s="338"/>
      <c r="C134" s="341"/>
      <c r="D134" s="344"/>
      <c r="E134" s="334"/>
      <c r="F134" s="341"/>
      <c r="G134" s="341"/>
      <c r="H134" s="1420"/>
      <c r="I134" s="187"/>
      <c r="J134" s="187"/>
      <c r="K134" s="334"/>
      <c r="L134" s="334"/>
      <c r="M134" s="334"/>
      <c r="N134" s="335"/>
    </row>
    <row r="135" spans="2:14">
      <c r="B135" s="338"/>
      <c r="C135" s="341"/>
      <c r="D135" s="344"/>
      <c r="E135" s="334"/>
      <c r="F135" s="341"/>
      <c r="G135" s="341"/>
      <c r="H135" s="1420"/>
      <c r="I135" s="187"/>
      <c r="J135" s="187"/>
      <c r="K135" s="334"/>
      <c r="L135" s="334"/>
      <c r="M135" s="334"/>
      <c r="N135" s="335"/>
    </row>
    <row r="136" spans="2:14">
      <c r="B136" s="338"/>
      <c r="C136" s="341"/>
      <c r="D136" s="344"/>
      <c r="E136" s="334"/>
      <c r="F136" s="341"/>
      <c r="G136" s="341"/>
      <c r="H136" s="1420"/>
      <c r="I136" s="187"/>
      <c r="J136" s="187"/>
      <c r="K136" s="334"/>
      <c r="L136" s="334"/>
      <c r="M136" s="334"/>
      <c r="N136" s="335"/>
    </row>
    <row r="137" spans="2:14">
      <c r="B137" s="342"/>
      <c r="C137" s="341"/>
      <c r="D137" s="344"/>
      <c r="E137" s="334"/>
      <c r="F137" s="341"/>
      <c r="G137" s="341"/>
      <c r="H137" s="1420"/>
      <c r="I137" s="187"/>
      <c r="J137" s="187"/>
      <c r="K137" s="336"/>
      <c r="L137" s="336"/>
      <c r="M137" s="336"/>
      <c r="N137" s="335"/>
    </row>
    <row r="138" spans="2:14">
      <c r="B138" s="343"/>
      <c r="C138" s="343"/>
      <c r="D138" s="346"/>
      <c r="E138" s="337">
        <f>SUM(E127:E137)</f>
        <v>123621681</v>
      </c>
      <c r="F138" s="343"/>
      <c r="G138" s="337">
        <f t="shared" ref="G138:M138" si="3">SUM(G127:G137)</f>
        <v>5933841</v>
      </c>
      <c r="H138" s="1421">
        <f t="shared" si="3"/>
        <v>129555522</v>
      </c>
      <c r="I138" s="337">
        <f t="shared" si="3"/>
        <v>53467890</v>
      </c>
      <c r="J138" s="337">
        <f t="shared" si="3"/>
        <v>56034349</v>
      </c>
      <c r="K138" s="337">
        <f t="shared" si="3"/>
        <v>0</v>
      </c>
      <c r="L138" s="337">
        <f t="shared" si="3"/>
        <v>12475376.53125</v>
      </c>
      <c r="M138" s="347">
        <f t="shared" si="3"/>
        <v>117080145.46875</v>
      </c>
      <c r="N138" s="46"/>
    </row>
    <row r="139" spans="2:14">
      <c r="E139" s="347">
        <v>4326991</v>
      </c>
      <c r="I139" s="168">
        <f>+J138-I138</f>
        <v>2566459</v>
      </c>
    </row>
    <row r="140" spans="2:14" ht="18">
      <c r="E140" s="348"/>
      <c r="F140" s="349"/>
      <c r="G140" s="331" t="s">
        <v>337</v>
      </c>
      <c r="H140" s="331" t="s">
        <v>338</v>
      </c>
      <c r="J140" s="317"/>
    </row>
    <row r="141" spans="2:14" ht="18">
      <c r="E141" s="350" t="s">
        <v>380</v>
      </c>
      <c r="F141" s="330"/>
      <c r="G141" s="351">
        <f>+G138</f>
        <v>5933841</v>
      </c>
      <c r="H141" s="332"/>
      <c r="J141" s="317"/>
    </row>
    <row r="142" spans="2:14" ht="18">
      <c r="E142" s="350" t="s">
        <v>363</v>
      </c>
      <c r="F142" s="330"/>
      <c r="G142" s="351"/>
      <c r="H142" s="332">
        <f>+G141</f>
        <v>5933841</v>
      </c>
      <c r="J142" s="317"/>
    </row>
    <row r="143" spans="2:14" ht="18">
      <c r="E143" s="350" t="s">
        <v>1095</v>
      </c>
      <c r="F143" s="330"/>
      <c r="G143" s="351">
        <f>+I139</f>
        <v>2566459</v>
      </c>
      <c r="H143" s="332"/>
      <c r="J143" s="317"/>
    </row>
    <row r="144" spans="2:14" ht="18">
      <c r="E144" s="350" t="s">
        <v>1096</v>
      </c>
      <c r="F144" s="330"/>
      <c r="G144" s="351"/>
      <c r="H144" s="332">
        <f>+G143</f>
        <v>2566459</v>
      </c>
      <c r="J144" s="317"/>
    </row>
    <row r="145" spans="4:10" ht="18">
      <c r="E145" s="350" t="s">
        <v>364</v>
      </c>
      <c r="F145" s="330"/>
      <c r="G145" s="351">
        <f>+L138</f>
        <v>12475376.53125</v>
      </c>
      <c r="H145" s="332"/>
      <c r="J145" s="317"/>
    </row>
    <row r="146" spans="4:10" ht="18">
      <c r="E146" s="350" t="s">
        <v>381</v>
      </c>
      <c r="F146" s="330"/>
      <c r="G146" s="351"/>
      <c r="H146" s="332">
        <f>+G145</f>
        <v>12475376.53125</v>
      </c>
      <c r="J146" s="317"/>
    </row>
    <row r="147" spans="4:10" ht="13.5" thickBot="1">
      <c r="E147" s="352" t="s">
        <v>212</v>
      </c>
      <c r="F147" s="352"/>
      <c r="G147" s="353">
        <f>SUM(G141:G146)</f>
        <v>20975676.53125</v>
      </c>
      <c r="H147" s="353">
        <f>SUM(H141:H146)</f>
        <v>20975676.53125</v>
      </c>
      <c r="J147" s="317"/>
    </row>
    <row r="148" spans="4:10" ht="13.5" thickTop="1">
      <c r="J148" s="317"/>
    </row>
    <row r="149" spans="4:10">
      <c r="J149" s="317"/>
    </row>
    <row r="150" spans="4:10">
      <c r="D150" s="1410"/>
      <c r="E150" s="1415" t="s">
        <v>1094</v>
      </c>
      <c r="F150" s="1407"/>
      <c r="G150" s="1407"/>
    </row>
    <row r="151" spans="4:10">
      <c r="D151" s="2"/>
      <c r="E151" s="1408"/>
      <c r="F151" s="1414" t="s">
        <v>368</v>
      </c>
      <c r="G151" s="1412" t="s">
        <v>1093</v>
      </c>
    </row>
    <row r="152" spans="4:10">
      <c r="D152" s="1411" t="s">
        <v>1092</v>
      </c>
      <c r="E152" s="1413">
        <v>53467890</v>
      </c>
      <c r="F152" s="5">
        <v>1.048</v>
      </c>
      <c r="G152" s="1413">
        <f>+E152*$F$152</f>
        <v>56034348.719999999</v>
      </c>
    </row>
    <row r="154" spans="4:10" ht="25.5">
      <c r="D154" s="1404" t="s">
        <v>726</v>
      </c>
      <c r="E154" s="345">
        <v>27800456</v>
      </c>
      <c r="F154" s="1409">
        <f>+E154/$E$158</f>
        <v>0.22488333579608905</v>
      </c>
      <c r="G154" s="6">
        <f>+F154*100</f>
        <v>22.488333579608906</v>
      </c>
      <c r="H154" s="334">
        <f>ROUND(+G154*$E$152/100,0)</f>
        <v>12024037</v>
      </c>
    </row>
    <row r="155" spans="4:10">
      <c r="D155" s="344" t="s">
        <v>161</v>
      </c>
      <c r="E155" s="345">
        <v>57163788</v>
      </c>
      <c r="F155" s="1409">
        <f t="shared" ref="F155:F156" si="4">+E155/$E$158</f>
        <v>0.46240908178558099</v>
      </c>
      <c r="G155" s="6">
        <f t="shared" ref="G155:G156" si="5">+F155*100</f>
        <v>46.240908178558101</v>
      </c>
      <c r="H155" s="334">
        <f t="shared" ref="H155:H156" si="6">ROUND(+G155*$E$152/100,0)</f>
        <v>24724038</v>
      </c>
    </row>
    <row r="156" spans="4:10">
      <c r="D156" s="344" t="s">
        <v>1021</v>
      </c>
      <c r="E156" s="345">
        <v>38657437</v>
      </c>
      <c r="F156" s="1409">
        <f t="shared" si="4"/>
        <v>0.31270758241833002</v>
      </c>
      <c r="G156" s="6">
        <f t="shared" si="5"/>
        <v>31.270758241833001</v>
      </c>
      <c r="H156" s="334">
        <f t="shared" si="6"/>
        <v>16719815</v>
      </c>
    </row>
    <row r="158" spans="4:10" ht="13.5" thickBot="1">
      <c r="D158" s="1405" t="s">
        <v>1091</v>
      </c>
      <c r="E158" s="1406">
        <f>SUM(E154:E157)</f>
        <v>123621681</v>
      </c>
      <c r="F158" s="1406">
        <f>SUM(F154:F157)</f>
        <v>1</v>
      </c>
      <c r="G158" s="1406">
        <f>SUM(G154:G157)</f>
        <v>100</v>
      </c>
      <c r="H158" s="1406">
        <f>SUM(H154:H156)</f>
        <v>53467890</v>
      </c>
    </row>
    <row r="159" spans="4:10" ht="13.5" thickTop="1"/>
  </sheetData>
  <mergeCells count="33">
    <mergeCell ref="G11:G12"/>
    <mergeCell ref="L11:L12"/>
    <mergeCell ref="E11:E12"/>
    <mergeCell ref="B7:N7"/>
    <mergeCell ref="H10:K10"/>
    <mergeCell ref="B11:B12"/>
    <mergeCell ref="C11:C12"/>
    <mergeCell ref="D11:D12"/>
    <mergeCell ref="F11:F12"/>
    <mergeCell ref="H11:H12"/>
    <mergeCell ref="J11:J12"/>
    <mergeCell ref="B49:N49"/>
    <mergeCell ref="H52:K52"/>
    <mergeCell ref="B53:B54"/>
    <mergeCell ref="C53:C54"/>
    <mergeCell ref="D53:D54"/>
    <mergeCell ref="E53:E54"/>
    <mergeCell ref="F53:F54"/>
    <mergeCell ref="G53:G54"/>
    <mergeCell ref="H53:H54"/>
    <mergeCell ref="J53:J54"/>
    <mergeCell ref="L53:L54"/>
    <mergeCell ref="B121:N121"/>
    <mergeCell ref="H124:K124"/>
    <mergeCell ref="B125:B126"/>
    <mergeCell ref="C125:C126"/>
    <mergeCell ref="D125:D126"/>
    <mergeCell ref="E125:E126"/>
    <mergeCell ref="F125:F126"/>
    <mergeCell ref="G125:G126"/>
    <mergeCell ref="H125:H126"/>
    <mergeCell ref="J125:J126"/>
    <mergeCell ref="L125:L126"/>
  </mergeCells>
  <phoneticPr fontId="38" type="noConversion"/>
  <pageMargins left="0.78740157480314965" right="0.78740157480314965" top="0.98425196850393704" bottom="0.98425196850393704" header="0" footer="0"/>
  <pageSetup scale="72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N222"/>
  <sheetViews>
    <sheetView showGridLines="0" view="pageBreakPreview" zoomScale="85" zoomScaleNormal="85" zoomScaleSheetLayoutView="85" workbookViewId="0">
      <selection activeCell="E33" sqref="E33"/>
    </sheetView>
  </sheetViews>
  <sheetFormatPr baseColWidth="10" defaultColWidth="11.42578125" defaultRowHeight="15.75" customHeight="1"/>
  <cols>
    <col min="1" max="1" width="42.85546875" style="99" customWidth="1"/>
    <col min="2" max="2" width="17" style="99" customWidth="1"/>
    <col min="3" max="3" width="17.7109375" style="99" customWidth="1"/>
    <col min="4" max="9" width="18.140625" style="99" customWidth="1"/>
    <col min="10" max="10" width="15.7109375" style="476" customWidth="1"/>
    <col min="11" max="11" width="13.5703125" style="476" bestFit="1" customWidth="1"/>
    <col min="12" max="12" width="21.42578125" style="476" customWidth="1"/>
    <col min="13" max="13" width="16.7109375" style="99" customWidth="1"/>
    <col min="14" max="14" width="11.42578125" style="99"/>
    <col min="15" max="16" width="14.42578125" style="99" bestFit="1" customWidth="1"/>
    <col min="17" max="16384" width="11.42578125" style="99"/>
  </cols>
  <sheetData>
    <row r="1" spans="1:14" ht="24" customHeight="1">
      <c r="A1" s="648" t="str">
        <f>+MAYOR!B1</f>
        <v>SOCIEDAD COMERCIAL SOLMET SpA</v>
      </c>
      <c r="B1" s="649"/>
      <c r="C1" s="649"/>
      <c r="D1" s="650"/>
      <c r="E1" s="651"/>
      <c r="F1" s="651"/>
      <c r="G1" s="651"/>
      <c r="H1" s="651"/>
      <c r="I1" s="651"/>
    </row>
    <row r="2" spans="1:14" ht="15.75" customHeight="1">
      <c r="A2" s="652" t="str">
        <f>+MAYOR!B2</f>
        <v>BOMBEROS SALAS #1445 OFC 601B</v>
      </c>
      <c r="B2" s="649"/>
      <c r="C2" s="649"/>
      <c r="D2" s="653"/>
      <c r="E2" s="651"/>
      <c r="F2" s="651"/>
      <c r="G2" s="651"/>
      <c r="H2" s="651"/>
      <c r="I2" s="651"/>
    </row>
    <row r="3" spans="1:14" ht="15.75" customHeight="1">
      <c r="A3" s="652" t="str">
        <f>+MAYOR!B3</f>
        <v>RUT: 76.541.377-K</v>
      </c>
      <c r="B3" s="649"/>
      <c r="C3" s="649"/>
      <c r="D3" s="653"/>
      <c r="E3" s="651"/>
      <c r="F3" s="651"/>
      <c r="G3" s="651"/>
      <c r="H3" s="651"/>
      <c r="I3" s="651"/>
    </row>
    <row r="4" spans="1:14" ht="15.75" customHeight="1">
      <c r="A4" s="652">
        <f>+MAYOR!B4</f>
        <v>0</v>
      </c>
      <c r="B4" s="654"/>
      <c r="C4" s="649"/>
      <c r="D4" s="653"/>
      <c r="E4" s="651"/>
      <c r="F4" s="651"/>
      <c r="G4" s="651"/>
      <c r="H4" s="651"/>
      <c r="I4" s="651"/>
    </row>
    <row r="5" spans="1:14" ht="15.75" customHeight="1">
      <c r="A5" s="654"/>
      <c r="B5" s="651"/>
      <c r="C5" s="651"/>
      <c r="D5" s="653"/>
      <c r="E5" s="651"/>
      <c r="F5" s="651"/>
      <c r="G5" s="651"/>
      <c r="H5" s="651"/>
      <c r="I5" s="651"/>
    </row>
    <row r="6" spans="1:14" s="115" customFormat="1" ht="20.25" customHeight="1">
      <c r="A6" s="655" t="s">
        <v>1020</v>
      </c>
      <c r="B6" s="656"/>
      <c r="C6" s="656"/>
      <c r="D6" s="656"/>
      <c r="E6" s="656"/>
      <c r="F6" s="656">
        <f>+D49</f>
        <v>0</v>
      </c>
      <c r="G6" s="656"/>
      <c r="H6" s="656"/>
      <c r="I6" s="656"/>
      <c r="J6" s="476"/>
      <c r="K6" s="476"/>
      <c r="L6" s="476"/>
    </row>
    <row r="7" spans="1:14" s="118" customFormat="1" ht="15.75" customHeight="1">
      <c r="A7" s="657" t="s">
        <v>1087</v>
      </c>
      <c r="B7" s="658"/>
      <c r="C7" s="658"/>
      <c r="D7" s="658"/>
      <c r="E7" s="658"/>
      <c r="F7" s="658"/>
      <c r="G7" s="658"/>
      <c r="H7" s="658"/>
      <c r="I7" s="658"/>
      <c r="J7" s="476"/>
      <c r="K7" s="476"/>
      <c r="L7" s="476"/>
    </row>
    <row r="8" spans="1:14" ht="5.25" customHeight="1">
      <c r="A8" s="659"/>
      <c r="B8" s="651"/>
      <c r="C8" s="651"/>
      <c r="D8" s="651"/>
      <c r="E8" s="651"/>
      <c r="F8" s="651"/>
      <c r="G8" s="651"/>
      <c r="H8" s="651"/>
      <c r="I8" s="651"/>
    </row>
    <row r="9" spans="1:14" ht="6.75" customHeight="1">
      <c r="A9" s="651"/>
      <c r="B9" s="651"/>
      <c r="C9" s="651"/>
      <c r="D9" s="651"/>
      <c r="E9" s="651"/>
      <c r="F9" s="651"/>
      <c r="G9" s="651"/>
      <c r="H9" s="651"/>
      <c r="I9" s="651"/>
    </row>
    <row r="10" spans="1:14" ht="15.75" customHeight="1" thickBot="1">
      <c r="A10" s="666" t="s">
        <v>11</v>
      </c>
      <c r="B10" s="667" t="s">
        <v>12</v>
      </c>
      <c r="C10" s="667" t="s">
        <v>13</v>
      </c>
      <c r="D10" s="668" t="s">
        <v>7</v>
      </c>
      <c r="E10" s="669"/>
      <c r="F10" s="670" t="s">
        <v>14</v>
      </c>
      <c r="G10" s="671"/>
      <c r="H10" s="668" t="s">
        <v>15</v>
      </c>
      <c r="I10" s="672"/>
    </row>
    <row r="11" spans="1:14" ht="15.75" customHeight="1">
      <c r="A11" s="673"/>
      <c r="B11" s="674" t="s">
        <v>16</v>
      </c>
      <c r="C11" s="674" t="s">
        <v>17</v>
      </c>
      <c r="D11" s="675" t="s">
        <v>18</v>
      </c>
      <c r="E11" s="676" t="s">
        <v>19</v>
      </c>
      <c r="F11" s="675" t="s">
        <v>20</v>
      </c>
      <c r="G11" s="676" t="s">
        <v>21</v>
      </c>
      <c r="H11" s="676" t="s">
        <v>22</v>
      </c>
      <c r="I11" s="677" t="s">
        <v>23</v>
      </c>
    </row>
    <row r="12" spans="1:14" s="120" customFormat="1" ht="15.75" customHeight="1" thickBot="1">
      <c r="A12" s="660" t="str">
        <f>+MAYOR!F6</f>
        <v>DISPONIBLE</v>
      </c>
      <c r="B12" s="661">
        <f>+MAYOR!F228</f>
        <v>0</v>
      </c>
      <c r="C12" s="661">
        <f>+MAYOR!G228</f>
        <v>0</v>
      </c>
      <c r="D12" s="661">
        <f>IF(B12&gt;C12,B12-C12,0)</f>
        <v>0</v>
      </c>
      <c r="E12" s="661">
        <f t="shared" ref="E12:E60" si="0">IF(B12&lt;C12,C12-B12,0)</f>
        <v>0</v>
      </c>
      <c r="F12" s="662">
        <f t="shared" ref="F12:G17" si="1">IF(D12&lt;0,0,D12)</f>
        <v>0</v>
      </c>
      <c r="G12" s="662">
        <f t="shared" si="1"/>
        <v>0</v>
      </c>
      <c r="H12" s="661">
        <f t="shared" ref="H12:I17" si="2">IF(F12&lt;=0,D12,0)</f>
        <v>0</v>
      </c>
      <c r="I12" s="661">
        <f t="shared" si="2"/>
        <v>0</v>
      </c>
      <c r="J12" s="476"/>
      <c r="K12" s="476"/>
      <c r="L12" s="476"/>
    </row>
    <row r="13" spans="1:14" s="857" customFormat="1" ht="15.75" customHeight="1" thickBot="1">
      <c r="A13" s="1374" t="str">
        <f>+MAYOR!L6</f>
        <v>P.P.M.</v>
      </c>
      <c r="B13" s="1375">
        <f>+MAYOR!L228</f>
        <v>0</v>
      </c>
      <c r="C13" s="1375">
        <f>+MAYOR!M228</f>
        <v>0</v>
      </c>
      <c r="D13" s="1375">
        <f t="shared" ref="D13:D60" si="3">IF(B13&gt;C13,B13-C13,0)</f>
        <v>0</v>
      </c>
      <c r="E13" s="1375">
        <f t="shared" si="0"/>
        <v>0</v>
      </c>
      <c r="F13" s="855">
        <f t="shared" si="1"/>
        <v>0</v>
      </c>
      <c r="G13" s="662">
        <f t="shared" si="1"/>
        <v>0</v>
      </c>
      <c r="H13" s="661">
        <f t="shared" si="2"/>
        <v>0</v>
      </c>
      <c r="I13" s="661">
        <f t="shared" si="2"/>
        <v>0</v>
      </c>
      <c r="J13" s="856"/>
      <c r="K13" s="908">
        <v>3459463</v>
      </c>
      <c r="L13" s="856"/>
      <c r="M13" s="503"/>
      <c r="N13" s="503"/>
    </row>
    <row r="14" spans="1:14" s="857" customFormat="1" ht="15.75" customHeight="1">
      <c r="A14" s="1416" t="str">
        <f>+MAYOR!R6</f>
        <v>CAMION FAENERO ANTOFAGASTA</v>
      </c>
      <c r="B14" s="1417">
        <f>+MAYOR!R228</f>
        <v>0</v>
      </c>
      <c r="C14" s="1417">
        <f>+MAYOR!S228</f>
        <v>0</v>
      </c>
      <c r="D14" s="1417">
        <f t="shared" si="3"/>
        <v>0</v>
      </c>
      <c r="E14" s="1417">
        <f t="shared" si="0"/>
        <v>0</v>
      </c>
      <c r="F14" s="1418">
        <f>IF(D14&lt;0,0,D14)</f>
        <v>0</v>
      </c>
      <c r="G14" s="662">
        <f t="shared" si="1"/>
        <v>0</v>
      </c>
      <c r="H14" s="661">
        <f t="shared" si="2"/>
        <v>0</v>
      </c>
      <c r="I14" s="661">
        <f t="shared" si="2"/>
        <v>0</v>
      </c>
      <c r="J14" s="856"/>
      <c r="K14" s="909"/>
      <c r="L14" s="856"/>
      <c r="M14" s="503"/>
      <c r="N14" s="503"/>
    </row>
    <row r="15" spans="1:14" s="120" customFormat="1" ht="15.75" customHeight="1">
      <c r="A15" s="1416" t="str">
        <f>+MAYOR!Z6</f>
        <v>VEHICULOS</v>
      </c>
      <c r="B15" s="1417">
        <f>+MAYOR!Z228</f>
        <v>0</v>
      </c>
      <c r="C15" s="1417">
        <f>+MAYOR!AA228</f>
        <v>0</v>
      </c>
      <c r="D15" s="1417">
        <f t="shared" si="3"/>
        <v>0</v>
      </c>
      <c r="E15" s="1417">
        <f t="shared" si="0"/>
        <v>0</v>
      </c>
      <c r="F15" s="1418">
        <f t="shared" si="1"/>
        <v>0</v>
      </c>
      <c r="G15" s="662">
        <f t="shared" si="1"/>
        <v>0</v>
      </c>
      <c r="H15" s="661">
        <f t="shared" si="2"/>
        <v>0</v>
      </c>
      <c r="I15" s="661">
        <f t="shared" si="2"/>
        <v>0</v>
      </c>
      <c r="J15" s="1398" t="s">
        <v>1088</v>
      </c>
      <c r="K15" s="476"/>
      <c r="L15" s="476"/>
      <c r="M15" s="100"/>
      <c r="N15" s="100"/>
    </row>
    <row r="16" spans="1:14" s="120" customFormat="1" ht="15.75" hidden="1" customHeight="1">
      <c r="A16" s="660" t="str">
        <f>+MAYOR!P6</f>
        <v>INVESTIGACION NUEVOS PROYECTOS MINEROS</v>
      </c>
      <c r="B16" s="661">
        <f>+MAYOR!P228</f>
        <v>0</v>
      </c>
      <c r="C16" s="661">
        <f>+MAYOR!Q228</f>
        <v>0</v>
      </c>
      <c r="D16" s="661">
        <f t="shared" si="3"/>
        <v>0</v>
      </c>
      <c r="E16" s="661">
        <f t="shared" si="0"/>
        <v>0</v>
      </c>
      <c r="F16" s="662">
        <f t="shared" si="1"/>
        <v>0</v>
      </c>
      <c r="G16" s="662">
        <f t="shared" si="1"/>
        <v>0</v>
      </c>
      <c r="H16" s="661">
        <f t="shared" si="2"/>
        <v>0</v>
      </c>
      <c r="I16" s="661">
        <f t="shared" si="2"/>
        <v>0</v>
      </c>
      <c r="J16" s="1399"/>
      <c r="K16" s="476"/>
      <c r="L16" s="476"/>
      <c r="M16" s="100"/>
      <c r="N16" s="100"/>
    </row>
    <row r="17" spans="1:14" s="120" customFormat="1" ht="15.75" customHeight="1" thickBot="1">
      <c r="A17" s="1376" t="str">
        <f>+MAYOR!N6</f>
        <v>RETIROS  DEL EJERCICIO</v>
      </c>
      <c r="B17" s="1377">
        <f>+MAYOR!N228</f>
        <v>0</v>
      </c>
      <c r="C17" s="1377">
        <f>+MAYOR!O228</f>
        <v>0</v>
      </c>
      <c r="D17" s="1377">
        <f t="shared" si="3"/>
        <v>0</v>
      </c>
      <c r="E17" s="1377">
        <f t="shared" si="0"/>
        <v>0</v>
      </c>
      <c r="F17" s="1378">
        <f t="shared" si="1"/>
        <v>0</v>
      </c>
      <c r="G17" s="662">
        <f t="shared" si="1"/>
        <v>0</v>
      </c>
      <c r="H17" s="661">
        <f t="shared" si="2"/>
        <v>0</v>
      </c>
      <c r="I17" s="661">
        <f t="shared" si="2"/>
        <v>0</v>
      </c>
      <c r="J17" s="1428">
        <f>SUM(F14:F15,F18)</f>
        <v>0</v>
      </c>
      <c r="K17" s="476"/>
      <c r="L17" s="476"/>
      <c r="M17" s="100"/>
      <c r="N17" s="100"/>
    </row>
    <row r="18" spans="1:14" s="120" customFormat="1" ht="15.75" customHeight="1" thickBot="1">
      <c r="A18" s="1416" t="str">
        <f>+MAYOR!AN6</f>
        <v>Vehiculos usados Faena MEL</v>
      </c>
      <c r="B18" s="1417">
        <f>+MAYOR!AN228</f>
        <v>0</v>
      </c>
      <c r="C18" s="1417">
        <f>+MAYOR!AO228</f>
        <v>0</v>
      </c>
      <c r="D18" s="1417">
        <f>IF(B18&gt;C18,B18-C18,0)</f>
        <v>0</v>
      </c>
      <c r="E18" s="1417">
        <f>IF(B18&lt;C18,C18-B18,0)</f>
        <v>0</v>
      </c>
      <c r="F18" s="1418">
        <f>IF(D18&lt;0,0,D18)</f>
        <v>0</v>
      </c>
      <c r="G18" s="662">
        <f>IF(E18&lt;0,0,E18)</f>
        <v>0</v>
      </c>
      <c r="H18" s="661">
        <f>IF(F18&lt;=0,D18,0)</f>
        <v>0</v>
      </c>
      <c r="I18" s="660">
        <f>IF(G18&lt;=0,E18,0)</f>
        <v>0</v>
      </c>
      <c r="J18" s="1429" t="s">
        <v>1089</v>
      </c>
      <c r="K18" s="476"/>
      <c r="L18" s="476"/>
      <c r="M18" s="100"/>
      <c r="N18" s="100"/>
    </row>
    <row r="19" spans="1:14" s="120" customFormat="1" ht="15.75" hidden="1" customHeight="1">
      <c r="A19" s="660"/>
      <c r="B19" s="661"/>
      <c r="C19" s="661">
        <v>0</v>
      </c>
      <c r="D19" s="661"/>
      <c r="E19" s="661"/>
      <c r="F19" s="662"/>
      <c r="G19" s="662"/>
      <c r="H19" s="661"/>
      <c r="I19" s="661"/>
      <c r="J19" s="476"/>
      <c r="K19" s="476"/>
      <c r="L19" s="476"/>
      <c r="M19" s="100"/>
      <c r="N19" s="100"/>
    </row>
    <row r="20" spans="1:14" s="120" customFormat="1" ht="15.75" customHeight="1" thickBot="1">
      <c r="A20" s="1376" t="str">
        <f>+MAYOR!AL6</f>
        <v>INTERESES DIFERIDOS BCI</v>
      </c>
      <c r="B20" s="1377">
        <f>+MAYOR!AL228</f>
        <v>0</v>
      </c>
      <c r="C20" s="1377">
        <f>+MAYOR!AM228</f>
        <v>0</v>
      </c>
      <c r="D20" s="1377">
        <f>IF(B20&gt;C20,B20-C20,0)</f>
        <v>0</v>
      </c>
      <c r="E20" s="1377">
        <f>IF(B20&lt;C20,C20-B20,0)</f>
        <v>0</v>
      </c>
      <c r="F20" s="1378">
        <f t="shared" ref="F20:G35" si="4">IF(D20&lt;0,0,D20)</f>
        <v>0</v>
      </c>
      <c r="G20" s="662">
        <f t="shared" si="4"/>
        <v>0</v>
      </c>
      <c r="H20" s="661">
        <f t="shared" ref="H20:I35" si="5">IF(F20&lt;=0,D20,0)</f>
        <v>0</v>
      </c>
      <c r="I20" s="661">
        <f t="shared" si="5"/>
        <v>0</v>
      </c>
      <c r="J20" s="476">
        <f>+G32</f>
        <v>0</v>
      </c>
      <c r="K20" s="476">
        <v>8306766</v>
      </c>
      <c r="L20" s="476"/>
      <c r="M20" s="100"/>
      <c r="N20" s="100"/>
    </row>
    <row r="21" spans="1:14" s="120" customFormat="1" ht="15.75" customHeight="1" thickBot="1">
      <c r="A21" s="1376" t="str">
        <f>+MAYOR!AP6</f>
        <v>Pago a Usureros Colombianos</v>
      </c>
      <c r="B21" s="1377">
        <f>+MAYOR!AP228</f>
        <v>0</v>
      </c>
      <c r="C21" s="1377">
        <f>+MAYOR!AQ228</f>
        <v>0</v>
      </c>
      <c r="D21" s="1377">
        <f>IF(B21&gt;C21,B21-C21,0)</f>
        <v>0</v>
      </c>
      <c r="E21" s="1377">
        <f>IF(B21&lt;C21,C21-B21,0)</f>
        <v>0</v>
      </c>
      <c r="F21" s="1378">
        <f t="shared" si="4"/>
        <v>0</v>
      </c>
      <c r="G21" s="662">
        <f t="shared" si="4"/>
        <v>0</v>
      </c>
      <c r="H21" s="661">
        <f t="shared" si="5"/>
        <v>0</v>
      </c>
      <c r="I21" s="660">
        <f t="shared" si="5"/>
        <v>0</v>
      </c>
      <c r="J21" s="1427" t="s">
        <v>1099</v>
      </c>
      <c r="K21" s="476">
        <v>0</v>
      </c>
      <c r="L21" s="476"/>
      <c r="M21" s="100"/>
      <c r="N21" s="100"/>
    </row>
    <row r="22" spans="1:14" s="120" customFormat="1" ht="15.75" customHeight="1" thickBot="1">
      <c r="A22" s="1379" t="str">
        <f>+MAYOR!BQ6</f>
        <v>Ptmo para Pago Proveedores</v>
      </c>
      <c r="B22" s="1380">
        <f>+MAYOR!BQ228</f>
        <v>0</v>
      </c>
      <c r="C22" s="1380">
        <f>+MAYOR!BR228</f>
        <v>0</v>
      </c>
      <c r="D22" s="1380">
        <f t="shared" si="3"/>
        <v>0</v>
      </c>
      <c r="E22" s="1380">
        <f t="shared" si="0"/>
        <v>0</v>
      </c>
      <c r="F22" s="1381">
        <f t="shared" si="4"/>
        <v>0</v>
      </c>
      <c r="G22" s="1381">
        <f t="shared" si="4"/>
        <v>0</v>
      </c>
      <c r="H22" s="661">
        <f t="shared" si="5"/>
        <v>0</v>
      </c>
      <c r="I22" s="661">
        <f t="shared" si="5"/>
        <v>0</v>
      </c>
      <c r="J22" s="1426">
        <f>+J17-J20</f>
        <v>0</v>
      </c>
      <c r="K22" s="476">
        <v>8200000</v>
      </c>
      <c r="L22" s="476"/>
    </row>
    <row r="23" spans="1:14" s="120" customFormat="1" ht="15.75" customHeight="1" thickTop="1">
      <c r="A23" s="1379" t="str">
        <f>+MAYOR!BI6</f>
        <v>Cambio Sujeto</v>
      </c>
      <c r="B23" s="1380">
        <f>+MAYOR!BI228</f>
        <v>0</v>
      </c>
      <c r="C23" s="1380">
        <f>+MAYOR!BJ228</f>
        <v>0</v>
      </c>
      <c r="D23" s="1380">
        <f t="shared" si="3"/>
        <v>0</v>
      </c>
      <c r="E23" s="1380">
        <f t="shared" si="0"/>
        <v>0</v>
      </c>
      <c r="F23" s="1381">
        <f t="shared" si="4"/>
        <v>0</v>
      </c>
      <c r="G23" s="1381">
        <f t="shared" si="4"/>
        <v>0</v>
      </c>
      <c r="H23" s="661">
        <f t="shared" si="5"/>
        <v>0</v>
      </c>
      <c r="I23" s="661">
        <f t="shared" si="5"/>
        <v>0</v>
      </c>
      <c r="J23" s="476"/>
      <c r="K23" s="476"/>
      <c r="L23" s="476"/>
    </row>
    <row r="24" spans="1:14" s="120" customFormat="1" ht="15.75" customHeight="1">
      <c r="A24" s="660" t="str">
        <f>+MAYOR!T6</f>
        <v>CREDITO SENCE</v>
      </c>
      <c r="B24" s="661">
        <f>+MAYOR!T228</f>
        <v>0</v>
      </c>
      <c r="C24" s="661"/>
      <c r="D24" s="661">
        <f t="shared" si="3"/>
        <v>0</v>
      </c>
      <c r="E24" s="661">
        <f t="shared" si="0"/>
        <v>0</v>
      </c>
      <c r="F24" s="662">
        <f t="shared" si="4"/>
        <v>0</v>
      </c>
      <c r="G24" s="662">
        <f t="shared" si="4"/>
        <v>0</v>
      </c>
      <c r="H24" s="661">
        <f t="shared" si="5"/>
        <v>0</v>
      </c>
      <c r="I24" s="661">
        <f t="shared" si="5"/>
        <v>0</v>
      </c>
      <c r="J24" s="476"/>
      <c r="K24" s="476">
        <v>459261</v>
      </c>
      <c r="L24" s="476"/>
      <c r="N24" s="100"/>
    </row>
    <row r="25" spans="1:14" s="120" customFormat="1" ht="15.75" customHeight="1">
      <c r="A25" s="1379" t="str">
        <f>+MAYOR!AU6</f>
        <v>AFP</v>
      </c>
      <c r="B25" s="1380">
        <f>+MAYOR!AU228</f>
        <v>0</v>
      </c>
      <c r="C25" s="1380">
        <f>+MAYOR!AV228</f>
        <v>0</v>
      </c>
      <c r="D25" s="1380">
        <f t="shared" si="3"/>
        <v>0</v>
      </c>
      <c r="E25" s="1380">
        <f t="shared" si="0"/>
        <v>0</v>
      </c>
      <c r="F25" s="1381">
        <f t="shared" si="4"/>
        <v>0</v>
      </c>
      <c r="G25" s="855">
        <f t="shared" si="4"/>
        <v>0</v>
      </c>
      <c r="H25" s="661">
        <f t="shared" si="5"/>
        <v>0</v>
      </c>
      <c r="I25" s="661">
        <f t="shared" si="5"/>
        <v>0</v>
      </c>
      <c r="J25" s="476"/>
      <c r="K25" s="476"/>
      <c r="L25" s="476"/>
    </row>
    <row r="26" spans="1:14" s="120" customFormat="1" ht="15.75" customHeight="1">
      <c r="A26" s="1379" t="str">
        <f>+MAYOR!AW6</f>
        <v>RETENCION DE HONORARIOS</v>
      </c>
      <c r="B26" s="1380">
        <f>+MAYOR!AW228</f>
        <v>0</v>
      </c>
      <c r="C26" s="1380">
        <f>+MAYOR!AX228</f>
        <v>0</v>
      </c>
      <c r="D26" s="1380">
        <f t="shared" si="3"/>
        <v>0</v>
      </c>
      <c r="E26" s="1380">
        <f t="shared" si="0"/>
        <v>0</v>
      </c>
      <c r="F26" s="1381">
        <f>IF(D26&lt;0,0,D26)</f>
        <v>0</v>
      </c>
      <c r="G26" s="855">
        <f>IF(E26&lt;0,0,E26)</f>
        <v>0</v>
      </c>
      <c r="H26" s="661">
        <f>IF(F26&lt;=0,D26,0)</f>
        <v>0</v>
      </c>
      <c r="I26" s="661">
        <f>IF(G26&lt;=0,E26,0)</f>
        <v>0</v>
      </c>
      <c r="J26" s="476"/>
      <c r="K26" s="476">
        <f>SUM(K20:K25)</f>
        <v>16966027</v>
      </c>
      <c r="L26" s="476"/>
    </row>
    <row r="27" spans="1:14" s="120" customFormat="1" ht="15.75" customHeight="1">
      <c r="A27" s="1382" t="str">
        <f>+MAYOR!AY6</f>
        <v>P.P.M. POR PAGAR</v>
      </c>
      <c r="B27" s="1383">
        <f>+MAYOR!AY228</f>
        <v>0</v>
      </c>
      <c r="C27" s="1383">
        <f>+MAYOR!AZ228</f>
        <v>0</v>
      </c>
      <c r="D27" s="1383">
        <f t="shared" si="3"/>
        <v>0</v>
      </c>
      <c r="E27" s="1383">
        <f t="shared" si="0"/>
        <v>0</v>
      </c>
      <c r="F27" s="1384">
        <f t="shared" si="4"/>
        <v>0</v>
      </c>
      <c r="G27" s="913">
        <f t="shared" si="4"/>
        <v>0</v>
      </c>
      <c r="H27" s="818">
        <f t="shared" si="5"/>
        <v>0</v>
      </c>
      <c r="I27" s="818">
        <f t="shared" si="5"/>
        <v>0</v>
      </c>
      <c r="J27" s="476"/>
      <c r="K27" s="476"/>
      <c r="L27" s="476"/>
    </row>
    <row r="28" spans="1:14" s="120" customFormat="1" ht="15.75" customHeight="1">
      <c r="A28" s="1379" t="str">
        <f>+MAYOR!J6</f>
        <v>IVA POR PAGAR</v>
      </c>
      <c r="B28" s="1380">
        <f>+MAYOR!J228</f>
        <v>0</v>
      </c>
      <c r="C28" s="1380">
        <f>+MAYOR!K228</f>
        <v>0</v>
      </c>
      <c r="D28" s="1380">
        <f t="shared" si="3"/>
        <v>0</v>
      </c>
      <c r="E28" s="1380">
        <f t="shared" si="0"/>
        <v>0</v>
      </c>
      <c r="F28" s="855">
        <f t="shared" si="4"/>
        <v>0</v>
      </c>
      <c r="G28" s="1381">
        <f t="shared" si="4"/>
        <v>0</v>
      </c>
      <c r="H28" s="661">
        <f t="shared" si="5"/>
        <v>0</v>
      </c>
      <c r="I28" s="661">
        <f t="shared" si="5"/>
        <v>0</v>
      </c>
      <c r="J28" s="476"/>
      <c r="K28" s="476">
        <v>3811437</v>
      </c>
      <c r="L28" s="476"/>
    </row>
    <row r="29" spans="1:14" s="857" customFormat="1" ht="15.75" customHeight="1">
      <c r="A29" s="1379" t="str">
        <f>+MAYOR!BA6</f>
        <v>IMPTO UNICO</v>
      </c>
      <c r="B29" s="1380">
        <f>+MAYOR!BA228</f>
        <v>0</v>
      </c>
      <c r="C29" s="1380">
        <f>+MAYOR!BB228</f>
        <v>0</v>
      </c>
      <c r="D29" s="1380">
        <f>IF(B29&gt;C29,B29-C29,0)</f>
        <v>0</v>
      </c>
      <c r="E29" s="1380">
        <f t="shared" si="0"/>
        <v>0</v>
      </c>
      <c r="F29" s="1381">
        <f t="shared" si="4"/>
        <v>0</v>
      </c>
      <c r="G29" s="1381">
        <f t="shared" si="4"/>
        <v>0</v>
      </c>
      <c r="H29" s="661">
        <f t="shared" si="5"/>
        <v>0</v>
      </c>
      <c r="I29" s="661">
        <f t="shared" si="5"/>
        <v>0</v>
      </c>
      <c r="J29" s="856"/>
      <c r="K29" s="856"/>
      <c r="L29" s="856"/>
    </row>
    <row r="30" spans="1:14" s="120" customFormat="1" ht="15.75" customHeight="1">
      <c r="A30" s="1379" t="str">
        <f>+MAYOR!BY6</f>
        <v>ITAU PRESTAMO MM$80</v>
      </c>
      <c r="B30" s="1380">
        <f>+MAYOR!BY228</f>
        <v>0</v>
      </c>
      <c r="C30" s="1380">
        <f>+MAYOR!BZ228</f>
        <v>0</v>
      </c>
      <c r="D30" s="1380">
        <f>IF(B30&gt;C30,B30-C30,0)</f>
        <v>0</v>
      </c>
      <c r="E30" s="1380">
        <f t="shared" si="0"/>
        <v>0</v>
      </c>
      <c r="F30" s="1381">
        <f t="shared" si="4"/>
        <v>0</v>
      </c>
      <c r="G30" s="1381">
        <f t="shared" si="4"/>
        <v>0</v>
      </c>
      <c r="H30" s="661">
        <f t="shared" si="5"/>
        <v>0</v>
      </c>
      <c r="I30" s="661">
        <f t="shared" si="5"/>
        <v>0</v>
      </c>
      <c r="J30" s="476"/>
      <c r="K30" s="476">
        <f>+F28</f>
        <v>0</v>
      </c>
      <c r="L30" s="476"/>
    </row>
    <row r="31" spans="1:14" s="120" customFormat="1" ht="15.75" customHeight="1">
      <c r="A31" s="1379" t="str">
        <f>+MAYOR!BO6</f>
        <v>PROVISION DE IMPUESTOS</v>
      </c>
      <c r="B31" s="1380">
        <f>+MAYOR!BO228</f>
        <v>0</v>
      </c>
      <c r="C31" s="1380">
        <f>+MAYOR!BP228</f>
        <v>0</v>
      </c>
      <c r="D31" s="1380">
        <f t="shared" si="3"/>
        <v>0</v>
      </c>
      <c r="E31" s="1380">
        <f t="shared" si="0"/>
        <v>0</v>
      </c>
      <c r="F31" s="1381">
        <f t="shared" si="4"/>
        <v>0</v>
      </c>
      <c r="G31" s="1381">
        <f t="shared" si="4"/>
        <v>0</v>
      </c>
      <c r="H31" s="661">
        <f t="shared" si="5"/>
        <v>0</v>
      </c>
      <c r="I31" s="661">
        <f t="shared" si="5"/>
        <v>0</v>
      </c>
      <c r="J31" s="476">
        <f>+G30</f>
        <v>0</v>
      </c>
      <c r="K31" s="476">
        <f>+K28-K30</f>
        <v>3811437</v>
      </c>
      <c r="L31" s="476">
        <v>13411244</v>
      </c>
    </row>
    <row r="32" spans="1:14" s="120" customFormat="1" ht="15.75" customHeight="1">
      <c r="A32" s="1385" t="str">
        <f>+MAYOR!BE6</f>
        <v>DEPRECIACION ACUMULADA</v>
      </c>
      <c r="B32" s="1380">
        <f>+MAYOR!BE228</f>
        <v>0</v>
      </c>
      <c r="C32" s="1380">
        <f>+MAYOR!BF228</f>
        <v>0</v>
      </c>
      <c r="D32" s="1380">
        <f t="shared" si="3"/>
        <v>0</v>
      </c>
      <c r="E32" s="1380">
        <f t="shared" si="0"/>
        <v>0</v>
      </c>
      <c r="F32" s="1380">
        <f t="shared" si="4"/>
        <v>0</v>
      </c>
      <c r="G32" s="1380">
        <f t="shared" si="4"/>
        <v>0</v>
      </c>
      <c r="H32" s="661">
        <f t="shared" si="5"/>
        <v>0</v>
      </c>
      <c r="I32" s="661">
        <f t="shared" si="5"/>
        <v>0</v>
      </c>
      <c r="J32" s="476"/>
      <c r="K32" s="476"/>
      <c r="L32" s="476"/>
    </row>
    <row r="33" spans="1:12" s="120" customFormat="1" ht="15.75" customHeight="1">
      <c r="A33" s="1382" t="str">
        <f>+MAYOR!BK6</f>
        <v xml:space="preserve">FINANCIAMIENTO DE TERCEROS </v>
      </c>
      <c r="B33" s="1383">
        <f>+MAYOR!BK228</f>
        <v>0</v>
      </c>
      <c r="C33" s="1383">
        <f>+MAYOR!BL228</f>
        <v>0</v>
      </c>
      <c r="D33" s="1383">
        <f t="shared" si="3"/>
        <v>0</v>
      </c>
      <c r="E33" s="1383">
        <f t="shared" si="0"/>
        <v>0</v>
      </c>
      <c r="F33" s="1384">
        <f t="shared" si="4"/>
        <v>0</v>
      </c>
      <c r="G33" s="1384">
        <f t="shared" si="4"/>
        <v>0</v>
      </c>
      <c r="H33" s="661">
        <f t="shared" si="5"/>
        <v>0</v>
      </c>
      <c r="I33" s="661">
        <f t="shared" si="5"/>
        <v>0</v>
      </c>
      <c r="J33" s="476">
        <f>+G29</f>
        <v>0</v>
      </c>
      <c r="K33" s="476"/>
      <c r="L33" s="476">
        <v>58602</v>
      </c>
    </row>
    <row r="34" spans="1:12" s="120" customFormat="1" ht="15.75" hidden="1" customHeight="1" thickBot="1">
      <c r="A34" s="660" t="str">
        <f>+MAYOR!BM6</f>
        <v>CTAS POR PAGAR</v>
      </c>
      <c r="B34" s="661">
        <f>+MAYOR!BM228</f>
        <v>0</v>
      </c>
      <c r="C34" s="661">
        <f>+MAYOR!BN228</f>
        <v>0</v>
      </c>
      <c r="D34" s="661">
        <f t="shared" si="3"/>
        <v>0</v>
      </c>
      <c r="E34" s="661">
        <f t="shared" si="0"/>
        <v>0</v>
      </c>
      <c r="F34" s="662">
        <f t="shared" si="4"/>
        <v>0</v>
      </c>
      <c r="G34" s="662">
        <f t="shared" si="4"/>
        <v>0</v>
      </c>
      <c r="H34" s="661">
        <f t="shared" si="5"/>
        <v>0</v>
      </c>
      <c r="I34" s="661">
        <f t="shared" si="5"/>
        <v>0</v>
      </c>
      <c r="J34" s="476">
        <f>SUM(J31:J33)</f>
        <v>0</v>
      </c>
      <c r="K34" s="476"/>
      <c r="L34" s="1104">
        <f>SUM(L31:L33)</f>
        <v>13469846</v>
      </c>
    </row>
    <row r="35" spans="1:12" s="120" customFormat="1" ht="15.75" customHeight="1">
      <c r="A35" s="660" t="str">
        <f>+MAYOR!CC6</f>
        <v>CAPITAL</v>
      </c>
      <c r="B35" s="661">
        <f>+MAYOR!CC228</f>
        <v>0</v>
      </c>
      <c r="C35" s="661">
        <f>+MAYOR!CD228</f>
        <v>0</v>
      </c>
      <c r="D35" s="661">
        <f t="shared" si="3"/>
        <v>0</v>
      </c>
      <c r="E35" s="661">
        <f t="shared" si="0"/>
        <v>0</v>
      </c>
      <c r="F35" s="662">
        <f t="shared" si="4"/>
        <v>0</v>
      </c>
      <c r="G35" s="662">
        <f t="shared" si="4"/>
        <v>0</v>
      </c>
      <c r="H35" s="661">
        <f t="shared" si="5"/>
        <v>0</v>
      </c>
      <c r="I35" s="661">
        <f t="shared" si="5"/>
        <v>0</v>
      </c>
      <c r="J35" s="476"/>
      <c r="K35" s="476">
        <v>3327899</v>
      </c>
      <c r="L35" s="476"/>
    </row>
    <row r="36" spans="1:12" s="120" customFormat="1" ht="15.75" customHeight="1">
      <c r="A36" s="660" t="str">
        <f>+MAYOR!CE6</f>
        <v>REV. CAPITAL PROPIO</v>
      </c>
      <c r="B36" s="661">
        <f>+MAYOR!CE228</f>
        <v>0</v>
      </c>
      <c r="C36" s="661">
        <f>+MAYOR!CF228</f>
        <v>0</v>
      </c>
      <c r="D36" s="661">
        <f t="shared" si="3"/>
        <v>0</v>
      </c>
      <c r="E36" s="661">
        <f t="shared" si="0"/>
        <v>0</v>
      </c>
      <c r="F36" s="662">
        <f t="shared" ref="F36:G38" si="6">IF(D36&lt;0,0,D36)</f>
        <v>0</v>
      </c>
      <c r="G36" s="662">
        <f t="shared" si="6"/>
        <v>0</v>
      </c>
      <c r="H36" s="661">
        <f t="shared" ref="H36:I55" si="7">IF(F36&lt;=0,D36,0)</f>
        <v>0</v>
      </c>
      <c r="I36" s="661">
        <f t="shared" si="7"/>
        <v>0</v>
      </c>
      <c r="J36" s="476"/>
      <c r="K36" s="476">
        <v>3811437</v>
      </c>
      <c r="L36" s="476"/>
    </row>
    <row r="37" spans="1:12" s="120" customFormat="1" ht="15.75" customHeight="1">
      <c r="A37" s="660" t="str">
        <f>+MAYOR!CG6</f>
        <v>RESULTADO ACUMULADO</v>
      </c>
      <c r="B37" s="661">
        <f>+MAYOR!CG228</f>
        <v>0</v>
      </c>
      <c r="C37" s="661">
        <f>+MAYOR!CH228</f>
        <v>0</v>
      </c>
      <c r="D37" s="661">
        <f t="shared" si="3"/>
        <v>0</v>
      </c>
      <c r="E37" s="661">
        <f t="shared" si="0"/>
        <v>0</v>
      </c>
      <c r="F37" s="662">
        <f t="shared" si="6"/>
        <v>0</v>
      </c>
      <c r="G37" s="662">
        <f t="shared" si="6"/>
        <v>0</v>
      </c>
      <c r="H37" s="661">
        <f t="shared" si="7"/>
        <v>0</v>
      </c>
      <c r="I37" s="661">
        <f t="shared" si="7"/>
        <v>0</v>
      </c>
      <c r="J37" s="476"/>
      <c r="K37" s="476">
        <f>+K35-K36</f>
        <v>-483538</v>
      </c>
      <c r="L37" s="476"/>
    </row>
    <row r="38" spans="1:12" s="120" customFormat="1" ht="15.75" customHeight="1">
      <c r="A38" s="357" t="str">
        <f>+MAYOR!CI6</f>
        <v>RESULTADO EJERCICIO ANTERIOR</v>
      </c>
      <c r="B38" s="358">
        <f>+MAYOR!CI228</f>
        <v>0</v>
      </c>
      <c r="C38" s="358">
        <f>+MAYOR!CJ228</f>
        <v>0</v>
      </c>
      <c r="D38" s="358">
        <f t="shared" si="3"/>
        <v>0</v>
      </c>
      <c r="E38" s="358">
        <f t="shared" si="0"/>
        <v>0</v>
      </c>
      <c r="F38" s="308">
        <f t="shared" si="6"/>
        <v>0</v>
      </c>
      <c r="G38" s="308">
        <f t="shared" si="6"/>
        <v>0</v>
      </c>
      <c r="H38" s="358">
        <f t="shared" si="7"/>
        <v>0</v>
      </c>
      <c r="I38" s="358">
        <f t="shared" si="7"/>
        <v>0</v>
      </c>
      <c r="J38" s="476"/>
      <c r="K38" s="476"/>
      <c r="L38" s="476"/>
    </row>
    <row r="39" spans="1:12" s="857" customFormat="1" ht="15.75" customHeight="1">
      <c r="A39" s="660" t="str">
        <f>+MAYOR!CL6</f>
        <v xml:space="preserve">INGRESOS VENTA </v>
      </c>
      <c r="B39" s="661">
        <f>+MAYOR!CL228</f>
        <v>0</v>
      </c>
      <c r="C39" s="661">
        <f>+MAYOR!CM228</f>
        <v>0</v>
      </c>
      <c r="D39" s="661">
        <f t="shared" si="3"/>
        <v>0</v>
      </c>
      <c r="E39" s="661">
        <f t="shared" si="0"/>
        <v>0</v>
      </c>
      <c r="F39" s="662">
        <v>0</v>
      </c>
      <c r="G39" s="662">
        <v>0</v>
      </c>
      <c r="H39" s="661">
        <f t="shared" si="7"/>
        <v>0</v>
      </c>
      <c r="I39" s="854">
        <f t="shared" si="7"/>
        <v>0</v>
      </c>
      <c r="J39" s="1168">
        <f>+I39+I40</f>
        <v>0</v>
      </c>
      <c r="K39" s="1169">
        <v>154917647</v>
      </c>
      <c r="L39" s="1172">
        <v>226125207</v>
      </c>
    </row>
    <row r="40" spans="1:12" s="857" customFormat="1" ht="15.75" hidden="1" customHeight="1">
      <c r="A40" s="660" t="str">
        <f>+MAYOR!CN6</f>
        <v>INGRESOS VTA EXENTAS</v>
      </c>
      <c r="B40" s="661">
        <f>+MAYOR!CN228</f>
        <v>0</v>
      </c>
      <c r="C40" s="661">
        <f>+MAYOR!CO228</f>
        <v>0</v>
      </c>
      <c r="D40" s="661">
        <f t="shared" si="3"/>
        <v>0</v>
      </c>
      <c r="E40" s="661">
        <f t="shared" si="0"/>
        <v>0</v>
      </c>
      <c r="F40" s="662">
        <v>0</v>
      </c>
      <c r="G40" s="662">
        <v>0</v>
      </c>
      <c r="H40" s="661">
        <f t="shared" si="7"/>
        <v>0</v>
      </c>
      <c r="I40" s="661">
        <f t="shared" si="7"/>
        <v>0</v>
      </c>
      <c r="J40" s="1170"/>
      <c r="K40" s="856"/>
      <c r="L40" s="1173"/>
    </row>
    <row r="41" spans="1:12" s="120" customFormat="1" ht="15.75" hidden="1" customHeight="1" thickBot="1">
      <c r="A41" s="660" t="str">
        <f>+MAYOR!CP6</f>
        <v>UTILIDAD VENTA A-FIJO</v>
      </c>
      <c r="B41" s="661">
        <f>+MAYOR!CP228</f>
        <v>0</v>
      </c>
      <c r="C41" s="661">
        <f>+MAYOR!CQ228</f>
        <v>0</v>
      </c>
      <c r="D41" s="661">
        <f t="shared" si="3"/>
        <v>0</v>
      </c>
      <c r="E41" s="661">
        <f t="shared" si="0"/>
        <v>0</v>
      </c>
      <c r="F41" s="662">
        <v>0</v>
      </c>
      <c r="G41" s="662">
        <v>0</v>
      </c>
      <c r="H41" s="661">
        <f t="shared" si="7"/>
        <v>0</v>
      </c>
      <c r="I41" s="661">
        <f t="shared" si="7"/>
        <v>0</v>
      </c>
      <c r="J41" s="1174">
        <f>+J39-L39</f>
        <v>-226125207</v>
      </c>
      <c r="K41" s="1171"/>
      <c r="L41" s="1171"/>
    </row>
    <row r="42" spans="1:12" s="120" customFormat="1" ht="15.75" hidden="1" customHeight="1" thickTop="1">
      <c r="A42" s="660" t="str">
        <f>+MAYOR!CR6</f>
        <v>OTRAS VENTA</v>
      </c>
      <c r="B42" s="661">
        <f>+MAYOR!CR228</f>
        <v>0</v>
      </c>
      <c r="C42" s="661">
        <f>+MAYOR!CS228</f>
        <v>0</v>
      </c>
      <c r="D42" s="661">
        <f t="shared" si="3"/>
        <v>0</v>
      </c>
      <c r="E42" s="661">
        <f t="shared" si="0"/>
        <v>0</v>
      </c>
      <c r="F42" s="662">
        <v>0</v>
      </c>
      <c r="G42" s="662">
        <v>0</v>
      </c>
      <c r="H42" s="661">
        <f t="shared" si="7"/>
        <v>0</v>
      </c>
      <c r="I42" s="661">
        <f t="shared" si="7"/>
        <v>0</v>
      </c>
      <c r="J42" s="476"/>
      <c r="K42" s="476"/>
      <c r="L42" s="476"/>
    </row>
    <row r="43" spans="1:12" s="120" customFormat="1" ht="15.75" hidden="1" customHeight="1">
      <c r="A43" s="660" t="str">
        <f>+MAYOR!DA6</f>
        <v>GASTOS DE VTA</v>
      </c>
      <c r="B43" s="661">
        <f>+MAYOR!DA228</f>
        <v>0</v>
      </c>
      <c r="C43" s="661">
        <f>+MAYOR!DV227</f>
        <v>0</v>
      </c>
      <c r="D43" s="661">
        <f t="shared" si="3"/>
        <v>0</v>
      </c>
      <c r="E43" s="661">
        <f t="shared" si="0"/>
        <v>0</v>
      </c>
      <c r="F43" s="662">
        <v>0</v>
      </c>
      <c r="G43" s="662">
        <v>0</v>
      </c>
      <c r="H43" s="661">
        <f t="shared" si="7"/>
        <v>0</v>
      </c>
      <c r="I43" s="661">
        <f t="shared" si="7"/>
        <v>0</v>
      </c>
      <c r="J43" s="476"/>
      <c r="K43" s="476" t="s">
        <v>776</v>
      </c>
      <c r="L43" s="476"/>
    </row>
    <row r="44" spans="1:12" s="857" customFormat="1" ht="15.75" customHeight="1">
      <c r="A44" s="660" t="str">
        <f>+MAYOR!DU6</f>
        <v>SUELDOS</v>
      </c>
      <c r="B44" s="661">
        <f>+MAYOR!DU228</f>
        <v>0</v>
      </c>
      <c r="C44" s="661">
        <f>+MAYOR!DV228</f>
        <v>0</v>
      </c>
      <c r="D44" s="661">
        <f t="shared" si="3"/>
        <v>0</v>
      </c>
      <c r="E44" s="661">
        <f t="shared" si="0"/>
        <v>0</v>
      </c>
      <c r="F44" s="662">
        <v>0</v>
      </c>
      <c r="G44" s="662">
        <v>0</v>
      </c>
      <c r="H44" s="661">
        <f t="shared" si="7"/>
        <v>0</v>
      </c>
      <c r="I44" s="661">
        <f t="shared" si="7"/>
        <v>0</v>
      </c>
      <c r="J44" s="856">
        <f>+H44+H45</f>
        <v>0</v>
      </c>
      <c r="K44" s="856">
        <v>27701607</v>
      </c>
      <c r="L44" s="856">
        <f>+K44-J44</f>
        <v>27701607</v>
      </c>
    </row>
    <row r="45" spans="1:12" s="857" customFormat="1" ht="21" customHeight="1">
      <c r="A45" s="660" t="str">
        <f>+MAYOR!DY6</f>
        <v>COSTO EMPLEADOR</v>
      </c>
      <c r="B45" s="661">
        <f>+MAYOR!DY229</f>
        <v>0</v>
      </c>
      <c r="C45" s="661">
        <f>+MAYOR!DZ228</f>
        <v>0</v>
      </c>
      <c r="D45" s="661">
        <f t="shared" si="3"/>
        <v>0</v>
      </c>
      <c r="E45" s="661">
        <f t="shared" si="0"/>
        <v>0</v>
      </c>
      <c r="F45" s="662">
        <v>0</v>
      </c>
      <c r="G45" s="662">
        <v>0</v>
      </c>
      <c r="H45" s="661">
        <f t="shared" si="7"/>
        <v>0</v>
      </c>
      <c r="I45" s="661">
        <f t="shared" si="7"/>
        <v>0</v>
      </c>
      <c r="J45" s="856"/>
      <c r="K45" s="856"/>
      <c r="L45" s="856"/>
    </row>
    <row r="46" spans="1:12" s="120" customFormat="1" ht="15.75" hidden="1" customHeight="1">
      <c r="A46" s="660" t="str">
        <f>+MAYOR!EC6</f>
        <v>COSTO DE VENTA</v>
      </c>
      <c r="B46" s="661">
        <f>+MAYOR!EC228</f>
        <v>0</v>
      </c>
      <c r="C46" s="661">
        <f>+MAYOR!ED228</f>
        <v>0</v>
      </c>
      <c r="D46" s="661">
        <f t="shared" si="3"/>
        <v>0</v>
      </c>
      <c r="E46" s="661">
        <f t="shared" si="0"/>
        <v>0</v>
      </c>
      <c r="F46" s="662">
        <v>0</v>
      </c>
      <c r="G46" s="662">
        <v>0</v>
      </c>
      <c r="H46" s="661">
        <f>IF(F46&lt;=0,D46,0)</f>
        <v>0</v>
      </c>
      <c r="I46" s="661">
        <f t="shared" si="7"/>
        <v>0</v>
      </c>
      <c r="J46" s="476"/>
      <c r="K46" s="476"/>
      <c r="L46" s="476"/>
    </row>
    <row r="47" spans="1:12" s="120" customFormat="1" ht="15.75" hidden="1" customHeight="1">
      <c r="A47" s="660" t="str">
        <f>+MAYOR!DC6</f>
        <v>CAPACITACION</v>
      </c>
      <c r="B47" s="661">
        <f>+MAYOR!DC228</f>
        <v>0</v>
      </c>
      <c r="C47" s="661">
        <f>+MAYOR!DD228</f>
        <v>0</v>
      </c>
      <c r="D47" s="661">
        <f t="shared" si="3"/>
        <v>0</v>
      </c>
      <c r="E47" s="661">
        <f t="shared" si="0"/>
        <v>0</v>
      </c>
      <c r="F47" s="662">
        <v>0</v>
      </c>
      <c r="G47" s="662">
        <v>0</v>
      </c>
      <c r="H47" s="661">
        <f>IF(F47&lt;=0,D47,0)</f>
        <v>0</v>
      </c>
      <c r="I47" s="661">
        <f t="shared" si="7"/>
        <v>0</v>
      </c>
      <c r="J47" s="476"/>
      <c r="K47" s="476">
        <f>+H44+H45</f>
        <v>0</v>
      </c>
      <c r="L47" s="476"/>
    </row>
    <row r="48" spans="1:12" s="120" customFormat="1" ht="15.75" hidden="1" customHeight="1">
      <c r="A48" s="660" t="str">
        <f>+MAYOR!EA6</f>
        <v>INTERESES FOGAPE</v>
      </c>
      <c r="B48" s="661">
        <f>+MAYOR!EA228</f>
        <v>0</v>
      </c>
      <c r="C48" s="661">
        <f>+MAYOR!EB228</f>
        <v>0</v>
      </c>
      <c r="D48" s="661">
        <f t="shared" si="3"/>
        <v>0</v>
      </c>
      <c r="E48" s="661">
        <f t="shared" si="0"/>
        <v>0</v>
      </c>
      <c r="F48" s="662">
        <v>0</v>
      </c>
      <c r="G48" s="662">
        <v>0</v>
      </c>
      <c r="H48" s="661">
        <f>IF(F48&lt;=0,D48,0)</f>
        <v>0</v>
      </c>
      <c r="I48" s="661">
        <f t="shared" si="7"/>
        <v>0</v>
      </c>
      <c r="J48" s="476"/>
      <c r="K48" s="476">
        <v>44978889</v>
      </c>
      <c r="L48" s="476"/>
    </row>
    <row r="49" spans="1:12" s="120" customFormat="1" ht="15.75" hidden="1" customHeight="1">
      <c r="A49" s="660" t="s">
        <v>1012</v>
      </c>
      <c r="B49" s="661"/>
      <c r="C49" s="661"/>
      <c r="D49" s="661"/>
      <c r="E49" s="661"/>
      <c r="F49" s="662"/>
      <c r="G49" s="662"/>
      <c r="H49" s="661"/>
      <c r="I49" s="661"/>
      <c r="J49" s="476"/>
      <c r="K49" s="476"/>
      <c r="L49" s="476"/>
    </row>
    <row r="50" spans="1:12" s="120" customFormat="1" ht="15.75" hidden="1" customHeight="1">
      <c r="A50" s="660"/>
      <c r="B50" s="661"/>
      <c r="C50" s="661"/>
      <c r="D50" s="661"/>
      <c r="E50" s="661"/>
      <c r="F50" s="662"/>
      <c r="G50" s="662"/>
      <c r="H50" s="661"/>
      <c r="I50" s="661"/>
      <c r="J50" s="476"/>
      <c r="K50" s="476"/>
      <c r="L50" s="476"/>
    </row>
    <row r="51" spans="1:12" s="120" customFormat="1" ht="15.75" hidden="1" customHeight="1">
      <c r="A51" s="660"/>
      <c r="B51" s="661"/>
      <c r="C51" s="661"/>
      <c r="D51" s="661"/>
      <c r="E51" s="661"/>
      <c r="F51" s="662"/>
      <c r="G51" s="662"/>
      <c r="H51" s="661"/>
      <c r="I51" s="661"/>
      <c r="J51" s="476"/>
      <c r="K51" s="476"/>
      <c r="L51" s="476"/>
    </row>
    <row r="52" spans="1:12" s="120" customFormat="1" ht="15.75" hidden="1" customHeight="1">
      <c r="A52" s="660" t="s">
        <v>904</v>
      </c>
      <c r="B52" s="661"/>
      <c r="C52" s="661">
        <f>+MAYOR!CX228</f>
        <v>0</v>
      </c>
      <c r="D52" s="661">
        <f t="shared" si="3"/>
        <v>0</v>
      </c>
      <c r="E52" s="661">
        <f t="shared" si="0"/>
        <v>0</v>
      </c>
      <c r="F52" s="662">
        <v>0</v>
      </c>
      <c r="G52" s="662">
        <v>0</v>
      </c>
      <c r="H52" s="661">
        <f t="shared" si="7"/>
        <v>0</v>
      </c>
      <c r="I52" s="661">
        <f t="shared" si="7"/>
        <v>0</v>
      </c>
      <c r="J52" s="476"/>
      <c r="K52" s="476">
        <f>+K47-K48</f>
        <v>-44978889</v>
      </c>
      <c r="L52" s="476"/>
    </row>
    <row r="53" spans="1:12" s="120" customFormat="1" ht="15.75" hidden="1" customHeight="1">
      <c r="A53" s="660" t="str">
        <f>+MAYOR!CY6</f>
        <v>AMORTIZ. PROY. INVESTIGACION MINERA</v>
      </c>
      <c r="B53" s="661">
        <f>+MAYOR!CY228</f>
        <v>0</v>
      </c>
      <c r="C53" s="661">
        <f>+MAYOR!CX229</f>
        <v>0</v>
      </c>
      <c r="D53" s="661">
        <f t="shared" si="3"/>
        <v>0</v>
      </c>
      <c r="E53" s="661">
        <f t="shared" si="0"/>
        <v>0</v>
      </c>
      <c r="F53" s="662">
        <v>0</v>
      </c>
      <c r="G53" s="662">
        <v>0</v>
      </c>
      <c r="H53" s="661">
        <f t="shared" si="7"/>
        <v>0</v>
      </c>
      <c r="I53" s="661">
        <f t="shared" si="7"/>
        <v>0</v>
      </c>
      <c r="J53" s="476"/>
      <c r="K53" s="476"/>
      <c r="L53" s="476"/>
    </row>
    <row r="54" spans="1:12" s="120" customFormat="1" ht="15.75" customHeight="1">
      <c r="A54" s="660" t="str">
        <f>+MAYOR!CW6</f>
        <v>GASTOS TRANSPORTE</v>
      </c>
      <c r="B54" s="661">
        <f>+MAYOR!CW228</f>
        <v>0</v>
      </c>
      <c r="C54" s="661">
        <f>+MAYOR!CX228</f>
        <v>0</v>
      </c>
      <c r="D54" s="661">
        <f t="shared" si="3"/>
        <v>0</v>
      </c>
      <c r="E54" s="661">
        <f t="shared" si="0"/>
        <v>0</v>
      </c>
      <c r="F54" s="662">
        <v>0</v>
      </c>
      <c r="G54" s="662">
        <v>0</v>
      </c>
      <c r="H54" s="661">
        <f t="shared" si="7"/>
        <v>0</v>
      </c>
      <c r="I54" s="661"/>
      <c r="J54" s="476"/>
      <c r="K54" s="476"/>
      <c r="L54" s="476"/>
    </row>
    <row r="55" spans="1:12" s="857" customFormat="1" ht="15.75" customHeight="1">
      <c r="A55" s="660" t="str">
        <f>+MAYOR!EG6</f>
        <v>GASTOS GENERALES</v>
      </c>
      <c r="B55" s="661">
        <f>+MAYOR!EG228</f>
        <v>0</v>
      </c>
      <c r="C55" s="661">
        <f>+MAYOR!EH228</f>
        <v>0</v>
      </c>
      <c r="D55" s="661">
        <f t="shared" si="3"/>
        <v>0</v>
      </c>
      <c r="E55" s="661">
        <f t="shared" si="0"/>
        <v>0</v>
      </c>
      <c r="F55" s="662">
        <v>0</v>
      </c>
      <c r="G55" s="662">
        <v>0</v>
      </c>
      <c r="H55" s="661">
        <f t="shared" si="7"/>
        <v>0</v>
      </c>
      <c r="I55" s="661">
        <f t="shared" si="7"/>
        <v>0</v>
      </c>
      <c r="J55" s="856"/>
      <c r="K55" s="856"/>
      <c r="L55" s="856"/>
    </row>
    <row r="56" spans="1:12" s="120" customFormat="1" ht="15.75" hidden="1" customHeight="1">
      <c r="A56" s="660" t="str">
        <f>+MAYOR!DW6</f>
        <v>ARRIENDO Taller y Oficina</v>
      </c>
      <c r="B56" s="661">
        <f>+MAYOR!DW228</f>
        <v>0</v>
      </c>
      <c r="C56" s="661">
        <f>+MAYOR!DX228</f>
        <v>0</v>
      </c>
      <c r="D56" s="661">
        <f>IF(B56&gt;C56,B56-C56,0)</f>
        <v>0</v>
      </c>
      <c r="E56" s="661">
        <f>IF(B56&lt;C56,C56-B56,0)</f>
        <v>0</v>
      </c>
      <c r="F56" s="662">
        <v>0</v>
      </c>
      <c r="G56" s="662">
        <v>0</v>
      </c>
      <c r="H56" s="661">
        <f>IF(F56&lt;=0,D56,0)</f>
        <v>0</v>
      </c>
      <c r="I56" s="661">
        <f>IF(G56&lt;=0,E56,0)</f>
        <v>0</v>
      </c>
      <c r="J56" s="476"/>
      <c r="K56" s="476"/>
      <c r="L56" s="476"/>
    </row>
    <row r="57" spans="1:12" s="857" customFormat="1" ht="15.75" customHeight="1">
      <c r="A57" s="660" t="str">
        <f>+MAYOR!DS6</f>
        <v>HONORARIOS Y SERVICIOS PROFESIONALES</v>
      </c>
      <c r="B57" s="661">
        <f>+MAYOR!DS228</f>
        <v>0</v>
      </c>
      <c r="C57" s="661">
        <f>+MAYOR!DT228</f>
        <v>0</v>
      </c>
      <c r="D57" s="661">
        <f t="shared" si="3"/>
        <v>0</v>
      </c>
      <c r="E57" s="661">
        <f t="shared" si="0"/>
        <v>0</v>
      </c>
      <c r="F57" s="662">
        <v>0</v>
      </c>
      <c r="G57" s="662">
        <v>0</v>
      </c>
      <c r="H57" s="661">
        <f t="shared" ref="H57:I60" si="8">IF(F57&lt;=0,D57,0)</f>
        <v>0</v>
      </c>
      <c r="I57" s="661">
        <f t="shared" si="8"/>
        <v>0</v>
      </c>
      <c r="J57" s="856"/>
      <c r="K57" s="856"/>
      <c r="L57" s="856"/>
    </row>
    <row r="58" spans="1:12" s="120" customFormat="1" ht="15.75" customHeight="1">
      <c r="A58" s="1423" t="str">
        <f>+MAYOR!EI6</f>
        <v>DEPRECIACION DEL EJERCICIO</v>
      </c>
      <c r="B58" s="1424">
        <f>+MAYOR!EI228</f>
        <v>0</v>
      </c>
      <c r="C58" s="1424">
        <f>+MAYOR!EJ228</f>
        <v>0</v>
      </c>
      <c r="D58" s="1424">
        <f t="shared" si="3"/>
        <v>0</v>
      </c>
      <c r="E58" s="1424">
        <f t="shared" si="0"/>
        <v>0</v>
      </c>
      <c r="F58" s="1425">
        <v>0</v>
      </c>
      <c r="G58" s="1425">
        <v>0</v>
      </c>
      <c r="H58" s="1424">
        <f t="shared" si="8"/>
        <v>0</v>
      </c>
      <c r="I58" s="1424">
        <f t="shared" si="8"/>
        <v>0</v>
      </c>
      <c r="J58" s="476"/>
      <c r="K58" s="476"/>
      <c r="L58" s="476"/>
    </row>
    <row r="59" spans="1:12" s="120" customFormat="1" ht="15.75" customHeight="1">
      <c r="A59" s="660" t="str">
        <f>+MAYOR!EK6</f>
        <v>CORRECCION MONETARIA</v>
      </c>
      <c r="B59" s="661">
        <f>+MAYOR!EK228</f>
        <v>0</v>
      </c>
      <c r="C59" s="661">
        <f>+MAYOR!EL228</f>
        <v>0</v>
      </c>
      <c r="D59" s="661">
        <f t="shared" si="3"/>
        <v>0</v>
      </c>
      <c r="E59" s="661">
        <f t="shared" si="0"/>
        <v>0</v>
      </c>
      <c r="F59" s="662">
        <v>0</v>
      </c>
      <c r="G59" s="662">
        <v>0</v>
      </c>
      <c r="H59" s="661">
        <f t="shared" si="8"/>
        <v>0</v>
      </c>
      <c r="I59" s="661">
        <f t="shared" si="8"/>
        <v>0</v>
      </c>
      <c r="J59" s="476">
        <f>+H58+H55+H52-I59-33589373-I67</f>
        <v>-63589373</v>
      </c>
      <c r="K59" s="476"/>
      <c r="L59" s="476"/>
    </row>
    <row r="60" spans="1:12" s="120" customFormat="1" ht="15.75" customHeight="1">
      <c r="A60" s="660" t="str">
        <f>+MAYOR!EE6</f>
        <v>IMPUESTO RENTA</v>
      </c>
      <c r="B60" s="661">
        <f>+MAYOR!EE228</f>
        <v>0</v>
      </c>
      <c r="C60" s="661">
        <f>+MAYOR!EF228</f>
        <v>0</v>
      </c>
      <c r="D60" s="661">
        <f t="shared" si="3"/>
        <v>0</v>
      </c>
      <c r="E60" s="661">
        <f t="shared" si="0"/>
        <v>0</v>
      </c>
      <c r="F60" s="662">
        <v>0</v>
      </c>
      <c r="G60" s="662">
        <v>0</v>
      </c>
      <c r="H60" s="661">
        <f>IF(F60&lt;=0,D60,0)</f>
        <v>0</v>
      </c>
      <c r="I60" s="661">
        <f t="shared" si="8"/>
        <v>0</v>
      </c>
      <c r="J60" s="476"/>
      <c r="K60" s="476"/>
      <c r="L60" s="476"/>
    </row>
    <row r="61" spans="1:12" s="120" customFormat="1" ht="15.75" customHeight="1">
      <c r="A61" s="663" t="s">
        <v>24</v>
      </c>
      <c r="B61" s="664">
        <f t="shared" ref="B61:I61" si="9">SUM(B12:B60)</f>
        <v>0</v>
      </c>
      <c r="C61" s="664">
        <f t="shared" si="9"/>
        <v>0</v>
      </c>
      <c r="D61" s="664">
        <f t="shared" si="9"/>
        <v>0</v>
      </c>
      <c r="E61" s="664">
        <f t="shared" si="9"/>
        <v>0</v>
      </c>
      <c r="F61" s="664">
        <f t="shared" si="9"/>
        <v>0</v>
      </c>
      <c r="G61" s="664">
        <f t="shared" si="9"/>
        <v>0</v>
      </c>
      <c r="H61" s="664">
        <f t="shared" si="9"/>
        <v>0</v>
      </c>
      <c r="I61" s="664">
        <f t="shared" si="9"/>
        <v>0</v>
      </c>
      <c r="J61" s="476"/>
      <c r="K61" s="476"/>
      <c r="L61" s="476"/>
    </row>
    <row r="62" spans="1:12" s="120" customFormat="1" ht="15.75" customHeight="1">
      <c r="A62" s="663" t="s">
        <v>25</v>
      </c>
      <c r="B62" s="664">
        <v>0</v>
      </c>
      <c r="C62" s="664">
        <v>0</v>
      </c>
      <c r="D62" s="664">
        <v>0</v>
      </c>
      <c r="E62" s="664">
        <v>0</v>
      </c>
      <c r="F62" s="664">
        <v>0</v>
      </c>
      <c r="G62" s="664">
        <f>+F61-G61</f>
        <v>0</v>
      </c>
      <c r="H62" s="664">
        <f>+I61-H61</f>
        <v>0</v>
      </c>
      <c r="I62" s="664">
        <v>0</v>
      </c>
      <c r="J62" s="476">
        <f>+H62-G62</f>
        <v>0</v>
      </c>
      <c r="K62" s="476"/>
      <c r="L62" s="476"/>
    </row>
    <row r="63" spans="1:12" s="120" customFormat="1" ht="15.75" customHeight="1">
      <c r="A63" s="663" t="s">
        <v>26</v>
      </c>
      <c r="B63" s="664">
        <f>+B61+B62</f>
        <v>0</v>
      </c>
      <c r="C63" s="665">
        <f t="shared" ref="C63:I63" si="10">+C61+C62</f>
        <v>0</v>
      </c>
      <c r="D63" s="665">
        <f t="shared" si="10"/>
        <v>0</v>
      </c>
      <c r="E63" s="665">
        <f t="shared" si="10"/>
        <v>0</v>
      </c>
      <c r="F63" s="665">
        <f t="shared" si="10"/>
        <v>0</v>
      </c>
      <c r="G63" s="665">
        <f t="shared" si="10"/>
        <v>0</v>
      </c>
      <c r="H63" s="665">
        <f t="shared" si="10"/>
        <v>0</v>
      </c>
      <c r="I63" s="665">
        <f t="shared" si="10"/>
        <v>0</v>
      </c>
      <c r="J63" s="476"/>
      <c r="K63" s="476"/>
      <c r="L63" s="476"/>
    </row>
    <row r="64" spans="1:12" s="120" customFormat="1" ht="15.75" customHeight="1">
      <c r="A64" s="118"/>
      <c r="B64" s="118">
        <f>+B61-C61</f>
        <v>0</v>
      </c>
      <c r="C64" s="118"/>
      <c r="D64" s="118"/>
      <c r="E64" s="118"/>
      <c r="F64" s="118"/>
      <c r="G64" s="118">
        <f>+G62-H62</f>
        <v>0</v>
      </c>
      <c r="H64" s="118"/>
      <c r="I64" s="118"/>
      <c r="J64" s="476"/>
      <c r="K64" s="476" t="s">
        <v>755</v>
      </c>
      <c r="L64" s="476"/>
    </row>
    <row r="65" spans="1:14" s="120" customFormat="1" ht="15.75" customHeight="1">
      <c r="A65" s="118"/>
      <c r="B65" s="118"/>
      <c r="C65" s="118"/>
      <c r="D65" s="118"/>
      <c r="E65" s="118"/>
      <c r="F65" s="118" t="s">
        <v>325</v>
      </c>
      <c r="G65" s="823">
        <f>+H62+H60</f>
        <v>0</v>
      </c>
      <c r="H65" s="118"/>
      <c r="I65" s="118">
        <v>41658610</v>
      </c>
      <c r="J65" s="476"/>
      <c r="K65" s="910">
        <v>75153337</v>
      </c>
      <c r="L65" s="476"/>
    </row>
    <row r="66" spans="1:14" s="120" customFormat="1" ht="15.75" customHeight="1">
      <c r="A66" s="118"/>
      <c r="B66" s="118"/>
      <c r="C66" s="99" t="s">
        <v>642</v>
      </c>
      <c r="D66" s="118">
        <f>+F61</f>
        <v>0</v>
      </c>
      <c r="E66" s="118"/>
      <c r="F66" s="118" t="s">
        <v>324</v>
      </c>
      <c r="G66" s="118">
        <f>+G65*0.1</f>
        <v>0</v>
      </c>
      <c r="H66" s="661"/>
      <c r="I66" s="118">
        <v>11658610</v>
      </c>
      <c r="J66" s="476"/>
      <c r="K66" s="476"/>
      <c r="L66" s="476"/>
    </row>
    <row r="67" spans="1:14" ht="15.75" customHeight="1">
      <c r="A67" s="118"/>
      <c r="B67" s="118"/>
      <c r="C67" s="99" t="s">
        <v>643</v>
      </c>
      <c r="D67" s="99">
        <f>+F28</f>
        <v>0</v>
      </c>
      <c r="E67" s="118"/>
      <c r="F67" s="99" t="s">
        <v>710</v>
      </c>
      <c r="G67" s="118">
        <v>0</v>
      </c>
      <c r="H67" s="118"/>
      <c r="I67" s="118">
        <f>+I65-I66</f>
        <v>30000000</v>
      </c>
    </row>
    <row r="68" spans="1:14" ht="15.75" customHeight="1">
      <c r="A68" s="118">
        <f>+B68-B69</f>
        <v>0</v>
      </c>
      <c r="B68" s="118"/>
      <c r="C68" s="99" t="s">
        <v>905</v>
      </c>
      <c r="D68" s="99">
        <f>+D66-D67</f>
        <v>0</v>
      </c>
      <c r="E68" s="118"/>
      <c r="F68" s="118" t="s">
        <v>327</v>
      </c>
      <c r="G68" s="118">
        <f>-F13</f>
        <v>0</v>
      </c>
      <c r="H68" s="118"/>
      <c r="I68" s="118"/>
    </row>
    <row r="69" spans="1:14" ht="15.75" customHeight="1" thickBot="1">
      <c r="B69" s="768"/>
      <c r="C69" s="768"/>
      <c r="D69" s="768"/>
      <c r="E69" s="768"/>
      <c r="G69" s="766">
        <f>SUM(G66:G68)</f>
        <v>0</v>
      </c>
      <c r="H69" s="99">
        <f>+G69*1.021</f>
        <v>0</v>
      </c>
    </row>
    <row r="70" spans="1:14" ht="15.75" customHeight="1" thickTop="1">
      <c r="B70" s="260" t="s">
        <v>240</v>
      </c>
      <c r="C70" s="260"/>
      <c r="D70" s="257"/>
      <c r="F70" s="99">
        <f>+H62-G62</f>
        <v>0</v>
      </c>
      <c r="G70" s="260" t="s">
        <v>430</v>
      </c>
      <c r="H70" s="47"/>
    </row>
    <row r="71" spans="1:14" s="96" customFormat="1" ht="15">
      <c r="B71" s="260" t="s">
        <v>236</v>
      </c>
      <c r="C71" s="260"/>
      <c r="D71" s="257"/>
      <c r="F71" s="99"/>
      <c r="G71" s="47" t="str">
        <f>+DATOS!H4</f>
        <v>MANUEL GUTIERREZ A. RUT: 10,150,081-0</v>
      </c>
      <c r="H71" s="47"/>
      <c r="J71" s="476"/>
      <c r="L71" s="476"/>
      <c r="N71" s="99"/>
    </row>
    <row r="72" spans="1:14" s="96" customFormat="1" ht="15">
      <c r="B72" s="260" t="s">
        <v>237</v>
      </c>
      <c r="C72" s="260"/>
      <c r="D72" s="257"/>
      <c r="F72" s="99"/>
      <c r="G72" s="260" t="s">
        <v>429</v>
      </c>
      <c r="H72" s="47"/>
      <c r="J72" s="476"/>
      <c r="L72" s="476"/>
      <c r="N72" s="99"/>
    </row>
    <row r="73" spans="1:14" s="96" customFormat="1" ht="15">
      <c r="B73" s="261" t="s">
        <v>568</v>
      </c>
      <c r="C73" s="260"/>
      <c r="D73" s="257"/>
      <c r="F73" s="99"/>
      <c r="G73" s="47"/>
      <c r="H73" s="47"/>
      <c r="J73" s="476"/>
      <c r="L73" s="476"/>
      <c r="M73" s="99"/>
      <c r="N73" s="99"/>
    </row>
    <row r="76" spans="1:14" ht="15.75" customHeight="1">
      <c r="B76" s="774"/>
      <c r="C76" s="775"/>
      <c r="D76" s="775"/>
      <c r="E76" s="775"/>
      <c r="F76" s="775"/>
      <c r="G76" s="775"/>
      <c r="H76" s="775"/>
      <c r="I76" s="776"/>
    </row>
    <row r="77" spans="1:14" ht="15.75" customHeight="1">
      <c r="B77" s="777"/>
      <c r="C77" s="778" t="s">
        <v>653</v>
      </c>
      <c r="D77" s="778"/>
      <c r="E77" s="778"/>
      <c r="F77" s="778"/>
      <c r="G77" s="778"/>
      <c r="H77" s="778"/>
      <c r="I77" s="779"/>
    </row>
    <row r="78" spans="1:14" ht="15.75" customHeight="1">
      <c r="B78" s="780" t="s">
        <v>654</v>
      </c>
      <c r="C78" s="781" t="s">
        <v>655</v>
      </c>
      <c r="D78" s="782"/>
      <c r="E78" s="782"/>
      <c r="F78" s="782"/>
      <c r="G78" s="782"/>
      <c r="H78" s="783"/>
      <c r="I78" s="784"/>
    </row>
    <row r="79" spans="1:14" ht="15.75" customHeight="1">
      <c r="B79" s="785">
        <v>1</v>
      </c>
      <c r="C79" s="778" t="s">
        <v>656</v>
      </c>
      <c r="D79" s="786"/>
      <c r="E79" s="787">
        <v>628</v>
      </c>
      <c r="F79" s="788" t="s">
        <v>657</v>
      </c>
      <c r="G79" s="789">
        <f>+I39</f>
        <v>0</v>
      </c>
      <c r="H79" s="789"/>
      <c r="I79" s="784"/>
    </row>
    <row r="80" spans="1:14" ht="15.75" customHeight="1">
      <c r="B80" s="790">
        <v>2</v>
      </c>
      <c r="C80" s="778" t="s">
        <v>658</v>
      </c>
      <c r="D80" s="786"/>
      <c r="E80" s="791">
        <v>851</v>
      </c>
      <c r="F80" s="788" t="s">
        <v>657</v>
      </c>
      <c r="G80" s="789"/>
      <c r="H80" s="789"/>
      <c r="I80" s="784"/>
    </row>
    <row r="81" spans="2:9" ht="15.75" customHeight="1">
      <c r="B81" s="790">
        <v>3</v>
      </c>
      <c r="C81" s="778" t="s">
        <v>659</v>
      </c>
      <c r="D81" s="786"/>
      <c r="E81" s="791">
        <v>629</v>
      </c>
      <c r="F81" s="788" t="s">
        <v>657</v>
      </c>
      <c r="G81" s="789"/>
      <c r="H81" s="789"/>
      <c r="I81" s="784"/>
    </row>
    <row r="82" spans="2:9" ht="15.75" customHeight="1">
      <c r="B82" s="785">
        <v>4</v>
      </c>
      <c r="C82" s="778" t="s">
        <v>660</v>
      </c>
      <c r="D82" s="786"/>
      <c r="E82" s="791">
        <v>651</v>
      </c>
      <c r="F82" s="788" t="s">
        <v>657</v>
      </c>
      <c r="G82" s="789"/>
      <c r="H82" s="789"/>
      <c r="I82" s="784"/>
    </row>
    <row r="83" spans="2:9" ht="15.75" customHeight="1" thickBot="1">
      <c r="B83" s="792"/>
      <c r="C83" s="793" t="s">
        <v>661</v>
      </c>
      <c r="D83" s="794"/>
      <c r="E83" s="795" t="s">
        <v>662</v>
      </c>
      <c r="F83" s="795" t="s">
        <v>662</v>
      </c>
      <c r="G83" s="796">
        <f>SUM(G79:G82)</f>
        <v>0</v>
      </c>
      <c r="H83" s="789">
        <f>+G83-K65</f>
        <v>-75153337</v>
      </c>
      <c r="I83" s="784"/>
    </row>
    <row r="84" spans="2:9" ht="15.75" customHeight="1" thickTop="1">
      <c r="B84" s="790"/>
      <c r="C84" s="778"/>
      <c r="D84" s="786"/>
      <c r="E84" s="786"/>
      <c r="F84" s="783"/>
      <c r="G84" s="797"/>
      <c r="H84" s="789"/>
      <c r="I84" s="784"/>
    </row>
    <row r="85" spans="2:9" ht="15.75" customHeight="1">
      <c r="B85" s="798"/>
      <c r="C85" s="781" t="s">
        <v>663</v>
      </c>
      <c r="D85" s="782"/>
      <c r="E85" s="782"/>
      <c r="F85" s="782"/>
      <c r="G85" s="799"/>
      <c r="H85" s="789"/>
      <c r="I85" s="784"/>
    </row>
    <row r="86" spans="2:9" ht="15.75" customHeight="1">
      <c r="B86" s="785">
        <v>5</v>
      </c>
      <c r="C86" s="778" t="s">
        <v>664</v>
      </c>
      <c r="D86" s="786"/>
      <c r="E86" s="786">
        <v>630</v>
      </c>
      <c r="F86" s="783" t="s">
        <v>665</v>
      </c>
      <c r="G86" s="797">
        <f>-H52-H55</f>
        <v>0</v>
      </c>
      <c r="H86" s="789"/>
      <c r="I86" s="784"/>
    </row>
    <row r="87" spans="2:9" ht="15.75" customHeight="1" thickBot="1">
      <c r="B87" s="792"/>
      <c r="C87" s="793" t="s">
        <v>666</v>
      </c>
      <c r="D87" s="794"/>
      <c r="E87" s="795" t="s">
        <v>662</v>
      </c>
      <c r="F87" s="795" t="s">
        <v>662</v>
      </c>
      <c r="G87" s="796">
        <f>SUM(G86)</f>
        <v>0</v>
      </c>
      <c r="H87" s="789"/>
      <c r="I87" s="784"/>
    </row>
    <row r="88" spans="2:9" ht="15.75" customHeight="1" thickTop="1">
      <c r="B88" s="790"/>
      <c r="C88" s="778"/>
      <c r="D88" s="786"/>
      <c r="E88" s="786"/>
      <c r="F88" s="783"/>
      <c r="G88" s="797"/>
      <c r="H88" s="789"/>
      <c r="I88" s="784"/>
    </row>
    <row r="89" spans="2:9" ht="15.75" customHeight="1">
      <c r="B89" s="798"/>
      <c r="C89" s="781" t="s">
        <v>667</v>
      </c>
      <c r="D89" s="782"/>
      <c r="E89" s="782"/>
      <c r="F89" s="782"/>
      <c r="G89" s="799"/>
      <c r="H89" s="789"/>
      <c r="I89" s="784"/>
    </row>
    <row r="90" spans="2:9" ht="15.75" customHeight="1">
      <c r="B90" s="785">
        <v>6</v>
      </c>
      <c r="C90" s="778" t="s">
        <v>668</v>
      </c>
      <c r="D90" s="786"/>
      <c r="E90" s="787">
        <v>631</v>
      </c>
      <c r="F90" s="788" t="s">
        <v>665</v>
      </c>
      <c r="G90" s="797">
        <f>-H44-H57</f>
        <v>0</v>
      </c>
      <c r="H90" s="789"/>
      <c r="I90" s="784"/>
    </row>
    <row r="91" spans="2:9" ht="15.75" customHeight="1">
      <c r="B91" s="790">
        <v>7</v>
      </c>
      <c r="C91" s="778" t="s">
        <v>669</v>
      </c>
      <c r="D91" s="786"/>
      <c r="E91" s="791">
        <v>632</v>
      </c>
      <c r="F91" s="788" t="s">
        <v>665</v>
      </c>
      <c r="G91" s="797"/>
      <c r="H91" s="789"/>
      <c r="I91" s="784"/>
    </row>
    <row r="92" spans="2:9" ht="15.75" customHeight="1">
      <c r="B92" s="790">
        <v>8</v>
      </c>
      <c r="C92" s="778" t="s">
        <v>670</v>
      </c>
      <c r="D92" s="786"/>
      <c r="E92" s="791">
        <v>633</v>
      </c>
      <c r="F92" s="788" t="s">
        <v>665</v>
      </c>
      <c r="G92" s="797">
        <f>-H48</f>
        <v>0</v>
      </c>
      <c r="H92" s="789"/>
      <c r="I92" s="784"/>
    </row>
    <row r="93" spans="2:9" ht="15.75" customHeight="1">
      <c r="B93" s="790">
        <v>9</v>
      </c>
      <c r="C93" s="778" t="s">
        <v>671</v>
      </c>
      <c r="D93" s="786"/>
      <c r="E93" s="791">
        <v>966</v>
      </c>
      <c r="F93" s="788" t="s">
        <v>665</v>
      </c>
      <c r="G93" s="797"/>
      <c r="H93" s="789"/>
      <c r="I93" s="784"/>
    </row>
    <row r="94" spans="2:9" ht="15.75" customHeight="1">
      <c r="B94" s="790">
        <v>10</v>
      </c>
      <c r="C94" s="778" t="s">
        <v>672</v>
      </c>
      <c r="D94" s="786"/>
      <c r="E94" s="791">
        <v>967</v>
      </c>
      <c r="F94" s="788" t="s">
        <v>665</v>
      </c>
      <c r="G94" s="797"/>
      <c r="H94" s="789"/>
      <c r="I94" s="784"/>
    </row>
    <row r="95" spans="2:9" ht="15.75" customHeight="1">
      <c r="B95" s="790">
        <v>11</v>
      </c>
      <c r="C95" s="778" t="s">
        <v>673</v>
      </c>
      <c r="D95" s="786"/>
      <c r="E95" s="791">
        <v>852</v>
      </c>
      <c r="F95" s="788" t="s">
        <v>665</v>
      </c>
      <c r="G95" s="797"/>
      <c r="H95" s="789"/>
      <c r="I95" s="784"/>
    </row>
    <row r="96" spans="2:9" ht="15.75" customHeight="1">
      <c r="B96" s="790">
        <v>12</v>
      </c>
      <c r="C96" s="778" t="s">
        <v>674</v>
      </c>
      <c r="D96" s="786"/>
      <c r="E96" s="791">
        <v>897</v>
      </c>
      <c r="F96" s="788" t="s">
        <v>665</v>
      </c>
      <c r="G96" s="797"/>
      <c r="H96" s="789"/>
      <c r="I96" s="784"/>
    </row>
    <row r="97" spans="2:9" ht="15.75" customHeight="1">
      <c r="B97" s="790">
        <v>13</v>
      </c>
      <c r="C97" s="778" t="s">
        <v>675</v>
      </c>
      <c r="D97" s="786"/>
      <c r="E97" s="791">
        <v>853</v>
      </c>
      <c r="F97" s="788" t="s">
        <v>665</v>
      </c>
      <c r="G97" s="797"/>
      <c r="H97" s="789"/>
      <c r="I97" s="784"/>
    </row>
    <row r="98" spans="2:9" ht="15.75" customHeight="1">
      <c r="B98" s="785">
        <v>14</v>
      </c>
      <c r="C98" s="778" t="s">
        <v>676</v>
      </c>
      <c r="D98" s="786"/>
      <c r="E98" s="791">
        <v>968</v>
      </c>
      <c r="F98" s="788" t="s">
        <v>665</v>
      </c>
      <c r="G98" s="797">
        <f>-H60</f>
        <v>0</v>
      </c>
      <c r="H98" s="789"/>
      <c r="I98" s="784"/>
    </row>
    <row r="99" spans="2:9" ht="15.75" customHeight="1">
      <c r="B99" s="790">
        <v>15</v>
      </c>
      <c r="C99" s="778" t="s">
        <v>677</v>
      </c>
      <c r="D99" s="786"/>
      <c r="E99" s="791">
        <v>969</v>
      </c>
      <c r="F99" s="788" t="s">
        <v>665</v>
      </c>
      <c r="G99" s="797"/>
      <c r="H99" s="789"/>
      <c r="I99" s="784"/>
    </row>
    <row r="100" spans="2:9" ht="15.75" customHeight="1">
      <c r="B100" s="790">
        <v>16</v>
      </c>
      <c r="C100" s="778" t="s">
        <v>678</v>
      </c>
      <c r="D100" s="786"/>
      <c r="E100" s="791">
        <v>635</v>
      </c>
      <c r="F100" s="788" t="s">
        <v>665</v>
      </c>
      <c r="G100" s="797"/>
      <c r="H100" s="789"/>
      <c r="I100" s="784"/>
    </row>
    <row r="101" spans="2:9" ht="15.75" customHeight="1" thickBot="1">
      <c r="B101" s="792"/>
      <c r="C101" s="793" t="s">
        <v>679</v>
      </c>
      <c r="D101" s="794"/>
      <c r="E101" s="795" t="s">
        <v>662</v>
      </c>
      <c r="F101" s="795" t="s">
        <v>662</v>
      </c>
      <c r="G101" s="796">
        <f>SUM(G90:G100)</f>
        <v>0</v>
      </c>
      <c r="H101" s="789"/>
      <c r="I101" s="784"/>
    </row>
    <row r="102" spans="2:9" ht="15.75" customHeight="1" thickTop="1" thickBot="1">
      <c r="B102" s="792"/>
      <c r="C102" s="793" t="s">
        <v>680</v>
      </c>
      <c r="D102" s="794"/>
      <c r="E102" s="795" t="s">
        <v>662</v>
      </c>
      <c r="F102" s="795" t="s">
        <v>662</v>
      </c>
      <c r="G102" s="796">
        <f>+G83+G87+G101</f>
        <v>0</v>
      </c>
      <c r="H102" s="789"/>
      <c r="I102" s="784"/>
    </row>
    <row r="103" spans="2:9" ht="15.75" customHeight="1" thickTop="1">
      <c r="B103" s="790"/>
      <c r="C103" s="778"/>
      <c r="D103" s="786"/>
      <c r="E103" s="786"/>
      <c r="F103" s="783"/>
      <c r="G103" s="797"/>
      <c r="H103" s="789"/>
      <c r="I103" s="784"/>
    </row>
    <row r="104" spans="2:9" ht="15.75" customHeight="1">
      <c r="B104" s="798"/>
      <c r="C104" s="781" t="s">
        <v>681</v>
      </c>
      <c r="D104" s="782"/>
      <c r="E104" s="782"/>
      <c r="F104" s="782"/>
      <c r="G104" s="799"/>
      <c r="H104" s="789"/>
      <c r="I104" s="784"/>
    </row>
    <row r="105" spans="2:9" ht="15.75" customHeight="1">
      <c r="B105" s="785">
        <v>17</v>
      </c>
      <c r="C105" s="800" t="s">
        <v>682</v>
      </c>
      <c r="D105" s="801"/>
      <c r="E105" s="801">
        <v>637</v>
      </c>
      <c r="F105" s="802" t="s">
        <v>665</v>
      </c>
      <c r="G105" s="797">
        <f>-H59</f>
        <v>0</v>
      </c>
      <c r="H105" s="789"/>
      <c r="I105" s="784"/>
    </row>
    <row r="106" spans="2:9" ht="15.75" customHeight="1">
      <c r="B106" s="790">
        <v>18</v>
      </c>
      <c r="C106" s="800" t="s">
        <v>683</v>
      </c>
      <c r="D106" s="801"/>
      <c r="E106" s="801">
        <v>638</v>
      </c>
      <c r="F106" s="802" t="s">
        <v>657</v>
      </c>
      <c r="G106" s="797">
        <f>+I59</f>
        <v>0</v>
      </c>
      <c r="H106" s="789"/>
      <c r="I106" s="784"/>
    </row>
    <row r="107" spans="2:9" ht="15.75" customHeight="1" thickBot="1">
      <c r="B107" s="792"/>
      <c r="C107" s="793" t="s">
        <v>684</v>
      </c>
      <c r="D107" s="794"/>
      <c r="E107" s="795"/>
      <c r="F107" s="795"/>
      <c r="G107" s="796">
        <f>+G105+G106</f>
        <v>0</v>
      </c>
      <c r="H107" s="789"/>
      <c r="I107" s="784"/>
    </row>
    <row r="108" spans="2:9" ht="15.75" customHeight="1" thickTop="1">
      <c r="B108" s="790"/>
      <c r="C108" s="778"/>
      <c r="D108" s="786"/>
      <c r="E108" s="786"/>
      <c r="F108" s="783"/>
      <c r="G108" s="797"/>
      <c r="H108" s="789"/>
      <c r="I108" s="784"/>
    </row>
    <row r="109" spans="2:9" ht="15.75" customHeight="1">
      <c r="B109" s="798"/>
      <c r="C109" s="781" t="s">
        <v>681</v>
      </c>
      <c r="D109" s="782"/>
      <c r="E109" s="782"/>
      <c r="F109" s="782"/>
      <c r="G109" s="799"/>
      <c r="H109" s="789"/>
      <c r="I109" s="784"/>
    </row>
    <row r="110" spans="2:9" ht="15.75" customHeight="1">
      <c r="B110" s="803">
        <v>19</v>
      </c>
      <c r="C110" s="804" t="s">
        <v>685</v>
      </c>
      <c r="D110" s="805"/>
      <c r="E110" s="805"/>
      <c r="F110" s="806" t="s">
        <v>657</v>
      </c>
      <c r="G110" s="807">
        <f>+H60</f>
        <v>0</v>
      </c>
      <c r="H110" s="789"/>
      <c r="I110" s="784"/>
    </row>
    <row r="111" spans="2:9" ht="15.75" customHeight="1">
      <c r="B111" s="808">
        <v>20</v>
      </c>
      <c r="C111" s="778" t="s">
        <v>686</v>
      </c>
      <c r="D111" s="786"/>
      <c r="E111" s="783">
        <v>926</v>
      </c>
      <c r="F111" s="788" t="s">
        <v>657</v>
      </c>
      <c r="G111" s="797"/>
      <c r="H111" s="789"/>
      <c r="I111" s="784"/>
    </row>
    <row r="112" spans="2:9" ht="15.75" customHeight="1">
      <c r="B112" s="808">
        <v>21</v>
      </c>
      <c r="C112" s="778" t="s">
        <v>687</v>
      </c>
      <c r="D112" s="786"/>
      <c r="E112" s="786">
        <v>970</v>
      </c>
      <c r="F112" s="788" t="s">
        <v>665</v>
      </c>
      <c r="G112" s="797"/>
      <c r="H112" s="789"/>
      <c r="I112" s="784"/>
    </row>
    <row r="113" spans="2:9" ht="15.75" customHeight="1">
      <c r="B113" s="808">
        <v>22</v>
      </c>
      <c r="C113" s="778" t="s">
        <v>688</v>
      </c>
      <c r="D113" s="786"/>
      <c r="E113" s="786">
        <v>971</v>
      </c>
      <c r="F113" s="788" t="s">
        <v>657</v>
      </c>
      <c r="G113" s="797"/>
      <c r="H113" s="789"/>
      <c r="I113" s="784"/>
    </row>
    <row r="114" spans="2:9" ht="15.75" customHeight="1">
      <c r="B114" s="808">
        <v>23</v>
      </c>
      <c r="C114" s="778" t="s">
        <v>689</v>
      </c>
      <c r="D114" s="786"/>
      <c r="E114" s="786">
        <v>639</v>
      </c>
      <c r="F114" s="788" t="s">
        <v>665</v>
      </c>
      <c r="G114" s="797"/>
      <c r="H114" s="789"/>
      <c r="I114" s="784"/>
    </row>
    <row r="115" spans="2:9" ht="15.75" customHeight="1" thickBot="1">
      <c r="B115" s="792"/>
      <c r="C115" s="793" t="s">
        <v>690</v>
      </c>
      <c r="D115" s="794"/>
      <c r="E115" s="795"/>
      <c r="F115" s="795"/>
      <c r="G115" s="796">
        <f>SUM(G110:G114)</f>
        <v>0</v>
      </c>
      <c r="H115" s="789"/>
      <c r="I115" s="784"/>
    </row>
    <row r="116" spans="2:9" ht="15.75" customHeight="1" thickTop="1">
      <c r="B116" s="808"/>
      <c r="C116" s="778"/>
      <c r="D116" s="786"/>
      <c r="E116" s="786"/>
      <c r="F116" s="783"/>
      <c r="G116" s="797"/>
      <c r="H116" s="789"/>
      <c r="I116" s="784"/>
    </row>
    <row r="117" spans="2:9" ht="15.75" customHeight="1">
      <c r="B117" s="798"/>
      <c r="C117" s="781" t="s">
        <v>691</v>
      </c>
      <c r="D117" s="782"/>
      <c r="E117" s="782"/>
      <c r="F117" s="782"/>
      <c r="G117" s="799"/>
      <c r="H117" s="789"/>
      <c r="I117" s="784"/>
    </row>
    <row r="118" spans="2:9" ht="15.75" customHeight="1">
      <c r="B118" s="808">
        <v>24</v>
      </c>
      <c r="C118" s="778" t="s">
        <v>692</v>
      </c>
      <c r="D118" s="786"/>
      <c r="E118" s="786">
        <v>927</v>
      </c>
      <c r="F118" s="788" t="s">
        <v>665</v>
      </c>
      <c r="G118" s="797"/>
      <c r="H118" s="789"/>
      <c r="I118" s="784"/>
    </row>
    <row r="119" spans="2:9" ht="15.75" customHeight="1">
      <c r="B119" s="808">
        <v>25</v>
      </c>
      <c r="C119" s="778" t="s">
        <v>693</v>
      </c>
      <c r="D119" s="786"/>
      <c r="E119" s="783">
        <v>1000</v>
      </c>
      <c r="F119" s="788" t="s">
        <v>665</v>
      </c>
      <c r="G119" s="797"/>
      <c r="H119" s="789"/>
      <c r="I119" s="784"/>
    </row>
    <row r="120" spans="2:9" ht="15.75" customHeight="1">
      <c r="B120" s="808">
        <v>26</v>
      </c>
      <c r="C120" s="778" t="s">
        <v>694</v>
      </c>
      <c r="D120" s="786"/>
      <c r="E120" s="786">
        <v>827</v>
      </c>
      <c r="F120" s="788" t="s">
        <v>665</v>
      </c>
      <c r="G120" s="797"/>
      <c r="H120" s="789"/>
      <c r="I120" s="784"/>
    </row>
    <row r="121" spans="2:9" ht="15.75" customHeight="1">
      <c r="B121" s="808">
        <v>27</v>
      </c>
      <c r="C121" s="778" t="s">
        <v>695</v>
      </c>
      <c r="D121" s="786"/>
      <c r="E121" s="786">
        <v>928</v>
      </c>
      <c r="F121" s="788" t="s">
        <v>665</v>
      </c>
      <c r="G121" s="797"/>
      <c r="H121" s="789"/>
      <c r="I121" s="784"/>
    </row>
    <row r="122" spans="2:9" ht="15.75" customHeight="1">
      <c r="B122" s="808">
        <v>28</v>
      </c>
      <c r="C122" s="778" t="s">
        <v>696</v>
      </c>
      <c r="D122" s="786"/>
      <c r="E122" s="786">
        <v>929</v>
      </c>
      <c r="F122" s="788" t="s">
        <v>665</v>
      </c>
      <c r="G122" s="797"/>
      <c r="H122" s="789"/>
      <c r="I122" s="784"/>
    </row>
    <row r="123" spans="2:9" ht="15.75" customHeight="1">
      <c r="B123" s="808">
        <v>29</v>
      </c>
      <c r="C123" s="778" t="s">
        <v>697</v>
      </c>
      <c r="D123" s="786"/>
      <c r="E123" s="786">
        <v>807</v>
      </c>
      <c r="F123" s="788" t="s">
        <v>665</v>
      </c>
      <c r="G123" s="797"/>
      <c r="H123" s="789"/>
      <c r="I123" s="784"/>
    </row>
    <row r="124" spans="2:9" ht="15.75" customHeight="1">
      <c r="B124" s="808">
        <v>30</v>
      </c>
      <c r="C124" s="778" t="s">
        <v>698</v>
      </c>
      <c r="D124" s="786"/>
      <c r="E124" s="783">
        <v>641</v>
      </c>
      <c r="F124" s="788" t="s">
        <v>665</v>
      </c>
      <c r="G124" s="797"/>
      <c r="H124" s="789"/>
      <c r="I124" s="784"/>
    </row>
    <row r="125" spans="2:9" ht="15.75" customHeight="1">
      <c r="B125" s="808">
        <v>31</v>
      </c>
      <c r="C125" s="778" t="s">
        <v>699</v>
      </c>
      <c r="D125" s="786"/>
      <c r="E125" s="786">
        <v>642</v>
      </c>
      <c r="F125" s="788" t="s">
        <v>665</v>
      </c>
      <c r="G125" s="797"/>
      <c r="H125" s="789"/>
      <c r="I125" s="784"/>
    </row>
    <row r="126" spans="2:9" ht="15.75" customHeight="1">
      <c r="B126" s="808">
        <v>32</v>
      </c>
      <c r="C126" s="778" t="s">
        <v>700</v>
      </c>
      <c r="D126" s="786"/>
      <c r="E126" s="786">
        <v>973</v>
      </c>
      <c r="F126" s="788" t="s">
        <v>665</v>
      </c>
      <c r="G126" s="797"/>
      <c r="H126" s="789"/>
      <c r="I126" s="784"/>
    </row>
    <row r="127" spans="2:9" ht="15.75" customHeight="1">
      <c r="B127" s="808">
        <v>34</v>
      </c>
      <c r="C127" s="778" t="s">
        <v>701</v>
      </c>
      <c r="D127" s="786"/>
      <c r="E127" s="786">
        <v>640</v>
      </c>
      <c r="F127" s="788" t="s">
        <v>665</v>
      </c>
      <c r="G127" s="797"/>
      <c r="H127" s="789"/>
      <c r="I127" s="784"/>
    </row>
    <row r="128" spans="2:9" ht="15.75" customHeight="1">
      <c r="B128" s="808">
        <v>34</v>
      </c>
      <c r="C128" s="778" t="s">
        <v>702</v>
      </c>
      <c r="D128" s="786"/>
      <c r="E128" s="786">
        <v>634</v>
      </c>
      <c r="F128" s="788" t="s">
        <v>665</v>
      </c>
      <c r="G128" s="797"/>
      <c r="H128" s="789"/>
      <c r="I128" s="784"/>
    </row>
    <row r="129" spans="2:9" ht="15.75" customHeight="1" thickBot="1">
      <c r="B129" s="792"/>
      <c r="C129" s="793" t="s">
        <v>690</v>
      </c>
      <c r="D129" s="794"/>
      <c r="E129" s="795">
        <v>643</v>
      </c>
      <c r="F129" s="795"/>
      <c r="G129" s="796">
        <f>SUM(G118:G128)</f>
        <v>0</v>
      </c>
      <c r="H129" s="789"/>
      <c r="I129" s="784"/>
    </row>
    <row r="130" spans="2:9" ht="15.75" customHeight="1" thickTop="1">
      <c r="B130" s="808"/>
      <c r="C130" s="778"/>
      <c r="D130" s="786"/>
      <c r="E130" s="786"/>
      <c r="F130" s="783"/>
      <c r="G130" s="797"/>
      <c r="H130" s="789"/>
      <c r="I130" s="784"/>
    </row>
    <row r="131" spans="2:9" ht="15.75" customHeight="1" thickBot="1">
      <c r="B131" s="792"/>
      <c r="C131" s="793" t="s">
        <v>680</v>
      </c>
      <c r="D131" s="794"/>
      <c r="E131" s="795" t="s">
        <v>662</v>
      </c>
      <c r="F131" s="795" t="s">
        <v>662</v>
      </c>
      <c r="G131" s="796">
        <f>+G102+G107+G115+G129</f>
        <v>0</v>
      </c>
      <c r="H131" s="789">
        <f>+G44</f>
        <v>0</v>
      </c>
      <c r="I131" s="784">
        <f>+H131-G131</f>
        <v>0</v>
      </c>
    </row>
    <row r="132" spans="2:9" ht="15.75" customHeight="1" thickTop="1">
      <c r="B132" s="808"/>
      <c r="C132" s="778"/>
      <c r="D132" s="786"/>
      <c r="E132" s="786"/>
      <c r="F132" s="783"/>
      <c r="G132" s="797"/>
      <c r="H132" s="789"/>
      <c r="I132" s="784"/>
    </row>
    <row r="133" spans="2:9" ht="15.75" customHeight="1">
      <c r="B133" s="809"/>
      <c r="C133" s="810"/>
      <c r="D133" s="811"/>
      <c r="E133" s="811"/>
      <c r="F133" s="812"/>
      <c r="G133" s="813"/>
      <c r="H133" s="813"/>
      <c r="I133" s="814"/>
    </row>
    <row r="159" spans="1:3" ht="15.75" customHeight="1">
      <c r="A159" s="99" t="s">
        <v>111</v>
      </c>
      <c r="B159" s="99">
        <v>1199231588</v>
      </c>
      <c r="C159" s="99">
        <v>1519951732</v>
      </c>
    </row>
    <row r="160" spans="1:3" ht="15.75" customHeight="1">
      <c r="A160" s="99" t="s">
        <v>196</v>
      </c>
      <c r="B160" s="99">
        <v>1210221540</v>
      </c>
      <c r="C160" s="99">
        <v>584567899</v>
      </c>
    </row>
    <row r="161" spans="1:3" ht="15.75" customHeight="1">
      <c r="A161" s="99" t="s">
        <v>160</v>
      </c>
      <c r="B161" s="99">
        <v>251071768</v>
      </c>
      <c r="C161" s="99">
        <v>257310286</v>
      </c>
    </row>
    <row r="162" spans="1:3" ht="15.75" customHeight="1">
      <c r="A162" s="99" t="s">
        <v>142</v>
      </c>
      <c r="B162" s="99">
        <v>12249613</v>
      </c>
      <c r="C162" s="99">
        <v>2542340</v>
      </c>
    </row>
    <row r="163" spans="1:3" ht="15.75" customHeight="1">
      <c r="A163" s="99" t="s">
        <v>221</v>
      </c>
      <c r="B163" s="99">
        <v>6657464</v>
      </c>
      <c r="C163" s="99">
        <v>6657464</v>
      </c>
    </row>
    <row r="164" spans="1:3" ht="15.75" customHeight="1">
      <c r="A164" s="99" t="s">
        <v>197</v>
      </c>
      <c r="B164" s="99">
        <v>0</v>
      </c>
      <c r="C164" s="99">
        <v>0</v>
      </c>
    </row>
    <row r="165" spans="1:3" ht="15.75" customHeight="1">
      <c r="A165" s="99" t="s">
        <v>234</v>
      </c>
      <c r="B165" s="99">
        <v>3789600</v>
      </c>
      <c r="C165" s="99">
        <v>0</v>
      </c>
    </row>
    <row r="166" spans="1:3" ht="15.75" customHeight="1">
      <c r="A166" s="99" t="s">
        <v>198</v>
      </c>
      <c r="B166" s="99">
        <v>0</v>
      </c>
      <c r="C166" s="99">
        <v>0</v>
      </c>
    </row>
    <row r="167" spans="1:3" ht="15.75" customHeight="1">
      <c r="A167" s="99" t="s">
        <v>199</v>
      </c>
      <c r="B167" s="99">
        <v>241876346</v>
      </c>
      <c r="C167" s="99">
        <v>0</v>
      </c>
    </row>
    <row r="168" spans="1:3" ht="15.75" customHeight="1">
      <c r="A168" s="99" t="s">
        <v>226</v>
      </c>
      <c r="B168" s="99">
        <v>80375935</v>
      </c>
      <c r="C168" s="99">
        <v>0</v>
      </c>
    </row>
    <row r="169" spans="1:3" ht="15.75" customHeight="1">
      <c r="A169" s="99" t="s">
        <v>161</v>
      </c>
      <c r="B169" s="99">
        <v>0</v>
      </c>
      <c r="C169" s="99">
        <v>0</v>
      </c>
    </row>
    <row r="170" spans="1:3" ht="15.75" customHeight="1">
      <c r="A170" s="99" t="s">
        <v>253</v>
      </c>
      <c r="B170" s="99">
        <v>49133855</v>
      </c>
      <c r="C170" s="99">
        <v>814083</v>
      </c>
    </row>
    <row r="171" spans="1:3" ht="15.75" customHeight="1">
      <c r="A171" s="99" t="s">
        <v>255</v>
      </c>
      <c r="B171" s="99">
        <v>35697471</v>
      </c>
      <c r="C171" s="99">
        <v>0</v>
      </c>
    </row>
    <row r="172" spans="1:3" ht="15.75" customHeight="1">
      <c r="A172" s="99" t="s">
        <v>198</v>
      </c>
      <c r="B172" s="99">
        <v>0</v>
      </c>
      <c r="C172" s="99">
        <v>0</v>
      </c>
    </row>
    <row r="173" spans="1:3" ht="15.75" customHeight="1">
      <c r="A173" s="99" t="s">
        <v>225</v>
      </c>
      <c r="B173" s="99">
        <v>0</v>
      </c>
      <c r="C173" s="99">
        <v>0</v>
      </c>
    </row>
    <row r="174" spans="1:3" ht="15.75" customHeight="1">
      <c r="A174" s="99">
        <v>0</v>
      </c>
      <c r="B174" s="99">
        <v>0</v>
      </c>
      <c r="C174" s="99">
        <v>0</v>
      </c>
    </row>
    <row r="175" spans="1:3" ht="15.75" customHeight="1">
      <c r="A175" s="99">
        <v>0</v>
      </c>
      <c r="B175" s="99">
        <v>0</v>
      </c>
      <c r="C175" s="99">
        <v>0</v>
      </c>
    </row>
    <row r="176" spans="1:3" ht="15.75" customHeight="1">
      <c r="A176" s="99" t="s">
        <v>201</v>
      </c>
      <c r="B176" s="99">
        <v>0</v>
      </c>
      <c r="C176" s="99">
        <v>0</v>
      </c>
    </row>
    <row r="177" spans="1:3" ht="15.75" customHeight="1">
      <c r="A177" s="99" t="s">
        <v>164</v>
      </c>
      <c r="B177" s="99">
        <v>1306278</v>
      </c>
      <c r="C177" s="99">
        <v>1376582</v>
      </c>
    </row>
    <row r="178" spans="1:3" ht="15.75" customHeight="1">
      <c r="A178" s="99" t="s">
        <v>200</v>
      </c>
      <c r="B178" s="99">
        <v>0</v>
      </c>
      <c r="C178" s="99">
        <v>0</v>
      </c>
    </row>
    <row r="179" spans="1:3" ht="15.75" customHeight="1">
      <c r="A179" s="99" t="s">
        <v>145</v>
      </c>
      <c r="B179" s="99">
        <v>255937</v>
      </c>
      <c r="C179" s="99">
        <v>255937</v>
      </c>
    </row>
    <row r="180" spans="1:3" ht="15.75" customHeight="1">
      <c r="A180" s="99" t="s">
        <v>222</v>
      </c>
      <c r="B180" s="99">
        <v>0</v>
      </c>
      <c r="C180" s="99">
        <v>3890567</v>
      </c>
    </row>
    <row r="181" spans="1:3" ht="15.75" customHeight="1">
      <c r="A181" s="99" t="s">
        <v>230</v>
      </c>
      <c r="B181" s="99">
        <v>814083</v>
      </c>
      <c r="C181" s="99">
        <v>32246919</v>
      </c>
    </row>
    <row r="182" spans="1:3" ht="15.75" customHeight="1">
      <c r="A182" s="99" t="s">
        <v>254</v>
      </c>
      <c r="B182" s="99">
        <v>27079344</v>
      </c>
      <c r="C182" s="99">
        <v>121857048</v>
      </c>
    </row>
    <row r="183" spans="1:3" ht="15.75" customHeight="1">
      <c r="A183" s="99" t="s">
        <v>256</v>
      </c>
      <c r="B183" s="99">
        <v>2279389</v>
      </c>
      <c r="C183" s="99">
        <v>41029256</v>
      </c>
    </row>
    <row r="184" spans="1:3" ht="15.75" customHeight="1">
      <c r="A184" s="99" t="s">
        <v>257</v>
      </c>
      <c r="B184" s="99">
        <v>6250270</v>
      </c>
      <c r="C184" s="99">
        <v>75000505</v>
      </c>
    </row>
    <row r="185" spans="1:3" ht="15.75" customHeight="1">
      <c r="A185" s="99" t="s">
        <v>246</v>
      </c>
      <c r="B185" s="99">
        <v>551001</v>
      </c>
      <c r="C185" s="99">
        <v>606389</v>
      </c>
    </row>
    <row r="186" spans="1:3" ht="15.75" customHeight="1">
      <c r="A186" s="99" t="s">
        <v>159</v>
      </c>
      <c r="B186" s="99">
        <v>0</v>
      </c>
      <c r="C186" s="99">
        <v>0</v>
      </c>
    </row>
    <row r="187" spans="1:3" ht="15.75" customHeight="1">
      <c r="A187" s="99" t="s">
        <v>223</v>
      </c>
      <c r="B187" s="99">
        <v>0</v>
      </c>
      <c r="C187" s="99">
        <v>2785708</v>
      </c>
    </row>
    <row r="188" spans="1:3" ht="15.75" customHeight="1">
      <c r="A188" s="99" t="s">
        <v>227</v>
      </c>
      <c r="B188" s="99">
        <v>0</v>
      </c>
      <c r="C188" s="99">
        <v>9374788</v>
      </c>
    </row>
    <row r="189" spans="1:3" ht="15.75" customHeight="1">
      <c r="A189" s="99" t="s">
        <v>251</v>
      </c>
      <c r="B189" s="99">
        <v>0</v>
      </c>
      <c r="C189" s="99">
        <v>6317820</v>
      </c>
    </row>
    <row r="190" spans="1:3" ht="15.75" customHeight="1">
      <c r="A190" s="99" t="s">
        <v>252</v>
      </c>
      <c r="B190" s="99">
        <v>0</v>
      </c>
      <c r="C190" s="99">
        <v>88007868</v>
      </c>
    </row>
    <row r="191" spans="1:3" ht="15.75" customHeight="1">
      <c r="A191" s="99" t="s">
        <v>53</v>
      </c>
      <c r="B191" s="99">
        <v>0</v>
      </c>
      <c r="C191" s="99">
        <v>20000000</v>
      </c>
    </row>
    <row r="192" spans="1:3" ht="15.75" customHeight="1">
      <c r="A192" s="99" t="s">
        <v>143</v>
      </c>
      <c r="B192" s="99">
        <v>0</v>
      </c>
      <c r="C192" s="99">
        <v>500000</v>
      </c>
    </row>
    <row r="193" spans="1:3" ht="15.75" customHeight="1">
      <c r="A193" s="99" t="s">
        <v>66</v>
      </c>
      <c r="B193" s="99">
        <v>0</v>
      </c>
      <c r="C193" s="99">
        <v>0</v>
      </c>
    </row>
    <row r="194" spans="1:3" ht="15.75" customHeight="1">
      <c r="A194" s="99" t="s">
        <v>194</v>
      </c>
      <c r="B194" s="99">
        <v>10000000</v>
      </c>
      <c r="C194" s="99">
        <v>62003027</v>
      </c>
    </row>
    <row r="195" spans="1:3" ht="15.75" customHeight="1">
      <c r="A195" s="99" t="s">
        <v>180</v>
      </c>
      <c r="B195" s="99">
        <v>0</v>
      </c>
      <c r="C195" s="99">
        <v>1354264665</v>
      </c>
    </row>
    <row r="196" spans="1:3" ht="15.75" customHeight="1">
      <c r="A196" s="99" t="s">
        <v>182</v>
      </c>
      <c r="B196" s="99">
        <v>0</v>
      </c>
      <c r="C196" s="99">
        <v>0</v>
      </c>
    </row>
    <row r="197" spans="1:3" ht="15.75" customHeight="1">
      <c r="A197" s="99" t="s">
        <v>181</v>
      </c>
      <c r="B197" s="99">
        <v>0</v>
      </c>
      <c r="C197" s="99">
        <v>0</v>
      </c>
    </row>
    <row r="198" spans="1:3" ht="15.75" customHeight="1">
      <c r="A198" s="99" t="s">
        <v>183</v>
      </c>
      <c r="B198" s="99">
        <v>0</v>
      </c>
      <c r="C198" s="99">
        <v>0</v>
      </c>
    </row>
    <row r="199" spans="1:3" ht="15.75" customHeight="1">
      <c r="A199" s="99" t="s">
        <v>177</v>
      </c>
      <c r="B199" s="99">
        <v>606389</v>
      </c>
      <c r="C199" s="99">
        <v>0</v>
      </c>
    </row>
    <row r="200" spans="1:3" ht="15.75" customHeight="1">
      <c r="A200" s="99" t="s">
        <v>229</v>
      </c>
      <c r="B200" s="99">
        <v>0</v>
      </c>
    </row>
    <row r="201" spans="1:3" ht="15.75" customHeight="1">
      <c r="A201" s="99" t="s">
        <v>178</v>
      </c>
      <c r="B201" s="99">
        <v>684941638</v>
      </c>
    </row>
    <row r="202" spans="1:3" ht="15.75" customHeight="1">
      <c r="A202" s="99">
        <v>0</v>
      </c>
      <c r="B202" s="99">
        <v>0</v>
      </c>
      <c r="C202" s="99">
        <v>0</v>
      </c>
    </row>
    <row r="203" spans="1:3" ht="15.75" customHeight="1">
      <c r="A203" s="99" t="s">
        <v>232</v>
      </c>
      <c r="B203" s="99">
        <v>0</v>
      </c>
      <c r="C203" s="99">
        <v>0</v>
      </c>
    </row>
    <row r="204" spans="1:3" ht="15.75" customHeight="1">
      <c r="A204" s="99" t="s">
        <v>233</v>
      </c>
      <c r="B204" s="99">
        <v>0</v>
      </c>
      <c r="C204" s="99">
        <v>0</v>
      </c>
    </row>
    <row r="205" spans="1:3" ht="15.75" customHeight="1">
      <c r="A205" s="99">
        <v>0</v>
      </c>
      <c r="B205" s="99">
        <v>0</v>
      </c>
      <c r="C205" s="99">
        <v>0</v>
      </c>
    </row>
    <row r="206" spans="1:3" ht="15.75" customHeight="1">
      <c r="A206" s="99">
        <v>0</v>
      </c>
      <c r="B206" s="99">
        <v>0</v>
      </c>
      <c r="C206" s="99">
        <v>0</v>
      </c>
    </row>
    <row r="207" spans="1:3" ht="15.75" customHeight="1">
      <c r="A207" s="99">
        <v>0</v>
      </c>
      <c r="B207" s="99">
        <v>0</v>
      </c>
      <c r="C207" s="99">
        <v>0</v>
      </c>
    </row>
    <row r="208" spans="1:3" ht="15.75" customHeight="1">
      <c r="A208" s="99">
        <v>0</v>
      </c>
      <c r="B208" s="99">
        <v>0</v>
      </c>
      <c r="C208" s="99">
        <v>0</v>
      </c>
    </row>
    <row r="209" spans="1:3" ht="15.75" customHeight="1">
      <c r="A209" s="99">
        <v>0</v>
      </c>
      <c r="B209" s="99">
        <v>0</v>
      </c>
      <c r="C209" s="99">
        <v>0</v>
      </c>
    </row>
    <row r="210" spans="1:3" ht="15.75" customHeight="1">
      <c r="A210" s="99">
        <v>0</v>
      </c>
      <c r="B210" s="99">
        <v>0</v>
      </c>
      <c r="C210" s="99">
        <v>0</v>
      </c>
    </row>
    <row r="211" spans="1:3" ht="15.75" customHeight="1">
      <c r="A211" s="99">
        <v>0</v>
      </c>
      <c r="B211" s="99">
        <v>0</v>
      </c>
      <c r="C211" s="99">
        <v>0</v>
      </c>
    </row>
    <row r="212" spans="1:3" ht="15.75" customHeight="1">
      <c r="A212" s="99" t="s">
        <v>3</v>
      </c>
      <c r="B212" s="99">
        <v>1038228070</v>
      </c>
      <c r="C212" s="99">
        <v>684941638</v>
      </c>
    </row>
    <row r="213" spans="1:3" ht="15.75" customHeight="1">
      <c r="A213" s="99">
        <v>0</v>
      </c>
      <c r="B213" s="99">
        <v>0</v>
      </c>
      <c r="C213" s="99">
        <v>0</v>
      </c>
    </row>
    <row r="214" spans="1:3" ht="15.75" customHeight="1">
      <c r="A214" s="99">
        <v>0</v>
      </c>
      <c r="B214" s="99">
        <v>0</v>
      </c>
      <c r="C214" s="99">
        <v>0</v>
      </c>
    </row>
    <row r="215" spans="1:3" ht="15.75" customHeight="1">
      <c r="A215" s="99" t="s">
        <v>224</v>
      </c>
      <c r="B215" s="99">
        <v>13765820</v>
      </c>
      <c r="C215" s="99">
        <v>0</v>
      </c>
    </row>
    <row r="216" spans="1:3" ht="15.75" customHeight="1">
      <c r="A216" s="99" t="s">
        <v>144</v>
      </c>
      <c r="B216" s="99">
        <v>0</v>
      </c>
      <c r="C216" s="99">
        <v>0</v>
      </c>
    </row>
    <row r="217" spans="1:3" ht="15.75" customHeight="1">
      <c r="A217" s="99" t="s">
        <v>2</v>
      </c>
      <c r="B217" s="99">
        <v>48994</v>
      </c>
      <c r="C217" s="99">
        <v>129871</v>
      </c>
    </row>
    <row r="218" spans="1:3" ht="15.75" customHeight="1">
      <c r="A218" s="99" t="s">
        <v>146</v>
      </c>
      <c r="B218" s="99">
        <v>0</v>
      </c>
      <c r="C218" s="99">
        <v>0</v>
      </c>
    </row>
    <row r="220" spans="1:3" ht="15.75" customHeight="1">
      <c r="A220" s="99" t="s">
        <v>24</v>
      </c>
      <c r="B220" s="99">
        <v>4876432393</v>
      </c>
      <c r="C220" s="99">
        <v>4876432392</v>
      </c>
    </row>
    <row r="221" spans="1:3" ht="15.75" customHeight="1">
      <c r="A221" s="99" t="s">
        <v>25</v>
      </c>
      <c r="B221" s="99">
        <v>0</v>
      </c>
      <c r="C221" s="99">
        <v>0</v>
      </c>
    </row>
    <row r="222" spans="1:3" ht="15.75" customHeight="1">
      <c r="A222" s="99" t="s">
        <v>26</v>
      </c>
      <c r="B222" s="99">
        <v>4876432393</v>
      </c>
      <c r="C222" s="99">
        <v>4876432392</v>
      </c>
    </row>
  </sheetData>
  <printOptions horizontalCentered="1"/>
  <pageMargins left="0.78740157480314965" right="0.46" top="0.17" bottom="0.22" header="0.17" footer="0.17"/>
  <pageSetup scale="1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N222"/>
  <sheetViews>
    <sheetView showGridLines="0" view="pageBreakPreview" zoomScale="85" zoomScaleNormal="85" zoomScaleSheetLayoutView="85" workbookViewId="0">
      <selection sqref="A1:I63"/>
    </sheetView>
  </sheetViews>
  <sheetFormatPr baseColWidth="10" defaultColWidth="11.42578125" defaultRowHeight="15.75" customHeight="1"/>
  <cols>
    <col min="1" max="1" width="42.85546875" style="99" customWidth="1"/>
    <col min="2" max="2" width="17" style="99" customWidth="1"/>
    <col min="3" max="3" width="17.7109375" style="99" customWidth="1"/>
    <col min="4" max="9" width="18.140625" style="99" customWidth="1"/>
    <col min="10" max="11" width="13.5703125" style="476" bestFit="1" customWidth="1"/>
    <col min="12" max="12" width="21.42578125" style="476" customWidth="1"/>
    <col min="13" max="13" width="16.7109375" style="99" customWidth="1"/>
    <col min="14" max="14" width="11.42578125" style="99"/>
    <col min="15" max="16" width="14.42578125" style="99" bestFit="1" customWidth="1"/>
    <col min="17" max="16384" width="11.42578125" style="99"/>
  </cols>
  <sheetData>
    <row r="1" spans="1:14" ht="24" customHeight="1">
      <c r="A1" s="648" t="str">
        <f>+MAYOR!B1</f>
        <v>SOCIEDAD COMERCIAL SOLMET SpA</v>
      </c>
      <c r="B1" s="649"/>
      <c r="C1" s="649"/>
      <c r="D1" s="650"/>
      <c r="E1" s="651"/>
      <c r="F1" s="651"/>
      <c r="G1" s="651"/>
      <c r="H1" s="651"/>
      <c r="I1" s="651"/>
    </row>
    <row r="2" spans="1:14" ht="15.75" customHeight="1">
      <c r="A2" s="652" t="str">
        <f>+MAYOR!B2</f>
        <v>BOMBEROS SALAS #1445 OFC 601B</v>
      </c>
      <c r="B2" s="649"/>
      <c r="C2" s="649"/>
      <c r="D2" s="653"/>
      <c r="E2" s="651"/>
      <c r="F2" s="651"/>
      <c r="G2" s="651"/>
      <c r="H2" s="651"/>
      <c r="I2" s="651"/>
    </row>
    <row r="3" spans="1:14" ht="15.75" customHeight="1">
      <c r="A3" s="652" t="str">
        <f>+MAYOR!B3</f>
        <v>RUT: 76.541.377-K</v>
      </c>
      <c r="B3" s="649"/>
      <c r="C3" s="649"/>
      <c r="D3" s="653"/>
      <c r="E3" s="651"/>
      <c r="F3" s="651"/>
      <c r="G3" s="651"/>
      <c r="H3" s="651"/>
      <c r="I3" s="651"/>
    </row>
    <row r="4" spans="1:14" ht="15.75" customHeight="1">
      <c r="A4" s="652">
        <f>+MAYOR!B4</f>
        <v>0</v>
      </c>
      <c r="B4" s="654"/>
      <c r="C4" s="649"/>
      <c r="D4" s="653"/>
      <c r="E4" s="651"/>
      <c r="F4" s="651"/>
      <c r="G4" s="651"/>
      <c r="H4" s="651"/>
      <c r="I4" s="651"/>
    </row>
    <row r="5" spans="1:14" ht="15.75" customHeight="1">
      <c r="A5" s="654"/>
      <c r="B5" s="651"/>
      <c r="C5" s="651"/>
      <c r="D5" s="653"/>
      <c r="E5" s="651"/>
      <c r="F5" s="651"/>
      <c r="G5" s="651"/>
      <c r="H5" s="651"/>
      <c r="I5" s="651"/>
    </row>
    <row r="6" spans="1:14" s="115" customFormat="1" ht="20.25" customHeight="1">
      <c r="A6" s="655" t="s">
        <v>1020</v>
      </c>
      <c r="B6" s="656"/>
      <c r="C6" s="656"/>
      <c r="D6" s="656"/>
      <c r="E6" s="656"/>
      <c r="F6" s="656">
        <f>+D49</f>
        <v>0</v>
      </c>
      <c r="G6" s="656"/>
      <c r="H6" s="656"/>
      <c r="I6" s="656"/>
      <c r="J6" s="476"/>
      <c r="K6" s="476"/>
      <c r="L6" s="476"/>
    </row>
    <row r="7" spans="1:14" s="118" customFormat="1" ht="15.75" customHeight="1">
      <c r="A7" s="657" t="s">
        <v>1087</v>
      </c>
      <c r="B7" s="658"/>
      <c r="C7" s="658"/>
      <c r="D7" s="658"/>
      <c r="E7" s="658"/>
      <c r="F7" s="658"/>
      <c r="G7" s="658"/>
      <c r="H7" s="658"/>
      <c r="I7" s="658"/>
      <c r="J7" s="476"/>
      <c r="K7" s="476"/>
      <c r="L7" s="476"/>
    </row>
    <row r="8" spans="1:14" ht="5.25" customHeight="1">
      <c r="A8" s="659"/>
      <c r="B8" s="651"/>
      <c r="C8" s="651"/>
      <c r="D8" s="651"/>
      <c r="E8" s="651"/>
      <c r="F8" s="651"/>
      <c r="G8" s="651"/>
      <c r="H8" s="651"/>
      <c r="I8" s="651"/>
    </row>
    <row r="9" spans="1:14" ht="6.75" customHeight="1">
      <c r="A9" s="651"/>
      <c r="B9" s="651"/>
      <c r="C9" s="651"/>
      <c r="D9" s="651"/>
      <c r="E9" s="651"/>
      <c r="F9" s="651"/>
      <c r="G9" s="651"/>
      <c r="H9" s="651"/>
      <c r="I9" s="651"/>
    </row>
    <row r="10" spans="1:14" ht="15.75" customHeight="1" thickBot="1">
      <c r="A10" s="666" t="s">
        <v>11</v>
      </c>
      <c r="B10" s="667" t="s">
        <v>12</v>
      </c>
      <c r="C10" s="667" t="s">
        <v>13</v>
      </c>
      <c r="D10" s="668" t="s">
        <v>7</v>
      </c>
      <c r="E10" s="669"/>
      <c r="F10" s="670" t="s">
        <v>14</v>
      </c>
      <c r="G10" s="671"/>
      <c r="H10" s="668" t="s">
        <v>15</v>
      </c>
      <c r="I10" s="672"/>
    </row>
    <row r="11" spans="1:14" ht="15.75" customHeight="1">
      <c r="A11" s="673"/>
      <c r="B11" s="674" t="s">
        <v>16</v>
      </c>
      <c r="C11" s="674" t="s">
        <v>17</v>
      </c>
      <c r="D11" s="675" t="s">
        <v>18</v>
      </c>
      <c r="E11" s="676" t="s">
        <v>19</v>
      </c>
      <c r="F11" s="675" t="s">
        <v>20</v>
      </c>
      <c r="G11" s="676" t="s">
        <v>21</v>
      </c>
      <c r="H11" s="676" t="s">
        <v>22</v>
      </c>
      <c r="I11" s="677" t="s">
        <v>23</v>
      </c>
    </row>
    <row r="12" spans="1:14" s="120" customFormat="1" ht="15.75" customHeight="1" thickBot="1">
      <c r="A12" s="660" t="str">
        <f>+MAYOR!F6</f>
        <v>DISPONIBLE</v>
      </c>
      <c r="B12" s="661">
        <f>+MAYOR!F228</f>
        <v>0</v>
      </c>
      <c r="C12" s="661">
        <f>+MAYOR!G228</f>
        <v>0</v>
      </c>
      <c r="D12" s="661">
        <f>IF(B12&gt;C12,B12-C12,0)</f>
        <v>0</v>
      </c>
      <c r="E12" s="661">
        <f t="shared" ref="E12:E60" si="0">IF(B12&lt;C12,C12-B12,0)</f>
        <v>0</v>
      </c>
      <c r="F12" s="662">
        <f t="shared" ref="F12:G16" si="1">IF(D12&lt;0,0,D12)</f>
        <v>0</v>
      </c>
      <c r="G12" s="662">
        <f t="shared" si="1"/>
        <v>0</v>
      </c>
      <c r="H12" s="661">
        <f t="shared" ref="H12:I16" si="2">IF(F12&lt;=0,D12,0)</f>
        <v>0</v>
      </c>
      <c r="I12" s="661">
        <f t="shared" si="2"/>
        <v>0</v>
      </c>
      <c r="J12" s="476"/>
      <c r="K12" s="476"/>
      <c r="L12" s="476"/>
    </row>
    <row r="13" spans="1:14" s="857" customFormat="1" ht="15.75" customHeight="1" thickBot="1">
      <c r="A13" s="660" t="str">
        <f>+MAYOR!L6</f>
        <v>P.P.M.</v>
      </c>
      <c r="B13" s="661">
        <f>+MAYOR!L228</f>
        <v>0</v>
      </c>
      <c r="C13" s="661">
        <f>+MAYOR!M228</f>
        <v>0</v>
      </c>
      <c r="D13" s="661">
        <f t="shared" ref="D13:D60" si="3">IF(B13&gt;C13,B13-C13,0)</f>
        <v>0</v>
      </c>
      <c r="E13" s="661">
        <f t="shared" si="0"/>
        <v>0</v>
      </c>
      <c r="F13" s="662">
        <f t="shared" si="1"/>
        <v>0</v>
      </c>
      <c r="G13" s="662">
        <f t="shared" si="1"/>
        <v>0</v>
      </c>
      <c r="H13" s="661">
        <f t="shared" si="2"/>
        <v>0</v>
      </c>
      <c r="I13" s="661">
        <f t="shared" si="2"/>
        <v>0</v>
      </c>
      <c r="J13" s="856"/>
      <c r="K13" s="908">
        <v>3459463</v>
      </c>
      <c r="L13" s="856"/>
      <c r="M13" s="503"/>
      <c r="N13" s="503"/>
    </row>
    <row r="14" spans="1:14" s="857" customFormat="1" ht="15.75" customHeight="1">
      <c r="A14" s="660" t="str">
        <f>+MAYOR!R6</f>
        <v>CAMION FAENERO ANTOFAGASTA</v>
      </c>
      <c r="B14" s="661">
        <f>+MAYOR!R228</f>
        <v>0</v>
      </c>
      <c r="C14" s="661">
        <f>+MAYOR!S228</f>
        <v>0</v>
      </c>
      <c r="D14" s="661">
        <f t="shared" si="3"/>
        <v>0</v>
      </c>
      <c r="E14" s="661">
        <f t="shared" si="0"/>
        <v>0</v>
      </c>
      <c r="F14" s="662">
        <f>IF(D14&lt;0,0,D14)</f>
        <v>0</v>
      </c>
      <c r="G14" s="662">
        <f t="shared" si="1"/>
        <v>0</v>
      </c>
      <c r="H14" s="661">
        <f t="shared" si="2"/>
        <v>0</v>
      </c>
      <c r="I14" s="661">
        <f t="shared" si="2"/>
        <v>0</v>
      </c>
      <c r="J14" s="856"/>
      <c r="K14" s="909"/>
      <c r="L14" s="856"/>
      <c r="M14" s="503"/>
      <c r="N14" s="503"/>
    </row>
    <row r="15" spans="1:14" s="120" customFormat="1" ht="15.75" customHeight="1">
      <c r="A15" s="660" t="str">
        <f>+MAYOR!Z6</f>
        <v>VEHICULOS</v>
      </c>
      <c r="B15" s="661">
        <f>+MAYOR!Z228</f>
        <v>0</v>
      </c>
      <c r="C15" s="661">
        <f>+MAYOR!AA228</f>
        <v>0</v>
      </c>
      <c r="D15" s="661">
        <f t="shared" si="3"/>
        <v>0</v>
      </c>
      <c r="E15" s="661">
        <f t="shared" si="0"/>
        <v>0</v>
      </c>
      <c r="F15" s="662">
        <f t="shared" si="1"/>
        <v>0</v>
      </c>
      <c r="G15" s="662">
        <f t="shared" si="1"/>
        <v>0</v>
      </c>
      <c r="H15" s="661">
        <f t="shared" si="2"/>
        <v>0</v>
      </c>
      <c r="I15" s="661">
        <f t="shared" si="2"/>
        <v>0</v>
      </c>
      <c r="J15" s="476"/>
      <c r="K15" s="476"/>
      <c r="L15" s="476"/>
      <c r="M15" s="100"/>
      <c r="N15" s="100"/>
    </row>
    <row r="16" spans="1:14" s="120" customFormat="1" ht="15.75" hidden="1" customHeight="1">
      <c r="A16" s="660" t="str">
        <f>+MAYOR!P6</f>
        <v>INVESTIGACION NUEVOS PROYECTOS MINEROS</v>
      </c>
      <c r="B16" s="661">
        <f>+MAYOR!P228</f>
        <v>0</v>
      </c>
      <c r="C16" s="661">
        <f>+MAYOR!Q228</f>
        <v>0</v>
      </c>
      <c r="D16" s="661">
        <f t="shared" si="3"/>
        <v>0</v>
      </c>
      <c r="E16" s="661">
        <f t="shared" si="0"/>
        <v>0</v>
      </c>
      <c r="F16" s="662">
        <f t="shared" si="1"/>
        <v>0</v>
      </c>
      <c r="G16" s="662">
        <f t="shared" si="1"/>
        <v>0</v>
      </c>
      <c r="H16" s="661">
        <f t="shared" si="2"/>
        <v>0</v>
      </c>
      <c r="I16" s="661">
        <f t="shared" si="2"/>
        <v>0</v>
      </c>
      <c r="J16" s="476"/>
      <c r="K16" s="476"/>
      <c r="L16" s="476"/>
      <c r="M16" s="100"/>
      <c r="N16" s="100"/>
    </row>
    <row r="17" spans="1:14" s="120" customFormat="1" ht="15.75" customHeight="1">
      <c r="A17" s="660" t="str">
        <f>+MAYOR!N6</f>
        <v>RETIROS  DEL EJERCICIO</v>
      </c>
      <c r="B17" s="661">
        <f>+MAYOR!N228</f>
        <v>0</v>
      </c>
      <c r="C17" s="661">
        <f>+MAYOR!O228</f>
        <v>0</v>
      </c>
      <c r="D17" s="661">
        <f t="shared" ref="D17" si="4">IF(B17&gt;C17,B17-C17,0)</f>
        <v>0</v>
      </c>
      <c r="E17" s="661">
        <f t="shared" ref="E17" si="5">IF(B17&lt;C17,C17-B17,0)</f>
        <v>0</v>
      </c>
      <c r="F17" s="662">
        <f t="shared" ref="F17" si="6">IF(D17&lt;0,0,D17)</f>
        <v>0</v>
      </c>
      <c r="G17" s="662">
        <f t="shared" ref="G17" si="7">IF(E17&lt;0,0,E17)</f>
        <v>0</v>
      </c>
      <c r="H17" s="661">
        <f t="shared" ref="H17" si="8">IF(F17&lt;=0,D17,0)</f>
        <v>0</v>
      </c>
      <c r="I17" s="661">
        <f t="shared" ref="I17" si="9">IF(G17&lt;=0,E17,0)</f>
        <v>0</v>
      </c>
      <c r="J17" s="476"/>
      <c r="K17" s="476"/>
      <c r="L17" s="476"/>
      <c r="M17" s="100"/>
      <c r="N17" s="100"/>
    </row>
    <row r="18" spans="1:14" s="120" customFormat="1" ht="15.75" customHeight="1">
      <c r="A18" s="660" t="str">
        <f>+MAYOR!AN6</f>
        <v>Vehiculos usados Faena MEL</v>
      </c>
      <c r="B18" s="661">
        <f>+MAYOR!AN228</f>
        <v>0</v>
      </c>
      <c r="C18" s="661">
        <f>+MAYOR!AO228</f>
        <v>0</v>
      </c>
      <c r="D18" s="661">
        <f>IF(B18&gt;C18,B18-C18,0)</f>
        <v>0</v>
      </c>
      <c r="E18" s="661">
        <f>IF(B18&lt;C18,C18-B18,0)</f>
        <v>0</v>
      </c>
      <c r="F18" s="662">
        <f>IF(D18&lt;0,0,D18)</f>
        <v>0</v>
      </c>
      <c r="G18" s="662">
        <f>IF(E18&lt;0,0,E18)</f>
        <v>0</v>
      </c>
      <c r="H18" s="661">
        <f>IF(F18&lt;=0,D18,0)</f>
        <v>0</v>
      </c>
      <c r="I18" s="661">
        <f>IF(G18&lt;=0,E18,0)</f>
        <v>0</v>
      </c>
      <c r="J18" s="476"/>
      <c r="K18" s="476"/>
      <c r="L18" s="476"/>
      <c r="M18" s="100"/>
      <c r="N18" s="100"/>
    </row>
    <row r="19" spans="1:14" s="120" customFormat="1" ht="15.75" hidden="1" customHeight="1">
      <c r="A19" s="660"/>
      <c r="B19" s="661"/>
      <c r="C19" s="661">
        <v>0</v>
      </c>
      <c r="D19" s="661"/>
      <c r="E19" s="661"/>
      <c r="F19" s="662"/>
      <c r="G19" s="662"/>
      <c r="H19" s="661"/>
      <c r="I19" s="661"/>
      <c r="J19" s="476"/>
      <c r="K19" s="476"/>
      <c r="L19" s="476"/>
      <c r="M19" s="100"/>
      <c r="N19" s="100"/>
    </row>
    <row r="20" spans="1:14" s="120" customFormat="1" ht="15.75" customHeight="1">
      <c r="A20" s="660" t="str">
        <f>+MAYOR!AL6</f>
        <v>INTERESES DIFERIDOS BCI</v>
      </c>
      <c r="B20" s="661">
        <f>+MAYOR!AL228</f>
        <v>0</v>
      </c>
      <c r="C20" s="661">
        <f>+MAYOR!AM228</f>
        <v>0</v>
      </c>
      <c r="D20" s="661">
        <f>IF(B20&gt;C20,B20-C20,0)</f>
        <v>0</v>
      </c>
      <c r="E20" s="661">
        <f>IF(B20&lt;C20,C20-B20,0)</f>
        <v>0</v>
      </c>
      <c r="F20" s="662">
        <f t="shared" ref="F20:G35" si="10">IF(D20&lt;0,0,D20)</f>
        <v>0</v>
      </c>
      <c r="G20" s="662">
        <f t="shared" si="10"/>
        <v>0</v>
      </c>
      <c r="H20" s="661">
        <f t="shared" ref="H20:I35" si="11">IF(F20&lt;=0,D20,0)</f>
        <v>0</v>
      </c>
      <c r="I20" s="661">
        <f t="shared" si="11"/>
        <v>0</v>
      </c>
      <c r="J20" s="476"/>
      <c r="K20" s="476">
        <v>8306766</v>
      </c>
      <c r="L20" s="476"/>
      <c r="M20" s="100"/>
      <c r="N20" s="100"/>
    </row>
    <row r="21" spans="1:14" s="120" customFormat="1" ht="15.75" customHeight="1">
      <c r="A21" s="660" t="str">
        <f>+MAYOR!AP6</f>
        <v>Pago a Usureros Colombianos</v>
      </c>
      <c r="B21" s="661">
        <f>+MAYOR!AP228</f>
        <v>0</v>
      </c>
      <c r="C21" s="661">
        <f>+MAYOR!AQ228</f>
        <v>0</v>
      </c>
      <c r="D21" s="661">
        <f>IF(B21&gt;C21,B21-C21,0)</f>
        <v>0</v>
      </c>
      <c r="E21" s="661">
        <f>IF(B21&lt;C21,C21-B21,0)</f>
        <v>0</v>
      </c>
      <c r="F21" s="662">
        <f t="shared" si="10"/>
        <v>0</v>
      </c>
      <c r="G21" s="662">
        <f t="shared" si="10"/>
        <v>0</v>
      </c>
      <c r="H21" s="661">
        <f t="shared" si="11"/>
        <v>0</v>
      </c>
      <c r="I21" s="661">
        <f t="shared" si="11"/>
        <v>0</v>
      </c>
      <c r="J21" s="476"/>
      <c r="K21" s="476">
        <v>0</v>
      </c>
      <c r="L21" s="476"/>
      <c r="M21" s="100"/>
      <c r="N21" s="100"/>
    </row>
    <row r="22" spans="1:14" s="120" customFormat="1" ht="15.75" customHeight="1">
      <c r="A22" s="660" t="str">
        <f>+MAYOR!BQ6</f>
        <v>Ptmo para Pago Proveedores</v>
      </c>
      <c r="B22" s="661">
        <f>+MAYOR!BQ228</f>
        <v>0</v>
      </c>
      <c r="C22" s="661">
        <f>+MAYOR!BR228</f>
        <v>0</v>
      </c>
      <c r="D22" s="661">
        <f t="shared" si="3"/>
        <v>0</v>
      </c>
      <c r="E22" s="661">
        <f t="shared" si="0"/>
        <v>0</v>
      </c>
      <c r="F22" s="662">
        <f t="shared" si="10"/>
        <v>0</v>
      </c>
      <c r="G22" s="662">
        <f t="shared" si="10"/>
        <v>0</v>
      </c>
      <c r="H22" s="661">
        <f t="shared" si="11"/>
        <v>0</v>
      </c>
      <c r="I22" s="661">
        <f t="shared" si="11"/>
        <v>0</v>
      </c>
      <c r="J22" s="476"/>
      <c r="K22" s="476">
        <v>8200000</v>
      </c>
      <c r="L22" s="476"/>
    </row>
    <row r="23" spans="1:14" s="120" customFormat="1" ht="15.75" customHeight="1">
      <c r="A23" s="660" t="str">
        <f>+MAYOR!BI6</f>
        <v>Cambio Sujeto</v>
      </c>
      <c r="B23" s="661">
        <f>+MAYOR!BI228</f>
        <v>0</v>
      </c>
      <c r="C23" s="661">
        <f>+MAYOR!BJ228</f>
        <v>0</v>
      </c>
      <c r="D23" s="661">
        <f t="shared" ref="D23" si="12">IF(B23&gt;C23,B23-C23,0)</f>
        <v>0</v>
      </c>
      <c r="E23" s="661">
        <f t="shared" ref="E23" si="13">IF(B23&lt;C23,C23-B23,0)</f>
        <v>0</v>
      </c>
      <c r="F23" s="662">
        <f t="shared" ref="F23" si="14">IF(D23&lt;0,0,D23)</f>
        <v>0</v>
      </c>
      <c r="G23" s="662">
        <f t="shared" ref="G23" si="15">IF(E23&lt;0,0,E23)</f>
        <v>0</v>
      </c>
      <c r="H23" s="661">
        <f t="shared" ref="H23" si="16">IF(F23&lt;=0,D23,0)</f>
        <v>0</v>
      </c>
      <c r="I23" s="661">
        <f t="shared" ref="I23" si="17">IF(G23&lt;=0,E23,0)</f>
        <v>0</v>
      </c>
      <c r="J23" s="476"/>
      <c r="K23" s="476"/>
      <c r="L23" s="476"/>
    </row>
    <row r="24" spans="1:14" s="120" customFormat="1" ht="15.75" customHeight="1">
      <c r="A24" s="660" t="str">
        <f>+MAYOR!T6</f>
        <v>CREDITO SENCE</v>
      </c>
      <c r="B24" s="661">
        <f>+MAYOR!T228</f>
        <v>0</v>
      </c>
      <c r="C24" s="661"/>
      <c r="D24" s="661">
        <f t="shared" si="3"/>
        <v>0</v>
      </c>
      <c r="E24" s="661">
        <f t="shared" si="0"/>
        <v>0</v>
      </c>
      <c r="F24" s="662">
        <f t="shared" si="10"/>
        <v>0</v>
      </c>
      <c r="G24" s="662">
        <f t="shared" si="10"/>
        <v>0</v>
      </c>
      <c r="H24" s="661">
        <f t="shared" si="11"/>
        <v>0</v>
      </c>
      <c r="I24" s="661">
        <f t="shared" si="11"/>
        <v>0</v>
      </c>
      <c r="J24" s="476"/>
      <c r="K24" s="476">
        <v>459261</v>
      </c>
      <c r="L24" s="476"/>
      <c r="N24" s="100"/>
    </row>
    <row r="25" spans="1:14" s="120" customFormat="1" ht="15.75" customHeight="1">
      <c r="A25" s="660" t="str">
        <f>+MAYOR!AU6</f>
        <v>AFP</v>
      </c>
      <c r="B25" s="661">
        <f>+MAYOR!AU228</f>
        <v>0</v>
      </c>
      <c r="C25" s="661">
        <f>+MAYOR!AV228</f>
        <v>0</v>
      </c>
      <c r="D25" s="661">
        <f t="shared" si="3"/>
        <v>0</v>
      </c>
      <c r="E25" s="661">
        <f t="shared" si="0"/>
        <v>0</v>
      </c>
      <c r="F25" s="662">
        <f t="shared" si="10"/>
        <v>0</v>
      </c>
      <c r="G25" s="662">
        <f t="shared" si="10"/>
        <v>0</v>
      </c>
      <c r="H25" s="661">
        <f t="shared" si="11"/>
        <v>0</v>
      </c>
      <c r="I25" s="661">
        <f t="shared" si="11"/>
        <v>0</v>
      </c>
      <c r="J25" s="476"/>
      <c r="K25" s="476"/>
      <c r="L25" s="476"/>
    </row>
    <row r="26" spans="1:14" s="120" customFormat="1" ht="15.75" customHeight="1">
      <c r="A26" s="660" t="str">
        <f>+MAYOR!AW6</f>
        <v>RETENCION DE HONORARIOS</v>
      </c>
      <c r="B26" s="661">
        <f>+MAYOR!AW228</f>
        <v>0</v>
      </c>
      <c r="C26" s="661">
        <f>+MAYOR!AX228</f>
        <v>0</v>
      </c>
      <c r="D26" s="661">
        <f t="shared" si="3"/>
        <v>0</v>
      </c>
      <c r="E26" s="661">
        <f t="shared" si="0"/>
        <v>0</v>
      </c>
      <c r="F26" s="662">
        <f>IF(D26&lt;0,0,D26)</f>
        <v>0</v>
      </c>
      <c r="G26" s="662">
        <f>IF(E26&lt;0,0,E26)</f>
        <v>0</v>
      </c>
      <c r="H26" s="661">
        <f>IF(F26&lt;=0,D26,0)</f>
        <v>0</v>
      </c>
      <c r="I26" s="661">
        <f>IF(G26&lt;=0,E26,0)</f>
        <v>0</v>
      </c>
      <c r="J26" s="476"/>
      <c r="K26" s="476">
        <f>SUM(K20:K25)</f>
        <v>16966027</v>
      </c>
      <c r="L26" s="476"/>
    </row>
    <row r="27" spans="1:14" s="120" customFormat="1" ht="15.75" customHeight="1">
      <c r="A27" s="660" t="str">
        <f>+MAYOR!AY6</f>
        <v>P.P.M. POR PAGAR</v>
      </c>
      <c r="B27" s="661">
        <f>+MAYOR!AY228</f>
        <v>0</v>
      </c>
      <c r="C27" s="661">
        <f>+MAYOR!AZ228</f>
        <v>0</v>
      </c>
      <c r="D27" s="661">
        <f t="shared" si="3"/>
        <v>0</v>
      </c>
      <c r="E27" s="661">
        <f t="shared" si="0"/>
        <v>0</v>
      </c>
      <c r="F27" s="662">
        <f t="shared" si="10"/>
        <v>0</v>
      </c>
      <c r="G27" s="662">
        <f t="shared" si="10"/>
        <v>0</v>
      </c>
      <c r="H27" s="661">
        <f t="shared" si="11"/>
        <v>0</v>
      </c>
      <c r="I27" s="661">
        <f t="shared" si="11"/>
        <v>0</v>
      </c>
      <c r="J27" s="476"/>
      <c r="K27" s="476"/>
      <c r="L27" s="476"/>
    </row>
    <row r="28" spans="1:14" s="120" customFormat="1" ht="15.75" customHeight="1">
      <c r="A28" s="660" t="str">
        <f>+MAYOR!J6</f>
        <v>IVA POR PAGAR</v>
      </c>
      <c r="B28" s="661">
        <f>+MAYOR!J228</f>
        <v>0</v>
      </c>
      <c r="C28" s="661">
        <f>+MAYOR!K228</f>
        <v>0</v>
      </c>
      <c r="D28" s="661">
        <f t="shared" si="3"/>
        <v>0</v>
      </c>
      <c r="E28" s="661">
        <f t="shared" si="0"/>
        <v>0</v>
      </c>
      <c r="F28" s="662">
        <f t="shared" si="10"/>
        <v>0</v>
      </c>
      <c r="G28" s="662">
        <f t="shared" si="10"/>
        <v>0</v>
      </c>
      <c r="H28" s="661">
        <f t="shared" si="11"/>
        <v>0</v>
      </c>
      <c r="I28" s="661">
        <f t="shared" si="11"/>
        <v>0</v>
      </c>
      <c r="J28" s="476"/>
      <c r="K28" s="476">
        <v>3811437</v>
      </c>
      <c r="L28" s="476"/>
    </row>
    <row r="29" spans="1:14" s="857" customFormat="1" ht="15.75" customHeight="1">
      <c r="A29" s="660" t="str">
        <f>+MAYOR!BA6</f>
        <v>IMPTO UNICO</v>
      </c>
      <c r="B29" s="661">
        <f>+MAYOR!BA228</f>
        <v>0</v>
      </c>
      <c r="C29" s="661">
        <f>+MAYOR!BB228</f>
        <v>0</v>
      </c>
      <c r="D29" s="661">
        <f>IF(B29&gt;C29,B29-C29,0)</f>
        <v>0</v>
      </c>
      <c r="E29" s="661">
        <f t="shared" si="0"/>
        <v>0</v>
      </c>
      <c r="F29" s="662">
        <f t="shared" si="10"/>
        <v>0</v>
      </c>
      <c r="G29" s="662">
        <f t="shared" si="10"/>
        <v>0</v>
      </c>
      <c r="H29" s="661">
        <f t="shared" si="11"/>
        <v>0</v>
      </c>
      <c r="I29" s="661">
        <f t="shared" si="11"/>
        <v>0</v>
      </c>
      <c r="J29" s="856"/>
      <c r="K29" s="856"/>
      <c r="L29" s="856"/>
    </row>
    <row r="30" spans="1:14" s="120" customFormat="1" ht="15.75" customHeight="1">
      <c r="A30" s="660" t="str">
        <f>+MAYOR!BY6</f>
        <v>ITAU PRESTAMO MM$80</v>
      </c>
      <c r="B30" s="661">
        <f>+MAYOR!BY228</f>
        <v>0</v>
      </c>
      <c r="C30" s="661">
        <f>+MAYOR!BZ228</f>
        <v>0</v>
      </c>
      <c r="D30" s="661">
        <f>IF(B30&gt;C30,B30-C30,0)</f>
        <v>0</v>
      </c>
      <c r="E30" s="661">
        <f t="shared" si="0"/>
        <v>0</v>
      </c>
      <c r="F30" s="662">
        <f t="shared" si="10"/>
        <v>0</v>
      </c>
      <c r="G30" s="662">
        <f t="shared" si="10"/>
        <v>0</v>
      </c>
      <c r="H30" s="661">
        <f t="shared" si="11"/>
        <v>0</v>
      </c>
      <c r="I30" s="661">
        <f t="shared" si="11"/>
        <v>0</v>
      </c>
      <c r="J30" s="476"/>
      <c r="K30" s="476">
        <f>+F28</f>
        <v>0</v>
      </c>
      <c r="L30" s="476"/>
    </row>
    <row r="31" spans="1:14" s="120" customFormat="1" ht="15.75" customHeight="1">
      <c r="A31" s="660" t="str">
        <f>+MAYOR!BO6</f>
        <v>PROVISION DE IMPUESTOS</v>
      </c>
      <c r="B31" s="661">
        <f>+MAYOR!BO228</f>
        <v>0</v>
      </c>
      <c r="C31" s="661">
        <f>+MAYOR!BP228</f>
        <v>0</v>
      </c>
      <c r="D31" s="661">
        <f t="shared" si="3"/>
        <v>0</v>
      </c>
      <c r="E31" s="661">
        <f t="shared" si="0"/>
        <v>0</v>
      </c>
      <c r="F31" s="662">
        <f t="shared" si="10"/>
        <v>0</v>
      </c>
      <c r="G31" s="662">
        <f t="shared" si="10"/>
        <v>0</v>
      </c>
      <c r="H31" s="661">
        <f t="shared" si="11"/>
        <v>0</v>
      </c>
      <c r="I31" s="661">
        <f t="shared" si="11"/>
        <v>0</v>
      </c>
      <c r="J31" s="476">
        <f>+G30</f>
        <v>0</v>
      </c>
      <c r="K31" s="476">
        <f>+K28-K30</f>
        <v>3811437</v>
      </c>
      <c r="L31" s="476">
        <v>13411244</v>
      </c>
    </row>
    <row r="32" spans="1:14" s="120" customFormat="1" ht="15.75" customHeight="1">
      <c r="A32" s="1397" t="str">
        <f>+MAYOR!BE6</f>
        <v>DEPRECIACION ACUMULADA</v>
      </c>
      <c r="B32" s="661">
        <f>+MAYOR!BE228</f>
        <v>0</v>
      </c>
      <c r="C32" s="661">
        <f>+MAYOR!BF228</f>
        <v>0</v>
      </c>
      <c r="D32" s="661">
        <f t="shared" si="3"/>
        <v>0</v>
      </c>
      <c r="E32" s="661">
        <f t="shared" si="0"/>
        <v>0</v>
      </c>
      <c r="F32" s="661">
        <f t="shared" si="10"/>
        <v>0</v>
      </c>
      <c r="G32" s="661">
        <f t="shared" si="10"/>
        <v>0</v>
      </c>
      <c r="H32" s="661">
        <f t="shared" si="11"/>
        <v>0</v>
      </c>
      <c r="I32" s="661">
        <f t="shared" si="11"/>
        <v>0</v>
      </c>
      <c r="J32" s="476"/>
      <c r="K32" s="476"/>
      <c r="L32" s="476"/>
    </row>
    <row r="33" spans="1:12" s="120" customFormat="1" ht="15.75" customHeight="1">
      <c r="A33" s="660" t="str">
        <f>+MAYOR!BK6</f>
        <v xml:space="preserve">FINANCIAMIENTO DE TERCEROS </v>
      </c>
      <c r="B33" s="661">
        <f>+MAYOR!BK228</f>
        <v>0</v>
      </c>
      <c r="C33" s="661">
        <f>+MAYOR!BL228</f>
        <v>0</v>
      </c>
      <c r="D33" s="661">
        <f t="shared" si="3"/>
        <v>0</v>
      </c>
      <c r="E33" s="661">
        <f t="shared" si="0"/>
        <v>0</v>
      </c>
      <c r="F33" s="662">
        <f t="shared" si="10"/>
        <v>0</v>
      </c>
      <c r="G33" s="662">
        <f t="shared" si="10"/>
        <v>0</v>
      </c>
      <c r="H33" s="661">
        <f t="shared" si="11"/>
        <v>0</v>
      </c>
      <c r="I33" s="661">
        <f t="shared" si="11"/>
        <v>0</v>
      </c>
      <c r="J33" s="476">
        <f>+G29</f>
        <v>0</v>
      </c>
      <c r="K33" s="476"/>
      <c r="L33" s="476">
        <v>58602</v>
      </c>
    </row>
    <row r="34" spans="1:12" s="120" customFormat="1" ht="15.75" hidden="1" customHeight="1" thickBot="1">
      <c r="A34" s="660" t="str">
        <f>+MAYOR!BM6</f>
        <v>CTAS POR PAGAR</v>
      </c>
      <c r="B34" s="661">
        <f>+MAYOR!BM228</f>
        <v>0</v>
      </c>
      <c r="C34" s="661">
        <f>+MAYOR!BN228</f>
        <v>0</v>
      </c>
      <c r="D34" s="661">
        <f t="shared" si="3"/>
        <v>0</v>
      </c>
      <c r="E34" s="661">
        <f t="shared" si="0"/>
        <v>0</v>
      </c>
      <c r="F34" s="662">
        <f t="shared" si="10"/>
        <v>0</v>
      </c>
      <c r="G34" s="662">
        <f t="shared" si="10"/>
        <v>0</v>
      </c>
      <c r="H34" s="661">
        <f t="shared" si="11"/>
        <v>0</v>
      </c>
      <c r="I34" s="661">
        <f t="shared" si="11"/>
        <v>0</v>
      </c>
      <c r="J34" s="476">
        <f>SUM(J31:J33)</f>
        <v>0</v>
      </c>
      <c r="K34" s="476"/>
      <c r="L34" s="1104">
        <f>SUM(L31:L33)</f>
        <v>13469846</v>
      </c>
    </row>
    <row r="35" spans="1:12" s="120" customFormat="1" ht="15.75" customHeight="1">
      <c r="A35" s="660" t="str">
        <f>+MAYOR!CC6</f>
        <v>CAPITAL</v>
      </c>
      <c r="B35" s="661">
        <f>+MAYOR!CC228</f>
        <v>0</v>
      </c>
      <c r="C35" s="661">
        <f>+MAYOR!CD228</f>
        <v>0</v>
      </c>
      <c r="D35" s="661">
        <f t="shared" si="3"/>
        <v>0</v>
      </c>
      <c r="E35" s="661">
        <f t="shared" si="0"/>
        <v>0</v>
      </c>
      <c r="F35" s="662">
        <f t="shared" si="10"/>
        <v>0</v>
      </c>
      <c r="G35" s="662">
        <f t="shared" si="10"/>
        <v>0</v>
      </c>
      <c r="H35" s="661">
        <f t="shared" si="11"/>
        <v>0</v>
      </c>
      <c r="I35" s="661">
        <f t="shared" si="11"/>
        <v>0</v>
      </c>
      <c r="J35" s="476"/>
      <c r="K35" s="476">
        <v>3327899</v>
      </c>
      <c r="L35" s="476"/>
    </row>
    <row r="36" spans="1:12" s="120" customFormat="1" ht="15.75" customHeight="1">
      <c r="A36" s="660" t="str">
        <f>+MAYOR!CE6</f>
        <v>REV. CAPITAL PROPIO</v>
      </c>
      <c r="B36" s="661">
        <f>+MAYOR!CE228</f>
        <v>0</v>
      </c>
      <c r="C36" s="661">
        <f>+MAYOR!CF228</f>
        <v>0</v>
      </c>
      <c r="D36" s="661">
        <f t="shared" si="3"/>
        <v>0</v>
      </c>
      <c r="E36" s="661">
        <f t="shared" si="0"/>
        <v>0</v>
      </c>
      <c r="F36" s="662">
        <f t="shared" ref="F36:G38" si="18">IF(D36&lt;0,0,D36)</f>
        <v>0</v>
      </c>
      <c r="G36" s="662">
        <f t="shared" si="18"/>
        <v>0</v>
      </c>
      <c r="H36" s="661">
        <f t="shared" ref="H36:I55" si="19">IF(F36&lt;=0,D36,0)</f>
        <v>0</v>
      </c>
      <c r="I36" s="661">
        <f t="shared" si="19"/>
        <v>0</v>
      </c>
      <c r="J36" s="476"/>
      <c r="K36" s="476">
        <v>3811437</v>
      </c>
      <c r="L36" s="476"/>
    </row>
    <row r="37" spans="1:12" s="120" customFormat="1" ht="15.75" customHeight="1">
      <c r="A37" s="660" t="str">
        <f>+MAYOR!CG6</f>
        <v>RESULTADO ACUMULADO</v>
      </c>
      <c r="B37" s="661">
        <f>+MAYOR!CG228</f>
        <v>0</v>
      </c>
      <c r="C37" s="661">
        <f>+MAYOR!CH228</f>
        <v>0</v>
      </c>
      <c r="D37" s="661">
        <f t="shared" si="3"/>
        <v>0</v>
      </c>
      <c r="E37" s="661">
        <f t="shared" si="0"/>
        <v>0</v>
      </c>
      <c r="F37" s="662">
        <f t="shared" si="18"/>
        <v>0</v>
      </c>
      <c r="G37" s="662">
        <f t="shared" si="18"/>
        <v>0</v>
      </c>
      <c r="H37" s="661">
        <f t="shared" si="19"/>
        <v>0</v>
      </c>
      <c r="I37" s="661">
        <f t="shared" si="19"/>
        <v>0</v>
      </c>
      <c r="J37" s="476"/>
      <c r="K37" s="476">
        <f>+K35-K36</f>
        <v>-483538</v>
      </c>
      <c r="L37" s="476"/>
    </row>
    <row r="38" spans="1:12" s="120" customFormat="1" ht="15.75" customHeight="1">
      <c r="A38" s="660" t="str">
        <f>+MAYOR!CI6</f>
        <v>RESULTADO EJERCICIO ANTERIOR</v>
      </c>
      <c r="B38" s="661">
        <f>+MAYOR!CI228</f>
        <v>0</v>
      </c>
      <c r="C38" s="661">
        <f>+MAYOR!CJ228</f>
        <v>0</v>
      </c>
      <c r="D38" s="661">
        <f t="shared" si="3"/>
        <v>0</v>
      </c>
      <c r="E38" s="661">
        <f t="shared" si="0"/>
        <v>0</v>
      </c>
      <c r="F38" s="662">
        <f t="shared" si="18"/>
        <v>0</v>
      </c>
      <c r="G38" s="662">
        <f t="shared" si="18"/>
        <v>0</v>
      </c>
      <c r="H38" s="661">
        <f t="shared" si="19"/>
        <v>0</v>
      </c>
      <c r="I38" s="661">
        <f t="shared" si="19"/>
        <v>0</v>
      </c>
      <c r="J38" s="476"/>
      <c r="K38" s="476"/>
      <c r="L38" s="476"/>
    </row>
    <row r="39" spans="1:12" s="857" customFormat="1" ht="15.75" customHeight="1">
      <c r="A39" s="660" t="str">
        <f>+MAYOR!CL6</f>
        <v xml:space="preserve">INGRESOS VENTA </v>
      </c>
      <c r="B39" s="661">
        <f>+MAYOR!CL228</f>
        <v>0</v>
      </c>
      <c r="C39" s="661">
        <f>+MAYOR!CM228</f>
        <v>0</v>
      </c>
      <c r="D39" s="661">
        <f t="shared" si="3"/>
        <v>0</v>
      </c>
      <c r="E39" s="661">
        <f t="shared" si="0"/>
        <v>0</v>
      </c>
      <c r="F39" s="662">
        <v>0</v>
      </c>
      <c r="G39" s="662">
        <v>0</v>
      </c>
      <c r="H39" s="661">
        <f t="shared" si="19"/>
        <v>0</v>
      </c>
      <c r="I39" s="661">
        <f t="shared" si="19"/>
        <v>0</v>
      </c>
      <c r="J39" s="1168">
        <f>+I39+I40</f>
        <v>0</v>
      </c>
      <c r="K39" s="1169">
        <v>154917647</v>
      </c>
      <c r="L39" s="1172">
        <v>226125207</v>
      </c>
    </row>
    <row r="40" spans="1:12" s="857" customFormat="1" ht="15.75" hidden="1" customHeight="1">
      <c r="A40" s="660" t="str">
        <f>+MAYOR!CN6</f>
        <v>INGRESOS VTA EXENTAS</v>
      </c>
      <c r="B40" s="661">
        <f>+MAYOR!CN228</f>
        <v>0</v>
      </c>
      <c r="C40" s="661">
        <f>+MAYOR!CO228</f>
        <v>0</v>
      </c>
      <c r="D40" s="661">
        <f t="shared" si="3"/>
        <v>0</v>
      </c>
      <c r="E40" s="661">
        <f t="shared" si="0"/>
        <v>0</v>
      </c>
      <c r="F40" s="662">
        <v>0</v>
      </c>
      <c r="G40" s="662">
        <v>0</v>
      </c>
      <c r="H40" s="661">
        <f t="shared" si="19"/>
        <v>0</v>
      </c>
      <c r="I40" s="661">
        <f t="shared" si="19"/>
        <v>0</v>
      </c>
      <c r="J40" s="1170"/>
      <c r="K40" s="856"/>
      <c r="L40" s="1173"/>
    </row>
    <row r="41" spans="1:12" s="120" customFormat="1" ht="15.75" hidden="1" customHeight="1" thickBot="1">
      <c r="A41" s="660" t="str">
        <f>+MAYOR!CP6</f>
        <v>UTILIDAD VENTA A-FIJO</v>
      </c>
      <c r="B41" s="661">
        <f>+MAYOR!CP228</f>
        <v>0</v>
      </c>
      <c r="C41" s="661">
        <f>+MAYOR!CQ228</f>
        <v>0</v>
      </c>
      <c r="D41" s="661">
        <f t="shared" si="3"/>
        <v>0</v>
      </c>
      <c r="E41" s="661">
        <f t="shared" si="0"/>
        <v>0</v>
      </c>
      <c r="F41" s="662">
        <v>0</v>
      </c>
      <c r="G41" s="662">
        <v>0</v>
      </c>
      <c r="H41" s="661">
        <f t="shared" si="19"/>
        <v>0</v>
      </c>
      <c r="I41" s="661">
        <f t="shared" si="19"/>
        <v>0</v>
      </c>
      <c r="J41" s="1174">
        <f>+J39-L39</f>
        <v>-226125207</v>
      </c>
      <c r="K41" s="1171"/>
      <c r="L41" s="1171"/>
    </row>
    <row r="42" spans="1:12" s="120" customFormat="1" ht="15.75" hidden="1" customHeight="1" thickTop="1">
      <c r="A42" s="660" t="str">
        <f>+MAYOR!CR6</f>
        <v>OTRAS VENTA</v>
      </c>
      <c r="B42" s="661">
        <f>+MAYOR!CR228</f>
        <v>0</v>
      </c>
      <c r="C42" s="661">
        <f>+MAYOR!CS228</f>
        <v>0</v>
      </c>
      <c r="D42" s="661">
        <f t="shared" si="3"/>
        <v>0</v>
      </c>
      <c r="E42" s="661">
        <f t="shared" si="0"/>
        <v>0</v>
      </c>
      <c r="F42" s="662">
        <v>0</v>
      </c>
      <c r="G42" s="662">
        <v>0</v>
      </c>
      <c r="H42" s="661">
        <f t="shared" si="19"/>
        <v>0</v>
      </c>
      <c r="I42" s="661">
        <f t="shared" si="19"/>
        <v>0</v>
      </c>
      <c r="J42" s="476"/>
      <c r="K42" s="476"/>
      <c r="L42" s="476"/>
    </row>
    <row r="43" spans="1:12" s="120" customFormat="1" ht="15.75" hidden="1" customHeight="1">
      <c r="A43" s="660" t="str">
        <f>+MAYOR!DA6</f>
        <v>GASTOS DE VTA</v>
      </c>
      <c r="B43" s="661">
        <f>+MAYOR!DA228</f>
        <v>0</v>
      </c>
      <c r="C43" s="661">
        <f>+MAYOR!DV227</f>
        <v>0</v>
      </c>
      <c r="D43" s="661">
        <f t="shared" si="3"/>
        <v>0</v>
      </c>
      <c r="E43" s="661">
        <f t="shared" si="0"/>
        <v>0</v>
      </c>
      <c r="F43" s="662">
        <v>0</v>
      </c>
      <c r="G43" s="662">
        <v>0</v>
      </c>
      <c r="H43" s="661">
        <f t="shared" si="19"/>
        <v>0</v>
      </c>
      <c r="I43" s="661">
        <f t="shared" si="19"/>
        <v>0</v>
      </c>
      <c r="J43" s="476"/>
      <c r="K43" s="476" t="s">
        <v>776</v>
      </c>
      <c r="L43" s="476"/>
    </row>
    <row r="44" spans="1:12" s="857" customFormat="1" ht="15.75" customHeight="1">
      <c r="A44" s="660" t="str">
        <f>+MAYOR!DU6</f>
        <v>SUELDOS</v>
      </c>
      <c r="B44" s="661">
        <f>+MAYOR!DU228</f>
        <v>0</v>
      </c>
      <c r="C44" s="661">
        <f>+MAYOR!DV228</f>
        <v>0</v>
      </c>
      <c r="D44" s="661">
        <f t="shared" si="3"/>
        <v>0</v>
      </c>
      <c r="E44" s="661">
        <f t="shared" si="0"/>
        <v>0</v>
      </c>
      <c r="F44" s="662">
        <v>0</v>
      </c>
      <c r="G44" s="662">
        <v>0</v>
      </c>
      <c r="H44" s="661">
        <f t="shared" si="19"/>
        <v>0</v>
      </c>
      <c r="I44" s="661">
        <f t="shared" si="19"/>
        <v>0</v>
      </c>
      <c r="J44" s="856">
        <f>+H44+H45</f>
        <v>0</v>
      </c>
      <c r="K44" s="856">
        <v>27701607</v>
      </c>
      <c r="L44" s="856">
        <f>+K44-J44</f>
        <v>27701607</v>
      </c>
    </row>
    <row r="45" spans="1:12" s="857" customFormat="1" ht="21" customHeight="1">
      <c r="A45" s="660" t="str">
        <f>+MAYOR!DY6</f>
        <v>COSTO EMPLEADOR</v>
      </c>
      <c r="B45" s="661">
        <f>+MAYOR!DY229</f>
        <v>0</v>
      </c>
      <c r="C45" s="661">
        <f>+MAYOR!DZ228</f>
        <v>0</v>
      </c>
      <c r="D45" s="661">
        <f t="shared" si="3"/>
        <v>0</v>
      </c>
      <c r="E45" s="661">
        <f t="shared" si="0"/>
        <v>0</v>
      </c>
      <c r="F45" s="662">
        <v>0</v>
      </c>
      <c r="G45" s="662">
        <v>0</v>
      </c>
      <c r="H45" s="661">
        <f t="shared" si="19"/>
        <v>0</v>
      </c>
      <c r="I45" s="661">
        <f t="shared" si="19"/>
        <v>0</v>
      </c>
      <c r="J45" s="856"/>
      <c r="K45" s="856"/>
      <c r="L45" s="856"/>
    </row>
    <row r="46" spans="1:12" s="120" customFormat="1" ht="15.75" hidden="1" customHeight="1">
      <c r="A46" s="660" t="str">
        <f>+MAYOR!EC6</f>
        <v>COSTO DE VENTA</v>
      </c>
      <c r="B46" s="661">
        <f>+MAYOR!EC228</f>
        <v>0</v>
      </c>
      <c r="C46" s="661">
        <f>+MAYOR!ED228</f>
        <v>0</v>
      </c>
      <c r="D46" s="661">
        <f t="shared" si="3"/>
        <v>0</v>
      </c>
      <c r="E46" s="661">
        <f t="shared" si="0"/>
        <v>0</v>
      </c>
      <c r="F46" s="662">
        <v>0</v>
      </c>
      <c r="G46" s="662">
        <v>0</v>
      </c>
      <c r="H46" s="661">
        <f>IF(F46&lt;=0,D46,0)</f>
        <v>0</v>
      </c>
      <c r="I46" s="661">
        <f t="shared" si="19"/>
        <v>0</v>
      </c>
      <c r="J46" s="476"/>
      <c r="K46" s="476"/>
      <c r="L46" s="476"/>
    </row>
    <row r="47" spans="1:12" s="120" customFormat="1" ht="15.75" hidden="1" customHeight="1">
      <c r="A47" s="660" t="str">
        <f>+MAYOR!DC6</f>
        <v>CAPACITACION</v>
      </c>
      <c r="B47" s="661">
        <f>+MAYOR!DC228</f>
        <v>0</v>
      </c>
      <c r="C47" s="661">
        <f>+MAYOR!DD228</f>
        <v>0</v>
      </c>
      <c r="D47" s="661">
        <f t="shared" si="3"/>
        <v>0</v>
      </c>
      <c r="E47" s="661">
        <f t="shared" si="0"/>
        <v>0</v>
      </c>
      <c r="F47" s="662">
        <v>0</v>
      </c>
      <c r="G47" s="662">
        <v>0</v>
      </c>
      <c r="H47" s="661">
        <f>IF(F47&lt;=0,D47,0)</f>
        <v>0</v>
      </c>
      <c r="I47" s="661">
        <f t="shared" si="19"/>
        <v>0</v>
      </c>
      <c r="J47" s="476"/>
      <c r="K47" s="476">
        <f>+H44+H45</f>
        <v>0</v>
      </c>
      <c r="L47" s="476"/>
    </row>
    <row r="48" spans="1:12" s="120" customFormat="1" ht="15.75" hidden="1" customHeight="1">
      <c r="A48" s="660" t="str">
        <f>+MAYOR!EA6</f>
        <v>INTERESES FOGAPE</v>
      </c>
      <c r="B48" s="661">
        <f>+MAYOR!EA228</f>
        <v>0</v>
      </c>
      <c r="C48" s="661">
        <f>+MAYOR!EB228</f>
        <v>0</v>
      </c>
      <c r="D48" s="661">
        <f t="shared" si="3"/>
        <v>0</v>
      </c>
      <c r="E48" s="661">
        <f t="shared" si="0"/>
        <v>0</v>
      </c>
      <c r="F48" s="662">
        <v>0</v>
      </c>
      <c r="G48" s="662">
        <v>0</v>
      </c>
      <c r="H48" s="661">
        <f>IF(F48&lt;=0,D48,0)</f>
        <v>0</v>
      </c>
      <c r="I48" s="661">
        <f t="shared" si="19"/>
        <v>0</v>
      </c>
      <c r="J48" s="476"/>
      <c r="K48" s="476">
        <v>44978889</v>
      </c>
      <c r="L48" s="476"/>
    </row>
    <row r="49" spans="1:12" s="120" customFormat="1" ht="15.75" hidden="1" customHeight="1">
      <c r="A49" s="660" t="s">
        <v>1012</v>
      </c>
      <c r="B49" s="661"/>
      <c r="C49" s="661"/>
      <c r="D49" s="661"/>
      <c r="E49" s="661"/>
      <c r="F49" s="662"/>
      <c r="G49" s="662"/>
      <c r="H49" s="661"/>
      <c r="I49" s="661"/>
      <c r="J49" s="476"/>
      <c r="K49" s="476"/>
      <c r="L49" s="476"/>
    </row>
    <row r="50" spans="1:12" s="120" customFormat="1" ht="15.75" hidden="1" customHeight="1">
      <c r="A50" s="660"/>
      <c r="B50" s="661"/>
      <c r="C50" s="661"/>
      <c r="D50" s="661"/>
      <c r="E50" s="661"/>
      <c r="F50" s="662"/>
      <c r="G50" s="662"/>
      <c r="H50" s="661"/>
      <c r="I50" s="661"/>
      <c r="J50" s="476"/>
      <c r="K50" s="476"/>
      <c r="L50" s="476"/>
    </row>
    <row r="51" spans="1:12" s="120" customFormat="1" ht="15.75" hidden="1" customHeight="1">
      <c r="A51" s="660"/>
      <c r="B51" s="661"/>
      <c r="C51" s="661"/>
      <c r="D51" s="661"/>
      <c r="E51" s="661"/>
      <c r="F51" s="662"/>
      <c r="G51" s="662"/>
      <c r="H51" s="661"/>
      <c r="I51" s="661"/>
      <c r="J51" s="476"/>
      <c r="K51" s="476"/>
      <c r="L51" s="476"/>
    </row>
    <row r="52" spans="1:12" s="120" customFormat="1" ht="15.75" hidden="1" customHeight="1">
      <c r="A52" s="660" t="s">
        <v>904</v>
      </c>
      <c r="B52" s="661"/>
      <c r="C52" s="661">
        <f>+MAYOR!CX228</f>
        <v>0</v>
      </c>
      <c r="D52" s="661">
        <f t="shared" si="3"/>
        <v>0</v>
      </c>
      <c r="E52" s="661">
        <f t="shared" si="0"/>
        <v>0</v>
      </c>
      <c r="F52" s="662">
        <v>0</v>
      </c>
      <c r="G52" s="662">
        <v>0</v>
      </c>
      <c r="H52" s="661">
        <f t="shared" si="19"/>
        <v>0</v>
      </c>
      <c r="I52" s="661">
        <f t="shared" si="19"/>
        <v>0</v>
      </c>
      <c r="J52" s="476"/>
      <c r="K52" s="476">
        <f>+K47-K48</f>
        <v>-44978889</v>
      </c>
      <c r="L52" s="476"/>
    </row>
    <row r="53" spans="1:12" s="120" customFormat="1" ht="15.75" hidden="1" customHeight="1">
      <c r="A53" s="660" t="str">
        <f>+MAYOR!CY6</f>
        <v>AMORTIZ. PROY. INVESTIGACION MINERA</v>
      </c>
      <c r="B53" s="661">
        <f>+MAYOR!CY228</f>
        <v>0</v>
      </c>
      <c r="C53" s="661">
        <f>+MAYOR!CX229</f>
        <v>0</v>
      </c>
      <c r="D53" s="661">
        <f t="shared" si="3"/>
        <v>0</v>
      </c>
      <c r="E53" s="661">
        <f t="shared" si="0"/>
        <v>0</v>
      </c>
      <c r="F53" s="662">
        <v>0</v>
      </c>
      <c r="G53" s="662">
        <v>0</v>
      </c>
      <c r="H53" s="661">
        <f t="shared" si="19"/>
        <v>0</v>
      </c>
      <c r="I53" s="661">
        <f t="shared" si="19"/>
        <v>0</v>
      </c>
      <c r="J53" s="476"/>
      <c r="K53" s="476"/>
      <c r="L53" s="476"/>
    </row>
    <row r="54" spans="1:12" s="120" customFormat="1" ht="15.75" customHeight="1">
      <c r="A54" s="660" t="str">
        <f>+MAYOR!CW6</f>
        <v>GASTOS TRANSPORTE</v>
      </c>
      <c r="B54" s="661">
        <f>+MAYOR!CW228</f>
        <v>0</v>
      </c>
      <c r="C54" s="661">
        <f>+MAYOR!CX228</f>
        <v>0</v>
      </c>
      <c r="D54" s="661">
        <f t="shared" si="3"/>
        <v>0</v>
      </c>
      <c r="E54" s="661">
        <f t="shared" si="0"/>
        <v>0</v>
      </c>
      <c r="F54" s="662">
        <v>0</v>
      </c>
      <c r="G54" s="662">
        <v>0</v>
      </c>
      <c r="H54" s="661">
        <f t="shared" si="19"/>
        <v>0</v>
      </c>
      <c r="I54" s="661"/>
      <c r="J54" s="476"/>
      <c r="K54" s="476"/>
      <c r="L54" s="476"/>
    </row>
    <row r="55" spans="1:12" s="857" customFormat="1" ht="15.75" customHeight="1">
      <c r="A55" s="660" t="str">
        <f>+MAYOR!EG6</f>
        <v>GASTOS GENERALES</v>
      </c>
      <c r="B55" s="661">
        <f>+MAYOR!EG228</f>
        <v>0</v>
      </c>
      <c r="C55" s="661">
        <f>+MAYOR!EH228</f>
        <v>0</v>
      </c>
      <c r="D55" s="661">
        <f t="shared" si="3"/>
        <v>0</v>
      </c>
      <c r="E55" s="661">
        <f t="shared" si="0"/>
        <v>0</v>
      </c>
      <c r="F55" s="662">
        <v>0</v>
      </c>
      <c r="G55" s="662">
        <v>0</v>
      </c>
      <c r="H55" s="661">
        <f t="shared" si="19"/>
        <v>0</v>
      </c>
      <c r="I55" s="661">
        <f t="shared" si="19"/>
        <v>0</v>
      </c>
      <c r="J55" s="856"/>
      <c r="K55" s="856"/>
      <c r="L55" s="856"/>
    </row>
    <row r="56" spans="1:12" s="120" customFormat="1" ht="15.75" hidden="1" customHeight="1">
      <c r="A56" s="660" t="str">
        <f>+MAYOR!DW6</f>
        <v>ARRIENDO Taller y Oficina</v>
      </c>
      <c r="B56" s="661">
        <f>+MAYOR!DW228</f>
        <v>0</v>
      </c>
      <c r="C56" s="661">
        <f>+MAYOR!DX228</f>
        <v>0</v>
      </c>
      <c r="D56" s="661">
        <f>IF(B56&gt;C56,B56-C56,0)</f>
        <v>0</v>
      </c>
      <c r="E56" s="661">
        <f>IF(B56&lt;C56,C56-B56,0)</f>
        <v>0</v>
      </c>
      <c r="F56" s="662">
        <v>0</v>
      </c>
      <c r="G56" s="662">
        <v>0</v>
      </c>
      <c r="H56" s="661">
        <f>IF(F56&lt;=0,D56,0)</f>
        <v>0</v>
      </c>
      <c r="I56" s="661">
        <f>IF(G56&lt;=0,E56,0)</f>
        <v>0</v>
      </c>
      <c r="J56" s="476"/>
      <c r="K56" s="476"/>
      <c r="L56" s="476"/>
    </row>
    <row r="57" spans="1:12" s="857" customFormat="1" ht="15.75" customHeight="1">
      <c r="A57" s="660" t="str">
        <f>+MAYOR!DS6</f>
        <v>HONORARIOS Y SERVICIOS PROFESIONALES</v>
      </c>
      <c r="B57" s="661">
        <f>+MAYOR!DS228</f>
        <v>0</v>
      </c>
      <c r="C57" s="661">
        <f>+MAYOR!DT228</f>
        <v>0</v>
      </c>
      <c r="D57" s="661">
        <f t="shared" si="3"/>
        <v>0</v>
      </c>
      <c r="E57" s="661">
        <f t="shared" si="0"/>
        <v>0</v>
      </c>
      <c r="F57" s="662">
        <v>0</v>
      </c>
      <c r="G57" s="662">
        <v>0</v>
      </c>
      <c r="H57" s="661">
        <f t="shared" ref="H57:I60" si="20">IF(F57&lt;=0,D57,0)</f>
        <v>0</v>
      </c>
      <c r="I57" s="661">
        <f t="shared" si="20"/>
        <v>0</v>
      </c>
      <c r="J57" s="856"/>
      <c r="K57" s="856"/>
      <c r="L57" s="856"/>
    </row>
    <row r="58" spans="1:12" s="120" customFormat="1" ht="15.75" customHeight="1">
      <c r="A58" s="660" t="str">
        <f>+MAYOR!EI6</f>
        <v>DEPRECIACION DEL EJERCICIO</v>
      </c>
      <c r="B58" s="661">
        <f>+MAYOR!EI228</f>
        <v>0</v>
      </c>
      <c r="C58" s="661">
        <f>+MAYOR!EJ228</f>
        <v>0</v>
      </c>
      <c r="D58" s="661">
        <f t="shared" si="3"/>
        <v>0</v>
      </c>
      <c r="E58" s="661">
        <f t="shared" si="0"/>
        <v>0</v>
      </c>
      <c r="F58" s="662">
        <v>0</v>
      </c>
      <c r="G58" s="662">
        <v>0</v>
      </c>
      <c r="H58" s="661">
        <f t="shared" si="20"/>
        <v>0</v>
      </c>
      <c r="I58" s="661">
        <f t="shared" si="20"/>
        <v>0</v>
      </c>
      <c r="J58" s="476"/>
      <c r="K58" s="476"/>
      <c r="L58" s="476"/>
    </row>
    <row r="59" spans="1:12" s="120" customFormat="1" ht="15.75" customHeight="1">
      <c r="A59" s="660" t="str">
        <f>+MAYOR!EK6</f>
        <v>CORRECCION MONETARIA</v>
      </c>
      <c r="B59" s="661">
        <f>+MAYOR!EK228</f>
        <v>0</v>
      </c>
      <c r="C59" s="661">
        <f>+MAYOR!EL228</f>
        <v>0</v>
      </c>
      <c r="D59" s="661">
        <f t="shared" si="3"/>
        <v>0</v>
      </c>
      <c r="E59" s="661">
        <f t="shared" si="0"/>
        <v>0</v>
      </c>
      <c r="F59" s="662">
        <v>0</v>
      </c>
      <c r="G59" s="662">
        <v>0</v>
      </c>
      <c r="H59" s="661">
        <f t="shared" si="20"/>
        <v>0</v>
      </c>
      <c r="I59" s="661">
        <f t="shared" si="20"/>
        <v>0</v>
      </c>
      <c r="J59" s="476">
        <f>+H58+H55+H52-I59-33589373-I67</f>
        <v>-63589373</v>
      </c>
      <c r="K59" s="476"/>
      <c r="L59" s="476"/>
    </row>
    <row r="60" spans="1:12" s="120" customFormat="1" ht="15.75" customHeight="1">
      <c r="A60" s="660" t="str">
        <f>+MAYOR!EE6</f>
        <v>IMPUESTO RENTA</v>
      </c>
      <c r="B60" s="661">
        <f>+MAYOR!EE228</f>
        <v>0</v>
      </c>
      <c r="C60" s="661">
        <f>+MAYOR!EF228</f>
        <v>0</v>
      </c>
      <c r="D60" s="661">
        <f t="shared" si="3"/>
        <v>0</v>
      </c>
      <c r="E60" s="661">
        <f t="shared" si="0"/>
        <v>0</v>
      </c>
      <c r="F60" s="662">
        <v>0</v>
      </c>
      <c r="G60" s="662">
        <v>0</v>
      </c>
      <c r="H60" s="661">
        <f>IF(F60&lt;=0,D60,0)</f>
        <v>0</v>
      </c>
      <c r="I60" s="661">
        <f t="shared" si="20"/>
        <v>0</v>
      </c>
      <c r="J60" s="476"/>
      <c r="K60" s="476"/>
      <c r="L60" s="476"/>
    </row>
    <row r="61" spans="1:12" s="120" customFormat="1" ht="15.75" customHeight="1">
      <c r="A61" s="663" t="s">
        <v>24</v>
      </c>
      <c r="B61" s="664">
        <f t="shared" ref="B61:I61" si="21">SUM(B12:B60)</f>
        <v>0</v>
      </c>
      <c r="C61" s="664">
        <f t="shared" si="21"/>
        <v>0</v>
      </c>
      <c r="D61" s="664">
        <f t="shared" si="21"/>
        <v>0</v>
      </c>
      <c r="E61" s="664">
        <f t="shared" si="21"/>
        <v>0</v>
      </c>
      <c r="F61" s="664">
        <f t="shared" si="21"/>
        <v>0</v>
      </c>
      <c r="G61" s="664">
        <f t="shared" si="21"/>
        <v>0</v>
      </c>
      <c r="H61" s="664">
        <f t="shared" si="21"/>
        <v>0</v>
      </c>
      <c r="I61" s="664">
        <f t="shared" si="21"/>
        <v>0</v>
      </c>
      <c r="J61" s="476"/>
      <c r="K61" s="476"/>
      <c r="L61" s="476"/>
    </row>
    <row r="62" spans="1:12" s="120" customFormat="1" ht="15.75" customHeight="1">
      <c r="A62" s="663" t="s">
        <v>25</v>
      </c>
      <c r="B62" s="664">
        <v>0</v>
      </c>
      <c r="C62" s="664">
        <v>0</v>
      </c>
      <c r="D62" s="664">
        <v>0</v>
      </c>
      <c r="E62" s="664">
        <v>0</v>
      </c>
      <c r="F62" s="664">
        <v>0</v>
      </c>
      <c r="G62" s="664">
        <f>+F61-G61</f>
        <v>0</v>
      </c>
      <c r="H62" s="664">
        <f>+I61-H61</f>
        <v>0</v>
      </c>
      <c r="I62" s="664">
        <v>0</v>
      </c>
      <c r="J62" s="476">
        <f>+H62-G62</f>
        <v>0</v>
      </c>
      <c r="K62" s="476"/>
      <c r="L62" s="476"/>
    </row>
    <row r="63" spans="1:12" s="120" customFormat="1" ht="15.75" customHeight="1">
      <c r="A63" s="663" t="s">
        <v>26</v>
      </c>
      <c r="B63" s="664">
        <f>+B61+B62</f>
        <v>0</v>
      </c>
      <c r="C63" s="665">
        <f t="shared" ref="C63:I63" si="22">+C61+C62</f>
        <v>0</v>
      </c>
      <c r="D63" s="665">
        <f t="shared" si="22"/>
        <v>0</v>
      </c>
      <c r="E63" s="665">
        <f t="shared" si="22"/>
        <v>0</v>
      </c>
      <c r="F63" s="665">
        <f t="shared" si="22"/>
        <v>0</v>
      </c>
      <c r="G63" s="665">
        <f t="shared" si="22"/>
        <v>0</v>
      </c>
      <c r="H63" s="665">
        <f t="shared" si="22"/>
        <v>0</v>
      </c>
      <c r="I63" s="665">
        <f t="shared" si="22"/>
        <v>0</v>
      </c>
      <c r="J63" s="476"/>
      <c r="K63" s="476"/>
      <c r="L63" s="476"/>
    </row>
    <row r="64" spans="1:12" s="120" customFormat="1" ht="15.75" customHeight="1">
      <c r="A64" s="118"/>
      <c r="B64" s="118">
        <f>+B61-C61</f>
        <v>0</v>
      </c>
      <c r="C64" s="118"/>
      <c r="D64" s="118"/>
      <c r="E64" s="118"/>
      <c r="F64" s="118"/>
      <c r="G64" s="118">
        <f>+G62-H62</f>
        <v>0</v>
      </c>
      <c r="H64" s="118"/>
      <c r="I64" s="118"/>
      <c r="J64" s="476"/>
      <c r="K64" s="476" t="s">
        <v>755</v>
      </c>
      <c r="L64" s="476"/>
    </row>
    <row r="65" spans="1:14" s="120" customFormat="1" ht="15.75" customHeight="1">
      <c r="A65" s="118"/>
      <c r="B65" s="118"/>
      <c r="C65" s="118"/>
      <c r="D65" s="118"/>
      <c r="E65" s="118"/>
      <c r="F65" s="118" t="s">
        <v>325</v>
      </c>
      <c r="G65" s="823">
        <f>+H62+H60</f>
        <v>0</v>
      </c>
      <c r="H65" s="118"/>
      <c r="I65" s="118">
        <v>41658610</v>
      </c>
      <c r="J65" s="476"/>
      <c r="K65" s="910">
        <v>75153337</v>
      </c>
      <c r="L65" s="476"/>
    </row>
    <row r="66" spans="1:14" s="120" customFormat="1" ht="15.75" customHeight="1">
      <c r="A66" s="118"/>
      <c r="B66" s="118"/>
      <c r="C66" s="99" t="s">
        <v>642</v>
      </c>
      <c r="D66" s="118">
        <f>+F61</f>
        <v>0</v>
      </c>
      <c r="E66" s="118"/>
      <c r="F66" s="118" t="s">
        <v>324</v>
      </c>
      <c r="G66" s="118">
        <f>+G65*0.1</f>
        <v>0</v>
      </c>
      <c r="H66" s="661"/>
      <c r="I66" s="118">
        <v>11658610</v>
      </c>
      <c r="J66" s="476"/>
      <c r="K66" s="476"/>
      <c r="L66" s="476"/>
    </row>
    <row r="67" spans="1:14" ht="15.75" customHeight="1">
      <c r="A67" s="118"/>
      <c r="B67" s="118"/>
      <c r="C67" s="99" t="s">
        <v>643</v>
      </c>
      <c r="D67" s="99">
        <f>+F28</f>
        <v>0</v>
      </c>
      <c r="E67" s="118"/>
      <c r="F67" s="99" t="s">
        <v>710</v>
      </c>
      <c r="G67" s="118">
        <v>0</v>
      </c>
      <c r="H67" s="118"/>
      <c r="I67" s="118">
        <f>+I65-I66</f>
        <v>30000000</v>
      </c>
    </row>
    <row r="68" spans="1:14" ht="15.75" customHeight="1">
      <c r="A68" s="118">
        <f>+B68-B69</f>
        <v>0</v>
      </c>
      <c r="B68" s="118"/>
      <c r="C68" s="99" t="s">
        <v>905</v>
      </c>
      <c r="D68" s="99">
        <f>+D66-D67</f>
        <v>0</v>
      </c>
      <c r="E68" s="118"/>
      <c r="F68" s="118" t="s">
        <v>327</v>
      </c>
      <c r="G68" s="118">
        <f>-F13</f>
        <v>0</v>
      </c>
      <c r="H68" s="118"/>
      <c r="I68" s="118"/>
    </row>
    <row r="69" spans="1:14" ht="15.75" customHeight="1" thickBot="1">
      <c r="B69" s="768"/>
      <c r="C69" s="768"/>
      <c r="D69" s="768"/>
      <c r="E69" s="768"/>
      <c r="G69" s="766">
        <f>SUM(G66:G68)</f>
        <v>0</v>
      </c>
      <c r="H69" s="99">
        <f>+G69*1.021</f>
        <v>0</v>
      </c>
    </row>
    <row r="70" spans="1:14" ht="15.75" customHeight="1" thickTop="1">
      <c r="B70" s="260" t="s">
        <v>240</v>
      </c>
      <c r="C70" s="260"/>
      <c r="D70" s="257"/>
      <c r="F70" s="99">
        <f>+H62-G62</f>
        <v>0</v>
      </c>
      <c r="G70" s="260" t="s">
        <v>430</v>
      </c>
      <c r="H70" s="47"/>
    </row>
    <row r="71" spans="1:14" s="96" customFormat="1" ht="15">
      <c r="B71" s="260" t="s">
        <v>236</v>
      </c>
      <c r="C71" s="260"/>
      <c r="D71" s="257"/>
      <c r="F71" s="99"/>
      <c r="G71" s="47" t="str">
        <f>+DATOS!H4</f>
        <v>MANUEL GUTIERREZ A. RUT: 10,150,081-0</v>
      </c>
      <c r="H71" s="47"/>
      <c r="J71" s="476"/>
      <c r="L71" s="476"/>
      <c r="N71" s="99"/>
    </row>
    <row r="72" spans="1:14" s="96" customFormat="1" ht="15">
      <c r="B72" s="260" t="s">
        <v>237</v>
      </c>
      <c r="C72" s="260"/>
      <c r="D72" s="257"/>
      <c r="F72" s="99"/>
      <c r="G72" s="260" t="s">
        <v>429</v>
      </c>
      <c r="H72" s="47"/>
      <c r="J72" s="476"/>
      <c r="L72" s="476"/>
      <c r="N72" s="99"/>
    </row>
    <row r="73" spans="1:14" s="96" customFormat="1" ht="15">
      <c r="B73" s="261" t="s">
        <v>568</v>
      </c>
      <c r="C73" s="260"/>
      <c r="D73" s="257"/>
      <c r="F73" s="99"/>
      <c r="G73" s="47"/>
      <c r="H73" s="47"/>
      <c r="J73" s="476"/>
      <c r="L73" s="476"/>
      <c r="M73" s="99"/>
      <c r="N73" s="99"/>
    </row>
    <row r="76" spans="1:14" ht="15.75" customHeight="1">
      <c r="B76" s="774"/>
      <c r="C76" s="775"/>
      <c r="D76" s="775"/>
      <c r="E76" s="775"/>
      <c r="F76" s="775"/>
      <c r="G76" s="775"/>
      <c r="H76" s="775"/>
      <c r="I76" s="776"/>
    </row>
    <row r="77" spans="1:14" ht="15.75" customHeight="1">
      <c r="B77" s="777"/>
      <c r="C77" s="778" t="s">
        <v>653</v>
      </c>
      <c r="D77" s="778"/>
      <c r="E77" s="778"/>
      <c r="F77" s="778"/>
      <c r="G77" s="778"/>
      <c r="H77" s="778"/>
      <c r="I77" s="779"/>
    </row>
    <row r="78" spans="1:14" ht="15.75" customHeight="1">
      <c r="B78" s="780" t="s">
        <v>654</v>
      </c>
      <c r="C78" s="781" t="s">
        <v>655</v>
      </c>
      <c r="D78" s="782"/>
      <c r="E78" s="782"/>
      <c r="F78" s="782"/>
      <c r="G78" s="782"/>
      <c r="H78" s="783"/>
      <c r="I78" s="784"/>
    </row>
    <row r="79" spans="1:14" ht="15.75" customHeight="1">
      <c r="B79" s="785">
        <v>1</v>
      </c>
      <c r="C79" s="778" t="s">
        <v>656</v>
      </c>
      <c r="D79" s="786"/>
      <c r="E79" s="787">
        <v>628</v>
      </c>
      <c r="F79" s="788" t="s">
        <v>657</v>
      </c>
      <c r="G79" s="789">
        <f>+I39</f>
        <v>0</v>
      </c>
      <c r="H79" s="789"/>
      <c r="I79" s="784"/>
    </row>
    <row r="80" spans="1:14" ht="15.75" customHeight="1">
      <c r="B80" s="790">
        <v>2</v>
      </c>
      <c r="C80" s="778" t="s">
        <v>658</v>
      </c>
      <c r="D80" s="786"/>
      <c r="E80" s="791">
        <v>851</v>
      </c>
      <c r="F80" s="788" t="s">
        <v>657</v>
      </c>
      <c r="G80" s="789"/>
      <c r="H80" s="789"/>
      <c r="I80" s="784"/>
    </row>
    <row r="81" spans="2:9" ht="15.75" customHeight="1">
      <c r="B81" s="790">
        <v>3</v>
      </c>
      <c r="C81" s="778" t="s">
        <v>659</v>
      </c>
      <c r="D81" s="786"/>
      <c r="E81" s="791">
        <v>629</v>
      </c>
      <c r="F81" s="788" t="s">
        <v>657</v>
      </c>
      <c r="G81" s="789"/>
      <c r="H81" s="789"/>
      <c r="I81" s="784"/>
    </row>
    <row r="82" spans="2:9" ht="15.75" customHeight="1">
      <c r="B82" s="785">
        <v>4</v>
      </c>
      <c r="C82" s="778" t="s">
        <v>660</v>
      </c>
      <c r="D82" s="786"/>
      <c r="E82" s="791">
        <v>651</v>
      </c>
      <c r="F82" s="788" t="s">
        <v>657</v>
      </c>
      <c r="G82" s="789"/>
      <c r="H82" s="789"/>
      <c r="I82" s="784"/>
    </row>
    <row r="83" spans="2:9" ht="15.75" customHeight="1" thickBot="1">
      <c r="B83" s="792"/>
      <c r="C83" s="793" t="s">
        <v>661</v>
      </c>
      <c r="D83" s="794"/>
      <c r="E83" s="795" t="s">
        <v>662</v>
      </c>
      <c r="F83" s="795" t="s">
        <v>662</v>
      </c>
      <c r="G83" s="796">
        <f>SUM(G79:G82)</f>
        <v>0</v>
      </c>
      <c r="H83" s="789">
        <f>+G83-K65</f>
        <v>-75153337</v>
      </c>
      <c r="I83" s="784"/>
    </row>
    <row r="84" spans="2:9" ht="15.75" customHeight="1" thickTop="1">
      <c r="B84" s="790"/>
      <c r="C84" s="778"/>
      <c r="D84" s="786"/>
      <c r="E84" s="786"/>
      <c r="F84" s="783"/>
      <c r="G84" s="797"/>
      <c r="H84" s="789"/>
      <c r="I84" s="784"/>
    </row>
    <row r="85" spans="2:9" ht="15.75" customHeight="1">
      <c r="B85" s="798"/>
      <c r="C85" s="781" t="s">
        <v>663</v>
      </c>
      <c r="D85" s="782"/>
      <c r="E85" s="782"/>
      <c r="F85" s="782"/>
      <c r="G85" s="799"/>
      <c r="H85" s="789"/>
      <c r="I85" s="784"/>
    </row>
    <row r="86" spans="2:9" ht="15.75" customHeight="1">
      <c r="B86" s="785">
        <v>5</v>
      </c>
      <c r="C86" s="778" t="s">
        <v>664</v>
      </c>
      <c r="D86" s="786"/>
      <c r="E86" s="786">
        <v>630</v>
      </c>
      <c r="F86" s="783" t="s">
        <v>665</v>
      </c>
      <c r="G86" s="797">
        <f>-H52-H55</f>
        <v>0</v>
      </c>
      <c r="H86" s="789"/>
      <c r="I86" s="784"/>
    </row>
    <row r="87" spans="2:9" ht="15.75" customHeight="1" thickBot="1">
      <c r="B87" s="792"/>
      <c r="C87" s="793" t="s">
        <v>666</v>
      </c>
      <c r="D87" s="794"/>
      <c r="E87" s="795" t="s">
        <v>662</v>
      </c>
      <c r="F87" s="795" t="s">
        <v>662</v>
      </c>
      <c r="G87" s="796">
        <f>SUM(G86)</f>
        <v>0</v>
      </c>
      <c r="H87" s="789"/>
      <c r="I87" s="784"/>
    </row>
    <row r="88" spans="2:9" ht="15.75" customHeight="1" thickTop="1">
      <c r="B88" s="790"/>
      <c r="C88" s="778"/>
      <c r="D88" s="786"/>
      <c r="E88" s="786"/>
      <c r="F88" s="783"/>
      <c r="G88" s="797"/>
      <c r="H88" s="789"/>
      <c r="I88" s="784"/>
    </row>
    <row r="89" spans="2:9" ht="15.75" customHeight="1">
      <c r="B89" s="798"/>
      <c r="C89" s="781" t="s">
        <v>667</v>
      </c>
      <c r="D89" s="782"/>
      <c r="E89" s="782"/>
      <c r="F89" s="782"/>
      <c r="G89" s="799"/>
      <c r="H89" s="789"/>
      <c r="I89" s="784"/>
    </row>
    <row r="90" spans="2:9" ht="15.75" customHeight="1">
      <c r="B90" s="785">
        <v>6</v>
      </c>
      <c r="C90" s="778" t="s">
        <v>668</v>
      </c>
      <c r="D90" s="786"/>
      <c r="E90" s="787">
        <v>631</v>
      </c>
      <c r="F90" s="788" t="s">
        <v>665</v>
      </c>
      <c r="G90" s="797">
        <f>-H44-H57</f>
        <v>0</v>
      </c>
      <c r="H90" s="789"/>
      <c r="I90" s="784"/>
    </row>
    <row r="91" spans="2:9" ht="15.75" customHeight="1">
      <c r="B91" s="790">
        <v>7</v>
      </c>
      <c r="C91" s="778" t="s">
        <v>669</v>
      </c>
      <c r="D91" s="786"/>
      <c r="E91" s="791">
        <v>632</v>
      </c>
      <c r="F91" s="788" t="s">
        <v>665</v>
      </c>
      <c r="G91" s="797"/>
      <c r="H91" s="789"/>
      <c r="I91" s="784"/>
    </row>
    <row r="92" spans="2:9" ht="15.75" customHeight="1">
      <c r="B92" s="790">
        <v>8</v>
      </c>
      <c r="C92" s="778" t="s">
        <v>670</v>
      </c>
      <c r="D92" s="786"/>
      <c r="E92" s="791">
        <v>633</v>
      </c>
      <c r="F92" s="788" t="s">
        <v>665</v>
      </c>
      <c r="G92" s="797">
        <f>-H48</f>
        <v>0</v>
      </c>
      <c r="H92" s="789"/>
      <c r="I92" s="784"/>
    </row>
    <row r="93" spans="2:9" ht="15.75" customHeight="1">
      <c r="B93" s="790">
        <v>9</v>
      </c>
      <c r="C93" s="778" t="s">
        <v>671</v>
      </c>
      <c r="D93" s="786"/>
      <c r="E93" s="791">
        <v>966</v>
      </c>
      <c r="F93" s="788" t="s">
        <v>665</v>
      </c>
      <c r="G93" s="797"/>
      <c r="H93" s="789"/>
      <c r="I93" s="784"/>
    </row>
    <row r="94" spans="2:9" ht="15.75" customHeight="1">
      <c r="B94" s="790">
        <v>10</v>
      </c>
      <c r="C94" s="778" t="s">
        <v>672</v>
      </c>
      <c r="D94" s="786"/>
      <c r="E94" s="791">
        <v>967</v>
      </c>
      <c r="F94" s="788" t="s">
        <v>665</v>
      </c>
      <c r="G94" s="797"/>
      <c r="H94" s="789"/>
      <c r="I94" s="784"/>
    </row>
    <row r="95" spans="2:9" ht="15.75" customHeight="1">
      <c r="B95" s="790">
        <v>11</v>
      </c>
      <c r="C95" s="778" t="s">
        <v>673</v>
      </c>
      <c r="D95" s="786"/>
      <c r="E95" s="791">
        <v>852</v>
      </c>
      <c r="F95" s="788" t="s">
        <v>665</v>
      </c>
      <c r="G95" s="797"/>
      <c r="H95" s="789"/>
      <c r="I95" s="784"/>
    </row>
    <row r="96" spans="2:9" ht="15.75" customHeight="1">
      <c r="B96" s="790">
        <v>12</v>
      </c>
      <c r="C96" s="778" t="s">
        <v>674</v>
      </c>
      <c r="D96" s="786"/>
      <c r="E96" s="791">
        <v>897</v>
      </c>
      <c r="F96" s="788" t="s">
        <v>665</v>
      </c>
      <c r="G96" s="797"/>
      <c r="H96" s="789"/>
      <c r="I96" s="784"/>
    </row>
    <row r="97" spans="2:9" ht="15.75" customHeight="1">
      <c r="B97" s="790">
        <v>13</v>
      </c>
      <c r="C97" s="778" t="s">
        <v>675</v>
      </c>
      <c r="D97" s="786"/>
      <c r="E97" s="791">
        <v>853</v>
      </c>
      <c r="F97" s="788" t="s">
        <v>665</v>
      </c>
      <c r="G97" s="797"/>
      <c r="H97" s="789"/>
      <c r="I97" s="784"/>
    </row>
    <row r="98" spans="2:9" ht="15.75" customHeight="1">
      <c r="B98" s="785">
        <v>14</v>
      </c>
      <c r="C98" s="778" t="s">
        <v>676</v>
      </c>
      <c r="D98" s="786"/>
      <c r="E98" s="791">
        <v>968</v>
      </c>
      <c r="F98" s="788" t="s">
        <v>665</v>
      </c>
      <c r="G98" s="797">
        <f>-H60</f>
        <v>0</v>
      </c>
      <c r="H98" s="789"/>
      <c r="I98" s="784"/>
    </row>
    <row r="99" spans="2:9" ht="15.75" customHeight="1">
      <c r="B99" s="790">
        <v>15</v>
      </c>
      <c r="C99" s="778" t="s">
        <v>677</v>
      </c>
      <c r="D99" s="786"/>
      <c r="E99" s="791">
        <v>969</v>
      </c>
      <c r="F99" s="788" t="s">
        <v>665</v>
      </c>
      <c r="G99" s="797"/>
      <c r="H99" s="789"/>
      <c r="I99" s="784"/>
    </row>
    <row r="100" spans="2:9" ht="15.75" customHeight="1">
      <c r="B100" s="790">
        <v>16</v>
      </c>
      <c r="C100" s="778" t="s">
        <v>678</v>
      </c>
      <c r="D100" s="786"/>
      <c r="E100" s="791">
        <v>635</v>
      </c>
      <c r="F100" s="788" t="s">
        <v>665</v>
      </c>
      <c r="G100" s="797"/>
      <c r="H100" s="789"/>
      <c r="I100" s="784"/>
    </row>
    <row r="101" spans="2:9" ht="15.75" customHeight="1" thickBot="1">
      <c r="B101" s="792"/>
      <c r="C101" s="793" t="s">
        <v>679</v>
      </c>
      <c r="D101" s="794"/>
      <c r="E101" s="795" t="s">
        <v>662</v>
      </c>
      <c r="F101" s="795" t="s">
        <v>662</v>
      </c>
      <c r="G101" s="796">
        <f>SUM(G90:G100)</f>
        <v>0</v>
      </c>
      <c r="H101" s="789"/>
      <c r="I101" s="784"/>
    </row>
    <row r="102" spans="2:9" ht="15.75" customHeight="1" thickTop="1" thickBot="1">
      <c r="B102" s="792"/>
      <c r="C102" s="793" t="s">
        <v>680</v>
      </c>
      <c r="D102" s="794"/>
      <c r="E102" s="795" t="s">
        <v>662</v>
      </c>
      <c r="F102" s="795" t="s">
        <v>662</v>
      </c>
      <c r="G102" s="796">
        <f>+G83+G87+G101</f>
        <v>0</v>
      </c>
      <c r="H102" s="789"/>
      <c r="I102" s="784"/>
    </row>
    <row r="103" spans="2:9" ht="15.75" customHeight="1" thickTop="1">
      <c r="B103" s="790"/>
      <c r="C103" s="778"/>
      <c r="D103" s="786"/>
      <c r="E103" s="786"/>
      <c r="F103" s="783"/>
      <c r="G103" s="797"/>
      <c r="H103" s="789"/>
      <c r="I103" s="784"/>
    </row>
    <row r="104" spans="2:9" ht="15.75" customHeight="1">
      <c r="B104" s="798"/>
      <c r="C104" s="781" t="s">
        <v>681</v>
      </c>
      <c r="D104" s="782"/>
      <c r="E104" s="782"/>
      <c r="F104" s="782"/>
      <c r="G104" s="799"/>
      <c r="H104" s="789"/>
      <c r="I104" s="784"/>
    </row>
    <row r="105" spans="2:9" ht="15.75" customHeight="1">
      <c r="B105" s="785">
        <v>17</v>
      </c>
      <c r="C105" s="800" t="s">
        <v>682</v>
      </c>
      <c r="D105" s="801"/>
      <c r="E105" s="801">
        <v>637</v>
      </c>
      <c r="F105" s="802" t="s">
        <v>665</v>
      </c>
      <c r="G105" s="797">
        <f>-H59</f>
        <v>0</v>
      </c>
      <c r="H105" s="789"/>
      <c r="I105" s="784"/>
    </row>
    <row r="106" spans="2:9" ht="15.75" customHeight="1">
      <c r="B106" s="790">
        <v>18</v>
      </c>
      <c r="C106" s="800" t="s">
        <v>683</v>
      </c>
      <c r="D106" s="801"/>
      <c r="E106" s="801">
        <v>638</v>
      </c>
      <c r="F106" s="802" t="s">
        <v>657</v>
      </c>
      <c r="G106" s="797">
        <f>+I59</f>
        <v>0</v>
      </c>
      <c r="H106" s="789"/>
      <c r="I106" s="784"/>
    </row>
    <row r="107" spans="2:9" ht="15.75" customHeight="1" thickBot="1">
      <c r="B107" s="792"/>
      <c r="C107" s="793" t="s">
        <v>684</v>
      </c>
      <c r="D107" s="794"/>
      <c r="E107" s="795"/>
      <c r="F107" s="795"/>
      <c r="G107" s="796">
        <f>+G105+G106</f>
        <v>0</v>
      </c>
      <c r="H107" s="789"/>
      <c r="I107" s="784"/>
    </row>
    <row r="108" spans="2:9" ht="15.75" customHeight="1" thickTop="1">
      <c r="B108" s="790"/>
      <c r="C108" s="778"/>
      <c r="D108" s="786"/>
      <c r="E108" s="786"/>
      <c r="F108" s="783"/>
      <c r="G108" s="797"/>
      <c r="H108" s="789"/>
      <c r="I108" s="784"/>
    </row>
    <row r="109" spans="2:9" ht="15.75" customHeight="1">
      <c r="B109" s="798"/>
      <c r="C109" s="781" t="s">
        <v>681</v>
      </c>
      <c r="D109" s="782"/>
      <c r="E109" s="782"/>
      <c r="F109" s="782"/>
      <c r="G109" s="799"/>
      <c r="H109" s="789"/>
      <c r="I109" s="784"/>
    </row>
    <row r="110" spans="2:9" ht="15.75" customHeight="1">
      <c r="B110" s="803">
        <v>19</v>
      </c>
      <c r="C110" s="804" t="s">
        <v>685</v>
      </c>
      <c r="D110" s="805"/>
      <c r="E110" s="805"/>
      <c r="F110" s="806" t="s">
        <v>657</v>
      </c>
      <c r="G110" s="807">
        <f>+H60</f>
        <v>0</v>
      </c>
      <c r="H110" s="789"/>
      <c r="I110" s="784"/>
    </row>
    <row r="111" spans="2:9" ht="15.75" customHeight="1">
      <c r="B111" s="808">
        <v>20</v>
      </c>
      <c r="C111" s="778" t="s">
        <v>686</v>
      </c>
      <c r="D111" s="786"/>
      <c r="E111" s="783">
        <v>926</v>
      </c>
      <c r="F111" s="788" t="s">
        <v>657</v>
      </c>
      <c r="G111" s="797"/>
      <c r="H111" s="789"/>
      <c r="I111" s="784"/>
    </row>
    <row r="112" spans="2:9" ht="15.75" customHeight="1">
      <c r="B112" s="808">
        <v>21</v>
      </c>
      <c r="C112" s="778" t="s">
        <v>687</v>
      </c>
      <c r="D112" s="786"/>
      <c r="E112" s="786">
        <v>970</v>
      </c>
      <c r="F112" s="788" t="s">
        <v>665</v>
      </c>
      <c r="G112" s="797"/>
      <c r="H112" s="789"/>
      <c r="I112" s="784"/>
    </row>
    <row r="113" spans="2:9" ht="15.75" customHeight="1">
      <c r="B113" s="808">
        <v>22</v>
      </c>
      <c r="C113" s="778" t="s">
        <v>688</v>
      </c>
      <c r="D113" s="786"/>
      <c r="E113" s="786">
        <v>971</v>
      </c>
      <c r="F113" s="788" t="s">
        <v>657</v>
      </c>
      <c r="G113" s="797"/>
      <c r="H113" s="789"/>
      <c r="I113" s="784"/>
    </row>
    <row r="114" spans="2:9" ht="15.75" customHeight="1">
      <c r="B114" s="808">
        <v>23</v>
      </c>
      <c r="C114" s="778" t="s">
        <v>689</v>
      </c>
      <c r="D114" s="786"/>
      <c r="E114" s="786">
        <v>639</v>
      </c>
      <c r="F114" s="788" t="s">
        <v>665</v>
      </c>
      <c r="G114" s="797"/>
      <c r="H114" s="789"/>
      <c r="I114" s="784"/>
    </row>
    <row r="115" spans="2:9" ht="15.75" customHeight="1" thickBot="1">
      <c r="B115" s="792"/>
      <c r="C115" s="793" t="s">
        <v>690</v>
      </c>
      <c r="D115" s="794"/>
      <c r="E115" s="795"/>
      <c r="F115" s="795"/>
      <c r="G115" s="796">
        <f>SUM(G110:G114)</f>
        <v>0</v>
      </c>
      <c r="H115" s="789"/>
      <c r="I115" s="784"/>
    </row>
    <row r="116" spans="2:9" ht="15.75" customHeight="1" thickTop="1">
      <c r="B116" s="808"/>
      <c r="C116" s="778"/>
      <c r="D116" s="786"/>
      <c r="E116" s="786"/>
      <c r="F116" s="783"/>
      <c r="G116" s="797"/>
      <c r="H116" s="789"/>
      <c r="I116" s="784"/>
    </row>
    <row r="117" spans="2:9" ht="15.75" customHeight="1">
      <c r="B117" s="798"/>
      <c r="C117" s="781" t="s">
        <v>691</v>
      </c>
      <c r="D117" s="782"/>
      <c r="E117" s="782"/>
      <c r="F117" s="782"/>
      <c r="G117" s="799"/>
      <c r="H117" s="789"/>
      <c r="I117" s="784"/>
    </row>
    <row r="118" spans="2:9" ht="15.75" customHeight="1">
      <c r="B118" s="808">
        <v>24</v>
      </c>
      <c r="C118" s="778" t="s">
        <v>692</v>
      </c>
      <c r="D118" s="786"/>
      <c r="E118" s="786">
        <v>927</v>
      </c>
      <c r="F118" s="788" t="s">
        <v>665</v>
      </c>
      <c r="G118" s="797"/>
      <c r="H118" s="789"/>
      <c r="I118" s="784"/>
    </row>
    <row r="119" spans="2:9" ht="15.75" customHeight="1">
      <c r="B119" s="808">
        <v>25</v>
      </c>
      <c r="C119" s="778" t="s">
        <v>693</v>
      </c>
      <c r="D119" s="786"/>
      <c r="E119" s="783">
        <v>1000</v>
      </c>
      <c r="F119" s="788" t="s">
        <v>665</v>
      </c>
      <c r="G119" s="797"/>
      <c r="H119" s="789"/>
      <c r="I119" s="784"/>
    </row>
    <row r="120" spans="2:9" ht="15.75" customHeight="1">
      <c r="B120" s="808">
        <v>26</v>
      </c>
      <c r="C120" s="778" t="s">
        <v>694</v>
      </c>
      <c r="D120" s="786"/>
      <c r="E120" s="786">
        <v>827</v>
      </c>
      <c r="F120" s="788" t="s">
        <v>665</v>
      </c>
      <c r="G120" s="797"/>
      <c r="H120" s="789"/>
      <c r="I120" s="784"/>
    </row>
    <row r="121" spans="2:9" ht="15.75" customHeight="1">
      <c r="B121" s="808">
        <v>27</v>
      </c>
      <c r="C121" s="778" t="s">
        <v>695</v>
      </c>
      <c r="D121" s="786"/>
      <c r="E121" s="786">
        <v>928</v>
      </c>
      <c r="F121" s="788" t="s">
        <v>665</v>
      </c>
      <c r="G121" s="797"/>
      <c r="H121" s="789"/>
      <c r="I121" s="784"/>
    </row>
    <row r="122" spans="2:9" ht="15.75" customHeight="1">
      <c r="B122" s="808">
        <v>28</v>
      </c>
      <c r="C122" s="778" t="s">
        <v>696</v>
      </c>
      <c r="D122" s="786"/>
      <c r="E122" s="786">
        <v>929</v>
      </c>
      <c r="F122" s="788" t="s">
        <v>665</v>
      </c>
      <c r="G122" s="797"/>
      <c r="H122" s="789"/>
      <c r="I122" s="784"/>
    </row>
    <row r="123" spans="2:9" ht="15.75" customHeight="1">
      <c r="B123" s="808">
        <v>29</v>
      </c>
      <c r="C123" s="778" t="s">
        <v>697</v>
      </c>
      <c r="D123" s="786"/>
      <c r="E123" s="786">
        <v>807</v>
      </c>
      <c r="F123" s="788" t="s">
        <v>665</v>
      </c>
      <c r="G123" s="797"/>
      <c r="H123" s="789"/>
      <c r="I123" s="784"/>
    </row>
    <row r="124" spans="2:9" ht="15.75" customHeight="1">
      <c r="B124" s="808">
        <v>30</v>
      </c>
      <c r="C124" s="778" t="s">
        <v>698</v>
      </c>
      <c r="D124" s="786"/>
      <c r="E124" s="783">
        <v>641</v>
      </c>
      <c r="F124" s="788" t="s">
        <v>665</v>
      </c>
      <c r="G124" s="797"/>
      <c r="H124" s="789"/>
      <c r="I124" s="784"/>
    </row>
    <row r="125" spans="2:9" ht="15.75" customHeight="1">
      <c r="B125" s="808">
        <v>31</v>
      </c>
      <c r="C125" s="778" t="s">
        <v>699</v>
      </c>
      <c r="D125" s="786"/>
      <c r="E125" s="786">
        <v>642</v>
      </c>
      <c r="F125" s="788" t="s">
        <v>665</v>
      </c>
      <c r="G125" s="797"/>
      <c r="H125" s="789"/>
      <c r="I125" s="784"/>
    </row>
    <row r="126" spans="2:9" ht="15.75" customHeight="1">
      <c r="B126" s="808">
        <v>32</v>
      </c>
      <c r="C126" s="778" t="s">
        <v>700</v>
      </c>
      <c r="D126" s="786"/>
      <c r="E126" s="786">
        <v>973</v>
      </c>
      <c r="F126" s="788" t="s">
        <v>665</v>
      </c>
      <c r="G126" s="797"/>
      <c r="H126" s="789"/>
      <c r="I126" s="784"/>
    </row>
    <row r="127" spans="2:9" ht="15.75" customHeight="1">
      <c r="B127" s="808">
        <v>34</v>
      </c>
      <c r="C127" s="778" t="s">
        <v>701</v>
      </c>
      <c r="D127" s="786"/>
      <c r="E127" s="786">
        <v>640</v>
      </c>
      <c r="F127" s="788" t="s">
        <v>665</v>
      </c>
      <c r="G127" s="797"/>
      <c r="H127" s="789"/>
      <c r="I127" s="784"/>
    </row>
    <row r="128" spans="2:9" ht="15.75" customHeight="1">
      <c r="B128" s="808">
        <v>34</v>
      </c>
      <c r="C128" s="778" t="s">
        <v>702</v>
      </c>
      <c r="D128" s="786"/>
      <c r="E128" s="786">
        <v>634</v>
      </c>
      <c r="F128" s="788" t="s">
        <v>665</v>
      </c>
      <c r="G128" s="797"/>
      <c r="H128" s="789"/>
      <c r="I128" s="784"/>
    </row>
    <row r="129" spans="2:9" ht="15.75" customHeight="1" thickBot="1">
      <c r="B129" s="792"/>
      <c r="C129" s="793" t="s">
        <v>690</v>
      </c>
      <c r="D129" s="794"/>
      <c r="E129" s="795">
        <v>643</v>
      </c>
      <c r="F129" s="795"/>
      <c r="G129" s="796">
        <f>SUM(G118:G128)</f>
        <v>0</v>
      </c>
      <c r="H129" s="789"/>
      <c r="I129" s="784"/>
    </row>
    <row r="130" spans="2:9" ht="15.75" customHeight="1" thickTop="1">
      <c r="B130" s="808"/>
      <c r="C130" s="778"/>
      <c r="D130" s="786"/>
      <c r="E130" s="786"/>
      <c r="F130" s="783"/>
      <c r="G130" s="797"/>
      <c r="H130" s="789"/>
      <c r="I130" s="784"/>
    </row>
    <row r="131" spans="2:9" ht="15.75" customHeight="1" thickBot="1">
      <c r="B131" s="792"/>
      <c r="C131" s="793" t="s">
        <v>680</v>
      </c>
      <c r="D131" s="794"/>
      <c r="E131" s="795" t="s">
        <v>662</v>
      </c>
      <c r="F131" s="795" t="s">
        <v>662</v>
      </c>
      <c r="G131" s="796">
        <f>+G102+G107+G115+G129</f>
        <v>0</v>
      </c>
      <c r="H131" s="789">
        <f>+G44</f>
        <v>0</v>
      </c>
      <c r="I131" s="784">
        <f>+H131-G131</f>
        <v>0</v>
      </c>
    </row>
    <row r="132" spans="2:9" ht="15.75" customHeight="1" thickTop="1">
      <c r="B132" s="808"/>
      <c r="C132" s="778"/>
      <c r="D132" s="786"/>
      <c r="E132" s="786"/>
      <c r="F132" s="783"/>
      <c r="G132" s="797"/>
      <c r="H132" s="789"/>
      <c r="I132" s="784"/>
    </row>
    <row r="133" spans="2:9" ht="15.75" customHeight="1">
      <c r="B133" s="809"/>
      <c r="C133" s="810"/>
      <c r="D133" s="811"/>
      <c r="E133" s="811"/>
      <c r="F133" s="812"/>
      <c r="G133" s="813"/>
      <c r="H133" s="813"/>
      <c r="I133" s="814"/>
    </row>
    <row r="159" spans="1:3" ht="15.75" customHeight="1">
      <c r="A159" s="99" t="s">
        <v>111</v>
      </c>
      <c r="B159" s="99">
        <v>1199231588</v>
      </c>
      <c r="C159" s="99">
        <v>1519951732</v>
      </c>
    </row>
    <row r="160" spans="1:3" ht="15.75" customHeight="1">
      <c r="A160" s="99" t="s">
        <v>196</v>
      </c>
      <c r="B160" s="99">
        <v>1210221540</v>
      </c>
      <c r="C160" s="99">
        <v>584567899</v>
      </c>
    </row>
    <row r="161" spans="1:3" ht="15.75" customHeight="1">
      <c r="A161" s="99" t="s">
        <v>160</v>
      </c>
      <c r="B161" s="99">
        <v>251071768</v>
      </c>
      <c r="C161" s="99">
        <v>257310286</v>
      </c>
    </row>
    <row r="162" spans="1:3" ht="15.75" customHeight="1">
      <c r="A162" s="99" t="s">
        <v>142</v>
      </c>
      <c r="B162" s="99">
        <v>12249613</v>
      </c>
      <c r="C162" s="99">
        <v>2542340</v>
      </c>
    </row>
    <row r="163" spans="1:3" ht="15.75" customHeight="1">
      <c r="A163" s="99" t="s">
        <v>221</v>
      </c>
      <c r="B163" s="99">
        <v>6657464</v>
      </c>
      <c r="C163" s="99">
        <v>6657464</v>
      </c>
    </row>
    <row r="164" spans="1:3" ht="15.75" customHeight="1">
      <c r="A164" s="99" t="s">
        <v>197</v>
      </c>
      <c r="B164" s="99">
        <v>0</v>
      </c>
      <c r="C164" s="99">
        <v>0</v>
      </c>
    </row>
    <row r="165" spans="1:3" ht="15.75" customHeight="1">
      <c r="A165" s="99" t="s">
        <v>234</v>
      </c>
      <c r="B165" s="99">
        <v>3789600</v>
      </c>
      <c r="C165" s="99">
        <v>0</v>
      </c>
    </row>
    <row r="166" spans="1:3" ht="15.75" customHeight="1">
      <c r="A166" s="99" t="s">
        <v>198</v>
      </c>
      <c r="B166" s="99">
        <v>0</v>
      </c>
      <c r="C166" s="99">
        <v>0</v>
      </c>
    </row>
    <row r="167" spans="1:3" ht="15.75" customHeight="1">
      <c r="A167" s="99" t="s">
        <v>199</v>
      </c>
      <c r="B167" s="99">
        <v>241876346</v>
      </c>
      <c r="C167" s="99">
        <v>0</v>
      </c>
    </row>
    <row r="168" spans="1:3" ht="15.75" customHeight="1">
      <c r="A168" s="99" t="s">
        <v>226</v>
      </c>
      <c r="B168" s="99">
        <v>80375935</v>
      </c>
      <c r="C168" s="99">
        <v>0</v>
      </c>
    </row>
    <row r="169" spans="1:3" ht="15.75" customHeight="1">
      <c r="A169" s="99" t="s">
        <v>161</v>
      </c>
      <c r="B169" s="99">
        <v>0</v>
      </c>
      <c r="C169" s="99">
        <v>0</v>
      </c>
    </row>
    <row r="170" spans="1:3" ht="15.75" customHeight="1">
      <c r="A170" s="99" t="s">
        <v>253</v>
      </c>
      <c r="B170" s="99">
        <v>49133855</v>
      </c>
      <c r="C170" s="99">
        <v>814083</v>
      </c>
    </row>
    <row r="171" spans="1:3" ht="15.75" customHeight="1">
      <c r="A171" s="99" t="s">
        <v>255</v>
      </c>
      <c r="B171" s="99">
        <v>35697471</v>
      </c>
      <c r="C171" s="99">
        <v>0</v>
      </c>
    </row>
    <row r="172" spans="1:3" ht="15.75" customHeight="1">
      <c r="A172" s="99" t="s">
        <v>198</v>
      </c>
      <c r="B172" s="99">
        <v>0</v>
      </c>
      <c r="C172" s="99">
        <v>0</v>
      </c>
    </row>
    <row r="173" spans="1:3" ht="15.75" customHeight="1">
      <c r="A173" s="99" t="s">
        <v>225</v>
      </c>
      <c r="B173" s="99">
        <v>0</v>
      </c>
      <c r="C173" s="99">
        <v>0</v>
      </c>
    </row>
    <row r="174" spans="1:3" ht="15.75" customHeight="1">
      <c r="A174" s="99">
        <v>0</v>
      </c>
      <c r="B174" s="99">
        <v>0</v>
      </c>
      <c r="C174" s="99">
        <v>0</v>
      </c>
    </row>
    <row r="175" spans="1:3" ht="15.75" customHeight="1">
      <c r="A175" s="99">
        <v>0</v>
      </c>
      <c r="B175" s="99">
        <v>0</v>
      </c>
      <c r="C175" s="99">
        <v>0</v>
      </c>
    </row>
    <row r="176" spans="1:3" ht="15.75" customHeight="1">
      <c r="A176" s="99" t="s">
        <v>201</v>
      </c>
      <c r="B176" s="99">
        <v>0</v>
      </c>
      <c r="C176" s="99">
        <v>0</v>
      </c>
    </row>
    <row r="177" spans="1:3" ht="15.75" customHeight="1">
      <c r="A177" s="99" t="s">
        <v>164</v>
      </c>
      <c r="B177" s="99">
        <v>1306278</v>
      </c>
      <c r="C177" s="99">
        <v>1376582</v>
      </c>
    </row>
    <row r="178" spans="1:3" ht="15.75" customHeight="1">
      <c r="A178" s="99" t="s">
        <v>200</v>
      </c>
      <c r="B178" s="99">
        <v>0</v>
      </c>
      <c r="C178" s="99">
        <v>0</v>
      </c>
    </row>
    <row r="179" spans="1:3" ht="15.75" customHeight="1">
      <c r="A179" s="99" t="s">
        <v>145</v>
      </c>
      <c r="B179" s="99">
        <v>255937</v>
      </c>
      <c r="C179" s="99">
        <v>255937</v>
      </c>
    </row>
    <row r="180" spans="1:3" ht="15.75" customHeight="1">
      <c r="A180" s="99" t="s">
        <v>222</v>
      </c>
      <c r="B180" s="99">
        <v>0</v>
      </c>
      <c r="C180" s="99">
        <v>3890567</v>
      </c>
    </row>
    <row r="181" spans="1:3" ht="15.75" customHeight="1">
      <c r="A181" s="99" t="s">
        <v>230</v>
      </c>
      <c r="B181" s="99">
        <v>814083</v>
      </c>
      <c r="C181" s="99">
        <v>32246919</v>
      </c>
    </row>
    <row r="182" spans="1:3" ht="15.75" customHeight="1">
      <c r="A182" s="99" t="s">
        <v>254</v>
      </c>
      <c r="B182" s="99">
        <v>27079344</v>
      </c>
      <c r="C182" s="99">
        <v>121857048</v>
      </c>
    </row>
    <row r="183" spans="1:3" ht="15.75" customHeight="1">
      <c r="A183" s="99" t="s">
        <v>256</v>
      </c>
      <c r="B183" s="99">
        <v>2279389</v>
      </c>
      <c r="C183" s="99">
        <v>41029256</v>
      </c>
    </row>
    <row r="184" spans="1:3" ht="15.75" customHeight="1">
      <c r="A184" s="99" t="s">
        <v>257</v>
      </c>
      <c r="B184" s="99">
        <v>6250270</v>
      </c>
      <c r="C184" s="99">
        <v>75000505</v>
      </c>
    </row>
    <row r="185" spans="1:3" ht="15.75" customHeight="1">
      <c r="A185" s="99" t="s">
        <v>246</v>
      </c>
      <c r="B185" s="99">
        <v>551001</v>
      </c>
      <c r="C185" s="99">
        <v>606389</v>
      </c>
    </row>
    <row r="186" spans="1:3" ht="15.75" customHeight="1">
      <c r="A186" s="99" t="s">
        <v>159</v>
      </c>
      <c r="B186" s="99">
        <v>0</v>
      </c>
      <c r="C186" s="99">
        <v>0</v>
      </c>
    </row>
    <row r="187" spans="1:3" ht="15.75" customHeight="1">
      <c r="A187" s="99" t="s">
        <v>223</v>
      </c>
      <c r="B187" s="99">
        <v>0</v>
      </c>
      <c r="C187" s="99">
        <v>2785708</v>
      </c>
    </row>
    <row r="188" spans="1:3" ht="15.75" customHeight="1">
      <c r="A188" s="99" t="s">
        <v>227</v>
      </c>
      <c r="B188" s="99">
        <v>0</v>
      </c>
      <c r="C188" s="99">
        <v>9374788</v>
      </c>
    </row>
    <row r="189" spans="1:3" ht="15.75" customHeight="1">
      <c r="A189" s="99" t="s">
        <v>251</v>
      </c>
      <c r="B189" s="99">
        <v>0</v>
      </c>
      <c r="C189" s="99">
        <v>6317820</v>
      </c>
    </row>
    <row r="190" spans="1:3" ht="15.75" customHeight="1">
      <c r="A190" s="99" t="s">
        <v>252</v>
      </c>
      <c r="B190" s="99">
        <v>0</v>
      </c>
      <c r="C190" s="99">
        <v>88007868</v>
      </c>
    </row>
    <row r="191" spans="1:3" ht="15.75" customHeight="1">
      <c r="A191" s="99" t="s">
        <v>53</v>
      </c>
      <c r="B191" s="99">
        <v>0</v>
      </c>
      <c r="C191" s="99">
        <v>20000000</v>
      </c>
    </row>
    <row r="192" spans="1:3" ht="15.75" customHeight="1">
      <c r="A192" s="99" t="s">
        <v>143</v>
      </c>
      <c r="B192" s="99">
        <v>0</v>
      </c>
      <c r="C192" s="99">
        <v>500000</v>
      </c>
    </row>
    <row r="193" spans="1:3" ht="15.75" customHeight="1">
      <c r="A193" s="99" t="s">
        <v>66</v>
      </c>
      <c r="B193" s="99">
        <v>0</v>
      </c>
      <c r="C193" s="99">
        <v>0</v>
      </c>
    </row>
    <row r="194" spans="1:3" ht="15.75" customHeight="1">
      <c r="A194" s="99" t="s">
        <v>194</v>
      </c>
      <c r="B194" s="99">
        <v>10000000</v>
      </c>
      <c r="C194" s="99">
        <v>62003027</v>
      </c>
    </row>
    <row r="195" spans="1:3" ht="15.75" customHeight="1">
      <c r="A195" s="99" t="s">
        <v>180</v>
      </c>
      <c r="B195" s="99">
        <v>0</v>
      </c>
      <c r="C195" s="99">
        <v>1354264665</v>
      </c>
    </row>
    <row r="196" spans="1:3" ht="15.75" customHeight="1">
      <c r="A196" s="99" t="s">
        <v>182</v>
      </c>
      <c r="B196" s="99">
        <v>0</v>
      </c>
      <c r="C196" s="99">
        <v>0</v>
      </c>
    </row>
    <row r="197" spans="1:3" ht="15.75" customHeight="1">
      <c r="A197" s="99" t="s">
        <v>181</v>
      </c>
      <c r="B197" s="99">
        <v>0</v>
      </c>
      <c r="C197" s="99">
        <v>0</v>
      </c>
    </row>
    <row r="198" spans="1:3" ht="15.75" customHeight="1">
      <c r="A198" s="99" t="s">
        <v>183</v>
      </c>
      <c r="B198" s="99">
        <v>0</v>
      </c>
      <c r="C198" s="99">
        <v>0</v>
      </c>
    </row>
    <row r="199" spans="1:3" ht="15.75" customHeight="1">
      <c r="A199" s="99" t="s">
        <v>177</v>
      </c>
      <c r="B199" s="99">
        <v>606389</v>
      </c>
      <c r="C199" s="99">
        <v>0</v>
      </c>
    </row>
    <row r="200" spans="1:3" ht="15.75" customHeight="1">
      <c r="A200" s="99" t="s">
        <v>229</v>
      </c>
      <c r="B200" s="99">
        <v>0</v>
      </c>
    </row>
    <row r="201" spans="1:3" ht="15.75" customHeight="1">
      <c r="A201" s="99" t="s">
        <v>178</v>
      </c>
      <c r="B201" s="99">
        <v>684941638</v>
      </c>
    </row>
    <row r="202" spans="1:3" ht="15.75" customHeight="1">
      <c r="A202" s="99">
        <v>0</v>
      </c>
      <c r="B202" s="99">
        <v>0</v>
      </c>
      <c r="C202" s="99">
        <v>0</v>
      </c>
    </row>
    <row r="203" spans="1:3" ht="15.75" customHeight="1">
      <c r="A203" s="99" t="s">
        <v>232</v>
      </c>
      <c r="B203" s="99">
        <v>0</v>
      </c>
      <c r="C203" s="99">
        <v>0</v>
      </c>
    </row>
    <row r="204" spans="1:3" ht="15.75" customHeight="1">
      <c r="A204" s="99" t="s">
        <v>233</v>
      </c>
      <c r="B204" s="99">
        <v>0</v>
      </c>
      <c r="C204" s="99">
        <v>0</v>
      </c>
    </row>
    <row r="205" spans="1:3" ht="15.75" customHeight="1">
      <c r="A205" s="99">
        <v>0</v>
      </c>
      <c r="B205" s="99">
        <v>0</v>
      </c>
      <c r="C205" s="99">
        <v>0</v>
      </c>
    </row>
    <row r="206" spans="1:3" ht="15.75" customHeight="1">
      <c r="A206" s="99">
        <v>0</v>
      </c>
      <c r="B206" s="99">
        <v>0</v>
      </c>
      <c r="C206" s="99">
        <v>0</v>
      </c>
    </row>
    <row r="207" spans="1:3" ht="15.75" customHeight="1">
      <c r="A207" s="99">
        <v>0</v>
      </c>
      <c r="B207" s="99">
        <v>0</v>
      </c>
      <c r="C207" s="99">
        <v>0</v>
      </c>
    </row>
    <row r="208" spans="1:3" ht="15.75" customHeight="1">
      <c r="A208" s="99">
        <v>0</v>
      </c>
      <c r="B208" s="99">
        <v>0</v>
      </c>
      <c r="C208" s="99">
        <v>0</v>
      </c>
    </row>
    <row r="209" spans="1:3" ht="15.75" customHeight="1">
      <c r="A209" s="99">
        <v>0</v>
      </c>
      <c r="B209" s="99">
        <v>0</v>
      </c>
      <c r="C209" s="99">
        <v>0</v>
      </c>
    </row>
    <row r="210" spans="1:3" ht="15.75" customHeight="1">
      <c r="A210" s="99">
        <v>0</v>
      </c>
      <c r="B210" s="99">
        <v>0</v>
      </c>
      <c r="C210" s="99">
        <v>0</v>
      </c>
    </row>
    <row r="211" spans="1:3" ht="15.75" customHeight="1">
      <c r="A211" s="99">
        <v>0</v>
      </c>
      <c r="B211" s="99">
        <v>0</v>
      </c>
      <c r="C211" s="99">
        <v>0</v>
      </c>
    </row>
    <row r="212" spans="1:3" ht="15.75" customHeight="1">
      <c r="A212" s="99" t="s">
        <v>3</v>
      </c>
      <c r="B212" s="99">
        <v>1038228070</v>
      </c>
      <c r="C212" s="99">
        <v>684941638</v>
      </c>
    </row>
    <row r="213" spans="1:3" ht="15.75" customHeight="1">
      <c r="A213" s="99">
        <v>0</v>
      </c>
      <c r="B213" s="99">
        <v>0</v>
      </c>
      <c r="C213" s="99">
        <v>0</v>
      </c>
    </row>
    <row r="214" spans="1:3" ht="15.75" customHeight="1">
      <c r="A214" s="99">
        <v>0</v>
      </c>
      <c r="B214" s="99">
        <v>0</v>
      </c>
      <c r="C214" s="99">
        <v>0</v>
      </c>
    </row>
    <row r="215" spans="1:3" ht="15.75" customHeight="1">
      <c r="A215" s="99" t="s">
        <v>224</v>
      </c>
      <c r="B215" s="99">
        <v>13765820</v>
      </c>
      <c r="C215" s="99">
        <v>0</v>
      </c>
    </row>
    <row r="216" spans="1:3" ht="15.75" customHeight="1">
      <c r="A216" s="99" t="s">
        <v>144</v>
      </c>
      <c r="B216" s="99">
        <v>0</v>
      </c>
      <c r="C216" s="99">
        <v>0</v>
      </c>
    </row>
    <row r="217" spans="1:3" ht="15.75" customHeight="1">
      <c r="A217" s="99" t="s">
        <v>2</v>
      </c>
      <c r="B217" s="99">
        <v>48994</v>
      </c>
      <c r="C217" s="99">
        <v>129871</v>
      </c>
    </row>
    <row r="218" spans="1:3" ht="15.75" customHeight="1">
      <c r="A218" s="99" t="s">
        <v>146</v>
      </c>
      <c r="B218" s="99">
        <v>0</v>
      </c>
      <c r="C218" s="99">
        <v>0</v>
      </c>
    </row>
    <row r="220" spans="1:3" ht="15.75" customHeight="1">
      <c r="A220" s="99" t="s">
        <v>24</v>
      </c>
      <c r="B220" s="99">
        <v>4876432393</v>
      </c>
      <c r="C220" s="99">
        <v>4876432392</v>
      </c>
    </row>
    <row r="221" spans="1:3" ht="15.75" customHeight="1">
      <c r="A221" s="99" t="s">
        <v>25</v>
      </c>
      <c r="B221" s="99">
        <v>0</v>
      </c>
      <c r="C221" s="99">
        <v>0</v>
      </c>
    </row>
    <row r="222" spans="1:3" ht="15.75" customHeight="1">
      <c r="A222" s="99" t="s">
        <v>26</v>
      </c>
      <c r="B222" s="99">
        <v>4876432393</v>
      </c>
      <c r="C222" s="99">
        <v>4876432392</v>
      </c>
    </row>
  </sheetData>
  <printOptions horizontalCentered="1"/>
  <pageMargins left="0.78740157480314965" right="0.46" top="0.17" bottom="0.22" header="0.17" footer="0.17"/>
  <pageSetup scale="6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N222"/>
  <sheetViews>
    <sheetView showGridLines="0" view="pageBreakPreview" topLeftCell="A53" zoomScale="85" zoomScaleNormal="85" zoomScaleSheetLayoutView="85" workbookViewId="0">
      <selection sqref="A1:I73"/>
    </sheetView>
  </sheetViews>
  <sheetFormatPr baseColWidth="10" defaultColWidth="11.42578125" defaultRowHeight="15.75" customHeight="1"/>
  <cols>
    <col min="1" max="1" width="42.85546875" style="99" customWidth="1"/>
    <col min="2" max="2" width="17" style="99" customWidth="1"/>
    <col min="3" max="3" width="17.7109375" style="99" customWidth="1"/>
    <col min="4" max="9" width="18.140625" style="99" customWidth="1"/>
    <col min="10" max="11" width="13.5703125" style="476" bestFit="1" customWidth="1"/>
    <col min="12" max="12" width="21.42578125" style="476" customWidth="1"/>
    <col min="13" max="13" width="16.7109375" style="99" customWidth="1"/>
    <col min="14" max="14" width="11.42578125" style="99"/>
    <col min="15" max="16" width="14.42578125" style="99" bestFit="1" customWidth="1"/>
    <col min="17" max="16384" width="11.42578125" style="99"/>
  </cols>
  <sheetData>
    <row r="1" spans="1:14" ht="24" customHeight="1">
      <c r="A1" s="1175" t="str">
        <f>+MAYOR!B1</f>
        <v>SOCIEDAD COMERCIAL SOLMET SpA</v>
      </c>
      <c r="B1" s="1176"/>
      <c r="C1" s="1176"/>
      <c r="D1" s="1177"/>
      <c r="E1" s="1178"/>
      <c r="F1" s="1178"/>
      <c r="G1" s="1178"/>
      <c r="H1" s="1178"/>
      <c r="I1" s="651"/>
    </row>
    <row r="2" spans="1:14" ht="15.75" customHeight="1">
      <c r="A2" s="1179" t="str">
        <f>+MAYOR!B2</f>
        <v>BOMBEROS SALAS #1445 OFC 601B</v>
      </c>
      <c r="B2" s="1176"/>
      <c r="C2" s="1176"/>
      <c r="D2" s="1177"/>
      <c r="E2" s="1178"/>
      <c r="F2" s="1178"/>
      <c r="G2" s="1178"/>
      <c r="H2" s="1178"/>
      <c r="I2" s="651"/>
    </row>
    <row r="3" spans="1:14" ht="15.75" customHeight="1">
      <c r="A3" s="1179" t="str">
        <f>+MAYOR!B3</f>
        <v>RUT: 76.541.377-K</v>
      </c>
      <c r="B3" s="1176"/>
      <c r="C3" s="1176"/>
      <c r="D3" s="1177"/>
      <c r="E3" s="1178"/>
      <c r="F3" s="1178"/>
      <c r="G3" s="1178"/>
      <c r="H3" s="1178"/>
      <c r="I3" s="651"/>
    </row>
    <row r="4" spans="1:14" ht="15.75" customHeight="1">
      <c r="A4" s="1179"/>
      <c r="B4" s="1180"/>
      <c r="C4" s="1176"/>
      <c r="D4" s="1177"/>
      <c r="E4" s="1178"/>
      <c r="F4" s="1178"/>
      <c r="G4" s="1178"/>
      <c r="H4" s="1178"/>
      <c r="I4" s="651"/>
    </row>
    <row r="5" spans="1:14" ht="15.75" customHeight="1">
      <c r="A5" s="1180"/>
      <c r="B5" s="1178"/>
      <c r="C5" s="1178"/>
      <c r="D5" s="1178"/>
      <c r="E5" s="1178"/>
      <c r="F5" s="1178"/>
      <c r="G5" s="1178"/>
      <c r="H5" s="1178"/>
      <c r="I5" s="651"/>
    </row>
    <row r="6" spans="1:14" s="115" customFormat="1" ht="20.25" customHeight="1">
      <c r="A6" s="1181" t="s">
        <v>10</v>
      </c>
      <c r="B6" s="1182"/>
      <c r="C6" s="1182"/>
      <c r="D6" s="1182"/>
      <c r="E6" s="1182"/>
      <c r="F6" s="1182"/>
      <c r="G6" s="1182"/>
      <c r="H6" s="1182"/>
      <c r="I6" s="656"/>
      <c r="J6" s="476"/>
      <c r="K6" s="476"/>
      <c r="L6" s="476"/>
    </row>
    <row r="7" spans="1:14" s="118" customFormat="1" ht="15.75" customHeight="1">
      <c r="A7" s="1183" t="s">
        <v>962</v>
      </c>
      <c r="B7" s="1184"/>
      <c r="C7" s="1184"/>
      <c r="D7" s="1184"/>
      <c r="E7" s="1184"/>
      <c r="F7" s="1184"/>
      <c r="G7" s="1184"/>
      <c r="H7" s="1184"/>
      <c r="I7" s="658"/>
      <c r="J7" s="476"/>
      <c r="K7" s="476"/>
      <c r="L7" s="476"/>
    </row>
    <row r="8" spans="1:14" ht="5.25" customHeight="1">
      <c r="A8" s="659"/>
      <c r="B8" s="651"/>
      <c r="C8" s="651"/>
      <c r="D8" s="651"/>
      <c r="E8" s="651"/>
      <c r="F8" s="651"/>
      <c r="G8" s="651"/>
      <c r="H8" s="651"/>
      <c r="I8" s="651"/>
    </row>
    <row r="9" spans="1:14" ht="6.75" customHeight="1">
      <c r="A9" s="651"/>
      <c r="B9" s="651"/>
      <c r="C9" s="651"/>
      <c r="D9" s="651"/>
      <c r="E9" s="651"/>
      <c r="F9" s="651"/>
      <c r="G9" s="651"/>
      <c r="H9" s="651"/>
      <c r="I9" s="651"/>
    </row>
    <row r="10" spans="1:14" ht="15.75" customHeight="1" thickBot="1">
      <c r="A10" s="1203" t="s">
        <v>11</v>
      </c>
      <c r="B10" s="1204" t="s">
        <v>12</v>
      </c>
      <c r="C10" s="1204" t="s">
        <v>13</v>
      </c>
      <c r="D10" s="1205" t="s">
        <v>7</v>
      </c>
      <c r="E10" s="1206"/>
      <c r="F10" s="1207" t="s">
        <v>14</v>
      </c>
      <c r="G10" s="1208"/>
      <c r="H10" s="1205" t="s">
        <v>15</v>
      </c>
      <c r="I10" s="1209"/>
    </row>
    <row r="11" spans="1:14" ht="15.75" customHeight="1">
      <c r="A11" s="1210"/>
      <c r="B11" s="1211" t="s">
        <v>16</v>
      </c>
      <c r="C11" s="1211" t="s">
        <v>17</v>
      </c>
      <c r="D11" s="1212" t="s">
        <v>18</v>
      </c>
      <c r="E11" s="1213" t="s">
        <v>19</v>
      </c>
      <c r="F11" s="1212" t="s">
        <v>20</v>
      </c>
      <c r="G11" s="1213" t="s">
        <v>21</v>
      </c>
      <c r="H11" s="1213" t="s">
        <v>22</v>
      </c>
      <c r="I11" s="1214" t="s">
        <v>23</v>
      </c>
    </row>
    <row r="12" spans="1:14" s="120" customFormat="1" ht="15.75" customHeight="1" thickBot="1">
      <c r="A12" s="1186" t="str">
        <f>+MAYOR!F6</f>
        <v>DISPONIBLE</v>
      </c>
      <c r="B12" s="1187">
        <f>+MAYOR!F228</f>
        <v>0</v>
      </c>
      <c r="C12" s="1187">
        <f>+MAYOR!G228+2456331+40000000+38657437+78956745+13467890-53467890</f>
        <v>120070513</v>
      </c>
      <c r="D12" s="1187">
        <f>IF(B12&gt;C12,B12-C12,0)</f>
        <v>0</v>
      </c>
      <c r="E12" s="1187">
        <f t="shared" ref="E12:E60" si="0">IF(B12&lt;C12,C12-B12,0)</f>
        <v>120070513</v>
      </c>
      <c r="F12" s="1188">
        <f t="shared" ref="F12:G16" si="1">IF(D12&lt;0,0,D12)</f>
        <v>0</v>
      </c>
      <c r="G12" s="1188">
        <f t="shared" si="1"/>
        <v>120070513</v>
      </c>
      <c r="H12" s="1187">
        <f t="shared" ref="H12:I16" si="2">IF(F12&lt;=0,D12,0)</f>
        <v>0</v>
      </c>
      <c r="I12" s="1187">
        <f t="shared" si="2"/>
        <v>0</v>
      </c>
      <c r="J12" s="476"/>
      <c r="K12" s="476"/>
      <c r="L12" s="476"/>
    </row>
    <row r="13" spans="1:14" s="857" customFormat="1" ht="15.75" customHeight="1" thickBot="1">
      <c r="A13" s="1186" t="str">
        <f>+MAYOR!L6</f>
        <v>P.P.M.</v>
      </c>
      <c r="B13" s="1187">
        <f>+MAYOR!L228</f>
        <v>0</v>
      </c>
      <c r="C13" s="1187">
        <f>+MAYOR!M228</f>
        <v>0</v>
      </c>
      <c r="D13" s="1187">
        <f t="shared" ref="D13:D60" si="3">IF(B13&gt;C13,B13-C13,0)</f>
        <v>0</v>
      </c>
      <c r="E13" s="1187">
        <f t="shared" si="0"/>
        <v>0</v>
      </c>
      <c r="F13" s="1188">
        <f t="shared" si="1"/>
        <v>0</v>
      </c>
      <c r="G13" s="1188">
        <f t="shared" si="1"/>
        <v>0</v>
      </c>
      <c r="H13" s="1187">
        <f t="shared" si="2"/>
        <v>0</v>
      </c>
      <c r="I13" s="1187">
        <f t="shared" si="2"/>
        <v>0</v>
      </c>
      <c r="J13" s="856"/>
      <c r="K13" s="908">
        <v>3459463</v>
      </c>
      <c r="L13" s="856"/>
      <c r="M13" s="503"/>
      <c r="N13" s="503"/>
    </row>
    <row r="14" spans="1:14" s="857" customFormat="1" ht="15.75" customHeight="1">
      <c r="A14" s="1186" t="str">
        <f>+MAYOR!R6</f>
        <v>CAMION FAENERO ANTOFAGASTA</v>
      </c>
      <c r="B14" s="1187">
        <f>+MAYOR!R228</f>
        <v>0</v>
      </c>
      <c r="C14" s="1187">
        <f>+MAYOR!S228</f>
        <v>0</v>
      </c>
      <c r="D14" s="1187">
        <f t="shared" si="3"/>
        <v>0</v>
      </c>
      <c r="E14" s="1187">
        <f t="shared" si="0"/>
        <v>0</v>
      </c>
      <c r="F14" s="1188">
        <f>IF(D14&lt;0,0,D14)</f>
        <v>0</v>
      </c>
      <c r="G14" s="1188">
        <f t="shared" si="1"/>
        <v>0</v>
      </c>
      <c r="H14" s="1187">
        <f t="shared" si="2"/>
        <v>0</v>
      </c>
      <c r="I14" s="1187">
        <f t="shared" si="2"/>
        <v>0</v>
      </c>
      <c r="J14" s="856"/>
      <c r="K14" s="909"/>
      <c r="L14" s="856"/>
      <c r="M14" s="503"/>
      <c r="N14" s="503"/>
    </row>
    <row r="15" spans="1:14" s="120" customFormat="1" ht="15.75" customHeight="1">
      <c r="A15" s="1186" t="str">
        <f>+MAYOR!Z6</f>
        <v>VEHICULOS</v>
      </c>
      <c r="B15" s="1187">
        <f>+MAYOR!Z228</f>
        <v>0</v>
      </c>
      <c r="C15" s="1187">
        <f>+MAYOR!AA228</f>
        <v>0</v>
      </c>
      <c r="D15" s="1187">
        <f t="shared" si="3"/>
        <v>0</v>
      </c>
      <c r="E15" s="1187">
        <f t="shared" si="0"/>
        <v>0</v>
      </c>
      <c r="F15" s="1188">
        <f t="shared" si="1"/>
        <v>0</v>
      </c>
      <c r="G15" s="1188">
        <f t="shared" si="1"/>
        <v>0</v>
      </c>
      <c r="H15" s="1187">
        <f t="shared" si="2"/>
        <v>0</v>
      </c>
      <c r="I15" s="1187">
        <f t="shared" si="2"/>
        <v>0</v>
      </c>
      <c r="J15" s="476"/>
      <c r="K15" s="476"/>
      <c r="L15" s="476"/>
      <c r="M15" s="100"/>
      <c r="N15" s="100"/>
    </row>
    <row r="16" spans="1:14" s="120" customFormat="1" ht="15.75" customHeight="1">
      <c r="A16" s="1186" t="str">
        <f>+MAYOR!P6</f>
        <v>INVESTIGACION NUEVOS PROYECTOS MINEROS</v>
      </c>
      <c r="B16" s="1187">
        <f>+MAYOR!P228</f>
        <v>0</v>
      </c>
      <c r="C16" s="1187">
        <f>+MAYOR!Q228</f>
        <v>0</v>
      </c>
      <c r="D16" s="1187">
        <f t="shared" si="3"/>
        <v>0</v>
      </c>
      <c r="E16" s="1187">
        <f t="shared" si="0"/>
        <v>0</v>
      </c>
      <c r="F16" s="1188">
        <f t="shared" si="1"/>
        <v>0</v>
      </c>
      <c r="G16" s="1188">
        <f t="shared" si="1"/>
        <v>0</v>
      </c>
      <c r="H16" s="1187">
        <f t="shared" si="2"/>
        <v>0</v>
      </c>
      <c r="I16" s="1187">
        <f t="shared" si="2"/>
        <v>0</v>
      </c>
      <c r="J16" s="476"/>
      <c r="K16" s="476"/>
      <c r="L16" s="476"/>
      <c r="M16" s="100"/>
      <c r="N16" s="100"/>
    </row>
    <row r="17" spans="1:14" s="120" customFormat="1" ht="15.75" customHeight="1">
      <c r="A17" s="1186" t="s">
        <v>1013</v>
      </c>
      <c r="B17" s="1187">
        <v>40000000</v>
      </c>
      <c r="C17" s="1187">
        <f>+MAYOR!AA230</f>
        <v>0</v>
      </c>
      <c r="D17" s="1187">
        <v>40000000</v>
      </c>
      <c r="E17" s="1187"/>
      <c r="F17" s="1187">
        <v>40000000</v>
      </c>
      <c r="G17" s="1188"/>
      <c r="H17" s="1187"/>
      <c r="I17" s="1187"/>
      <c r="J17" s="476"/>
      <c r="K17" s="476"/>
      <c r="L17" s="476"/>
      <c r="M17" s="100"/>
      <c r="N17" s="100"/>
    </row>
    <row r="18" spans="1:14" s="120" customFormat="1" ht="15.75" customHeight="1">
      <c r="A18" s="1186" t="s">
        <v>1014</v>
      </c>
      <c r="B18" s="1187">
        <v>38657437</v>
      </c>
      <c r="C18" s="1187">
        <v>0</v>
      </c>
      <c r="D18" s="1187">
        <f>IF(B18&gt;C18,B18-C18,0)</f>
        <v>38657437</v>
      </c>
      <c r="E18" s="1187">
        <f>IF(B18&lt;C18,C18-B18,0)</f>
        <v>0</v>
      </c>
      <c r="F18" s="1188">
        <f>IF(D18&lt;0,0,D18)</f>
        <v>38657437</v>
      </c>
      <c r="G18" s="1188">
        <f>IF(E18&lt;0,0,E18)</f>
        <v>0</v>
      </c>
      <c r="H18" s="1187">
        <f>IF(F18&lt;=0,D18,0)</f>
        <v>0</v>
      </c>
      <c r="I18" s="1187">
        <f>IF(G18&lt;=0,E18,0)</f>
        <v>0</v>
      </c>
      <c r="J18" s="476"/>
      <c r="K18" s="476"/>
      <c r="L18" s="476"/>
      <c r="M18" s="100"/>
      <c r="N18" s="100"/>
    </row>
    <row r="19" spans="1:14" s="120" customFormat="1" ht="15.75" hidden="1" customHeight="1">
      <c r="A19" s="1186"/>
      <c r="B19" s="1187"/>
      <c r="C19" s="1187">
        <v>0</v>
      </c>
      <c r="D19" s="1187"/>
      <c r="E19" s="1187"/>
      <c r="F19" s="1188"/>
      <c r="G19" s="1188"/>
      <c r="H19" s="1187"/>
      <c r="I19" s="1187"/>
      <c r="J19" s="476"/>
      <c r="K19" s="476"/>
      <c r="L19" s="476"/>
      <c r="M19" s="100"/>
      <c r="N19" s="100"/>
    </row>
    <row r="20" spans="1:14" s="120" customFormat="1" ht="15.75" customHeight="1">
      <c r="A20" s="1186" t="str">
        <f>+MAYOR!AL6</f>
        <v>INTERESES DIFERIDOS BCI</v>
      </c>
      <c r="B20" s="1187">
        <f>+MAYOR!AJ228</f>
        <v>0</v>
      </c>
      <c r="C20" s="1187">
        <f>+MAYOR!AK228</f>
        <v>0</v>
      </c>
      <c r="D20" s="1187">
        <f>IF(B20&gt;C20,B20-C20,0)</f>
        <v>0</v>
      </c>
      <c r="E20" s="1187">
        <f>IF(B20&lt;C20,C20-B20,0)</f>
        <v>0</v>
      </c>
      <c r="F20" s="1188">
        <f t="shared" ref="F20:G35" si="4">IF(D20&lt;0,0,D20)</f>
        <v>0</v>
      </c>
      <c r="G20" s="1188">
        <f t="shared" si="4"/>
        <v>0</v>
      </c>
      <c r="H20" s="1187">
        <f t="shared" ref="H20:I35" si="5">IF(F20&lt;=0,D20,0)</f>
        <v>0</v>
      </c>
      <c r="I20" s="1187">
        <f t="shared" si="5"/>
        <v>0</v>
      </c>
      <c r="J20" s="476"/>
      <c r="K20" s="476">
        <v>8306766</v>
      </c>
      <c r="L20" s="476"/>
      <c r="M20" s="100"/>
      <c r="N20" s="100"/>
    </row>
    <row r="21" spans="1:14" s="120" customFormat="1" ht="15.75" customHeight="1">
      <c r="A21" s="1186" t="s">
        <v>1015</v>
      </c>
      <c r="B21" s="1187">
        <v>78956745</v>
      </c>
      <c r="C21" s="1187">
        <f>+MAYOR!BB221</f>
        <v>0</v>
      </c>
      <c r="D21" s="1187">
        <f>IF(B21&gt;C21,B21-C21,0)</f>
        <v>78956745</v>
      </c>
      <c r="E21" s="1187">
        <f>IF(B21&lt;C21,C21-B21,0)</f>
        <v>0</v>
      </c>
      <c r="F21" s="1188">
        <f t="shared" si="4"/>
        <v>78956745</v>
      </c>
      <c r="G21" s="1188">
        <f t="shared" si="4"/>
        <v>0</v>
      </c>
      <c r="H21" s="1187">
        <f t="shared" si="5"/>
        <v>0</v>
      </c>
      <c r="I21" s="1187">
        <f t="shared" si="5"/>
        <v>0</v>
      </c>
      <c r="J21" s="476"/>
      <c r="K21" s="476">
        <v>0</v>
      </c>
      <c r="L21" s="476"/>
      <c r="M21" s="100"/>
      <c r="N21" s="100"/>
    </row>
    <row r="22" spans="1:14" s="120" customFormat="1" ht="15.75" customHeight="1">
      <c r="A22" s="1186" t="s">
        <v>1016</v>
      </c>
      <c r="B22" s="1187">
        <f>+MAYOR!N228</f>
        <v>0</v>
      </c>
      <c r="C22" s="1187">
        <v>40000000</v>
      </c>
      <c r="D22" s="1187">
        <f t="shared" si="3"/>
        <v>0</v>
      </c>
      <c r="E22" s="1187">
        <f t="shared" si="0"/>
        <v>40000000</v>
      </c>
      <c r="F22" s="1188">
        <f t="shared" si="4"/>
        <v>0</v>
      </c>
      <c r="G22" s="1188">
        <f t="shared" si="4"/>
        <v>40000000</v>
      </c>
      <c r="H22" s="1187">
        <f t="shared" si="5"/>
        <v>0</v>
      </c>
      <c r="I22" s="1187">
        <f t="shared" si="5"/>
        <v>0</v>
      </c>
      <c r="J22" s="476"/>
      <c r="K22" s="476">
        <v>8200000</v>
      </c>
      <c r="L22" s="476"/>
    </row>
    <row r="23" spans="1:14" s="120" customFormat="1" ht="15.75" hidden="1" customHeight="1">
      <c r="A23" s="1186" t="str">
        <f>+MAYOR!T6</f>
        <v>CREDITO SENCE</v>
      </c>
      <c r="B23" s="1187">
        <f>+MAYOR!T228</f>
        <v>0</v>
      </c>
      <c r="C23" s="1187"/>
      <c r="D23" s="1187">
        <f t="shared" si="3"/>
        <v>0</v>
      </c>
      <c r="E23" s="1187">
        <f t="shared" si="0"/>
        <v>0</v>
      </c>
      <c r="F23" s="1188">
        <f t="shared" si="4"/>
        <v>0</v>
      </c>
      <c r="G23" s="1188">
        <f t="shared" si="4"/>
        <v>0</v>
      </c>
      <c r="H23" s="1187">
        <f t="shared" si="5"/>
        <v>0</v>
      </c>
      <c r="I23" s="1187">
        <f t="shared" si="5"/>
        <v>0</v>
      </c>
      <c r="J23" s="476"/>
      <c r="K23" s="476">
        <v>459261</v>
      </c>
      <c r="L23" s="476"/>
      <c r="N23" s="100"/>
    </row>
    <row r="24" spans="1:14" s="120" customFormat="1" ht="15.75" customHeight="1">
      <c r="A24" s="1186" t="str">
        <f>+MAYOR!AU6</f>
        <v>AFP</v>
      </c>
      <c r="B24" s="1187">
        <f>+MAYOR!AU228</f>
        <v>0</v>
      </c>
      <c r="C24" s="1187">
        <f>+MAYOR!AV228</f>
        <v>0</v>
      </c>
      <c r="D24" s="1187">
        <f t="shared" si="3"/>
        <v>0</v>
      </c>
      <c r="E24" s="1187">
        <f t="shared" si="0"/>
        <v>0</v>
      </c>
      <c r="F24" s="1188">
        <f t="shared" si="4"/>
        <v>0</v>
      </c>
      <c r="G24" s="1188">
        <f t="shared" si="4"/>
        <v>0</v>
      </c>
      <c r="H24" s="1187">
        <f t="shared" si="5"/>
        <v>0</v>
      </c>
      <c r="I24" s="1187">
        <f t="shared" si="5"/>
        <v>0</v>
      </c>
      <c r="J24" s="476"/>
      <c r="K24" s="476"/>
      <c r="L24" s="476"/>
    </row>
    <row r="25" spans="1:14" s="120" customFormat="1" ht="15.75" customHeight="1">
      <c r="A25" s="1186" t="str">
        <f>+MAYOR!AW6</f>
        <v>RETENCION DE HONORARIOS</v>
      </c>
      <c r="B25" s="1187">
        <f>+MAYOR!AW228</f>
        <v>0</v>
      </c>
      <c r="C25" s="1187">
        <f>+MAYOR!AX228</f>
        <v>0</v>
      </c>
      <c r="D25" s="1187">
        <f t="shared" si="3"/>
        <v>0</v>
      </c>
      <c r="E25" s="1187">
        <f t="shared" si="0"/>
        <v>0</v>
      </c>
      <c r="F25" s="1188">
        <f>IF(D25&lt;0,0,D25)</f>
        <v>0</v>
      </c>
      <c r="G25" s="1188">
        <f>IF(E25&lt;0,0,E25)</f>
        <v>0</v>
      </c>
      <c r="H25" s="1187">
        <f>IF(F25&lt;=0,D25,0)</f>
        <v>0</v>
      </c>
      <c r="I25" s="1187">
        <f>IF(G25&lt;=0,E25,0)</f>
        <v>0</v>
      </c>
      <c r="J25" s="476"/>
      <c r="K25" s="476">
        <f>SUM(K20:K24)</f>
        <v>16966027</v>
      </c>
      <c r="L25" s="476"/>
    </row>
    <row r="26" spans="1:14" s="120" customFormat="1" ht="15.75" customHeight="1">
      <c r="A26" s="1186" t="str">
        <f>+MAYOR!AY6</f>
        <v>P.P.M. POR PAGAR</v>
      </c>
      <c r="B26" s="1187">
        <f>+MAYOR!AY228</f>
        <v>0</v>
      </c>
      <c r="C26" s="1187">
        <f>+MAYOR!AZ228</f>
        <v>0</v>
      </c>
      <c r="D26" s="1187">
        <f t="shared" si="3"/>
        <v>0</v>
      </c>
      <c r="E26" s="1187">
        <f t="shared" si="0"/>
        <v>0</v>
      </c>
      <c r="F26" s="1188">
        <f t="shared" si="4"/>
        <v>0</v>
      </c>
      <c r="G26" s="1188">
        <f t="shared" si="4"/>
        <v>0</v>
      </c>
      <c r="H26" s="1187">
        <f t="shared" si="5"/>
        <v>0</v>
      </c>
      <c r="I26" s="1187">
        <f t="shared" si="5"/>
        <v>0</v>
      </c>
      <c r="J26" s="476"/>
      <c r="K26" s="476"/>
      <c r="L26" s="476"/>
    </row>
    <row r="27" spans="1:14" s="120" customFormat="1" ht="15.75" customHeight="1">
      <c r="A27" s="1186" t="str">
        <f>+MAYOR!J6</f>
        <v>IVA POR PAGAR</v>
      </c>
      <c r="B27" s="1187">
        <f>+MAYOR!J228</f>
        <v>0</v>
      </c>
      <c r="C27" s="1187">
        <f>+MAYOR!K228</f>
        <v>0</v>
      </c>
      <c r="D27" s="1187">
        <f t="shared" si="3"/>
        <v>0</v>
      </c>
      <c r="E27" s="1187">
        <f t="shared" si="0"/>
        <v>0</v>
      </c>
      <c r="F27" s="1188">
        <f t="shared" si="4"/>
        <v>0</v>
      </c>
      <c r="G27" s="1188">
        <f t="shared" si="4"/>
        <v>0</v>
      </c>
      <c r="H27" s="1187">
        <f t="shared" si="5"/>
        <v>0</v>
      </c>
      <c r="I27" s="1187">
        <f t="shared" si="5"/>
        <v>0</v>
      </c>
      <c r="J27" s="476"/>
      <c r="K27" s="476"/>
      <c r="L27" s="476"/>
    </row>
    <row r="28" spans="1:14" s="857" customFormat="1" ht="15.75" customHeight="1">
      <c r="A28" s="1186" t="str">
        <f>+MAYOR!BA6</f>
        <v>IMPTO UNICO</v>
      </c>
      <c r="B28" s="1187">
        <f>+MAYOR!BA228</f>
        <v>0</v>
      </c>
      <c r="C28" s="1187">
        <f>+MAYOR!BB228</f>
        <v>0</v>
      </c>
      <c r="D28" s="1187">
        <f>IF(B28&gt;C28,B28-C28,0)</f>
        <v>0</v>
      </c>
      <c r="E28" s="1187">
        <f t="shared" si="0"/>
        <v>0</v>
      </c>
      <c r="F28" s="1188">
        <f t="shared" si="4"/>
        <v>0</v>
      </c>
      <c r="G28" s="1188">
        <f t="shared" si="4"/>
        <v>0</v>
      </c>
      <c r="H28" s="1187">
        <f t="shared" si="5"/>
        <v>0</v>
      </c>
      <c r="I28" s="1187">
        <f t="shared" si="5"/>
        <v>0</v>
      </c>
      <c r="J28" s="856"/>
      <c r="K28" s="856"/>
      <c r="L28" s="856"/>
    </row>
    <row r="29" spans="1:14" s="120" customFormat="1" ht="15.75" hidden="1" customHeight="1">
      <c r="A29" s="1186" t="str">
        <f>+MAYOR!BQ6</f>
        <v>Ptmo para Pago Proveedores</v>
      </c>
      <c r="B29" s="1187">
        <f>+MAYOR!BQ228</f>
        <v>0</v>
      </c>
      <c r="C29" s="1187">
        <f>+MAYOR!BR228</f>
        <v>0</v>
      </c>
      <c r="D29" s="1187">
        <f>IF(B29&gt;C29,B29-C29,0)</f>
        <v>0</v>
      </c>
      <c r="E29" s="1187">
        <f t="shared" si="0"/>
        <v>0</v>
      </c>
      <c r="F29" s="1188">
        <f t="shared" si="4"/>
        <v>0</v>
      </c>
      <c r="G29" s="1188">
        <f t="shared" si="4"/>
        <v>0</v>
      </c>
      <c r="H29" s="1187">
        <f t="shared" si="5"/>
        <v>0</v>
      </c>
      <c r="I29" s="1187">
        <f t="shared" si="5"/>
        <v>0</v>
      </c>
      <c r="J29" s="476"/>
      <c r="K29" s="476"/>
      <c r="L29" s="476"/>
    </row>
    <row r="30" spans="1:14" s="120" customFormat="1" ht="15.75" customHeight="1">
      <c r="A30" s="1186" t="str">
        <f>+MAYOR!BY6</f>
        <v>ITAU PRESTAMO MM$80</v>
      </c>
      <c r="B30" s="1187">
        <f>+MAYOR!BY228</f>
        <v>0</v>
      </c>
      <c r="C30" s="1187">
        <f>+MAYOR!BZ228</f>
        <v>0</v>
      </c>
      <c r="D30" s="1187">
        <f>IF(B30&gt;C30,B30-C30,0)</f>
        <v>0</v>
      </c>
      <c r="E30" s="1187">
        <f t="shared" si="0"/>
        <v>0</v>
      </c>
      <c r="F30" s="1188">
        <f t="shared" si="4"/>
        <v>0</v>
      </c>
      <c r="G30" s="1188">
        <f t="shared" si="4"/>
        <v>0</v>
      </c>
      <c r="H30" s="1187">
        <f t="shared" si="5"/>
        <v>0</v>
      </c>
      <c r="I30" s="1187">
        <f t="shared" si="5"/>
        <v>0</v>
      </c>
      <c r="J30" s="476"/>
      <c r="K30" s="476"/>
      <c r="L30" s="476"/>
    </row>
    <row r="31" spans="1:14" s="120" customFormat="1" ht="15.75" customHeight="1">
      <c r="A31" s="1186" t="str">
        <f>+MAYOR!BO6</f>
        <v>PROVISION DE IMPUESTOS</v>
      </c>
      <c r="B31" s="1187">
        <f>+MAYOR!BO228</f>
        <v>0</v>
      </c>
      <c r="C31" s="1187">
        <f>+MAYOR!BP228</f>
        <v>0</v>
      </c>
      <c r="D31" s="1187">
        <f t="shared" si="3"/>
        <v>0</v>
      </c>
      <c r="E31" s="1187">
        <f t="shared" si="0"/>
        <v>0</v>
      </c>
      <c r="F31" s="1188">
        <f t="shared" si="4"/>
        <v>0</v>
      </c>
      <c r="G31" s="1188">
        <f t="shared" si="4"/>
        <v>0</v>
      </c>
      <c r="H31" s="1187">
        <f t="shared" si="5"/>
        <v>0</v>
      </c>
      <c r="I31" s="1187">
        <f t="shared" si="5"/>
        <v>0</v>
      </c>
      <c r="J31" s="476">
        <f>+G30</f>
        <v>0</v>
      </c>
      <c r="K31" s="476"/>
      <c r="L31" s="476">
        <v>13411244</v>
      </c>
    </row>
    <row r="32" spans="1:14" s="120" customFormat="1" ht="15.75" customHeight="1">
      <c r="A32" s="1370" t="str">
        <f>+MAYOR!BE6</f>
        <v>DEPRECIACION ACUMULADA</v>
      </c>
      <c r="B32" s="1187">
        <f>+MAYOR!BO229</f>
        <v>0</v>
      </c>
      <c r="C32" s="1187">
        <f>+H58</f>
        <v>0</v>
      </c>
      <c r="D32" s="1187">
        <f t="shared" si="3"/>
        <v>0</v>
      </c>
      <c r="E32" s="1187">
        <f t="shared" si="0"/>
        <v>0</v>
      </c>
      <c r="F32" s="1187">
        <f t="shared" si="4"/>
        <v>0</v>
      </c>
      <c r="G32" s="1187">
        <f t="shared" si="4"/>
        <v>0</v>
      </c>
      <c r="H32" s="1187">
        <f t="shared" si="5"/>
        <v>0</v>
      </c>
      <c r="I32" s="1188">
        <f t="shared" si="5"/>
        <v>0</v>
      </c>
      <c r="J32" s="476"/>
      <c r="K32" s="476"/>
      <c r="L32" s="476"/>
    </row>
    <row r="33" spans="1:12" s="120" customFormat="1" ht="15.75" customHeight="1">
      <c r="A33" s="1186" t="str">
        <f>+MAYOR!BK6</f>
        <v xml:space="preserve">FINANCIAMIENTO DE TERCEROS </v>
      </c>
      <c r="B33" s="1187">
        <f>+MAYOR!BK228</f>
        <v>0</v>
      </c>
      <c r="C33" s="1187">
        <f>+MAYOR!BL228</f>
        <v>0</v>
      </c>
      <c r="D33" s="1187">
        <f t="shared" si="3"/>
        <v>0</v>
      </c>
      <c r="E33" s="1187">
        <f t="shared" si="0"/>
        <v>0</v>
      </c>
      <c r="F33" s="1188">
        <f t="shared" si="4"/>
        <v>0</v>
      </c>
      <c r="G33" s="1188">
        <f t="shared" si="4"/>
        <v>0</v>
      </c>
      <c r="H33" s="1187">
        <f t="shared" si="5"/>
        <v>0</v>
      </c>
      <c r="I33" s="1187">
        <f t="shared" si="5"/>
        <v>0</v>
      </c>
      <c r="J33" s="476">
        <f>+G28</f>
        <v>0</v>
      </c>
      <c r="K33" s="476"/>
      <c r="L33" s="476">
        <v>58602</v>
      </c>
    </row>
    <row r="34" spans="1:12" s="120" customFormat="1" ht="15.75" customHeight="1" thickBot="1">
      <c r="A34" s="1186" t="str">
        <f>+MAYOR!BM6</f>
        <v>CTAS POR PAGAR</v>
      </c>
      <c r="B34" s="1187">
        <f>+MAYOR!BM228</f>
        <v>0</v>
      </c>
      <c r="C34" s="1187">
        <f>+MAYOR!BN228</f>
        <v>0</v>
      </c>
      <c r="D34" s="1187">
        <f t="shared" si="3"/>
        <v>0</v>
      </c>
      <c r="E34" s="1187">
        <f t="shared" si="0"/>
        <v>0</v>
      </c>
      <c r="F34" s="1188">
        <f t="shared" si="4"/>
        <v>0</v>
      </c>
      <c r="G34" s="1188">
        <f t="shared" si="4"/>
        <v>0</v>
      </c>
      <c r="H34" s="1187">
        <f t="shared" si="5"/>
        <v>0</v>
      </c>
      <c r="I34" s="1187">
        <f t="shared" si="5"/>
        <v>0</v>
      </c>
      <c r="J34" s="476">
        <f>SUM(J31:J33)</f>
        <v>0</v>
      </c>
      <c r="K34" s="476"/>
      <c r="L34" s="1104">
        <f>SUM(L31:L33)</f>
        <v>13469846</v>
      </c>
    </row>
    <row r="35" spans="1:12" s="120" customFormat="1" ht="15.75" customHeight="1" thickTop="1">
      <c r="A35" s="1186" t="str">
        <f>+MAYOR!CC6</f>
        <v>CAPITAL</v>
      </c>
      <c r="B35" s="1187">
        <f>+MAYOR!CC228</f>
        <v>0</v>
      </c>
      <c r="C35" s="1187">
        <f>+MAYOR!CD228</f>
        <v>0</v>
      </c>
      <c r="D35" s="1187">
        <f t="shared" si="3"/>
        <v>0</v>
      </c>
      <c r="E35" s="1187">
        <f t="shared" si="0"/>
        <v>0</v>
      </c>
      <c r="F35" s="1188">
        <f t="shared" si="4"/>
        <v>0</v>
      </c>
      <c r="G35" s="1188">
        <f t="shared" si="4"/>
        <v>0</v>
      </c>
      <c r="H35" s="1187">
        <f t="shared" si="5"/>
        <v>0</v>
      </c>
      <c r="I35" s="1187">
        <f t="shared" si="5"/>
        <v>0</v>
      </c>
      <c r="J35" s="476"/>
      <c r="K35" s="476"/>
      <c r="L35" s="476"/>
    </row>
    <row r="36" spans="1:12" s="120" customFormat="1" ht="15.75" customHeight="1">
      <c r="A36" s="1186" t="str">
        <f>+MAYOR!CE6</f>
        <v>REV. CAPITAL PROPIO</v>
      </c>
      <c r="B36" s="1187">
        <f>+MAYOR!CE228</f>
        <v>0</v>
      </c>
      <c r="C36" s="1187">
        <f>+MAYOR!CF228</f>
        <v>0</v>
      </c>
      <c r="D36" s="1187">
        <f t="shared" si="3"/>
        <v>0</v>
      </c>
      <c r="E36" s="1187">
        <f t="shared" si="0"/>
        <v>0</v>
      </c>
      <c r="F36" s="1188">
        <f t="shared" ref="F36:G38" si="6">IF(D36&lt;0,0,D36)</f>
        <v>0</v>
      </c>
      <c r="G36" s="1188">
        <f t="shared" si="6"/>
        <v>0</v>
      </c>
      <c r="H36" s="1187">
        <f t="shared" ref="H36:I55" si="7">IF(F36&lt;=0,D36,0)</f>
        <v>0</v>
      </c>
      <c r="I36" s="1187">
        <f t="shared" si="7"/>
        <v>0</v>
      </c>
      <c r="J36" s="476"/>
      <c r="K36" s="476"/>
      <c r="L36" s="476"/>
    </row>
    <row r="37" spans="1:12" s="120" customFormat="1" ht="15.75" customHeight="1">
      <c r="A37" s="1186" t="str">
        <f>+MAYOR!CG6</f>
        <v>RESULTADO ACUMULADO</v>
      </c>
      <c r="B37" s="1187">
        <f>+MAYOR!CG228</f>
        <v>0</v>
      </c>
      <c r="C37" s="1187">
        <f>+MAYOR!CH228</f>
        <v>0</v>
      </c>
      <c r="D37" s="1187">
        <f t="shared" si="3"/>
        <v>0</v>
      </c>
      <c r="E37" s="1187">
        <f t="shared" si="0"/>
        <v>0</v>
      </c>
      <c r="F37" s="1188">
        <f t="shared" si="6"/>
        <v>0</v>
      </c>
      <c r="G37" s="1188">
        <f t="shared" si="6"/>
        <v>0</v>
      </c>
      <c r="H37" s="1187">
        <f t="shared" si="7"/>
        <v>0</v>
      </c>
      <c r="I37" s="1187">
        <f t="shared" si="7"/>
        <v>0</v>
      </c>
      <c r="J37" s="476"/>
      <c r="K37" s="476"/>
      <c r="L37" s="476"/>
    </row>
    <row r="38" spans="1:12" s="120" customFormat="1" ht="15.75" customHeight="1">
      <c r="A38" s="1186" t="str">
        <f>+MAYOR!CI6</f>
        <v>RESULTADO EJERCICIO ANTERIOR</v>
      </c>
      <c r="B38" s="1187">
        <f>+MAYOR!CI228</f>
        <v>0</v>
      </c>
      <c r="C38" s="1187">
        <f>+MAYOR!CJ228</f>
        <v>0</v>
      </c>
      <c r="D38" s="1187">
        <f t="shared" si="3"/>
        <v>0</v>
      </c>
      <c r="E38" s="1187">
        <f t="shared" si="0"/>
        <v>0</v>
      </c>
      <c r="F38" s="1188">
        <f t="shared" si="6"/>
        <v>0</v>
      </c>
      <c r="G38" s="1188">
        <f t="shared" si="6"/>
        <v>0</v>
      </c>
      <c r="H38" s="1187">
        <f t="shared" si="7"/>
        <v>0</v>
      </c>
      <c r="I38" s="1187">
        <f t="shared" si="7"/>
        <v>0</v>
      </c>
      <c r="J38" s="476"/>
      <c r="K38" s="476"/>
      <c r="L38" s="476"/>
    </row>
    <row r="39" spans="1:12" s="857" customFormat="1" ht="15.75" customHeight="1">
      <c r="A39" s="1186" t="str">
        <f>+MAYOR!CL6</f>
        <v xml:space="preserve">INGRESOS VENTA </v>
      </c>
      <c r="B39" s="1187">
        <f>+MAYOR!CL228</f>
        <v>0</v>
      </c>
      <c r="C39" s="1187">
        <f>+MAYOR!CM228</f>
        <v>0</v>
      </c>
      <c r="D39" s="1187">
        <f t="shared" si="3"/>
        <v>0</v>
      </c>
      <c r="E39" s="1187">
        <f t="shared" si="0"/>
        <v>0</v>
      </c>
      <c r="F39" s="1188">
        <v>0</v>
      </c>
      <c r="G39" s="1188">
        <v>0</v>
      </c>
      <c r="H39" s="1187">
        <f t="shared" si="7"/>
        <v>0</v>
      </c>
      <c r="I39" s="1187">
        <f t="shared" si="7"/>
        <v>0</v>
      </c>
      <c r="J39" s="1168">
        <f>+I39+I40</f>
        <v>0</v>
      </c>
      <c r="K39" s="1169">
        <v>154917647</v>
      </c>
      <c r="L39" s="1172">
        <v>226125207</v>
      </c>
    </row>
    <row r="40" spans="1:12" s="857" customFormat="1" ht="15.75" customHeight="1">
      <c r="A40" s="1186" t="str">
        <f>+MAYOR!CN6</f>
        <v>INGRESOS VTA EXENTAS</v>
      </c>
      <c r="B40" s="1187">
        <f>+MAYOR!CN228</f>
        <v>0</v>
      </c>
      <c r="C40" s="1187">
        <f>+MAYOR!CO228</f>
        <v>0</v>
      </c>
      <c r="D40" s="1187">
        <f t="shared" si="3"/>
        <v>0</v>
      </c>
      <c r="E40" s="1187">
        <f t="shared" si="0"/>
        <v>0</v>
      </c>
      <c r="F40" s="1188">
        <v>0</v>
      </c>
      <c r="G40" s="1188">
        <v>0</v>
      </c>
      <c r="H40" s="1187">
        <f t="shared" si="7"/>
        <v>0</v>
      </c>
      <c r="I40" s="1187">
        <f t="shared" si="7"/>
        <v>0</v>
      </c>
      <c r="J40" s="1170"/>
      <c r="K40" s="856"/>
      <c r="L40" s="1173"/>
    </row>
    <row r="41" spans="1:12" s="120" customFormat="1" ht="15.75" hidden="1" customHeight="1" thickBot="1">
      <c r="A41" s="1186" t="str">
        <f>+MAYOR!CP6</f>
        <v>UTILIDAD VENTA A-FIJO</v>
      </c>
      <c r="B41" s="1187">
        <f>+MAYOR!CP228</f>
        <v>0</v>
      </c>
      <c r="C41" s="1187">
        <f>+MAYOR!CQ228</f>
        <v>0</v>
      </c>
      <c r="D41" s="1187">
        <f t="shared" si="3"/>
        <v>0</v>
      </c>
      <c r="E41" s="1187">
        <f t="shared" si="0"/>
        <v>0</v>
      </c>
      <c r="F41" s="1188">
        <v>0</v>
      </c>
      <c r="G41" s="1188">
        <v>0</v>
      </c>
      <c r="H41" s="1187">
        <f t="shared" si="7"/>
        <v>0</v>
      </c>
      <c r="I41" s="1187">
        <f t="shared" si="7"/>
        <v>0</v>
      </c>
      <c r="J41" s="1174">
        <f>+J39-L39</f>
        <v>-226125207</v>
      </c>
      <c r="K41" s="1171"/>
      <c r="L41" s="1171"/>
    </row>
    <row r="42" spans="1:12" s="120" customFormat="1" ht="15.75" hidden="1" customHeight="1" thickTop="1">
      <c r="A42" s="1186" t="str">
        <f>+MAYOR!CR6</f>
        <v>OTRAS VENTA</v>
      </c>
      <c r="B42" s="1187">
        <f>+MAYOR!CR228</f>
        <v>0</v>
      </c>
      <c r="C42" s="1187">
        <f>+MAYOR!CS228</f>
        <v>0</v>
      </c>
      <c r="D42" s="1187">
        <f t="shared" si="3"/>
        <v>0</v>
      </c>
      <c r="E42" s="1187">
        <f t="shared" si="0"/>
        <v>0</v>
      </c>
      <c r="F42" s="1188">
        <v>0</v>
      </c>
      <c r="G42" s="1188">
        <v>0</v>
      </c>
      <c r="H42" s="1187">
        <f t="shared" si="7"/>
        <v>0</v>
      </c>
      <c r="I42" s="1187">
        <f t="shared" si="7"/>
        <v>0</v>
      </c>
      <c r="J42" s="476"/>
      <c r="K42" s="476"/>
      <c r="L42" s="476"/>
    </row>
    <row r="43" spans="1:12" s="120" customFormat="1" ht="15.75" hidden="1" customHeight="1">
      <c r="A43" s="1186" t="str">
        <f>+MAYOR!DA6</f>
        <v>GASTOS DE VTA</v>
      </c>
      <c r="B43" s="1187">
        <f>+MAYOR!DA228</f>
        <v>0</v>
      </c>
      <c r="C43" s="1187">
        <f>+MAYOR!DV227</f>
        <v>0</v>
      </c>
      <c r="D43" s="1187">
        <f t="shared" si="3"/>
        <v>0</v>
      </c>
      <c r="E43" s="1187">
        <f t="shared" si="0"/>
        <v>0</v>
      </c>
      <c r="F43" s="1188">
        <v>0</v>
      </c>
      <c r="G43" s="1188">
        <v>0</v>
      </c>
      <c r="H43" s="1187">
        <f t="shared" si="7"/>
        <v>0</v>
      </c>
      <c r="I43" s="1187">
        <f t="shared" si="7"/>
        <v>0</v>
      </c>
      <c r="J43" s="476"/>
      <c r="K43" s="476" t="s">
        <v>776</v>
      </c>
      <c r="L43" s="476"/>
    </row>
    <row r="44" spans="1:12" s="857" customFormat="1" ht="15.75" customHeight="1">
      <c r="A44" s="1186" t="str">
        <f>+MAYOR!DU6</f>
        <v>SUELDOS</v>
      </c>
      <c r="B44" s="1187">
        <f>+MAYOR!DU228</f>
        <v>0</v>
      </c>
      <c r="C44" s="1187">
        <f>+MAYOR!DV228</f>
        <v>0</v>
      </c>
      <c r="D44" s="1187">
        <f t="shared" si="3"/>
        <v>0</v>
      </c>
      <c r="E44" s="1187">
        <f t="shared" si="0"/>
        <v>0</v>
      </c>
      <c r="F44" s="1188">
        <v>0</v>
      </c>
      <c r="G44" s="1188">
        <v>0</v>
      </c>
      <c r="H44" s="1187">
        <f t="shared" si="7"/>
        <v>0</v>
      </c>
      <c r="I44" s="1187">
        <f t="shared" si="7"/>
        <v>0</v>
      </c>
      <c r="J44" s="856">
        <f>+H44+H45</f>
        <v>0</v>
      </c>
      <c r="K44" s="856">
        <v>27701607</v>
      </c>
      <c r="L44" s="856">
        <f>+K44-J44</f>
        <v>27701607</v>
      </c>
    </row>
    <row r="45" spans="1:12" s="857" customFormat="1" ht="21" customHeight="1">
      <c r="A45" s="1186" t="str">
        <f>+MAYOR!DY6</f>
        <v>COSTO EMPLEADOR</v>
      </c>
      <c r="B45" s="1187">
        <f>+MAYOR!DY229</f>
        <v>0</v>
      </c>
      <c r="C45" s="1187">
        <f>+MAYOR!DZ228</f>
        <v>0</v>
      </c>
      <c r="D45" s="1187">
        <f t="shared" si="3"/>
        <v>0</v>
      </c>
      <c r="E45" s="1187">
        <f t="shared" si="0"/>
        <v>0</v>
      </c>
      <c r="F45" s="1188">
        <v>0</v>
      </c>
      <c r="G45" s="1188">
        <v>0</v>
      </c>
      <c r="H45" s="1187">
        <f t="shared" si="7"/>
        <v>0</v>
      </c>
      <c r="I45" s="1187">
        <f t="shared" si="7"/>
        <v>0</v>
      </c>
      <c r="J45" s="856"/>
      <c r="K45" s="856"/>
      <c r="L45" s="856"/>
    </row>
    <row r="46" spans="1:12" s="120" customFormat="1" ht="15.75" hidden="1" customHeight="1">
      <c r="A46" s="1186" t="str">
        <f>+MAYOR!EC6</f>
        <v>COSTO DE VENTA</v>
      </c>
      <c r="B46" s="1187">
        <f>+MAYOR!EC228</f>
        <v>0</v>
      </c>
      <c r="C46" s="1187">
        <f>+MAYOR!ED228</f>
        <v>0</v>
      </c>
      <c r="D46" s="1187">
        <f t="shared" si="3"/>
        <v>0</v>
      </c>
      <c r="E46" s="1187">
        <f t="shared" si="0"/>
        <v>0</v>
      </c>
      <c r="F46" s="1188">
        <v>0</v>
      </c>
      <c r="G46" s="1188">
        <v>0</v>
      </c>
      <c r="H46" s="1187">
        <f>IF(F46&lt;=0,D46,0)</f>
        <v>0</v>
      </c>
      <c r="I46" s="1187">
        <f t="shared" si="7"/>
        <v>0</v>
      </c>
      <c r="J46" s="476"/>
      <c r="K46" s="476"/>
      <c r="L46" s="476"/>
    </row>
    <row r="47" spans="1:12" s="120" customFormat="1" ht="15.75" hidden="1" customHeight="1">
      <c r="A47" s="1186" t="str">
        <f>+MAYOR!DC6</f>
        <v>CAPACITACION</v>
      </c>
      <c r="B47" s="1187">
        <f>+MAYOR!DC228</f>
        <v>0</v>
      </c>
      <c r="C47" s="1187">
        <f>+MAYOR!DD228</f>
        <v>0</v>
      </c>
      <c r="D47" s="1187">
        <f t="shared" si="3"/>
        <v>0</v>
      </c>
      <c r="E47" s="1187">
        <f t="shared" si="0"/>
        <v>0</v>
      </c>
      <c r="F47" s="1188">
        <v>0</v>
      </c>
      <c r="G47" s="1188">
        <v>0</v>
      </c>
      <c r="H47" s="1187">
        <f>IF(F47&lt;=0,D47,0)</f>
        <v>0</v>
      </c>
      <c r="I47" s="1187">
        <f t="shared" si="7"/>
        <v>0</v>
      </c>
      <c r="J47" s="476"/>
      <c r="K47" s="476">
        <f>+H44+H45</f>
        <v>0</v>
      </c>
      <c r="L47" s="476"/>
    </row>
    <row r="48" spans="1:12" s="120" customFormat="1" ht="15.75" customHeight="1">
      <c r="A48" s="1186" t="str">
        <f>+MAYOR!EA6</f>
        <v>INTERESES FOGAPE</v>
      </c>
      <c r="B48" s="1187">
        <f>+MAYOR!EA228</f>
        <v>0</v>
      </c>
      <c r="C48" s="1187">
        <f>+MAYOR!EB228</f>
        <v>0</v>
      </c>
      <c r="D48" s="1187">
        <f t="shared" si="3"/>
        <v>0</v>
      </c>
      <c r="E48" s="1187">
        <f t="shared" si="0"/>
        <v>0</v>
      </c>
      <c r="F48" s="1188">
        <v>0</v>
      </c>
      <c r="G48" s="1188">
        <v>0</v>
      </c>
      <c r="H48" s="1187">
        <f>IF(F48&lt;=0,D48,0)</f>
        <v>0</v>
      </c>
      <c r="I48" s="1187">
        <f t="shared" si="7"/>
        <v>0</v>
      </c>
      <c r="J48" s="476"/>
      <c r="K48" s="476">
        <v>44978889</v>
      </c>
      <c r="L48" s="476"/>
    </row>
    <row r="49" spans="1:12" s="120" customFormat="1" ht="15.75" customHeight="1">
      <c r="A49" s="1186" t="s">
        <v>1017</v>
      </c>
      <c r="B49" s="1187">
        <v>2456331</v>
      </c>
      <c r="C49" s="1187"/>
      <c r="D49" s="1187">
        <v>2456331</v>
      </c>
      <c r="E49" s="1187"/>
      <c r="F49" s="1188"/>
      <c r="G49" s="1188"/>
      <c r="H49" s="1187">
        <v>2456331</v>
      </c>
      <c r="I49" s="1187"/>
      <c r="J49" s="476"/>
      <c r="K49" s="476"/>
      <c r="L49" s="476"/>
    </row>
    <row r="50" spans="1:12" s="120" customFormat="1" ht="15.75" hidden="1" customHeight="1">
      <c r="A50" s="1186"/>
      <c r="B50" s="1187"/>
      <c r="C50" s="1187"/>
      <c r="D50" s="1187"/>
      <c r="E50" s="1187"/>
      <c r="F50" s="1188"/>
      <c r="G50" s="1188"/>
      <c r="H50" s="1187"/>
      <c r="I50" s="1187"/>
      <c r="J50" s="476"/>
      <c r="K50" s="476"/>
      <c r="L50" s="476"/>
    </row>
    <row r="51" spans="1:12" s="120" customFormat="1" ht="15.75" hidden="1" customHeight="1">
      <c r="A51" s="1186"/>
      <c r="B51" s="1187"/>
      <c r="C51" s="1187"/>
      <c r="D51" s="1187"/>
      <c r="E51" s="1187"/>
      <c r="F51" s="1188"/>
      <c r="G51" s="1188"/>
      <c r="H51" s="1187"/>
      <c r="I51" s="1187"/>
      <c r="J51" s="476"/>
      <c r="K51" s="476"/>
      <c r="L51" s="476"/>
    </row>
    <row r="52" spans="1:12" s="120" customFormat="1" ht="15.75" hidden="1" customHeight="1">
      <c r="A52" s="1186" t="s">
        <v>904</v>
      </c>
      <c r="B52" s="1187"/>
      <c r="C52" s="1187">
        <f>+MAYOR!CX228</f>
        <v>0</v>
      </c>
      <c r="D52" s="1187">
        <f t="shared" si="3"/>
        <v>0</v>
      </c>
      <c r="E52" s="1187">
        <f t="shared" si="0"/>
        <v>0</v>
      </c>
      <c r="F52" s="1188">
        <v>0</v>
      </c>
      <c r="G52" s="1188">
        <v>0</v>
      </c>
      <c r="H52" s="1187">
        <f t="shared" si="7"/>
        <v>0</v>
      </c>
      <c r="I52" s="1187">
        <f t="shared" si="7"/>
        <v>0</v>
      </c>
      <c r="J52" s="476"/>
      <c r="K52" s="476">
        <f>+K47-K48</f>
        <v>-44978889</v>
      </c>
      <c r="L52" s="476"/>
    </row>
    <row r="53" spans="1:12" s="120" customFormat="1" ht="15.75" customHeight="1">
      <c r="A53" s="1186" t="str">
        <f>+MAYOR!CY6</f>
        <v>AMORTIZ. PROY. INVESTIGACION MINERA</v>
      </c>
      <c r="B53" s="1187">
        <f>+MAYOR!CY228</f>
        <v>0</v>
      </c>
      <c r="C53" s="1187">
        <f>+MAYOR!CX229</f>
        <v>0</v>
      </c>
      <c r="D53" s="1187">
        <f t="shared" si="3"/>
        <v>0</v>
      </c>
      <c r="E53" s="1187">
        <f t="shared" si="0"/>
        <v>0</v>
      </c>
      <c r="F53" s="1188">
        <v>0</v>
      </c>
      <c r="G53" s="1188">
        <v>0</v>
      </c>
      <c r="H53" s="1187">
        <f t="shared" si="7"/>
        <v>0</v>
      </c>
      <c r="I53" s="1187">
        <f t="shared" si="7"/>
        <v>0</v>
      </c>
      <c r="J53" s="476"/>
      <c r="K53" s="476"/>
      <c r="L53" s="476"/>
    </row>
    <row r="54" spans="1:12" s="120" customFormat="1" ht="15.75" customHeight="1">
      <c r="A54" s="1186" t="str">
        <f>+MAYOR!CW6</f>
        <v>GASTOS TRANSPORTE</v>
      </c>
      <c r="B54" s="1187">
        <f>+MAYOR!CW228</f>
        <v>0</v>
      </c>
      <c r="C54" s="1187">
        <f>+MAYOR!CX228</f>
        <v>0</v>
      </c>
      <c r="D54" s="1187">
        <f t="shared" si="3"/>
        <v>0</v>
      </c>
      <c r="E54" s="1187">
        <f t="shared" si="0"/>
        <v>0</v>
      </c>
      <c r="F54" s="1188">
        <v>0</v>
      </c>
      <c r="G54" s="1188">
        <v>0</v>
      </c>
      <c r="H54" s="1187">
        <f t="shared" si="7"/>
        <v>0</v>
      </c>
      <c r="I54" s="1187"/>
      <c r="J54" s="476"/>
      <c r="K54" s="476"/>
      <c r="L54" s="476"/>
    </row>
    <row r="55" spans="1:12" s="857" customFormat="1" ht="15.75" customHeight="1">
      <c r="A55" s="1186" t="str">
        <f>+MAYOR!EG6</f>
        <v>GASTOS GENERALES</v>
      </c>
      <c r="B55" s="1187">
        <f>+MAYOR!EG228</f>
        <v>0</v>
      </c>
      <c r="C55" s="1187">
        <f>+MAYOR!EH228</f>
        <v>0</v>
      </c>
      <c r="D55" s="1187">
        <f t="shared" si="3"/>
        <v>0</v>
      </c>
      <c r="E55" s="1187">
        <f t="shared" si="0"/>
        <v>0</v>
      </c>
      <c r="F55" s="1188">
        <v>0</v>
      </c>
      <c r="G55" s="1188">
        <v>0</v>
      </c>
      <c r="H55" s="1187">
        <f t="shared" si="7"/>
        <v>0</v>
      </c>
      <c r="I55" s="1187">
        <f t="shared" si="7"/>
        <v>0</v>
      </c>
      <c r="J55" s="856"/>
      <c r="K55" s="856"/>
      <c r="L55" s="856"/>
    </row>
    <row r="56" spans="1:12" s="120" customFormat="1" ht="15.75" customHeight="1">
      <c r="A56" s="1186" t="str">
        <f>+MAYOR!DW6</f>
        <v>ARRIENDO Taller y Oficina</v>
      </c>
      <c r="B56" s="1187">
        <f>+MAYOR!DW228</f>
        <v>0</v>
      </c>
      <c r="C56" s="1187">
        <f>+MAYOR!DX228</f>
        <v>0</v>
      </c>
      <c r="D56" s="1187">
        <f>IF(B56&gt;C56,B56-C56,0)</f>
        <v>0</v>
      </c>
      <c r="E56" s="1187">
        <f>IF(B56&lt;C56,C56-B56,0)</f>
        <v>0</v>
      </c>
      <c r="F56" s="1188">
        <v>0</v>
      </c>
      <c r="G56" s="1188">
        <v>0</v>
      </c>
      <c r="H56" s="1187">
        <f>IF(F56&lt;=0,D56,0)</f>
        <v>0</v>
      </c>
      <c r="I56" s="1187">
        <f>IF(G56&lt;=0,E56,0)</f>
        <v>0</v>
      </c>
      <c r="J56" s="476"/>
      <c r="K56" s="476"/>
      <c r="L56" s="476"/>
    </row>
    <row r="57" spans="1:12" s="857" customFormat="1" ht="15.75" customHeight="1">
      <c r="A57" s="1186" t="str">
        <f>+MAYOR!DS6</f>
        <v>HONORARIOS Y SERVICIOS PROFESIONALES</v>
      </c>
      <c r="B57" s="1187">
        <f>+MAYOR!DS228</f>
        <v>0</v>
      </c>
      <c r="C57" s="1187">
        <f>+MAYOR!DT228</f>
        <v>0</v>
      </c>
      <c r="D57" s="1187">
        <f t="shared" si="3"/>
        <v>0</v>
      </c>
      <c r="E57" s="1187">
        <f t="shared" si="0"/>
        <v>0</v>
      </c>
      <c r="F57" s="1188">
        <v>0</v>
      </c>
      <c r="G57" s="1188">
        <v>0</v>
      </c>
      <c r="H57" s="1187">
        <f t="shared" ref="H57:I60" si="8">IF(F57&lt;=0,D57,0)</f>
        <v>0</v>
      </c>
      <c r="I57" s="1187">
        <f t="shared" si="8"/>
        <v>0</v>
      </c>
      <c r="J57" s="856"/>
      <c r="K57" s="856"/>
      <c r="L57" s="856"/>
    </row>
    <row r="58" spans="1:12" s="120" customFormat="1" ht="15.75" customHeight="1">
      <c r="A58" s="1186" t="str">
        <f>+MAYOR!EI6</f>
        <v>DEPRECIACION DEL EJERCICIO</v>
      </c>
      <c r="B58" s="1187">
        <f>+MAYOR!EI228</f>
        <v>0</v>
      </c>
      <c r="C58" s="1187">
        <f>+MAYOR!EJ228</f>
        <v>0</v>
      </c>
      <c r="D58" s="1187">
        <f t="shared" si="3"/>
        <v>0</v>
      </c>
      <c r="E58" s="1187">
        <f t="shared" si="0"/>
        <v>0</v>
      </c>
      <c r="F58" s="1188">
        <v>0</v>
      </c>
      <c r="G58" s="1188">
        <v>0</v>
      </c>
      <c r="H58" s="1187">
        <f t="shared" si="8"/>
        <v>0</v>
      </c>
      <c r="I58" s="1187">
        <f t="shared" si="8"/>
        <v>0</v>
      </c>
      <c r="J58" s="476"/>
      <c r="K58" s="476"/>
      <c r="L58" s="476"/>
    </row>
    <row r="59" spans="1:12" s="120" customFormat="1" ht="15.75" customHeight="1">
      <c r="A59" s="1186" t="str">
        <f>+MAYOR!EK6</f>
        <v>CORRECCION MONETARIA</v>
      </c>
      <c r="B59" s="1187">
        <f>+MAYOR!EK228</f>
        <v>0</v>
      </c>
      <c r="C59" s="1187">
        <f>+MAYOR!EL228</f>
        <v>0</v>
      </c>
      <c r="D59" s="1187">
        <f t="shared" si="3"/>
        <v>0</v>
      </c>
      <c r="E59" s="1187">
        <f t="shared" si="0"/>
        <v>0</v>
      </c>
      <c r="F59" s="1188">
        <v>0</v>
      </c>
      <c r="G59" s="1188">
        <v>0</v>
      </c>
      <c r="H59" s="1187">
        <f t="shared" si="8"/>
        <v>0</v>
      </c>
      <c r="I59" s="1187">
        <f t="shared" si="8"/>
        <v>0</v>
      </c>
      <c r="J59" s="476">
        <f>+H58+H55+H52-I59-33589373-I67</f>
        <v>-33589373</v>
      </c>
      <c r="K59" s="476"/>
      <c r="L59" s="476"/>
    </row>
    <row r="60" spans="1:12" s="120" customFormat="1" ht="15.75" customHeight="1">
      <c r="A60" s="1186" t="str">
        <f>+MAYOR!EE6</f>
        <v>IMPUESTO RENTA</v>
      </c>
      <c r="B60" s="1187">
        <f>+MAYOR!EE228</f>
        <v>0</v>
      </c>
      <c r="C60" s="1187">
        <f>+MAYOR!EF228</f>
        <v>0</v>
      </c>
      <c r="D60" s="1187">
        <f t="shared" si="3"/>
        <v>0</v>
      </c>
      <c r="E60" s="1187">
        <f t="shared" si="0"/>
        <v>0</v>
      </c>
      <c r="F60" s="1188">
        <v>0</v>
      </c>
      <c r="G60" s="1188">
        <v>0</v>
      </c>
      <c r="H60" s="1187">
        <f>IF(F60&lt;=0,D60,0)</f>
        <v>0</v>
      </c>
      <c r="I60" s="1187">
        <f t="shared" si="8"/>
        <v>0</v>
      </c>
      <c r="J60" s="476"/>
      <c r="K60" s="476"/>
      <c r="L60" s="476"/>
    </row>
    <row r="61" spans="1:12" s="120" customFormat="1" ht="15.75" customHeight="1">
      <c r="A61" s="1193" t="s">
        <v>24</v>
      </c>
      <c r="B61" s="1194">
        <f t="shared" ref="B61:I61" si="9">SUM(B12:B60)</f>
        <v>160070513</v>
      </c>
      <c r="C61" s="1194">
        <f t="shared" si="9"/>
        <v>160070513</v>
      </c>
      <c r="D61" s="1194">
        <f t="shared" si="9"/>
        <v>160070513</v>
      </c>
      <c r="E61" s="1194">
        <f t="shared" si="9"/>
        <v>160070513</v>
      </c>
      <c r="F61" s="1194">
        <f t="shared" si="9"/>
        <v>157614182</v>
      </c>
      <c r="G61" s="1194">
        <f t="shared" si="9"/>
        <v>160070513</v>
      </c>
      <c r="H61" s="1194">
        <f t="shared" si="9"/>
        <v>2456331</v>
      </c>
      <c r="I61" s="1194">
        <f t="shared" si="9"/>
        <v>0</v>
      </c>
      <c r="J61" s="476"/>
      <c r="K61" s="476"/>
      <c r="L61" s="476"/>
    </row>
    <row r="62" spans="1:12" s="120" customFormat="1" ht="15.75" customHeight="1">
      <c r="A62" s="1193" t="s">
        <v>25</v>
      </c>
      <c r="B62" s="1194">
        <v>0</v>
      </c>
      <c r="C62" s="1194">
        <v>0</v>
      </c>
      <c r="D62" s="1194">
        <v>0</v>
      </c>
      <c r="E62" s="1194">
        <v>0</v>
      </c>
      <c r="F62" s="1194">
        <v>0</v>
      </c>
      <c r="G62" s="1194">
        <f>+F61-G61</f>
        <v>-2456331</v>
      </c>
      <c r="H62" s="1194">
        <f>+I61-H61</f>
        <v>-2456331</v>
      </c>
      <c r="I62" s="1194">
        <v>0</v>
      </c>
      <c r="J62" s="476">
        <f>+H62-G62</f>
        <v>0</v>
      </c>
      <c r="K62" s="476"/>
      <c r="L62" s="476"/>
    </row>
    <row r="63" spans="1:12" s="120" customFormat="1" ht="15.75" customHeight="1">
      <c r="A63" s="1193" t="s">
        <v>26</v>
      </c>
      <c r="B63" s="1194">
        <f>+B61+B62</f>
        <v>160070513</v>
      </c>
      <c r="C63" s="1195">
        <f t="shared" ref="C63:I63" si="10">+C61+C62</f>
        <v>160070513</v>
      </c>
      <c r="D63" s="1195">
        <f t="shared" si="10"/>
        <v>160070513</v>
      </c>
      <c r="E63" s="1195">
        <f t="shared" si="10"/>
        <v>160070513</v>
      </c>
      <c r="F63" s="1195">
        <f t="shared" si="10"/>
        <v>157614182</v>
      </c>
      <c r="G63" s="1195">
        <f t="shared" si="10"/>
        <v>157614182</v>
      </c>
      <c r="H63" s="1195">
        <f t="shared" si="10"/>
        <v>0</v>
      </c>
      <c r="I63" s="1195">
        <f t="shared" si="10"/>
        <v>0</v>
      </c>
      <c r="J63" s="476"/>
      <c r="K63" s="476"/>
      <c r="L63" s="476"/>
    </row>
    <row r="64" spans="1:12" s="120" customFormat="1" ht="15.7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476"/>
      <c r="K64" s="476" t="s">
        <v>755</v>
      </c>
      <c r="L64" s="476"/>
    </row>
    <row r="65" spans="1:14" s="120" customFormat="1" ht="15.7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476"/>
      <c r="K65" s="910">
        <v>75153337</v>
      </c>
      <c r="L65" s="476"/>
    </row>
    <row r="66" spans="1:14" s="120" customFormat="1" ht="15.7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476"/>
      <c r="K66" s="476"/>
      <c r="L66" s="476"/>
    </row>
    <row r="67" spans="1:14" ht="15.75" customHeight="1">
      <c r="A67" s="118"/>
      <c r="B67" s="118"/>
      <c r="C67" s="118"/>
      <c r="D67" s="118"/>
      <c r="E67" s="118"/>
      <c r="F67" s="118"/>
      <c r="G67" s="118"/>
      <c r="H67" s="118"/>
      <c r="I67" s="118"/>
    </row>
    <row r="68" spans="1:14" ht="15.75" customHeight="1">
      <c r="A68" s="118"/>
      <c r="B68" s="118"/>
      <c r="C68" s="118"/>
      <c r="D68" s="118"/>
      <c r="E68" s="118"/>
      <c r="F68" s="118"/>
      <c r="G68" s="118"/>
      <c r="H68" s="118"/>
      <c r="I68" s="118"/>
    </row>
    <row r="69" spans="1:14" ht="15.75" customHeight="1">
      <c r="B69" s="118"/>
      <c r="C69" s="118"/>
      <c r="D69" s="118"/>
      <c r="E69" s="118"/>
      <c r="F69" s="118"/>
      <c r="G69" s="118"/>
      <c r="H69" s="118"/>
      <c r="I69" s="118"/>
    </row>
    <row r="70" spans="1:14" ht="15.75" customHeight="1">
      <c r="B70" s="260" t="s">
        <v>240</v>
      </c>
      <c r="C70" s="260"/>
      <c r="D70" s="257"/>
      <c r="G70" s="260" t="s">
        <v>430</v>
      </c>
      <c r="H70" s="47"/>
    </row>
    <row r="71" spans="1:14" s="96" customFormat="1" ht="15">
      <c r="B71" s="260" t="s">
        <v>236</v>
      </c>
      <c r="C71" s="260"/>
      <c r="D71" s="257"/>
      <c r="F71" s="99"/>
      <c r="G71" s="47" t="str">
        <f>+DATOS!H4</f>
        <v>MANUEL GUTIERREZ A. RUT: 10,150,081-0</v>
      </c>
      <c r="H71" s="47"/>
      <c r="J71" s="476"/>
      <c r="L71" s="476"/>
      <c r="N71" s="99"/>
    </row>
    <row r="72" spans="1:14" s="96" customFormat="1" ht="15">
      <c r="B72" s="260" t="s">
        <v>237</v>
      </c>
      <c r="C72" s="260"/>
      <c r="D72" s="257"/>
      <c r="F72" s="99"/>
      <c r="G72" s="260" t="s">
        <v>429</v>
      </c>
      <c r="H72" s="47"/>
      <c r="J72" s="476"/>
      <c r="L72" s="476"/>
      <c r="N72" s="99"/>
    </row>
    <row r="73" spans="1:14" s="96" customFormat="1" ht="15">
      <c r="B73" s="261" t="s">
        <v>1019</v>
      </c>
      <c r="C73" s="260"/>
      <c r="D73" s="257"/>
      <c r="F73" s="99"/>
      <c r="G73" s="47"/>
      <c r="H73" s="47"/>
      <c r="J73" s="476"/>
      <c r="L73" s="476"/>
      <c r="M73" s="99"/>
      <c r="N73" s="99"/>
    </row>
    <row r="76" spans="1:14" ht="15.75" customHeight="1">
      <c r="B76" s="774"/>
      <c r="C76" s="775"/>
      <c r="D76" s="775"/>
      <c r="E76" s="775"/>
      <c r="F76" s="775"/>
      <c r="G76" s="775"/>
      <c r="H76" s="775"/>
      <c r="I76" s="776"/>
    </row>
    <row r="77" spans="1:14" ht="15.75" customHeight="1">
      <c r="B77" s="777"/>
      <c r="C77" s="778" t="s">
        <v>653</v>
      </c>
      <c r="D77" s="778"/>
      <c r="E77" s="778"/>
      <c r="F77" s="778"/>
      <c r="G77" s="778"/>
      <c r="H77" s="778"/>
      <c r="I77" s="779"/>
    </row>
    <row r="78" spans="1:14" ht="15.75" customHeight="1">
      <c r="B78" s="780" t="s">
        <v>654</v>
      </c>
      <c r="C78" s="781" t="s">
        <v>655</v>
      </c>
      <c r="D78" s="782"/>
      <c r="E78" s="782"/>
      <c r="F78" s="782"/>
      <c r="G78" s="782"/>
      <c r="H78" s="783"/>
      <c r="I78" s="784"/>
    </row>
    <row r="79" spans="1:14" ht="15.75" customHeight="1">
      <c r="B79" s="785">
        <v>1</v>
      </c>
      <c r="C79" s="778" t="s">
        <v>656</v>
      </c>
      <c r="D79" s="786"/>
      <c r="E79" s="787">
        <v>628</v>
      </c>
      <c r="F79" s="788" t="s">
        <v>657</v>
      </c>
      <c r="G79" s="789">
        <f>+I39</f>
        <v>0</v>
      </c>
      <c r="H79" s="789"/>
      <c r="I79" s="784"/>
    </row>
    <row r="80" spans="1:14" ht="15.75" customHeight="1">
      <c r="B80" s="790">
        <v>2</v>
      </c>
      <c r="C80" s="778" t="s">
        <v>658</v>
      </c>
      <c r="D80" s="786"/>
      <c r="E80" s="791">
        <v>851</v>
      </c>
      <c r="F80" s="788" t="s">
        <v>657</v>
      </c>
      <c r="G80" s="789"/>
      <c r="H80" s="789"/>
      <c r="I80" s="784"/>
    </row>
    <row r="81" spans="2:9" ht="15.75" customHeight="1">
      <c r="B81" s="790">
        <v>3</v>
      </c>
      <c r="C81" s="778" t="s">
        <v>659</v>
      </c>
      <c r="D81" s="786"/>
      <c r="E81" s="791">
        <v>629</v>
      </c>
      <c r="F81" s="788" t="s">
        <v>657</v>
      </c>
      <c r="G81" s="789"/>
      <c r="H81" s="789"/>
      <c r="I81" s="784"/>
    </row>
    <row r="82" spans="2:9" ht="15.75" customHeight="1">
      <c r="B82" s="785">
        <v>4</v>
      </c>
      <c r="C82" s="778" t="s">
        <v>660</v>
      </c>
      <c r="D82" s="786"/>
      <c r="E82" s="791">
        <v>651</v>
      </c>
      <c r="F82" s="788" t="s">
        <v>657</v>
      </c>
      <c r="G82" s="789"/>
      <c r="H82" s="789"/>
      <c r="I82" s="784"/>
    </row>
    <row r="83" spans="2:9" ht="15.75" customHeight="1" thickBot="1">
      <c r="B83" s="792"/>
      <c r="C83" s="793" t="s">
        <v>661</v>
      </c>
      <c r="D83" s="794"/>
      <c r="E83" s="795" t="s">
        <v>662</v>
      </c>
      <c r="F83" s="795" t="s">
        <v>662</v>
      </c>
      <c r="G83" s="796">
        <f>SUM(G79:G82)</f>
        <v>0</v>
      </c>
      <c r="H83" s="789">
        <f>+G83-K65</f>
        <v>-75153337</v>
      </c>
      <c r="I83" s="784"/>
    </row>
    <row r="84" spans="2:9" ht="15.75" customHeight="1" thickTop="1">
      <c r="B84" s="790"/>
      <c r="C84" s="778"/>
      <c r="D84" s="786"/>
      <c r="E84" s="786"/>
      <c r="F84" s="783"/>
      <c r="G84" s="797"/>
      <c r="H84" s="789"/>
      <c r="I84" s="784"/>
    </row>
    <row r="85" spans="2:9" ht="15.75" customHeight="1">
      <c r="B85" s="798"/>
      <c r="C85" s="781" t="s">
        <v>663</v>
      </c>
      <c r="D85" s="782"/>
      <c r="E85" s="782"/>
      <c r="F85" s="782"/>
      <c r="G85" s="799"/>
      <c r="H85" s="789"/>
      <c r="I85" s="784"/>
    </row>
    <row r="86" spans="2:9" ht="15.75" customHeight="1">
      <c r="B86" s="785">
        <v>5</v>
      </c>
      <c r="C86" s="778" t="s">
        <v>664</v>
      </c>
      <c r="D86" s="786"/>
      <c r="E86" s="786">
        <v>630</v>
      </c>
      <c r="F86" s="783" t="s">
        <v>665</v>
      </c>
      <c r="G86" s="797">
        <f>-H52-H55</f>
        <v>0</v>
      </c>
      <c r="H86" s="789"/>
      <c r="I86" s="784"/>
    </row>
    <row r="87" spans="2:9" ht="15.75" customHeight="1" thickBot="1">
      <c r="B87" s="792"/>
      <c r="C87" s="793" t="s">
        <v>666</v>
      </c>
      <c r="D87" s="794"/>
      <c r="E87" s="795" t="s">
        <v>662</v>
      </c>
      <c r="F87" s="795" t="s">
        <v>662</v>
      </c>
      <c r="G87" s="796">
        <f>SUM(G86)</f>
        <v>0</v>
      </c>
      <c r="H87" s="789"/>
      <c r="I87" s="784"/>
    </row>
    <row r="88" spans="2:9" ht="15.75" customHeight="1" thickTop="1">
      <c r="B88" s="790"/>
      <c r="C88" s="778"/>
      <c r="D88" s="786"/>
      <c r="E88" s="786"/>
      <c r="F88" s="783"/>
      <c r="G88" s="797"/>
      <c r="H88" s="789"/>
      <c r="I88" s="784"/>
    </row>
    <row r="89" spans="2:9" ht="15.75" customHeight="1">
      <c r="B89" s="798"/>
      <c r="C89" s="781" t="s">
        <v>667</v>
      </c>
      <c r="D89" s="782"/>
      <c r="E89" s="782"/>
      <c r="F89" s="782"/>
      <c r="G89" s="799"/>
      <c r="H89" s="789"/>
      <c r="I89" s="784"/>
    </row>
    <row r="90" spans="2:9" ht="15.75" customHeight="1">
      <c r="B90" s="785">
        <v>6</v>
      </c>
      <c r="C90" s="778" t="s">
        <v>668</v>
      </c>
      <c r="D90" s="786"/>
      <c r="E90" s="787">
        <v>631</v>
      </c>
      <c r="F90" s="788" t="s">
        <v>665</v>
      </c>
      <c r="G90" s="797">
        <f>-H44-H57</f>
        <v>0</v>
      </c>
      <c r="H90" s="789"/>
      <c r="I90" s="784"/>
    </row>
    <row r="91" spans="2:9" ht="15.75" customHeight="1">
      <c r="B91" s="790">
        <v>7</v>
      </c>
      <c r="C91" s="778" t="s">
        <v>669</v>
      </c>
      <c r="D91" s="786"/>
      <c r="E91" s="791">
        <v>632</v>
      </c>
      <c r="F91" s="788" t="s">
        <v>665</v>
      </c>
      <c r="G91" s="797"/>
      <c r="H91" s="789"/>
      <c r="I91" s="784"/>
    </row>
    <row r="92" spans="2:9" ht="15.75" customHeight="1">
      <c r="B92" s="790">
        <v>8</v>
      </c>
      <c r="C92" s="778" t="s">
        <v>670</v>
      </c>
      <c r="D92" s="786"/>
      <c r="E92" s="791">
        <v>633</v>
      </c>
      <c r="F92" s="788" t="s">
        <v>665</v>
      </c>
      <c r="G92" s="797">
        <f>-H48</f>
        <v>0</v>
      </c>
      <c r="H92" s="789"/>
      <c r="I92" s="784"/>
    </row>
    <row r="93" spans="2:9" ht="15.75" customHeight="1">
      <c r="B93" s="790">
        <v>9</v>
      </c>
      <c r="C93" s="778" t="s">
        <v>671</v>
      </c>
      <c r="D93" s="786"/>
      <c r="E93" s="791">
        <v>966</v>
      </c>
      <c r="F93" s="788" t="s">
        <v>665</v>
      </c>
      <c r="G93" s="797"/>
      <c r="H93" s="789"/>
      <c r="I93" s="784"/>
    </row>
    <row r="94" spans="2:9" ht="15.75" customHeight="1">
      <c r="B94" s="790">
        <v>10</v>
      </c>
      <c r="C94" s="778" t="s">
        <v>672</v>
      </c>
      <c r="D94" s="786"/>
      <c r="E94" s="791">
        <v>967</v>
      </c>
      <c r="F94" s="788" t="s">
        <v>665</v>
      </c>
      <c r="G94" s="797"/>
      <c r="H94" s="789"/>
      <c r="I94" s="784"/>
    </row>
    <row r="95" spans="2:9" ht="15.75" customHeight="1">
      <c r="B95" s="790">
        <v>11</v>
      </c>
      <c r="C95" s="778" t="s">
        <v>673</v>
      </c>
      <c r="D95" s="786"/>
      <c r="E95" s="791">
        <v>852</v>
      </c>
      <c r="F95" s="788" t="s">
        <v>665</v>
      </c>
      <c r="G95" s="797"/>
      <c r="H95" s="789"/>
      <c r="I95" s="784"/>
    </row>
    <row r="96" spans="2:9" ht="15.75" customHeight="1">
      <c r="B96" s="790">
        <v>12</v>
      </c>
      <c r="C96" s="778" t="s">
        <v>674</v>
      </c>
      <c r="D96" s="786"/>
      <c r="E96" s="791">
        <v>897</v>
      </c>
      <c r="F96" s="788" t="s">
        <v>665</v>
      </c>
      <c r="G96" s="797"/>
      <c r="H96" s="789"/>
      <c r="I96" s="784"/>
    </row>
    <row r="97" spans="2:9" ht="15.75" customHeight="1">
      <c r="B97" s="790">
        <v>13</v>
      </c>
      <c r="C97" s="778" t="s">
        <v>675</v>
      </c>
      <c r="D97" s="786"/>
      <c r="E97" s="791">
        <v>853</v>
      </c>
      <c r="F97" s="788" t="s">
        <v>665</v>
      </c>
      <c r="G97" s="797"/>
      <c r="H97" s="789"/>
      <c r="I97" s="784"/>
    </row>
    <row r="98" spans="2:9" ht="15.75" customHeight="1">
      <c r="B98" s="785">
        <v>14</v>
      </c>
      <c r="C98" s="778" t="s">
        <v>676</v>
      </c>
      <c r="D98" s="786"/>
      <c r="E98" s="791">
        <v>968</v>
      </c>
      <c r="F98" s="788" t="s">
        <v>665</v>
      </c>
      <c r="G98" s="797">
        <f>-H60</f>
        <v>0</v>
      </c>
      <c r="H98" s="789"/>
      <c r="I98" s="784"/>
    </row>
    <row r="99" spans="2:9" ht="15.75" customHeight="1">
      <c r="B99" s="790">
        <v>15</v>
      </c>
      <c r="C99" s="778" t="s">
        <v>677</v>
      </c>
      <c r="D99" s="786"/>
      <c r="E99" s="791">
        <v>969</v>
      </c>
      <c r="F99" s="788" t="s">
        <v>665</v>
      </c>
      <c r="G99" s="797"/>
      <c r="H99" s="789"/>
      <c r="I99" s="784"/>
    </row>
    <row r="100" spans="2:9" ht="15.75" customHeight="1">
      <c r="B100" s="790">
        <v>16</v>
      </c>
      <c r="C100" s="778" t="s">
        <v>678</v>
      </c>
      <c r="D100" s="786"/>
      <c r="E100" s="791">
        <v>635</v>
      </c>
      <c r="F100" s="788" t="s">
        <v>665</v>
      </c>
      <c r="G100" s="797"/>
      <c r="H100" s="789"/>
      <c r="I100" s="784"/>
    </row>
    <row r="101" spans="2:9" ht="15.75" customHeight="1" thickBot="1">
      <c r="B101" s="792"/>
      <c r="C101" s="793" t="s">
        <v>679</v>
      </c>
      <c r="D101" s="794"/>
      <c r="E101" s="795" t="s">
        <v>662</v>
      </c>
      <c r="F101" s="795" t="s">
        <v>662</v>
      </c>
      <c r="G101" s="796">
        <f>SUM(G90:G100)</f>
        <v>0</v>
      </c>
      <c r="H101" s="789"/>
      <c r="I101" s="784"/>
    </row>
    <row r="102" spans="2:9" ht="15.75" customHeight="1" thickTop="1" thickBot="1">
      <c r="B102" s="792"/>
      <c r="C102" s="793" t="s">
        <v>680</v>
      </c>
      <c r="D102" s="794"/>
      <c r="E102" s="795" t="s">
        <v>662</v>
      </c>
      <c r="F102" s="795" t="s">
        <v>662</v>
      </c>
      <c r="G102" s="796">
        <f>+G83+G87+G101</f>
        <v>0</v>
      </c>
      <c r="H102" s="789"/>
      <c r="I102" s="784"/>
    </row>
    <row r="103" spans="2:9" ht="15.75" customHeight="1" thickTop="1">
      <c r="B103" s="790"/>
      <c r="C103" s="778"/>
      <c r="D103" s="786"/>
      <c r="E103" s="786"/>
      <c r="F103" s="783"/>
      <c r="G103" s="797"/>
      <c r="H103" s="789"/>
      <c r="I103" s="784"/>
    </row>
    <row r="104" spans="2:9" ht="15.75" customHeight="1">
      <c r="B104" s="798"/>
      <c r="C104" s="781" t="s">
        <v>681</v>
      </c>
      <c r="D104" s="782"/>
      <c r="E104" s="782"/>
      <c r="F104" s="782"/>
      <c r="G104" s="799"/>
      <c r="H104" s="789"/>
      <c r="I104" s="784"/>
    </row>
    <row r="105" spans="2:9" ht="15.75" customHeight="1">
      <c r="B105" s="785">
        <v>17</v>
      </c>
      <c r="C105" s="800" t="s">
        <v>682</v>
      </c>
      <c r="D105" s="801"/>
      <c r="E105" s="801">
        <v>637</v>
      </c>
      <c r="F105" s="802" t="s">
        <v>665</v>
      </c>
      <c r="G105" s="797">
        <f>-H59</f>
        <v>0</v>
      </c>
      <c r="H105" s="789"/>
      <c r="I105" s="784"/>
    </row>
    <row r="106" spans="2:9" ht="15.75" customHeight="1">
      <c r="B106" s="790">
        <v>18</v>
      </c>
      <c r="C106" s="800" t="s">
        <v>683</v>
      </c>
      <c r="D106" s="801"/>
      <c r="E106" s="801">
        <v>638</v>
      </c>
      <c r="F106" s="802" t="s">
        <v>657</v>
      </c>
      <c r="G106" s="797">
        <f>+I59</f>
        <v>0</v>
      </c>
      <c r="H106" s="789"/>
      <c r="I106" s="784"/>
    </row>
    <row r="107" spans="2:9" ht="15.75" customHeight="1" thickBot="1">
      <c r="B107" s="792"/>
      <c r="C107" s="793" t="s">
        <v>684</v>
      </c>
      <c r="D107" s="794"/>
      <c r="E107" s="795"/>
      <c r="F107" s="795"/>
      <c r="G107" s="796">
        <f>+G105+G106</f>
        <v>0</v>
      </c>
      <c r="H107" s="789"/>
      <c r="I107" s="784"/>
    </row>
    <row r="108" spans="2:9" ht="15.75" customHeight="1" thickTop="1">
      <c r="B108" s="790"/>
      <c r="C108" s="778"/>
      <c r="D108" s="786"/>
      <c r="E108" s="786"/>
      <c r="F108" s="783"/>
      <c r="G108" s="797"/>
      <c r="H108" s="789"/>
      <c r="I108" s="784"/>
    </row>
    <row r="109" spans="2:9" ht="15.75" customHeight="1">
      <c r="B109" s="798"/>
      <c r="C109" s="781" t="s">
        <v>681</v>
      </c>
      <c r="D109" s="782"/>
      <c r="E109" s="782"/>
      <c r="F109" s="782"/>
      <c r="G109" s="799"/>
      <c r="H109" s="789"/>
      <c r="I109" s="784"/>
    </row>
    <row r="110" spans="2:9" ht="15.75" customHeight="1">
      <c r="B110" s="803">
        <v>19</v>
      </c>
      <c r="C110" s="804" t="s">
        <v>685</v>
      </c>
      <c r="D110" s="805"/>
      <c r="E110" s="805"/>
      <c r="F110" s="806" t="s">
        <v>657</v>
      </c>
      <c r="G110" s="807">
        <f>+H60</f>
        <v>0</v>
      </c>
      <c r="H110" s="789"/>
      <c r="I110" s="784"/>
    </row>
    <row r="111" spans="2:9" ht="15.75" customHeight="1">
      <c r="B111" s="808">
        <v>20</v>
      </c>
      <c r="C111" s="778" t="s">
        <v>686</v>
      </c>
      <c r="D111" s="786"/>
      <c r="E111" s="783">
        <v>926</v>
      </c>
      <c r="F111" s="788" t="s">
        <v>657</v>
      </c>
      <c r="G111" s="797"/>
      <c r="H111" s="789"/>
      <c r="I111" s="784"/>
    </row>
    <row r="112" spans="2:9" ht="15.75" customHeight="1">
      <c r="B112" s="808">
        <v>21</v>
      </c>
      <c r="C112" s="778" t="s">
        <v>687</v>
      </c>
      <c r="D112" s="786"/>
      <c r="E112" s="786">
        <v>970</v>
      </c>
      <c r="F112" s="788" t="s">
        <v>665</v>
      </c>
      <c r="G112" s="797"/>
      <c r="H112" s="789"/>
      <c r="I112" s="784"/>
    </row>
    <row r="113" spans="2:9" ht="15.75" customHeight="1">
      <c r="B113" s="808">
        <v>22</v>
      </c>
      <c r="C113" s="778" t="s">
        <v>688</v>
      </c>
      <c r="D113" s="786"/>
      <c r="E113" s="786">
        <v>971</v>
      </c>
      <c r="F113" s="788" t="s">
        <v>657</v>
      </c>
      <c r="G113" s="797"/>
      <c r="H113" s="789"/>
      <c r="I113" s="784"/>
    </row>
    <row r="114" spans="2:9" ht="15.75" customHeight="1">
      <c r="B114" s="808">
        <v>23</v>
      </c>
      <c r="C114" s="778" t="s">
        <v>689</v>
      </c>
      <c r="D114" s="786"/>
      <c r="E114" s="786">
        <v>639</v>
      </c>
      <c r="F114" s="788" t="s">
        <v>665</v>
      </c>
      <c r="G114" s="797"/>
      <c r="H114" s="789"/>
      <c r="I114" s="784"/>
    </row>
    <row r="115" spans="2:9" ht="15.75" customHeight="1" thickBot="1">
      <c r="B115" s="792"/>
      <c r="C115" s="793" t="s">
        <v>690</v>
      </c>
      <c r="D115" s="794"/>
      <c r="E115" s="795"/>
      <c r="F115" s="795"/>
      <c r="G115" s="796">
        <f>SUM(G110:G114)</f>
        <v>0</v>
      </c>
      <c r="H115" s="789"/>
      <c r="I115" s="784"/>
    </row>
    <row r="116" spans="2:9" ht="15.75" customHeight="1" thickTop="1">
      <c r="B116" s="808"/>
      <c r="C116" s="778"/>
      <c r="D116" s="786"/>
      <c r="E116" s="786"/>
      <c r="F116" s="783"/>
      <c r="G116" s="797"/>
      <c r="H116" s="789"/>
      <c r="I116" s="784"/>
    </row>
    <row r="117" spans="2:9" ht="15.75" customHeight="1">
      <c r="B117" s="798"/>
      <c r="C117" s="781" t="s">
        <v>691</v>
      </c>
      <c r="D117" s="782"/>
      <c r="E117" s="782"/>
      <c r="F117" s="782"/>
      <c r="G117" s="799"/>
      <c r="H117" s="789"/>
      <c r="I117" s="784"/>
    </row>
    <row r="118" spans="2:9" ht="15.75" customHeight="1">
      <c r="B118" s="808">
        <v>24</v>
      </c>
      <c r="C118" s="778" t="s">
        <v>692</v>
      </c>
      <c r="D118" s="786"/>
      <c r="E118" s="786">
        <v>927</v>
      </c>
      <c r="F118" s="788" t="s">
        <v>665</v>
      </c>
      <c r="G118" s="797"/>
      <c r="H118" s="789"/>
      <c r="I118" s="784"/>
    </row>
    <row r="119" spans="2:9" ht="15.75" customHeight="1">
      <c r="B119" s="808">
        <v>25</v>
      </c>
      <c r="C119" s="778" t="s">
        <v>693</v>
      </c>
      <c r="D119" s="786"/>
      <c r="E119" s="783">
        <v>1000</v>
      </c>
      <c r="F119" s="788" t="s">
        <v>665</v>
      </c>
      <c r="G119" s="797"/>
      <c r="H119" s="789"/>
      <c r="I119" s="784"/>
    </row>
    <row r="120" spans="2:9" ht="15.75" customHeight="1">
      <c r="B120" s="808">
        <v>26</v>
      </c>
      <c r="C120" s="778" t="s">
        <v>694</v>
      </c>
      <c r="D120" s="786"/>
      <c r="E120" s="786">
        <v>827</v>
      </c>
      <c r="F120" s="788" t="s">
        <v>665</v>
      </c>
      <c r="G120" s="797"/>
      <c r="H120" s="789"/>
      <c r="I120" s="784"/>
    </row>
    <row r="121" spans="2:9" ht="15.75" customHeight="1">
      <c r="B121" s="808">
        <v>27</v>
      </c>
      <c r="C121" s="778" t="s">
        <v>695</v>
      </c>
      <c r="D121" s="786"/>
      <c r="E121" s="786">
        <v>928</v>
      </c>
      <c r="F121" s="788" t="s">
        <v>665</v>
      </c>
      <c r="G121" s="797"/>
      <c r="H121" s="789"/>
      <c r="I121" s="784"/>
    </row>
    <row r="122" spans="2:9" ht="15.75" customHeight="1">
      <c r="B122" s="808">
        <v>28</v>
      </c>
      <c r="C122" s="778" t="s">
        <v>696</v>
      </c>
      <c r="D122" s="786"/>
      <c r="E122" s="786">
        <v>929</v>
      </c>
      <c r="F122" s="788" t="s">
        <v>665</v>
      </c>
      <c r="G122" s="797"/>
      <c r="H122" s="789"/>
      <c r="I122" s="784"/>
    </row>
    <row r="123" spans="2:9" ht="15.75" customHeight="1">
      <c r="B123" s="808">
        <v>29</v>
      </c>
      <c r="C123" s="778" t="s">
        <v>697</v>
      </c>
      <c r="D123" s="786"/>
      <c r="E123" s="786">
        <v>807</v>
      </c>
      <c r="F123" s="788" t="s">
        <v>665</v>
      </c>
      <c r="G123" s="797"/>
      <c r="H123" s="789"/>
      <c r="I123" s="784"/>
    </row>
    <row r="124" spans="2:9" ht="15.75" customHeight="1">
      <c r="B124" s="808">
        <v>30</v>
      </c>
      <c r="C124" s="778" t="s">
        <v>698</v>
      </c>
      <c r="D124" s="786"/>
      <c r="E124" s="783">
        <v>641</v>
      </c>
      <c r="F124" s="788" t="s">
        <v>665</v>
      </c>
      <c r="G124" s="797"/>
      <c r="H124" s="789"/>
      <c r="I124" s="784"/>
    </row>
    <row r="125" spans="2:9" ht="15.75" customHeight="1">
      <c r="B125" s="808">
        <v>31</v>
      </c>
      <c r="C125" s="778" t="s">
        <v>699</v>
      </c>
      <c r="D125" s="786"/>
      <c r="E125" s="786">
        <v>642</v>
      </c>
      <c r="F125" s="788" t="s">
        <v>665</v>
      </c>
      <c r="G125" s="797"/>
      <c r="H125" s="789"/>
      <c r="I125" s="784"/>
    </row>
    <row r="126" spans="2:9" ht="15.75" customHeight="1">
      <c r="B126" s="808">
        <v>32</v>
      </c>
      <c r="C126" s="778" t="s">
        <v>700</v>
      </c>
      <c r="D126" s="786"/>
      <c r="E126" s="786">
        <v>973</v>
      </c>
      <c r="F126" s="788" t="s">
        <v>665</v>
      </c>
      <c r="G126" s="797"/>
      <c r="H126" s="789"/>
      <c r="I126" s="784"/>
    </row>
    <row r="127" spans="2:9" ht="15.75" customHeight="1">
      <c r="B127" s="808">
        <v>34</v>
      </c>
      <c r="C127" s="778" t="s">
        <v>701</v>
      </c>
      <c r="D127" s="786"/>
      <c r="E127" s="786">
        <v>640</v>
      </c>
      <c r="F127" s="788" t="s">
        <v>665</v>
      </c>
      <c r="G127" s="797"/>
      <c r="H127" s="789"/>
      <c r="I127" s="784"/>
    </row>
    <row r="128" spans="2:9" ht="15.75" customHeight="1">
      <c r="B128" s="808">
        <v>34</v>
      </c>
      <c r="C128" s="778" t="s">
        <v>702</v>
      </c>
      <c r="D128" s="786"/>
      <c r="E128" s="786">
        <v>634</v>
      </c>
      <c r="F128" s="788" t="s">
        <v>665</v>
      </c>
      <c r="G128" s="797"/>
      <c r="H128" s="789"/>
      <c r="I128" s="784"/>
    </row>
    <row r="129" spans="2:9" ht="15.75" customHeight="1" thickBot="1">
      <c r="B129" s="792"/>
      <c r="C129" s="793" t="s">
        <v>690</v>
      </c>
      <c r="D129" s="794"/>
      <c r="E129" s="795">
        <v>643</v>
      </c>
      <c r="F129" s="795"/>
      <c r="G129" s="796">
        <f>SUM(G118:G128)</f>
        <v>0</v>
      </c>
      <c r="H129" s="789"/>
      <c r="I129" s="784"/>
    </row>
    <row r="130" spans="2:9" ht="15.75" customHeight="1" thickTop="1">
      <c r="B130" s="808"/>
      <c r="C130" s="778"/>
      <c r="D130" s="786"/>
      <c r="E130" s="786"/>
      <c r="F130" s="783"/>
      <c r="G130" s="797"/>
      <c r="H130" s="789"/>
      <c r="I130" s="784"/>
    </row>
    <row r="131" spans="2:9" ht="15.75" customHeight="1" thickBot="1">
      <c r="B131" s="792"/>
      <c r="C131" s="793" t="s">
        <v>680</v>
      </c>
      <c r="D131" s="794"/>
      <c r="E131" s="795" t="s">
        <v>662</v>
      </c>
      <c r="F131" s="795" t="s">
        <v>662</v>
      </c>
      <c r="G131" s="796">
        <f>+G102+G107+G115+G129</f>
        <v>0</v>
      </c>
      <c r="H131" s="789">
        <f>+G44</f>
        <v>0</v>
      </c>
      <c r="I131" s="784">
        <f>+H131-G131</f>
        <v>0</v>
      </c>
    </row>
    <row r="132" spans="2:9" ht="15.75" customHeight="1" thickTop="1">
      <c r="B132" s="808"/>
      <c r="C132" s="778"/>
      <c r="D132" s="786"/>
      <c r="E132" s="786"/>
      <c r="F132" s="783"/>
      <c r="G132" s="797"/>
      <c r="H132" s="789"/>
      <c r="I132" s="784"/>
    </row>
    <row r="133" spans="2:9" ht="15.75" customHeight="1">
      <c r="B133" s="809"/>
      <c r="C133" s="810"/>
      <c r="D133" s="811"/>
      <c r="E133" s="811"/>
      <c r="F133" s="812"/>
      <c r="G133" s="813"/>
      <c r="H133" s="813"/>
      <c r="I133" s="814"/>
    </row>
    <row r="159" spans="1:3" ht="15.75" customHeight="1">
      <c r="A159" s="99" t="s">
        <v>111</v>
      </c>
      <c r="B159" s="99">
        <v>1199231588</v>
      </c>
      <c r="C159" s="99">
        <v>1519951732</v>
      </c>
    </row>
    <row r="160" spans="1:3" ht="15.75" customHeight="1">
      <c r="A160" s="99" t="s">
        <v>196</v>
      </c>
      <c r="B160" s="99">
        <v>1210221540</v>
      </c>
      <c r="C160" s="99">
        <v>584567899</v>
      </c>
    </row>
    <row r="161" spans="1:3" ht="15.75" customHeight="1">
      <c r="A161" s="99" t="s">
        <v>160</v>
      </c>
      <c r="B161" s="99">
        <v>251071768</v>
      </c>
      <c r="C161" s="99">
        <v>257310286</v>
      </c>
    </row>
    <row r="162" spans="1:3" ht="15.75" customHeight="1">
      <c r="A162" s="99" t="s">
        <v>142</v>
      </c>
      <c r="B162" s="99">
        <v>12249613</v>
      </c>
      <c r="C162" s="99">
        <v>2542340</v>
      </c>
    </row>
    <row r="163" spans="1:3" ht="15.75" customHeight="1">
      <c r="A163" s="99" t="s">
        <v>221</v>
      </c>
      <c r="B163" s="99">
        <v>6657464</v>
      </c>
      <c r="C163" s="99">
        <v>6657464</v>
      </c>
    </row>
    <row r="164" spans="1:3" ht="15.75" customHeight="1">
      <c r="A164" s="99" t="s">
        <v>197</v>
      </c>
      <c r="B164" s="99">
        <v>0</v>
      </c>
      <c r="C164" s="99">
        <v>0</v>
      </c>
    </row>
    <row r="165" spans="1:3" ht="15.75" customHeight="1">
      <c r="A165" s="99" t="s">
        <v>234</v>
      </c>
      <c r="B165" s="99">
        <v>3789600</v>
      </c>
      <c r="C165" s="99">
        <v>0</v>
      </c>
    </row>
    <row r="166" spans="1:3" ht="15.75" customHeight="1">
      <c r="A166" s="99" t="s">
        <v>198</v>
      </c>
      <c r="B166" s="99">
        <v>0</v>
      </c>
      <c r="C166" s="99">
        <v>0</v>
      </c>
    </row>
    <row r="167" spans="1:3" ht="15.75" customHeight="1">
      <c r="A167" s="99" t="s">
        <v>199</v>
      </c>
      <c r="B167" s="99">
        <v>241876346</v>
      </c>
      <c r="C167" s="99">
        <v>0</v>
      </c>
    </row>
    <row r="168" spans="1:3" ht="15.75" customHeight="1">
      <c r="A168" s="99" t="s">
        <v>226</v>
      </c>
      <c r="B168" s="99">
        <v>80375935</v>
      </c>
      <c r="C168" s="99">
        <v>0</v>
      </c>
    </row>
    <row r="169" spans="1:3" ht="15.75" customHeight="1">
      <c r="A169" s="99" t="s">
        <v>161</v>
      </c>
      <c r="B169" s="99">
        <v>0</v>
      </c>
      <c r="C169" s="99">
        <v>0</v>
      </c>
    </row>
    <row r="170" spans="1:3" ht="15.75" customHeight="1">
      <c r="A170" s="99" t="s">
        <v>253</v>
      </c>
      <c r="B170" s="99">
        <v>49133855</v>
      </c>
      <c r="C170" s="99">
        <v>814083</v>
      </c>
    </row>
    <row r="171" spans="1:3" ht="15.75" customHeight="1">
      <c r="A171" s="99" t="s">
        <v>255</v>
      </c>
      <c r="B171" s="99">
        <v>35697471</v>
      </c>
      <c r="C171" s="99">
        <v>0</v>
      </c>
    </row>
    <row r="172" spans="1:3" ht="15.75" customHeight="1">
      <c r="A172" s="99" t="s">
        <v>198</v>
      </c>
      <c r="B172" s="99">
        <v>0</v>
      </c>
      <c r="C172" s="99">
        <v>0</v>
      </c>
    </row>
    <row r="173" spans="1:3" ht="15.75" customHeight="1">
      <c r="A173" s="99" t="s">
        <v>225</v>
      </c>
      <c r="B173" s="99">
        <v>0</v>
      </c>
      <c r="C173" s="99">
        <v>0</v>
      </c>
    </row>
    <row r="174" spans="1:3" ht="15.75" customHeight="1">
      <c r="A174" s="99">
        <v>0</v>
      </c>
      <c r="B174" s="99">
        <v>0</v>
      </c>
      <c r="C174" s="99">
        <v>0</v>
      </c>
    </row>
    <row r="175" spans="1:3" ht="15.75" customHeight="1">
      <c r="A175" s="99">
        <v>0</v>
      </c>
      <c r="B175" s="99">
        <v>0</v>
      </c>
      <c r="C175" s="99">
        <v>0</v>
      </c>
    </row>
    <row r="176" spans="1:3" ht="15.75" customHeight="1">
      <c r="A176" s="99" t="s">
        <v>201</v>
      </c>
      <c r="B176" s="99">
        <v>0</v>
      </c>
      <c r="C176" s="99">
        <v>0</v>
      </c>
    </row>
    <row r="177" spans="1:3" ht="15.75" customHeight="1">
      <c r="A177" s="99" t="s">
        <v>164</v>
      </c>
      <c r="B177" s="99">
        <v>1306278</v>
      </c>
      <c r="C177" s="99">
        <v>1376582</v>
      </c>
    </row>
    <row r="178" spans="1:3" ht="15.75" customHeight="1">
      <c r="A178" s="99" t="s">
        <v>200</v>
      </c>
      <c r="B178" s="99">
        <v>0</v>
      </c>
      <c r="C178" s="99">
        <v>0</v>
      </c>
    </row>
    <row r="179" spans="1:3" ht="15.75" customHeight="1">
      <c r="A179" s="99" t="s">
        <v>145</v>
      </c>
      <c r="B179" s="99">
        <v>255937</v>
      </c>
      <c r="C179" s="99">
        <v>255937</v>
      </c>
    </row>
    <row r="180" spans="1:3" ht="15.75" customHeight="1">
      <c r="A180" s="99" t="s">
        <v>222</v>
      </c>
      <c r="B180" s="99">
        <v>0</v>
      </c>
      <c r="C180" s="99">
        <v>3890567</v>
      </c>
    </row>
    <row r="181" spans="1:3" ht="15.75" customHeight="1">
      <c r="A181" s="99" t="s">
        <v>230</v>
      </c>
      <c r="B181" s="99">
        <v>814083</v>
      </c>
      <c r="C181" s="99">
        <v>32246919</v>
      </c>
    </row>
    <row r="182" spans="1:3" ht="15.75" customHeight="1">
      <c r="A182" s="99" t="s">
        <v>254</v>
      </c>
      <c r="B182" s="99">
        <v>27079344</v>
      </c>
      <c r="C182" s="99">
        <v>121857048</v>
      </c>
    </row>
    <row r="183" spans="1:3" ht="15.75" customHeight="1">
      <c r="A183" s="99" t="s">
        <v>256</v>
      </c>
      <c r="B183" s="99">
        <v>2279389</v>
      </c>
      <c r="C183" s="99">
        <v>41029256</v>
      </c>
    </row>
    <row r="184" spans="1:3" ht="15.75" customHeight="1">
      <c r="A184" s="99" t="s">
        <v>257</v>
      </c>
      <c r="B184" s="99">
        <v>6250270</v>
      </c>
      <c r="C184" s="99">
        <v>75000505</v>
      </c>
    </row>
    <row r="185" spans="1:3" ht="15.75" customHeight="1">
      <c r="A185" s="99" t="s">
        <v>246</v>
      </c>
      <c r="B185" s="99">
        <v>551001</v>
      </c>
      <c r="C185" s="99">
        <v>606389</v>
      </c>
    </row>
    <row r="186" spans="1:3" ht="15.75" customHeight="1">
      <c r="A186" s="99" t="s">
        <v>159</v>
      </c>
      <c r="B186" s="99">
        <v>0</v>
      </c>
      <c r="C186" s="99">
        <v>0</v>
      </c>
    </row>
    <row r="187" spans="1:3" ht="15.75" customHeight="1">
      <c r="A187" s="99" t="s">
        <v>223</v>
      </c>
      <c r="B187" s="99">
        <v>0</v>
      </c>
      <c r="C187" s="99">
        <v>2785708</v>
      </c>
    </row>
    <row r="188" spans="1:3" ht="15.75" customHeight="1">
      <c r="A188" s="99" t="s">
        <v>227</v>
      </c>
      <c r="B188" s="99">
        <v>0</v>
      </c>
      <c r="C188" s="99">
        <v>9374788</v>
      </c>
    </row>
    <row r="189" spans="1:3" ht="15.75" customHeight="1">
      <c r="A189" s="99" t="s">
        <v>251</v>
      </c>
      <c r="B189" s="99">
        <v>0</v>
      </c>
      <c r="C189" s="99">
        <v>6317820</v>
      </c>
    </row>
    <row r="190" spans="1:3" ht="15.75" customHeight="1">
      <c r="A190" s="99" t="s">
        <v>252</v>
      </c>
      <c r="B190" s="99">
        <v>0</v>
      </c>
      <c r="C190" s="99">
        <v>88007868</v>
      </c>
    </row>
    <row r="191" spans="1:3" ht="15.75" customHeight="1">
      <c r="A191" s="99" t="s">
        <v>53</v>
      </c>
      <c r="B191" s="99">
        <v>0</v>
      </c>
      <c r="C191" s="99">
        <v>20000000</v>
      </c>
    </row>
    <row r="192" spans="1:3" ht="15.75" customHeight="1">
      <c r="A192" s="99" t="s">
        <v>143</v>
      </c>
      <c r="B192" s="99">
        <v>0</v>
      </c>
      <c r="C192" s="99">
        <v>500000</v>
      </c>
    </row>
    <row r="193" spans="1:3" ht="15.75" customHeight="1">
      <c r="A193" s="99" t="s">
        <v>66</v>
      </c>
      <c r="B193" s="99">
        <v>0</v>
      </c>
      <c r="C193" s="99">
        <v>0</v>
      </c>
    </row>
    <row r="194" spans="1:3" ht="15.75" customHeight="1">
      <c r="A194" s="99" t="s">
        <v>194</v>
      </c>
      <c r="B194" s="99">
        <v>10000000</v>
      </c>
      <c r="C194" s="99">
        <v>62003027</v>
      </c>
    </row>
    <row r="195" spans="1:3" ht="15.75" customHeight="1">
      <c r="A195" s="99" t="s">
        <v>180</v>
      </c>
      <c r="B195" s="99">
        <v>0</v>
      </c>
      <c r="C195" s="99">
        <v>1354264665</v>
      </c>
    </row>
    <row r="196" spans="1:3" ht="15.75" customHeight="1">
      <c r="A196" s="99" t="s">
        <v>182</v>
      </c>
      <c r="B196" s="99">
        <v>0</v>
      </c>
      <c r="C196" s="99">
        <v>0</v>
      </c>
    </row>
    <row r="197" spans="1:3" ht="15.75" customHeight="1">
      <c r="A197" s="99" t="s">
        <v>181</v>
      </c>
      <c r="B197" s="99">
        <v>0</v>
      </c>
      <c r="C197" s="99">
        <v>0</v>
      </c>
    </row>
    <row r="198" spans="1:3" ht="15.75" customHeight="1">
      <c r="A198" s="99" t="s">
        <v>183</v>
      </c>
      <c r="B198" s="99">
        <v>0</v>
      </c>
      <c r="C198" s="99">
        <v>0</v>
      </c>
    </row>
    <row r="199" spans="1:3" ht="15.75" customHeight="1">
      <c r="A199" s="99" t="s">
        <v>177</v>
      </c>
      <c r="B199" s="99">
        <v>606389</v>
      </c>
      <c r="C199" s="99">
        <v>0</v>
      </c>
    </row>
    <row r="200" spans="1:3" ht="15.75" customHeight="1">
      <c r="A200" s="99" t="s">
        <v>229</v>
      </c>
      <c r="B200" s="99">
        <v>0</v>
      </c>
    </row>
    <row r="201" spans="1:3" ht="15.75" customHeight="1">
      <c r="A201" s="99" t="s">
        <v>178</v>
      </c>
      <c r="B201" s="99">
        <v>684941638</v>
      </c>
    </row>
    <row r="202" spans="1:3" ht="15.75" customHeight="1">
      <c r="A202" s="99">
        <v>0</v>
      </c>
      <c r="B202" s="99">
        <v>0</v>
      </c>
      <c r="C202" s="99">
        <v>0</v>
      </c>
    </row>
    <row r="203" spans="1:3" ht="15.75" customHeight="1">
      <c r="A203" s="99" t="s">
        <v>232</v>
      </c>
      <c r="B203" s="99">
        <v>0</v>
      </c>
      <c r="C203" s="99">
        <v>0</v>
      </c>
    </row>
    <row r="204" spans="1:3" ht="15.75" customHeight="1">
      <c r="A204" s="99" t="s">
        <v>233</v>
      </c>
      <c r="B204" s="99">
        <v>0</v>
      </c>
      <c r="C204" s="99">
        <v>0</v>
      </c>
    </row>
    <row r="205" spans="1:3" ht="15.75" customHeight="1">
      <c r="A205" s="99">
        <v>0</v>
      </c>
      <c r="B205" s="99">
        <v>0</v>
      </c>
      <c r="C205" s="99">
        <v>0</v>
      </c>
    </row>
    <row r="206" spans="1:3" ht="15.75" customHeight="1">
      <c r="A206" s="99">
        <v>0</v>
      </c>
      <c r="B206" s="99">
        <v>0</v>
      </c>
      <c r="C206" s="99">
        <v>0</v>
      </c>
    </row>
    <row r="207" spans="1:3" ht="15.75" customHeight="1">
      <c r="A207" s="99">
        <v>0</v>
      </c>
      <c r="B207" s="99">
        <v>0</v>
      </c>
      <c r="C207" s="99">
        <v>0</v>
      </c>
    </row>
    <row r="208" spans="1:3" ht="15.75" customHeight="1">
      <c r="A208" s="99">
        <v>0</v>
      </c>
      <c r="B208" s="99">
        <v>0</v>
      </c>
      <c r="C208" s="99">
        <v>0</v>
      </c>
    </row>
    <row r="209" spans="1:3" ht="15.75" customHeight="1">
      <c r="A209" s="99">
        <v>0</v>
      </c>
      <c r="B209" s="99">
        <v>0</v>
      </c>
      <c r="C209" s="99">
        <v>0</v>
      </c>
    </row>
    <row r="210" spans="1:3" ht="15.75" customHeight="1">
      <c r="A210" s="99">
        <v>0</v>
      </c>
      <c r="B210" s="99">
        <v>0</v>
      </c>
      <c r="C210" s="99">
        <v>0</v>
      </c>
    </row>
    <row r="211" spans="1:3" ht="15.75" customHeight="1">
      <c r="A211" s="99">
        <v>0</v>
      </c>
      <c r="B211" s="99">
        <v>0</v>
      </c>
      <c r="C211" s="99">
        <v>0</v>
      </c>
    </row>
    <row r="212" spans="1:3" ht="15.75" customHeight="1">
      <c r="A212" s="99" t="s">
        <v>3</v>
      </c>
      <c r="B212" s="99">
        <v>1038228070</v>
      </c>
      <c r="C212" s="99">
        <v>684941638</v>
      </c>
    </row>
    <row r="213" spans="1:3" ht="15.75" customHeight="1">
      <c r="A213" s="99">
        <v>0</v>
      </c>
      <c r="B213" s="99">
        <v>0</v>
      </c>
      <c r="C213" s="99">
        <v>0</v>
      </c>
    </row>
    <row r="214" spans="1:3" ht="15.75" customHeight="1">
      <c r="A214" s="99">
        <v>0</v>
      </c>
      <c r="B214" s="99">
        <v>0</v>
      </c>
      <c r="C214" s="99">
        <v>0</v>
      </c>
    </row>
    <row r="215" spans="1:3" ht="15.75" customHeight="1">
      <c r="A215" s="99" t="s">
        <v>224</v>
      </c>
      <c r="B215" s="99">
        <v>13765820</v>
      </c>
      <c r="C215" s="99">
        <v>0</v>
      </c>
    </row>
    <row r="216" spans="1:3" ht="15.75" customHeight="1">
      <c r="A216" s="99" t="s">
        <v>144</v>
      </c>
      <c r="B216" s="99">
        <v>0</v>
      </c>
      <c r="C216" s="99">
        <v>0</v>
      </c>
    </row>
    <row r="217" spans="1:3" ht="15.75" customHeight="1">
      <c r="A217" s="99" t="s">
        <v>2</v>
      </c>
      <c r="B217" s="99">
        <v>48994</v>
      </c>
      <c r="C217" s="99">
        <v>129871</v>
      </c>
    </row>
    <row r="218" spans="1:3" ht="15.75" customHeight="1">
      <c r="A218" s="99" t="s">
        <v>146</v>
      </c>
      <c r="B218" s="99">
        <v>0</v>
      </c>
      <c r="C218" s="99">
        <v>0</v>
      </c>
    </row>
    <row r="220" spans="1:3" ht="15.75" customHeight="1">
      <c r="A220" s="99" t="s">
        <v>24</v>
      </c>
      <c r="B220" s="99">
        <v>4876432393</v>
      </c>
      <c r="C220" s="99">
        <v>4876432392</v>
      </c>
    </row>
    <row r="221" spans="1:3" ht="15.75" customHeight="1">
      <c r="A221" s="99" t="s">
        <v>25</v>
      </c>
      <c r="B221" s="99">
        <v>0</v>
      </c>
      <c r="C221" s="99">
        <v>0</v>
      </c>
    </row>
    <row r="222" spans="1:3" ht="15.75" customHeight="1">
      <c r="A222" s="99" t="s">
        <v>26</v>
      </c>
      <c r="B222" s="99">
        <v>4876432393</v>
      </c>
      <c r="C222" s="99">
        <v>4876432392</v>
      </c>
    </row>
  </sheetData>
  <printOptions horizontalCentered="1"/>
  <pageMargins left="0.59055118110236227" right="0.47244094488188981" top="0.15748031496062992" bottom="0.23622047244094491" header="0.15748031496062992" footer="0.15748031496062992"/>
  <pageSetup scale="6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7"/>
  <sheetViews>
    <sheetView zoomScale="84" zoomScaleNormal="84" workbookViewId="0">
      <selection activeCell="H35" sqref="H35"/>
    </sheetView>
  </sheetViews>
  <sheetFormatPr baseColWidth="10" defaultColWidth="11.42578125" defaultRowHeight="12.75"/>
  <cols>
    <col min="1" max="1" width="3.42578125" style="430" customWidth="1"/>
    <col min="2" max="2" width="3.7109375" style="430" customWidth="1"/>
    <col min="3" max="3" width="29.7109375" style="430" customWidth="1"/>
    <col min="4" max="4" width="17.7109375" style="430" customWidth="1"/>
    <col min="5" max="5" width="14.28515625" style="430" customWidth="1"/>
    <col min="6" max="6" width="15.140625" style="430" customWidth="1"/>
    <col min="7" max="7" width="11.42578125" style="430"/>
    <col min="8" max="8" width="13.42578125" style="430" customWidth="1"/>
    <col min="9" max="9" width="13.85546875" style="430" customWidth="1"/>
    <col min="10" max="10" width="13.140625" style="430" customWidth="1"/>
    <col min="11" max="11" width="11.7109375" style="430" bestFit="1" customWidth="1"/>
    <col min="12" max="12" width="11.42578125" style="430"/>
    <col min="13" max="13" width="16.140625" style="430" customWidth="1"/>
    <col min="14" max="14" width="12.7109375" style="430" bestFit="1" customWidth="1"/>
    <col min="15" max="15" width="15.28515625" style="430" customWidth="1"/>
    <col min="16" max="16" width="13.85546875" style="430" customWidth="1"/>
    <col min="17" max="16384" width="11.42578125" style="430"/>
  </cols>
  <sheetData>
    <row r="1" spans="2:17" ht="20.25">
      <c r="B1" s="415" t="s">
        <v>574</v>
      </c>
      <c r="C1" s="689"/>
      <c r="D1" s="442"/>
      <c r="E1" s="722"/>
      <c r="F1" s="442"/>
      <c r="G1" s="442"/>
      <c r="H1" s="442"/>
      <c r="I1" s="442"/>
      <c r="J1" s="442"/>
      <c r="K1" s="442"/>
      <c r="L1" s="442"/>
      <c r="M1" s="442"/>
      <c r="N1" s="723" t="s">
        <v>596</v>
      </c>
      <c r="O1" s="442">
        <v>66010982.554032326</v>
      </c>
      <c r="Q1" s="430">
        <v>20012801</v>
      </c>
    </row>
    <row r="2" spans="2:17">
      <c r="B2" s="415" t="s">
        <v>575</v>
      </c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723" t="s">
        <v>616</v>
      </c>
      <c r="O2" s="442">
        <v>37204868</v>
      </c>
    </row>
    <row r="3" spans="2:17" ht="13.5" thickBot="1">
      <c r="B3" s="415" t="s">
        <v>576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723" t="s">
        <v>187</v>
      </c>
      <c r="O3" s="470">
        <v>103215850.55403233</v>
      </c>
    </row>
    <row r="4" spans="2:17" ht="15.75" thickTop="1">
      <c r="B4" s="415" t="s">
        <v>577</v>
      </c>
      <c r="C4" s="442"/>
      <c r="D4" s="724" t="s">
        <v>617</v>
      </c>
      <c r="E4" s="474"/>
      <c r="F4" s="474"/>
      <c r="G4" s="474"/>
      <c r="H4" s="474"/>
      <c r="I4" s="474"/>
      <c r="J4" s="474"/>
      <c r="K4" s="474"/>
      <c r="L4" s="474"/>
      <c r="M4" s="442"/>
      <c r="N4" s="474"/>
      <c r="O4" s="442"/>
    </row>
    <row r="5" spans="2:17"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</row>
    <row r="6" spans="2:17">
      <c r="B6" s="453"/>
      <c r="C6" s="467"/>
      <c r="D6" s="451"/>
      <c r="E6" s="1437" t="s">
        <v>639</v>
      </c>
      <c r="F6" s="1438"/>
      <c r="G6" s="1437"/>
      <c r="H6" s="1438"/>
      <c r="I6" s="1439"/>
      <c r="J6" s="1440"/>
      <c r="K6" s="1437"/>
      <c r="L6" s="1438"/>
      <c r="M6" s="442"/>
      <c r="N6" s="465"/>
      <c r="O6" s="465"/>
    </row>
    <row r="7" spans="2:17">
      <c r="B7" s="464"/>
      <c r="C7" s="463" t="s">
        <v>0</v>
      </c>
      <c r="D7" s="462" t="s">
        <v>1</v>
      </c>
      <c r="E7" s="609" t="s">
        <v>108</v>
      </c>
      <c r="F7" s="609" t="s">
        <v>109</v>
      </c>
      <c r="G7" s="609" t="s">
        <v>108</v>
      </c>
      <c r="H7" s="609" t="s">
        <v>109</v>
      </c>
      <c r="I7" s="609" t="s">
        <v>108</v>
      </c>
      <c r="J7" s="475" t="s">
        <v>109</v>
      </c>
      <c r="K7" s="609" t="s">
        <v>108</v>
      </c>
      <c r="L7" s="475" t="s">
        <v>109</v>
      </c>
      <c r="M7" s="442"/>
      <c r="N7" s="725" t="s">
        <v>620</v>
      </c>
      <c r="O7" s="462" t="s">
        <v>89</v>
      </c>
    </row>
    <row r="8" spans="2:17">
      <c r="B8" s="448"/>
      <c r="C8" s="450"/>
      <c r="D8" s="445"/>
      <c r="E8" s="448"/>
      <c r="F8" s="448"/>
      <c r="G8" s="448"/>
      <c r="H8" s="448"/>
      <c r="I8" s="448"/>
      <c r="J8" s="445"/>
      <c r="K8" s="448"/>
      <c r="L8" s="445"/>
      <c r="M8" s="442"/>
      <c r="N8" s="461"/>
      <c r="O8" s="460"/>
    </row>
    <row r="9" spans="2:17" ht="15">
      <c r="B9" s="448"/>
      <c r="C9" s="761" t="s">
        <v>585</v>
      </c>
      <c r="D9" s="760" t="s">
        <v>587</v>
      </c>
      <c r="E9" s="728">
        <f>ROUND(+$E$25*H9,0)</f>
        <v>-17617175</v>
      </c>
      <c r="F9" s="729">
        <f>ROUND(+E9*25%,0)</f>
        <v>-4404294</v>
      </c>
      <c r="G9" s="445"/>
      <c r="H9" s="730">
        <v>0.39</v>
      </c>
      <c r="I9" s="448"/>
      <c r="J9" s="445"/>
      <c r="K9" s="448"/>
      <c r="L9" s="445"/>
      <c r="M9" s="442"/>
      <c r="N9" s="731">
        <f>+E9+G9+I9+K9</f>
        <v>-17617175</v>
      </c>
      <c r="O9" s="731"/>
      <c r="P9" s="442">
        <f>+J35+J36</f>
        <v>0</v>
      </c>
    </row>
    <row r="10" spans="2:17" ht="15">
      <c r="B10" s="448"/>
      <c r="C10" s="726" t="s">
        <v>586</v>
      </c>
      <c r="D10" s="727" t="s">
        <v>588</v>
      </c>
      <c r="E10" s="728">
        <f>ROUND(+$E$25*H10,0)</f>
        <v>-27555069</v>
      </c>
      <c r="F10" s="729">
        <f>ROUND(+E10*25%,0)</f>
        <v>-6888767</v>
      </c>
      <c r="G10" s="445"/>
      <c r="H10" s="730">
        <f>+I19-H9</f>
        <v>0.61</v>
      </c>
      <c r="I10" s="448"/>
      <c r="J10" s="445"/>
      <c r="K10" s="448"/>
      <c r="L10" s="445"/>
      <c r="M10" s="442"/>
      <c r="N10" s="731">
        <f>+E10+G10+I10+K10</f>
        <v>-27555069</v>
      </c>
      <c r="O10" s="731"/>
      <c r="P10" s="442">
        <f>+F35+F36</f>
        <v>-17617175</v>
      </c>
    </row>
    <row r="11" spans="2:17" ht="15">
      <c r="B11" s="448"/>
      <c r="C11" s="732"/>
      <c r="D11" s="445"/>
      <c r="E11" s="445"/>
      <c r="F11" s="445"/>
      <c r="G11" s="445"/>
      <c r="H11" s="445"/>
      <c r="I11" s="448"/>
      <c r="J11" s="445"/>
      <c r="K11" s="448"/>
      <c r="L11" s="445"/>
      <c r="M11" s="442"/>
      <c r="N11" s="731">
        <f>+E11+G11+I11+K11</f>
        <v>0</v>
      </c>
      <c r="O11" s="733"/>
      <c r="P11" s="442">
        <f>+M35+M36</f>
        <v>0</v>
      </c>
    </row>
    <row r="12" spans="2:17" ht="15">
      <c r="B12" s="448"/>
      <c r="C12" s="732"/>
      <c r="D12" s="445"/>
      <c r="E12" s="445"/>
      <c r="F12" s="445"/>
      <c r="G12" s="445"/>
      <c r="H12" s="445"/>
      <c r="I12" s="448"/>
      <c r="J12" s="445"/>
      <c r="K12" s="448"/>
      <c r="L12" s="445"/>
      <c r="M12" s="442"/>
      <c r="N12" s="731">
        <f>+E12+G12+I12+K12</f>
        <v>0</v>
      </c>
      <c r="O12" s="731"/>
      <c r="P12" s="734">
        <f>+O35+O36</f>
        <v>0</v>
      </c>
    </row>
    <row r="13" spans="2:17" ht="15">
      <c r="B13" s="448"/>
      <c r="C13" s="732"/>
      <c r="D13" s="445"/>
      <c r="E13" s="445"/>
      <c r="F13" s="445"/>
      <c r="G13" s="445"/>
      <c r="H13" s="445"/>
      <c r="I13" s="448"/>
      <c r="J13" s="445"/>
      <c r="K13" s="448"/>
      <c r="L13" s="445"/>
      <c r="M13" s="442"/>
      <c r="N13" s="731">
        <f>+E13+G13+I13+K13</f>
        <v>0</v>
      </c>
      <c r="O13" s="731"/>
      <c r="P13" s="442">
        <f>+H35+H36</f>
        <v>-27555069</v>
      </c>
    </row>
    <row r="14" spans="2:17">
      <c r="B14" s="448"/>
      <c r="C14" s="450"/>
      <c r="D14" s="445"/>
      <c r="E14" s="445"/>
      <c r="F14" s="445"/>
      <c r="G14" s="445"/>
      <c r="H14" s="445"/>
      <c r="I14" s="448"/>
      <c r="J14" s="445"/>
      <c r="K14" s="448"/>
      <c r="L14" s="445"/>
      <c r="M14" s="442"/>
      <c r="N14" s="445">
        <f>SUM(E14:M14)</f>
        <v>0</v>
      </c>
      <c r="O14" s="445"/>
    </row>
    <row r="15" spans="2:17">
      <c r="B15" s="448"/>
      <c r="C15" s="450"/>
      <c r="D15" s="445"/>
      <c r="E15" s="445"/>
      <c r="F15" s="445"/>
      <c r="G15" s="445"/>
      <c r="H15" s="445"/>
      <c r="I15" s="448"/>
      <c r="J15" s="445"/>
      <c r="K15" s="448"/>
      <c r="L15" s="445"/>
      <c r="M15" s="442"/>
      <c r="N15" s="445"/>
      <c r="O15" s="445"/>
    </row>
    <row r="16" spans="2:17">
      <c r="B16" s="448"/>
      <c r="C16" s="450"/>
      <c r="D16" s="445"/>
      <c r="E16" s="445"/>
      <c r="F16" s="445"/>
      <c r="G16" s="445"/>
      <c r="H16" s="445"/>
      <c r="I16" s="448"/>
      <c r="J16" s="445"/>
      <c r="K16" s="448"/>
      <c r="L16" s="445"/>
      <c r="M16" s="442"/>
      <c r="N16" s="445"/>
      <c r="O16" s="445"/>
    </row>
    <row r="17" spans="1:16" ht="13.5" thickBot="1">
      <c r="B17" s="444"/>
      <c r="C17" s="735" t="s">
        <v>571</v>
      </c>
      <c r="D17" s="471"/>
      <c r="E17" s="736">
        <f t="shared" ref="E17:L17" si="0">SUM(E9:E16)</f>
        <v>-45172244</v>
      </c>
      <c r="F17" s="737">
        <f t="shared" si="0"/>
        <v>-11293061</v>
      </c>
      <c r="G17" s="736">
        <f t="shared" si="0"/>
        <v>0</v>
      </c>
      <c r="H17" s="738">
        <f t="shared" si="0"/>
        <v>1</v>
      </c>
      <c r="I17" s="739">
        <f t="shared" si="0"/>
        <v>0</v>
      </c>
      <c r="J17" s="721">
        <f t="shared" si="0"/>
        <v>0</v>
      </c>
      <c r="K17" s="740">
        <f t="shared" si="0"/>
        <v>0</v>
      </c>
      <c r="L17" s="741">
        <f t="shared" si="0"/>
        <v>0</v>
      </c>
      <c r="M17" s="442"/>
      <c r="N17" s="443">
        <f>SUM(N9:N16)</f>
        <v>-45172244</v>
      </c>
      <c r="O17" s="443"/>
      <c r="P17" s="443">
        <f>SUM(P9:P16)</f>
        <v>-45172244</v>
      </c>
    </row>
    <row r="18" spans="1:16" ht="13.5" thickTop="1"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2"/>
      <c r="N18" s="442"/>
      <c r="O18" s="442"/>
    </row>
    <row r="19" spans="1:16" ht="13.5" thickBot="1">
      <c r="B19" s="442"/>
      <c r="C19" s="442"/>
      <c r="D19" s="442"/>
      <c r="E19" s="736">
        <f>+E17+G17+I17+K17</f>
        <v>-45172244</v>
      </c>
      <c r="F19" s="442"/>
      <c r="G19" s="442"/>
      <c r="H19" s="442"/>
      <c r="I19" s="738">
        <v>1</v>
      </c>
      <c r="J19" s="442"/>
      <c r="K19" s="442"/>
      <c r="L19" s="442"/>
      <c r="M19" s="442"/>
      <c r="N19" s="442"/>
      <c r="O19" s="442"/>
    </row>
    <row r="20" spans="1:16" ht="13.5" thickTop="1">
      <c r="A20" s="430" t="str">
        <f>+MAYOR!J6</f>
        <v>IVA POR PAGAR</v>
      </c>
      <c r="B20" s="430">
        <f>+MAYOR!J228</f>
        <v>0</v>
      </c>
      <c r="C20" s="430">
        <f>+MAYOR!K228</f>
        <v>0</v>
      </c>
      <c r="D20" s="442"/>
      <c r="E20" s="442"/>
      <c r="F20" s="442"/>
      <c r="G20" s="442"/>
      <c r="H20" s="442"/>
    </row>
    <row r="21" spans="1:16">
      <c r="C21" s="442"/>
      <c r="D21" s="442"/>
      <c r="E21" s="442"/>
      <c r="F21" s="442"/>
      <c r="G21" s="442"/>
      <c r="H21" s="442"/>
    </row>
    <row r="22" spans="1:16">
      <c r="B22" s="453"/>
      <c r="C22" s="467"/>
      <c r="D22" s="451"/>
      <c r="E22" s="1439" t="s">
        <v>618</v>
      </c>
      <c r="F22" s="1440"/>
      <c r="G22" s="1439" t="s">
        <v>619</v>
      </c>
      <c r="H22" s="1440"/>
      <c r="I22" s="1439" t="s">
        <v>618</v>
      </c>
      <c r="J22" s="1440"/>
      <c r="K22" s="1437" t="s">
        <v>621</v>
      </c>
      <c r="L22" s="1438"/>
    </row>
    <row r="23" spans="1:16">
      <c r="B23" s="464"/>
      <c r="C23" s="463" t="s">
        <v>0</v>
      </c>
      <c r="D23" s="462" t="s">
        <v>1</v>
      </c>
      <c r="E23" s="609" t="s">
        <v>108</v>
      </c>
      <c r="F23" s="609" t="s">
        <v>109</v>
      </c>
      <c r="G23" s="609" t="s">
        <v>108</v>
      </c>
      <c r="H23" s="609" t="s">
        <v>109</v>
      </c>
      <c r="I23" s="609" t="s">
        <v>108</v>
      </c>
      <c r="J23" s="475" t="s">
        <v>109</v>
      </c>
      <c r="K23" s="609" t="s">
        <v>108</v>
      </c>
      <c r="L23" s="475" t="s">
        <v>109</v>
      </c>
    </row>
    <row r="24" spans="1:16">
      <c r="B24" s="448"/>
      <c r="C24" s="450"/>
      <c r="D24" s="445"/>
      <c r="E24" s="448"/>
      <c r="F24" s="448"/>
      <c r="G24" s="448"/>
      <c r="H24" s="448"/>
      <c r="I24" s="448"/>
      <c r="J24" s="445"/>
      <c r="K24" s="448"/>
      <c r="L24" s="445"/>
    </row>
    <row r="25" spans="1:16" ht="15">
      <c r="B25" s="448"/>
      <c r="C25" s="726" t="str">
        <f>+B1</f>
        <v>GABRIEL PEREZ JARA SpA</v>
      </c>
      <c r="D25" s="727" t="s">
        <v>590</v>
      </c>
      <c r="E25" s="728">
        <f>+'BT IMPRESION'!G61</f>
        <v>-45172244</v>
      </c>
      <c r="F25" s="729">
        <f>ROUND(+E25*25%,0)</f>
        <v>-11293061</v>
      </c>
      <c r="G25" s="445"/>
      <c r="H25" s="445"/>
      <c r="I25" s="448"/>
      <c r="J25" s="445"/>
      <c r="K25" s="448">
        <f>-[1]Sectra!D43</f>
        <v>0</v>
      </c>
      <c r="L25" s="445">
        <f>ROUND(+K25*25%,0)</f>
        <v>0</v>
      </c>
    </row>
    <row r="26" spans="1:16">
      <c r="B26" s="448"/>
      <c r="C26" s="450"/>
      <c r="D26" s="445"/>
      <c r="E26" s="445"/>
      <c r="F26" s="445"/>
      <c r="G26" s="445"/>
      <c r="H26" s="445"/>
      <c r="I26" s="448"/>
      <c r="J26" s="445"/>
      <c r="K26" s="448"/>
      <c r="L26" s="445"/>
    </row>
    <row r="27" spans="1:16" ht="13.5" thickBot="1">
      <c r="B27" s="444"/>
      <c r="C27" s="719" t="s">
        <v>622</v>
      </c>
      <c r="D27" s="471"/>
      <c r="E27" s="736">
        <f t="shared" ref="E27:L27" si="1">SUM(E25:E26)</f>
        <v>-45172244</v>
      </c>
      <c r="F27" s="443">
        <f t="shared" si="1"/>
        <v>-11293061</v>
      </c>
      <c r="G27" s="736">
        <f t="shared" si="1"/>
        <v>0</v>
      </c>
      <c r="H27" s="443">
        <f t="shared" si="1"/>
        <v>0</v>
      </c>
      <c r="I27" s="736">
        <f t="shared" si="1"/>
        <v>0</v>
      </c>
      <c r="J27" s="443">
        <f t="shared" si="1"/>
        <v>0</v>
      </c>
      <c r="K27" s="736">
        <f t="shared" si="1"/>
        <v>0</v>
      </c>
      <c r="L27" s="443">
        <f t="shared" si="1"/>
        <v>0</v>
      </c>
    </row>
    <row r="28" spans="1:16" ht="13.5" thickTop="1">
      <c r="B28" s="442"/>
      <c r="C28" s="442"/>
      <c r="D28" s="442"/>
      <c r="E28" s="442"/>
      <c r="F28" s="442"/>
      <c r="G28" s="442"/>
      <c r="H28" s="442"/>
      <c r="I28" s="442"/>
      <c r="J28" s="442"/>
      <c r="K28" s="442"/>
      <c r="L28" s="442"/>
    </row>
    <row r="29" spans="1:16">
      <c r="B29" s="442"/>
      <c r="C29" s="442"/>
      <c r="D29" s="442"/>
      <c r="E29" s="442"/>
      <c r="F29" s="442"/>
      <c r="G29" s="442"/>
      <c r="H29" s="442"/>
      <c r="I29" s="442"/>
      <c r="J29" s="442"/>
      <c r="K29" s="442"/>
      <c r="L29" s="442"/>
    </row>
    <row r="30" spans="1:16">
      <c r="C30" s="442"/>
      <c r="D30" s="442"/>
      <c r="E30" s="442"/>
      <c r="F30" s="442"/>
      <c r="G30" s="442"/>
      <c r="H30" s="442"/>
    </row>
    <row r="31" spans="1:16">
      <c r="C31" s="442"/>
      <c r="D31" s="442"/>
      <c r="E31" s="442"/>
      <c r="F31" s="442"/>
      <c r="G31" s="442"/>
      <c r="H31" s="442"/>
    </row>
    <row r="32" spans="1:16" ht="13.5" thickBot="1">
      <c r="C32" s="442"/>
      <c r="D32" s="442"/>
      <c r="E32" s="442"/>
      <c r="F32" s="723" t="str">
        <f>+D9</f>
        <v>12.514.251-6</v>
      </c>
      <c r="G32" s="442"/>
      <c r="H32" s="723" t="str">
        <f>+D10</f>
        <v>12.810.893-9</v>
      </c>
    </row>
    <row r="33" spans="3:16">
      <c r="C33" s="430" t="s">
        <v>623</v>
      </c>
      <c r="D33" s="442"/>
      <c r="E33" s="690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692"/>
    </row>
    <row r="34" spans="3:16" ht="15">
      <c r="C34" s="430" t="s">
        <v>624</v>
      </c>
      <c r="D34" s="442"/>
      <c r="E34" s="743"/>
      <c r="F34" s="759" t="str">
        <f>+C9</f>
        <v>GABRIEL</v>
      </c>
      <c r="G34" s="442"/>
      <c r="H34" s="744" t="str">
        <f>+C10</f>
        <v>EDITH</v>
      </c>
      <c r="I34" s="442"/>
      <c r="J34" s="442"/>
      <c r="K34" s="442"/>
      <c r="L34" s="442"/>
      <c r="M34" s="442"/>
      <c r="N34" s="442"/>
      <c r="O34" s="442"/>
      <c r="P34" s="695"/>
    </row>
    <row r="35" spans="3:16">
      <c r="C35" s="430" t="s">
        <v>625</v>
      </c>
      <c r="D35" s="442">
        <f>SUM(F35:J35)</f>
        <v>-45172244</v>
      </c>
      <c r="E35" s="743" t="s">
        <v>350</v>
      </c>
      <c r="F35" s="745">
        <f>+E9</f>
        <v>-17617175</v>
      </c>
      <c r="G35" s="746"/>
      <c r="H35" s="745">
        <f>+E10</f>
        <v>-27555069</v>
      </c>
      <c r="I35" s="746"/>
      <c r="J35" s="442"/>
      <c r="K35" s="442"/>
      <c r="L35" s="442"/>
      <c r="M35" s="442"/>
      <c r="N35" s="442"/>
      <c r="O35" s="442"/>
      <c r="P35" s="695"/>
    </row>
    <row r="36" spans="3:16">
      <c r="C36" s="430" t="s">
        <v>626</v>
      </c>
      <c r="D36" s="442">
        <f>SUM(F36:O36)</f>
        <v>0</v>
      </c>
      <c r="E36" s="743" t="s">
        <v>627</v>
      </c>
      <c r="F36" s="442"/>
      <c r="G36" s="746"/>
      <c r="H36" s="442"/>
      <c r="I36" s="746"/>
      <c r="J36" s="442"/>
      <c r="K36" s="442"/>
      <c r="L36" s="442"/>
      <c r="M36" s="442"/>
      <c r="N36" s="442"/>
      <c r="O36" s="442"/>
      <c r="P36" s="695"/>
    </row>
    <row r="37" spans="3:16" ht="13.5" thickBot="1">
      <c r="C37" s="430" t="s">
        <v>626</v>
      </c>
      <c r="D37" s="442"/>
      <c r="E37" s="743" t="s">
        <v>628</v>
      </c>
      <c r="F37" s="747">
        <f>+F55*0.7</f>
        <v>0</v>
      </c>
      <c r="G37" s="746"/>
      <c r="H37" s="747"/>
      <c r="I37" s="746"/>
      <c r="J37" s="442"/>
      <c r="K37" s="442"/>
      <c r="L37" s="442"/>
      <c r="M37" s="442"/>
      <c r="N37" s="442"/>
      <c r="O37" s="442"/>
      <c r="P37" s="695"/>
    </row>
    <row r="38" spans="3:16" ht="13.5" thickBot="1">
      <c r="C38" s="430" t="s">
        <v>629</v>
      </c>
      <c r="D38" s="442"/>
      <c r="E38" s="743" t="s">
        <v>630</v>
      </c>
      <c r="F38" s="748">
        <v>20110155</v>
      </c>
      <c r="G38" s="746"/>
      <c r="H38" s="748">
        <v>0</v>
      </c>
      <c r="I38" s="746"/>
      <c r="J38" s="442"/>
      <c r="K38" s="442"/>
      <c r="L38" s="442"/>
      <c r="M38" s="442"/>
      <c r="N38" s="442"/>
      <c r="O38" s="442"/>
      <c r="P38" s="695"/>
    </row>
    <row r="39" spans="3:16">
      <c r="E39" s="743" t="s">
        <v>631</v>
      </c>
      <c r="F39" s="614">
        <v>-3668536</v>
      </c>
      <c r="G39" s="746"/>
      <c r="H39" s="614">
        <v>0</v>
      </c>
      <c r="I39" s="746"/>
      <c r="J39" s="442"/>
      <c r="K39" s="442"/>
      <c r="L39" s="442"/>
      <c r="M39" s="442"/>
      <c r="N39" s="442"/>
      <c r="O39" s="442"/>
      <c r="P39" s="695"/>
    </row>
    <row r="40" spans="3:16">
      <c r="E40" s="749" t="s">
        <v>325</v>
      </c>
      <c r="F40" s="750">
        <f>SUM(F35:F39)</f>
        <v>-1175556</v>
      </c>
      <c r="G40" s="751">
        <v>0.23</v>
      </c>
      <c r="H40" s="750">
        <f>SUM(H35:H39)</f>
        <v>-27555069</v>
      </c>
      <c r="I40" s="751">
        <v>0.30399999999999999</v>
      </c>
      <c r="J40" s="442"/>
      <c r="M40" s="442"/>
      <c r="N40" s="752"/>
      <c r="O40" s="442"/>
      <c r="P40" s="695"/>
    </row>
    <row r="41" spans="3:16">
      <c r="E41" s="743" t="s">
        <v>632</v>
      </c>
      <c r="F41" s="442">
        <f>+F40*G40</f>
        <v>-270377.88</v>
      </c>
      <c r="G41" s="753"/>
      <c r="H41" s="442">
        <f>+H40*I40</f>
        <v>-8376740.9759999998</v>
      </c>
      <c r="I41" s="753"/>
      <c r="J41" s="442"/>
      <c r="K41" s="442"/>
      <c r="L41" s="442"/>
      <c r="M41" s="442"/>
      <c r="N41" s="442"/>
      <c r="O41" s="442"/>
      <c r="P41" s="695"/>
    </row>
    <row r="42" spans="3:16">
      <c r="E42" s="743" t="s">
        <v>633</v>
      </c>
      <c r="F42" s="442">
        <v>-6463829</v>
      </c>
      <c r="G42" s="442"/>
      <c r="H42" s="442">
        <v>-10328201</v>
      </c>
      <c r="I42" s="442"/>
      <c r="J42" s="442"/>
      <c r="K42" s="442"/>
      <c r="L42" s="442"/>
      <c r="M42" s="442"/>
      <c r="N42" s="442"/>
      <c r="O42" s="442"/>
      <c r="P42" s="695"/>
    </row>
    <row r="43" spans="3:16">
      <c r="D43" s="442"/>
      <c r="E43" s="743"/>
      <c r="F43" s="442"/>
      <c r="G43" s="442"/>
      <c r="H43" s="442"/>
      <c r="I43" s="442"/>
      <c r="J43" s="442"/>
      <c r="K43" s="442"/>
      <c r="L43" s="442"/>
      <c r="M43" s="442"/>
      <c r="N43" s="442"/>
      <c r="O43" s="442"/>
      <c r="P43" s="695"/>
    </row>
    <row r="44" spans="3:16">
      <c r="E44" s="754" t="s">
        <v>634</v>
      </c>
      <c r="F44" s="755">
        <f>+F41+F42</f>
        <v>-6734206.8799999999</v>
      </c>
      <c r="G44" s="756"/>
      <c r="H44" s="755">
        <f>+H41+H42</f>
        <v>-18704941.976</v>
      </c>
      <c r="I44" s="756"/>
      <c r="J44" s="442"/>
      <c r="K44" s="442"/>
      <c r="L44" s="442"/>
      <c r="M44" s="442"/>
      <c r="N44" s="442"/>
      <c r="O44" s="442"/>
      <c r="P44" s="695"/>
    </row>
    <row r="45" spans="3:16">
      <c r="E45" s="743"/>
      <c r="F45" s="442">
        <f>+L30</f>
        <v>0</v>
      </c>
      <c r="G45" s="442"/>
      <c r="H45" s="442">
        <f>+N30</f>
        <v>0</v>
      </c>
      <c r="I45" s="442"/>
      <c r="J45" s="442"/>
      <c r="K45" s="442"/>
      <c r="L45" s="442"/>
      <c r="M45" s="442"/>
      <c r="N45" s="442"/>
      <c r="O45" s="442"/>
      <c r="P45" s="695"/>
    </row>
    <row r="46" spans="3:16">
      <c r="D46" s="442">
        <f>SUM(F46:O46)</f>
        <v>-11293061</v>
      </c>
      <c r="E46" s="754" t="s">
        <v>635</v>
      </c>
      <c r="F46" s="757">
        <f>+F35*0.25</f>
        <v>-4404293.75</v>
      </c>
      <c r="G46" s="442"/>
      <c r="H46" s="757">
        <f>+H35*0.25</f>
        <v>-6888767.25</v>
      </c>
      <c r="I46" s="442"/>
      <c r="J46" s="442"/>
      <c r="K46" s="442"/>
      <c r="L46" s="442"/>
      <c r="M46" s="442"/>
      <c r="N46" s="442"/>
      <c r="O46" s="442"/>
      <c r="P46" s="695"/>
    </row>
    <row r="47" spans="3:16">
      <c r="E47" s="743" t="s">
        <v>636</v>
      </c>
      <c r="F47" s="442">
        <f>+F55*0.1</f>
        <v>0</v>
      </c>
      <c r="G47" s="442"/>
      <c r="H47" s="747"/>
      <c r="I47" s="442"/>
      <c r="J47" s="442"/>
      <c r="K47" s="442"/>
      <c r="L47" s="442"/>
      <c r="M47" s="442"/>
      <c r="N47" s="442"/>
      <c r="O47" s="442"/>
      <c r="P47" s="695"/>
    </row>
    <row r="48" spans="3:16">
      <c r="E48" s="743" t="s">
        <v>637</v>
      </c>
      <c r="F48" s="764">
        <v>299918</v>
      </c>
      <c r="G48" s="442"/>
      <c r="H48" s="747">
        <v>0</v>
      </c>
      <c r="I48" s="442"/>
      <c r="J48" s="442"/>
      <c r="K48" s="442"/>
      <c r="L48" s="442"/>
      <c r="M48" s="442"/>
      <c r="N48" s="442"/>
      <c r="O48" s="442"/>
      <c r="P48" s="695"/>
    </row>
    <row r="49" spans="4:16" ht="16.5" thickBot="1">
      <c r="D49" s="442">
        <f>SUM(F49:O49)</f>
        <v>-14446005.855999999</v>
      </c>
      <c r="E49" s="743" t="s">
        <v>638</v>
      </c>
      <c r="F49" s="758">
        <f>+F44-F46-F47-F48</f>
        <v>-2629831.13</v>
      </c>
      <c r="G49" s="442"/>
      <c r="H49" s="758">
        <f>+H44-H46-H47-H48</f>
        <v>-11816174.726</v>
      </c>
      <c r="I49" s="442"/>
      <c r="J49" s="442"/>
      <c r="K49" s="442"/>
      <c r="L49" s="442"/>
      <c r="M49" s="442"/>
      <c r="N49" s="442"/>
      <c r="O49" s="442"/>
      <c r="P49" s="695"/>
    </row>
    <row r="50" spans="4:16" ht="13.5" thickTop="1">
      <c r="D50" s="442"/>
      <c r="E50" s="743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695"/>
    </row>
    <row r="51" spans="4:16">
      <c r="E51" s="743"/>
      <c r="F51" s="442"/>
      <c r="G51" s="442"/>
      <c r="H51" s="442"/>
      <c r="I51" s="442"/>
      <c r="J51" s="442"/>
      <c r="K51" s="442"/>
      <c r="L51" s="442"/>
      <c r="M51" s="442"/>
      <c r="N51" s="442"/>
      <c r="O51" s="442"/>
      <c r="P51" s="695"/>
    </row>
    <row r="52" spans="4:16" ht="13.5" thickBot="1">
      <c r="E52" s="698"/>
      <c r="F52" s="699"/>
      <c r="G52" s="699"/>
      <c r="H52" s="699"/>
      <c r="I52" s="699"/>
      <c r="J52" s="699"/>
      <c r="K52" s="699"/>
      <c r="L52" s="699"/>
      <c r="M52" s="699"/>
      <c r="N52" s="699"/>
      <c r="O52" s="699"/>
      <c r="P52" s="700"/>
    </row>
    <row r="54" spans="4:16">
      <c r="D54" s="442">
        <f>+D49+D50</f>
        <v>-14446005.855999999</v>
      </c>
    </row>
    <row r="55" spans="4:16">
      <c r="E55" s="763" t="s">
        <v>628</v>
      </c>
      <c r="F55" s="762">
        <v>0</v>
      </c>
      <c r="G55" s="757"/>
      <c r="H55" s="757">
        <v>664620</v>
      </c>
      <c r="I55" s="757"/>
      <c r="J55" s="757">
        <v>3864870</v>
      </c>
    </row>
    <row r="56" spans="4:16">
      <c r="F56" s="757"/>
      <c r="G56" s="757"/>
      <c r="H56" s="757"/>
      <c r="I56" s="757"/>
      <c r="J56" s="757"/>
    </row>
    <row r="57" spans="4:16">
      <c r="F57" s="442">
        <f>+F44-F46-F47-F48</f>
        <v>-2629831.13</v>
      </c>
    </row>
  </sheetData>
  <mergeCells count="8">
    <mergeCell ref="E6:F6"/>
    <mergeCell ref="G6:H6"/>
    <mergeCell ref="I6:J6"/>
    <mergeCell ref="K6:L6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1:AN55"/>
  <sheetViews>
    <sheetView showGridLines="0" zoomScale="80" zoomScaleNormal="80" zoomScaleSheetLayoutView="90" workbookViewId="0">
      <selection activeCell="G54" sqref="G54"/>
    </sheetView>
  </sheetViews>
  <sheetFormatPr baseColWidth="10" defaultColWidth="11" defaultRowHeight="12.75"/>
  <cols>
    <col min="1" max="1" width="1.42578125" style="442" customWidth="1"/>
    <col min="2" max="2" width="3.42578125" style="442" customWidth="1"/>
    <col min="3" max="3" width="11.85546875" style="442" customWidth="1"/>
    <col min="4" max="4" width="20" style="442" customWidth="1"/>
    <col min="5" max="5" width="14" style="442" customWidth="1"/>
    <col min="6" max="6" width="16.5703125" style="442" customWidth="1"/>
    <col min="7" max="11" width="14" style="442" customWidth="1"/>
    <col min="12" max="12" width="15.28515625" style="442" customWidth="1"/>
    <col min="13" max="14" width="15.42578125" style="442" customWidth="1"/>
    <col min="15" max="23" width="13" style="442" customWidth="1"/>
    <col min="24" max="25" width="17.140625" style="442" customWidth="1"/>
    <col min="26" max="31" width="13" style="442" customWidth="1"/>
    <col min="32" max="32" width="14.85546875" style="442" customWidth="1"/>
    <col min="33" max="33" width="14.7109375" style="442" customWidth="1"/>
    <col min="34" max="34" width="15.85546875" style="442" customWidth="1"/>
    <col min="35" max="35" width="11.28515625" style="442" bestFit="1" customWidth="1"/>
    <col min="36" max="36" width="14.85546875" style="442" customWidth="1"/>
    <col min="37" max="39" width="18" style="442" customWidth="1"/>
    <col min="40" max="40" width="21" style="442" customWidth="1"/>
    <col min="41" max="41" width="11" style="442"/>
    <col min="42" max="42" width="15.85546875" style="442" customWidth="1"/>
    <col min="43" max="46" width="11" style="442"/>
    <col min="47" max="47" width="15.28515625" style="442" customWidth="1"/>
    <col min="48" max="48" width="15.140625" style="442" customWidth="1"/>
    <col min="49" max="16384" width="11" style="442"/>
  </cols>
  <sheetData>
    <row r="1" spans="2:40" ht="6" customHeight="1" thickBot="1"/>
    <row r="2" spans="2:40" ht="20.25">
      <c r="B2" s="318" t="s">
        <v>574</v>
      </c>
      <c r="C2" s="689"/>
      <c r="G2" s="690"/>
      <c r="H2" s="691" t="s">
        <v>594</v>
      </c>
      <c r="I2" s="691"/>
      <c r="J2" s="691"/>
      <c r="K2" s="692"/>
    </row>
    <row r="3" spans="2:40">
      <c r="B3" s="415" t="s">
        <v>575</v>
      </c>
      <c r="C3" s="693" t="s">
        <v>595</v>
      </c>
      <c r="G3" s="694" t="s">
        <v>596</v>
      </c>
      <c r="H3" s="442">
        <v>66422908.554032326</v>
      </c>
      <c r="K3" s="695"/>
    </row>
    <row r="4" spans="2:40">
      <c r="B4" s="415" t="s">
        <v>576</v>
      </c>
      <c r="G4" s="694" t="s">
        <v>597</v>
      </c>
      <c r="H4" s="442">
        <v>20012801</v>
      </c>
      <c r="K4" s="695"/>
      <c r="M4" s="442">
        <v>18220701</v>
      </c>
    </row>
    <row r="5" spans="2:40">
      <c r="B5" s="415" t="s">
        <v>577</v>
      </c>
      <c r="G5" s="694" t="s">
        <v>598</v>
      </c>
      <c r="H5" s="696">
        <f>ROUND(+H4/H3,6)</f>
        <v>0.30129400000000001</v>
      </c>
      <c r="I5" s="697"/>
      <c r="J5" s="697"/>
      <c r="K5" s="695"/>
      <c r="AF5" s="442" t="e">
        <f>+#REF!+#REF!+#REF!</f>
        <v>#REF!</v>
      </c>
    </row>
    <row r="6" spans="2:40" ht="13.5" thickBot="1">
      <c r="G6" s="698"/>
      <c r="H6" s="699"/>
      <c r="I6" s="699"/>
      <c r="J6" s="699"/>
      <c r="K6" s="700"/>
      <c r="AF6" s="442" t="e">
        <f>+#REF!+#REF!+#REF!</f>
        <v>#REF!</v>
      </c>
    </row>
    <row r="7" spans="2:40" ht="18">
      <c r="D7" s="701" t="s">
        <v>599</v>
      </c>
    </row>
    <row r="8" spans="2:40" ht="18">
      <c r="D8" s="701" t="s">
        <v>600</v>
      </c>
      <c r="E8" s="701"/>
      <c r="F8" s="702"/>
      <c r="G8" s="702"/>
      <c r="H8" s="703" t="s">
        <v>601</v>
      </c>
      <c r="I8" s="702"/>
      <c r="J8" s="702"/>
      <c r="K8" s="702"/>
      <c r="AM8" s="701" t="s">
        <v>602</v>
      </c>
      <c r="AN8" s="701"/>
    </row>
    <row r="9" spans="2:40">
      <c r="H9" s="442">
        <v>0.34</v>
      </c>
    </row>
    <row r="10" spans="2:40">
      <c r="H10" s="442">
        <f>+I19-H9</f>
        <v>-0.34</v>
      </c>
    </row>
    <row r="11" spans="2:40" ht="13.5" thickBot="1">
      <c r="I11" s="704"/>
      <c r="J11" s="704"/>
      <c r="K11" s="704"/>
      <c r="L11" s="704"/>
      <c r="M11" s="704"/>
      <c r="N11" s="704"/>
    </row>
    <row r="12" spans="2:40" ht="13.5" thickTop="1"/>
    <row r="13" spans="2:40">
      <c r="E13" s="474" t="s">
        <v>603</v>
      </c>
      <c r="F13" s="474"/>
      <c r="G13" s="474"/>
      <c r="H13" s="474"/>
      <c r="I13" s="474"/>
      <c r="J13" s="474"/>
      <c r="K13" s="474"/>
      <c r="L13" s="474"/>
      <c r="M13" s="474"/>
      <c r="N13" s="474"/>
    </row>
    <row r="14" spans="2:40">
      <c r="N14" s="474"/>
    </row>
    <row r="15" spans="2:40" ht="14.25">
      <c r="C15" s="453"/>
      <c r="D15" s="467"/>
      <c r="E15" s="451"/>
      <c r="F15" s="705" t="s">
        <v>604</v>
      </c>
      <c r="G15" s="453"/>
      <c r="H15" s="706" t="s">
        <v>605</v>
      </c>
      <c r="I15" s="707" t="s">
        <v>210</v>
      </c>
      <c r="J15" s="707" t="s">
        <v>606</v>
      </c>
      <c r="K15" s="707" t="s">
        <v>607</v>
      </c>
      <c r="L15" s="1441" t="s">
        <v>598</v>
      </c>
      <c r="M15" s="1442"/>
      <c r="N15" s="474"/>
    </row>
    <row r="16" spans="2:40">
      <c r="C16" s="464"/>
      <c r="D16" s="463" t="s">
        <v>0</v>
      </c>
      <c r="E16" s="708" t="s">
        <v>103</v>
      </c>
      <c r="F16" s="709" t="s">
        <v>608</v>
      </c>
      <c r="G16" s="710"/>
      <c r="H16" s="709"/>
      <c r="I16" s="711" t="s">
        <v>609</v>
      </c>
      <c r="J16" s="711"/>
      <c r="K16" s="711"/>
      <c r="L16" s="609"/>
      <c r="M16" s="475"/>
      <c r="N16" s="474"/>
    </row>
    <row r="17" spans="1:14">
      <c r="C17" s="448"/>
      <c r="D17" s="450"/>
      <c r="E17" s="445"/>
      <c r="F17" s="448"/>
      <c r="G17" s="448"/>
      <c r="H17" s="448"/>
      <c r="I17" s="448"/>
      <c r="J17" s="448"/>
      <c r="K17" s="448"/>
      <c r="L17" s="448"/>
      <c r="M17" s="445"/>
      <c r="N17" s="474"/>
    </row>
    <row r="18" spans="1:14">
      <c r="C18" s="448"/>
      <c r="D18" s="450" t="s">
        <v>91</v>
      </c>
      <c r="E18" s="445"/>
      <c r="F18" s="448"/>
      <c r="G18" s="448"/>
      <c r="H18" s="448"/>
      <c r="I18" s="448"/>
      <c r="J18" s="448"/>
      <c r="K18" s="448"/>
      <c r="L18" s="448"/>
      <c r="M18" s="445"/>
      <c r="N18" s="474"/>
    </row>
    <row r="19" spans="1:14" ht="15">
      <c r="C19" s="448"/>
      <c r="D19" s="473" t="s">
        <v>610</v>
      </c>
      <c r="E19" s="445"/>
      <c r="F19" s="445"/>
      <c r="G19" s="445"/>
      <c r="H19" s="445"/>
      <c r="I19" s="448"/>
      <c r="J19" s="445">
        <f>ROUND(+J18*1.9%,0)</f>
        <v>0</v>
      </c>
      <c r="K19" s="445">
        <f>ROUND(+K18*1.9%,0)</f>
        <v>0</v>
      </c>
      <c r="L19" s="696"/>
      <c r="M19" s="445">
        <f>ROUND(+M18*1.9%,0)</f>
        <v>0</v>
      </c>
      <c r="N19" s="474"/>
    </row>
    <row r="20" spans="1:14">
      <c r="A20" s="442" t="str">
        <f>+MAYOR!J6</f>
        <v>IVA POR PAGAR</v>
      </c>
      <c r="B20" s="442">
        <f>+MAYOR!J228</f>
        <v>0</v>
      </c>
      <c r="C20" s="442">
        <f>+MAYOR!K228</f>
        <v>0</v>
      </c>
      <c r="D20" s="459" t="s">
        <v>92</v>
      </c>
      <c r="E20" s="458">
        <f>+E18+E19</f>
        <v>0</v>
      </c>
      <c r="F20" s="457"/>
      <c r="G20" s="457"/>
      <c r="H20" s="457"/>
      <c r="I20" s="457"/>
      <c r="J20" s="472">
        <f>+J18+J19</f>
        <v>0</v>
      </c>
      <c r="K20" s="472">
        <f>+K18+K19</f>
        <v>0</v>
      </c>
      <c r="L20" s="457"/>
      <c r="M20" s="458">
        <f>+M18+M19</f>
        <v>0</v>
      </c>
      <c r="N20" s="474"/>
    </row>
    <row r="21" spans="1:14">
      <c r="C21" s="448"/>
      <c r="D21" s="450" t="s">
        <v>125</v>
      </c>
      <c r="E21" s="445"/>
      <c r="F21" s="448"/>
      <c r="G21" s="448"/>
      <c r="H21" s="448"/>
      <c r="I21" s="448"/>
      <c r="J21" s="448"/>
      <c r="K21" s="448"/>
      <c r="L21" s="448"/>
      <c r="M21" s="445"/>
      <c r="N21" s="474"/>
    </row>
    <row r="22" spans="1:14">
      <c r="C22" s="448"/>
      <c r="D22" s="450"/>
      <c r="E22" s="445"/>
      <c r="F22" s="448"/>
      <c r="G22" s="448"/>
      <c r="H22" s="448"/>
      <c r="I22" s="448"/>
      <c r="J22" s="448"/>
      <c r="K22" s="448"/>
      <c r="L22" s="448"/>
      <c r="M22" s="445"/>
      <c r="N22" s="474"/>
    </row>
    <row r="23" spans="1:14">
      <c r="C23" s="448"/>
      <c r="D23" s="450"/>
      <c r="E23" s="445"/>
      <c r="F23" s="448"/>
      <c r="G23" s="448"/>
      <c r="H23" s="448"/>
      <c r="I23" s="448"/>
      <c r="J23" s="448"/>
      <c r="K23" s="448"/>
      <c r="L23" s="448"/>
      <c r="M23" s="445"/>
      <c r="N23" s="474"/>
    </row>
    <row r="24" spans="1:14">
      <c r="C24" s="448"/>
      <c r="D24" s="450" t="s">
        <v>611</v>
      </c>
      <c r="E24" s="445"/>
      <c r="F24" s="448"/>
      <c r="G24" s="448"/>
      <c r="H24" s="448">
        <f>+E24</f>
        <v>0</v>
      </c>
      <c r="I24" s="448"/>
      <c r="J24" s="448"/>
      <c r="K24" s="448"/>
      <c r="L24" s="448"/>
      <c r="M24" s="445"/>
      <c r="N24" s="474"/>
    </row>
    <row r="25" spans="1:14">
      <c r="C25" s="448"/>
      <c r="D25" s="712">
        <v>1.2999999999999999E-2</v>
      </c>
      <c r="E25" s="445"/>
      <c r="F25" s="448"/>
      <c r="G25" s="448"/>
      <c r="H25" s="448"/>
      <c r="I25" s="448"/>
      <c r="J25" s="448"/>
      <c r="K25" s="448"/>
      <c r="L25" s="448"/>
      <c r="M25" s="445"/>
      <c r="N25" s="474"/>
    </row>
    <row r="26" spans="1:14">
      <c r="C26" s="448"/>
      <c r="D26" s="450"/>
      <c r="E26" s="445"/>
      <c r="F26" s="448"/>
      <c r="G26" s="448"/>
      <c r="H26" s="448"/>
      <c r="I26" s="448"/>
      <c r="J26" s="448"/>
      <c r="K26" s="448"/>
      <c r="L26" s="448"/>
      <c r="M26" s="445"/>
      <c r="N26" s="474"/>
    </row>
    <row r="27" spans="1:14">
      <c r="C27" s="448"/>
      <c r="D27" s="450"/>
      <c r="E27" s="445"/>
      <c r="F27" s="448"/>
      <c r="G27" s="448"/>
      <c r="H27" s="448"/>
      <c r="I27" s="448"/>
      <c r="J27" s="448"/>
      <c r="K27" s="448"/>
      <c r="L27" s="448"/>
      <c r="M27" s="445"/>
      <c r="N27" s="474"/>
    </row>
    <row r="28" spans="1:14">
      <c r="C28" s="448"/>
      <c r="D28" s="450"/>
      <c r="E28" s="445"/>
      <c r="F28" s="448"/>
      <c r="G28" s="448"/>
      <c r="H28" s="448"/>
      <c r="I28" s="448"/>
      <c r="J28" s="448"/>
      <c r="K28" s="448"/>
      <c r="L28" s="448"/>
      <c r="M28" s="445"/>
      <c r="N28" s="474"/>
    </row>
    <row r="29" spans="1:14">
      <c r="C29" s="448"/>
      <c r="D29" s="450"/>
      <c r="E29" s="445"/>
      <c r="F29" s="448"/>
      <c r="G29" s="448"/>
      <c r="H29" s="448"/>
      <c r="I29" s="713" t="s">
        <v>612</v>
      </c>
      <c r="J29" s="448"/>
      <c r="K29" s="448"/>
      <c r="L29" s="448"/>
      <c r="M29" s="445"/>
      <c r="N29" s="474"/>
    </row>
    <row r="30" spans="1:14" ht="15">
      <c r="C30" s="688">
        <v>101</v>
      </c>
      <c r="D30" s="714" t="s">
        <v>613</v>
      </c>
      <c r="E30" s="715">
        <v>64317436</v>
      </c>
      <c r="F30" s="715">
        <f>+E30</f>
        <v>64317436</v>
      </c>
      <c r="G30" s="716"/>
      <c r="H30" s="716"/>
      <c r="I30" s="715">
        <f>+F30*0.25</f>
        <v>16079359</v>
      </c>
      <c r="J30" s="454"/>
      <c r="K30" s="454"/>
      <c r="L30" s="454"/>
      <c r="M30" s="454">
        <f>SUM(M20:M21)</f>
        <v>0</v>
      </c>
      <c r="N30" s="474"/>
    </row>
    <row r="31" spans="1:14">
      <c r="C31" s="453"/>
      <c r="D31" s="452"/>
      <c r="E31" s="451"/>
      <c r="F31" s="451"/>
      <c r="G31" s="451"/>
      <c r="H31" s="451"/>
      <c r="I31" s="451"/>
      <c r="J31" s="451"/>
      <c r="K31" s="451"/>
      <c r="L31" s="451"/>
      <c r="M31" s="451"/>
      <c r="N31" s="474"/>
    </row>
    <row r="32" spans="1:14">
      <c r="C32" s="717">
        <v>106</v>
      </c>
      <c r="D32" s="447" t="s">
        <v>350</v>
      </c>
      <c r="E32" s="446">
        <f>-E30</f>
        <v>-64317436</v>
      </c>
      <c r="F32" s="446">
        <f>-F30</f>
        <v>-64317436</v>
      </c>
      <c r="G32" s="446"/>
      <c r="H32" s="718"/>
      <c r="I32" s="446"/>
      <c r="J32" s="446"/>
      <c r="K32" s="446"/>
      <c r="L32" s="446"/>
      <c r="M32" s="446"/>
      <c r="N32" s="474"/>
    </row>
    <row r="33" spans="3:14" ht="13.5" thickBot="1">
      <c r="C33" s="444"/>
      <c r="D33" s="719" t="s">
        <v>614</v>
      </c>
      <c r="E33" s="720">
        <f>SUM(E30:E32)</f>
        <v>0</v>
      </c>
      <c r="F33" s="720">
        <f>SUM(F30:F32)</f>
        <v>0</v>
      </c>
      <c r="G33" s="443"/>
      <c r="H33" s="443"/>
      <c r="I33" s="443"/>
      <c r="J33" s="443"/>
      <c r="K33" s="443"/>
      <c r="L33" s="471"/>
      <c r="M33" s="721">
        <f>SUM(M32:M32)</f>
        <v>0</v>
      </c>
      <c r="N33" s="474"/>
    </row>
    <row r="34" spans="3:14" ht="13.5" thickTop="1">
      <c r="N34" s="474"/>
    </row>
    <row r="37" spans="3:14">
      <c r="F37" s="442" t="s">
        <v>615</v>
      </c>
    </row>
    <row r="38" spans="3:14">
      <c r="H38" s="442">
        <v>45475610</v>
      </c>
    </row>
    <row r="39" spans="3:14">
      <c r="H39" s="442">
        <v>-2452965</v>
      </c>
    </row>
    <row r="40" spans="3:14">
      <c r="E40" s="442">
        <f>+RLI!I23</f>
        <v>-53855329.399999999</v>
      </c>
    </row>
    <row r="42" spans="3:14">
      <c r="E42" s="442">
        <v>64317436.089499995</v>
      </c>
    </row>
    <row r="48" spans="3:14">
      <c r="H48" s="442">
        <v>4198787</v>
      </c>
    </row>
    <row r="55" spans="6:6">
      <c r="F55" s="442">
        <v>3087470</v>
      </c>
    </row>
  </sheetData>
  <mergeCells count="1">
    <mergeCell ref="L15:M15"/>
  </mergeCells>
  <pageMargins left="0.75" right="0.75" top="1" bottom="1" header="0" footer="0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fitToPage="1"/>
  </sheetPr>
  <dimension ref="A1:N218"/>
  <sheetViews>
    <sheetView showGridLines="0" view="pageBreakPreview" zoomScale="80" zoomScaleNormal="85" zoomScaleSheetLayoutView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4" sqref="B24"/>
    </sheetView>
  </sheetViews>
  <sheetFormatPr baseColWidth="10" defaultColWidth="11.42578125" defaultRowHeight="15.75" customHeight="1"/>
  <cols>
    <col min="1" max="1" width="40" style="99" bestFit="1" customWidth="1"/>
    <col min="2" max="2" width="17" style="99" customWidth="1"/>
    <col min="3" max="3" width="17.7109375" style="99" customWidth="1"/>
    <col min="4" max="9" width="18.140625" style="99" customWidth="1"/>
    <col min="10" max="11" width="13.5703125" style="476" bestFit="1" customWidth="1"/>
    <col min="12" max="12" width="21.42578125" style="476" customWidth="1"/>
    <col min="13" max="13" width="16.7109375" style="99" customWidth="1"/>
    <col min="14" max="14" width="11.42578125" style="99"/>
    <col min="15" max="16" width="14.42578125" style="99" bestFit="1" customWidth="1"/>
    <col min="17" max="16384" width="11.42578125" style="99"/>
  </cols>
  <sheetData>
    <row r="1" spans="1:14" ht="24" customHeight="1">
      <c r="A1" s="648" t="str">
        <f>+MAYOR!B1</f>
        <v>SOCIEDAD COMERCIAL SOLMET SpA</v>
      </c>
      <c r="B1" s="649"/>
      <c r="C1" s="649"/>
      <c r="D1" s="650"/>
      <c r="E1" s="651"/>
      <c r="F1" s="651"/>
      <c r="G1" s="651"/>
      <c r="H1" s="651"/>
      <c r="I1" s="651"/>
    </row>
    <row r="2" spans="1:14" ht="15.75" customHeight="1">
      <c r="A2" s="652" t="str">
        <f>+MAYOR!B2</f>
        <v>BOMBEROS SALAS #1445 OFC 601B</v>
      </c>
      <c r="B2" s="649"/>
      <c r="C2" s="649"/>
      <c r="D2" s="653"/>
      <c r="E2" s="651"/>
      <c r="F2" s="651"/>
      <c r="G2" s="651"/>
      <c r="H2" s="651"/>
      <c r="I2" s="651"/>
    </row>
    <row r="3" spans="1:14" ht="15.75" customHeight="1">
      <c r="A3" s="652" t="str">
        <f>+MAYOR!B3</f>
        <v>RUT: 76.541.377-K</v>
      </c>
      <c r="B3" s="649"/>
      <c r="C3" s="649"/>
      <c r="D3" s="653"/>
      <c r="E3" s="828" t="s">
        <v>705</v>
      </c>
      <c r="F3" s="651"/>
      <c r="G3" s="651"/>
      <c r="H3" s="651"/>
      <c r="I3" s="651"/>
    </row>
    <row r="4" spans="1:14" ht="15.75" customHeight="1">
      <c r="A4" s="652">
        <f>+MAYOR!B4</f>
        <v>0</v>
      </c>
      <c r="B4" s="654"/>
      <c r="C4" s="649"/>
      <c r="D4" s="653"/>
      <c r="E4" s="827" t="s">
        <v>731</v>
      </c>
      <c r="F4" s="651"/>
      <c r="G4" s="651"/>
      <c r="H4" s="651"/>
      <c r="I4" s="651"/>
    </row>
    <row r="5" spans="1:14" ht="15.75" customHeight="1">
      <c r="A5" s="654"/>
      <c r="B5" s="651"/>
      <c r="C5" s="651"/>
      <c r="D5" s="651"/>
      <c r="E5" s="651"/>
      <c r="F5" s="651"/>
      <c r="G5" s="651"/>
      <c r="H5" s="651"/>
      <c r="I5" s="651"/>
    </row>
    <row r="6" spans="1:14" s="115" customFormat="1" ht="20.25" customHeight="1">
      <c r="A6" s="655" t="s">
        <v>10</v>
      </c>
      <c r="B6" s="656"/>
      <c r="C6" s="656"/>
      <c r="D6" s="656"/>
      <c r="E6" s="656"/>
      <c r="F6" s="656"/>
      <c r="G6" s="656"/>
      <c r="H6" s="656"/>
      <c r="I6" s="656"/>
      <c r="J6" s="476"/>
      <c r="K6" s="476"/>
      <c r="L6" s="476"/>
    </row>
    <row r="7" spans="1:14" s="118" customFormat="1" ht="15.75" customHeight="1">
      <c r="A7" s="657" t="s">
        <v>727</v>
      </c>
      <c r="B7" s="658"/>
      <c r="C7" s="658"/>
      <c r="D7" s="658"/>
      <c r="E7" s="658"/>
      <c r="F7" s="658"/>
      <c r="G7" s="658"/>
      <c r="H7" s="658"/>
      <c r="I7" s="658"/>
      <c r="J7" s="476"/>
      <c r="K7" s="476"/>
      <c r="L7" s="476"/>
    </row>
    <row r="8" spans="1:14" ht="5.25" customHeight="1">
      <c r="A8" s="659"/>
      <c r="B8" s="651"/>
      <c r="C8" s="651"/>
      <c r="D8" s="651"/>
      <c r="E8" s="651"/>
      <c r="F8" s="651"/>
      <c r="G8" s="651"/>
      <c r="H8" s="651"/>
      <c r="I8" s="651"/>
    </row>
    <row r="9" spans="1:14" ht="6.75" customHeight="1">
      <c r="A9" s="651"/>
      <c r="B9" s="651"/>
      <c r="C9" s="651"/>
      <c r="D9" s="651"/>
      <c r="E9" s="651"/>
      <c r="F9" s="651"/>
      <c r="G9" s="651"/>
      <c r="H9" s="651"/>
      <c r="I9" s="651"/>
    </row>
    <row r="10" spans="1:14" ht="15.75" customHeight="1" thickBot="1">
      <c r="A10" s="666" t="s">
        <v>11</v>
      </c>
      <c r="B10" s="667" t="s">
        <v>12</v>
      </c>
      <c r="C10" s="667" t="s">
        <v>13</v>
      </c>
      <c r="D10" s="668" t="s">
        <v>7</v>
      </c>
      <c r="E10" s="669"/>
      <c r="F10" s="670" t="s">
        <v>14</v>
      </c>
      <c r="G10" s="671"/>
      <c r="H10" s="668" t="s">
        <v>15</v>
      </c>
      <c r="I10" s="672"/>
    </row>
    <row r="11" spans="1:14" ht="15.75" customHeight="1">
      <c r="A11" s="673"/>
      <c r="B11" s="674" t="s">
        <v>16</v>
      </c>
      <c r="C11" s="674" t="s">
        <v>17</v>
      </c>
      <c r="D11" s="675" t="s">
        <v>18</v>
      </c>
      <c r="E11" s="676" t="s">
        <v>19</v>
      </c>
      <c r="F11" s="675" t="s">
        <v>20</v>
      </c>
      <c r="G11" s="676" t="s">
        <v>21</v>
      </c>
      <c r="H11" s="676" t="s">
        <v>22</v>
      </c>
      <c r="I11" s="677" t="s">
        <v>23</v>
      </c>
    </row>
    <row r="12" spans="1:14" s="120" customFormat="1" ht="15.75" customHeight="1" thickBot="1">
      <c r="A12" s="660" t="str">
        <f>+MAYOR!F6</f>
        <v>DISPONIBLE</v>
      </c>
      <c r="B12" s="661">
        <f>+MAYOR!F228+1</f>
        <v>1</v>
      </c>
      <c r="C12" s="661">
        <f>+MAYOR!G228+6758820+13469846</f>
        <v>20228666</v>
      </c>
      <c r="D12" s="661">
        <f>IF(B12&gt;C12,B12-C12,0)</f>
        <v>0</v>
      </c>
      <c r="E12" s="661">
        <f>IF(B12&lt;C12,C12-B12,0)</f>
        <v>20228665</v>
      </c>
      <c r="F12" s="662">
        <f t="shared" ref="F12:G16" si="0">IF(D12&lt;0,0,D12)</f>
        <v>0</v>
      </c>
      <c r="G12" s="662">
        <f t="shared" si="0"/>
        <v>20228665</v>
      </c>
      <c r="H12" s="661">
        <f t="shared" ref="H12:I16" si="1">IF(F12&lt;=0,D12,0)</f>
        <v>0</v>
      </c>
      <c r="I12" s="661">
        <f t="shared" si="1"/>
        <v>0</v>
      </c>
      <c r="J12" s="476"/>
      <c r="K12" s="476"/>
      <c r="L12" s="476"/>
    </row>
    <row r="13" spans="1:14" s="857" customFormat="1" ht="15.75" customHeight="1" thickBot="1">
      <c r="A13" s="853" t="str">
        <f>+MAYOR!L6</f>
        <v>P.P.M.</v>
      </c>
      <c r="B13" s="854">
        <f>+MAYOR!L228</f>
        <v>0</v>
      </c>
      <c r="C13" s="854">
        <f>+MAYOR!M228</f>
        <v>0</v>
      </c>
      <c r="D13" s="854">
        <f>IF(B13&gt;C13,B13-C13,0)</f>
        <v>0</v>
      </c>
      <c r="E13" s="854">
        <f>IF(B13&lt;C13,C13-B13,0)</f>
        <v>0</v>
      </c>
      <c r="F13" s="905">
        <f t="shared" si="0"/>
        <v>0</v>
      </c>
      <c r="G13" s="855">
        <f t="shared" si="0"/>
        <v>0</v>
      </c>
      <c r="H13" s="854">
        <f t="shared" si="1"/>
        <v>0</v>
      </c>
      <c r="I13" s="854">
        <f t="shared" si="1"/>
        <v>0</v>
      </c>
      <c r="J13" s="856"/>
      <c r="K13" s="908">
        <v>3459463</v>
      </c>
      <c r="L13" s="856"/>
      <c r="M13" s="503"/>
      <c r="N13" s="503"/>
    </row>
    <row r="14" spans="1:14" s="857" customFormat="1" ht="15.75" customHeight="1">
      <c r="A14" s="660" t="str">
        <f>+MAYOR!R6</f>
        <v>CAMION FAENERO ANTOFAGASTA</v>
      </c>
      <c r="B14" s="661">
        <f>+MAYOR!R228</f>
        <v>0</v>
      </c>
      <c r="C14" s="661">
        <f>+MAYOR!S228</f>
        <v>0</v>
      </c>
      <c r="D14" s="661">
        <f>IF(B14&gt;C14,B14-C14,0)</f>
        <v>0</v>
      </c>
      <c r="E14" s="661">
        <f>IF(B14&lt;C14,C14-B14,0)</f>
        <v>0</v>
      </c>
      <c r="F14" s="662">
        <f t="shared" si="0"/>
        <v>0</v>
      </c>
      <c r="G14" s="662">
        <f t="shared" si="0"/>
        <v>0</v>
      </c>
      <c r="H14" s="661">
        <f t="shared" si="1"/>
        <v>0</v>
      </c>
      <c r="I14" s="661">
        <f t="shared" si="1"/>
        <v>0</v>
      </c>
      <c r="J14" s="856"/>
      <c r="K14" s="909"/>
      <c r="L14" s="856"/>
      <c r="M14" s="503"/>
      <c r="N14" s="503"/>
    </row>
    <row r="15" spans="1:14" s="120" customFormat="1" ht="15.75" customHeight="1">
      <c r="A15" s="660" t="str">
        <f>+MAYOR!Z6</f>
        <v>VEHICULOS</v>
      </c>
      <c r="B15" s="661">
        <f>+MAYOR!Z228</f>
        <v>0</v>
      </c>
      <c r="C15" s="661">
        <f>+MAYOR!AA228+50618456</f>
        <v>50618456</v>
      </c>
      <c r="D15" s="661">
        <f>IF(B15&gt;C15,B15-C15,0)</f>
        <v>0</v>
      </c>
      <c r="E15" s="661">
        <f>IF(B15&lt;C15,C15-B15,0)</f>
        <v>50618456</v>
      </c>
      <c r="F15" s="662">
        <f t="shared" si="0"/>
        <v>0</v>
      </c>
      <c r="G15" s="662">
        <f t="shared" si="0"/>
        <v>50618456</v>
      </c>
      <c r="H15" s="661">
        <f t="shared" si="1"/>
        <v>0</v>
      </c>
      <c r="I15" s="661">
        <f t="shared" si="1"/>
        <v>0</v>
      </c>
      <c r="J15" s="476"/>
      <c r="K15" s="476"/>
      <c r="L15" s="476"/>
      <c r="M15" s="100"/>
      <c r="N15" s="100"/>
    </row>
    <row r="16" spans="1:14" s="120" customFormat="1" ht="15.75" customHeight="1">
      <c r="A16" s="660" t="s">
        <v>903</v>
      </c>
      <c r="B16" s="661">
        <f>16966027</f>
        <v>16966027</v>
      </c>
      <c r="C16" s="661">
        <v>7880967</v>
      </c>
      <c r="D16" s="661">
        <f>IF(B16&gt;C16,B16-C16,0)</f>
        <v>9085060</v>
      </c>
      <c r="E16" s="661">
        <f>IF(B16&lt;C16,C16-B16,0)</f>
        <v>0</v>
      </c>
      <c r="F16" s="662">
        <f t="shared" si="0"/>
        <v>9085060</v>
      </c>
      <c r="G16" s="662">
        <f t="shared" si="0"/>
        <v>0</v>
      </c>
      <c r="H16" s="661">
        <f t="shared" si="1"/>
        <v>0</v>
      </c>
      <c r="I16" s="661">
        <f t="shared" si="1"/>
        <v>0</v>
      </c>
      <c r="J16" s="476"/>
      <c r="K16" s="476"/>
      <c r="L16" s="476"/>
      <c r="M16" s="100"/>
      <c r="N16" s="100"/>
    </row>
    <row r="17" spans="1:14" s="120" customFormat="1" ht="15.75" customHeight="1">
      <c r="A17" s="660"/>
      <c r="B17" s="661"/>
      <c r="C17" s="661"/>
      <c r="D17" s="661"/>
      <c r="E17" s="661"/>
      <c r="F17" s="662"/>
      <c r="G17" s="662"/>
      <c r="H17" s="661"/>
      <c r="I17" s="661"/>
      <c r="J17" s="476"/>
      <c r="K17" s="476"/>
      <c r="L17" s="476"/>
      <c r="M17" s="100"/>
      <c r="N17" s="100"/>
    </row>
    <row r="18" spans="1:14" s="120" customFormat="1" ht="15.75" customHeight="1">
      <c r="A18" s="660" t="s">
        <v>161</v>
      </c>
      <c r="B18" s="661">
        <v>50618456</v>
      </c>
      <c r="C18" s="661"/>
      <c r="D18" s="661">
        <f>IF(B18&gt;C18,B18-C18,0)</f>
        <v>50618456</v>
      </c>
      <c r="E18" s="661">
        <f>IF(B18&lt;C18,C18-B18,0)</f>
        <v>0</v>
      </c>
      <c r="F18" s="662">
        <f>IF(D18&lt;0,0,D18)</f>
        <v>50618456</v>
      </c>
      <c r="G18" s="662">
        <f>IF(E18&lt;0,0,E18)</f>
        <v>0</v>
      </c>
      <c r="H18" s="661">
        <f>IF(F18&lt;=0,D18,0)</f>
        <v>0</v>
      </c>
      <c r="I18" s="661">
        <f>IF(G18&lt;=0,E18,0)</f>
        <v>0</v>
      </c>
      <c r="J18" s="476"/>
      <c r="K18" s="476"/>
      <c r="L18" s="476"/>
      <c r="M18" s="100"/>
      <c r="N18" s="100"/>
    </row>
    <row r="19" spans="1:14" s="120" customFormat="1" ht="15.75" customHeight="1">
      <c r="A19" s="660"/>
      <c r="B19" s="661"/>
      <c r="C19" s="661"/>
      <c r="D19" s="661"/>
      <c r="E19" s="661"/>
      <c r="F19" s="662"/>
      <c r="G19" s="662"/>
      <c r="H19" s="661"/>
      <c r="I19" s="661"/>
      <c r="J19" s="476"/>
      <c r="K19" s="476"/>
      <c r="L19" s="476"/>
      <c r="M19" s="100"/>
      <c r="N19" s="100"/>
    </row>
    <row r="20" spans="1:14" s="120" customFormat="1" ht="15.75" customHeight="1">
      <c r="A20" s="660" t="str">
        <f>+MAYOR!AL6</f>
        <v>INTERESES DIFERIDOS BCI</v>
      </c>
      <c r="B20" s="661">
        <f>+MAYOR!AL228</f>
        <v>0</v>
      </c>
      <c r="C20" s="661">
        <v>8306766</v>
      </c>
      <c r="D20" s="661">
        <f t="shared" ref="D20:D25" si="2">IF(B20&gt;C20,B20-C20,0)</f>
        <v>0</v>
      </c>
      <c r="E20" s="661">
        <f t="shared" ref="E20:E30" si="3">IF(B20&lt;C20,C20-B20,0)</f>
        <v>8306766</v>
      </c>
      <c r="F20" s="662">
        <f>IF(D20&lt;0,0,D20)</f>
        <v>0</v>
      </c>
      <c r="G20" s="662">
        <f>IF(E20&lt;0,0,E20)</f>
        <v>8306766</v>
      </c>
      <c r="H20" s="661">
        <f t="shared" ref="H20:H30" si="4">IF(F20&lt;=0,D20,0)</f>
        <v>0</v>
      </c>
      <c r="I20" s="661">
        <f t="shared" ref="I20:I30" si="5">IF(G20&lt;=0,E20,0)</f>
        <v>0</v>
      </c>
      <c r="J20" s="476"/>
      <c r="K20" s="476">
        <v>8306766</v>
      </c>
      <c r="L20" s="476"/>
      <c r="M20" s="100"/>
      <c r="N20" s="100"/>
    </row>
    <row r="21" spans="1:14" s="120" customFormat="1" ht="15.75" customHeight="1">
      <c r="A21" s="660" t="str">
        <f>+MAYOR!AN6</f>
        <v>Vehiculos usados Faena MEL</v>
      </c>
      <c r="B21" s="661">
        <f>+MAYOR!AN228</f>
        <v>0</v>
      </c>
      <c r="C21" s="661">
        <f>+MAYOR!AO228</f>
        <v>0</v>
      </c>
      <c r="D21" s="661">
        <f t="shared" si="2"/>
        <v>0</v>
      </c>
      <c r="E21" s="661">
        <f t="shared" si="3"/>
        <v>0</v>
      </c>
      <c r="F21" s="662">
        <f>IF(D21&lt;0,0,D21)</f>
        <v>0</v>
      </c>
      <c r="G21" s="662">
        <f>IF(E21&lt;0,0,E21)</f>
        <v>0</v>
      </c>
      <c r="H21" s="661">
        <f t="shared" si="4"/>
        <v>0</v>
      </c>
      <c r="I21" s="661">
        <f t="shared" si="5"/>
        <v>0</v>
      </c>
      <c r="J21" s="476"/>
      <c r="K21" s="476">
        <v>0</v>
      </c>
      <c r="L21" s="476"/>
      <c r="M21" s="100"/>
      <c r="N21" s="100"/>
    </row>
    <row r="22" spans="1:14" s="120" customFormat="1" ht="15.75" customHeight="1">
      <c r="A22" s="660" t="str">
        <f>+MAYOR!N6</f>
        <v>RETIROS  DEL EJERCICIO</v>
      </c>
      <c r="B22" s="661">
        <f>+MAYOR!N228</f>
        <v>0</v>
      </c>
      <c r="C22" s="661">
        <v>8200000</v>
      </c>
      <c r="D22" s="661">
        <f t="shared" si="2"/>
        <v>0</v>
      </c>
      <c r="E22" s="661">
        <f t="shared" si="3"/>
        <v>8200000</v>
      </c>
      <c r="F22" s="662">
        <f t="shared" ref="F22:F27" si="6">IF(D22&lt;0,0,D22)</f>
        <v>0</v>
      </c>
      <c r="G22" s="662">
        <f t="shared" ref="G22:G27" si="7">IF(E22&lt;0,0,E22)</f>
        <v>8200000</v>
      </c>
      <c r="H22" s="661">
        <f t="shared" si="4"/>
        <v>0</v>
      </c>
      <c r="I22" s="661">
        <f t="shared" si="5"/>
        <v>0</v>
      </c>
      <c r="J22" s="476"/>
      <c r="K22" s="476">
        <v>8200000</v>
      </c>
      <c r="L22" s="476"/>
    </row>
    <row r="23" spans="1:14" s="120" customFormat="1" ht="15.75" customHeight="1">
      <c r="A23" s="660" t="str">
        <f>+MAYOR!T6</f>
        <v>CREDITO SENCE</v>
      </c>
      <c r="B23" s="661">
        <f>+MAYOR!T228</f>
        <v>0</v>
      </c>
      <c r="C23" s="661">
        <v>459261</v>
      </c>
      <c r="D23" s="661">
        <f t="shared" si="2"/>
        <v>0</v>
      </c>
      <c r="E23" s="661">
        <f t="shared" si="3"/>
        <v>459261</v>
      </c>
      <c r="F23" s="662">
        <f>IF(D23&lt;0,0,D23)</f>
        <v>0</v>
      </c>
      <c r="G23" s="662">
        <f>IF(E23&lt;0,0,E23)</f>
        <v>459261</v>
      </c>
      <c r="H23" s="661">
        <f t="shared" si="4"/>
        <v>0</v>
      </c>
      <c r="I23" s="661">
        <f t="shared" si="5"/>
        <v>0</v>
      </c>
      <c r="J23" s="476"/>
      <c r="K23" s="476">
        <v>459261</v>
      </c>
      <c r="L23" s="476"/>
      <c r="N23" s="100"/>
    </row>
    <row r="24" spans="1:14" s="120" customFormat="1" ht="15.75" customHeight="1">
      <c r="A24" s="660" t="str">
        <f>+MAYOR!AU6</f>
        <v>AFP</v>
      </c>
      <c r="B24" s="661">
        <f>+MAYOR!AU228</f>
        <v>0</v>
      </c>
      <c r="C24" s="661">
        <f>+MAYOR!AV228</f>
        <v>0</v>
      </c>
      <c r="D24" s="661">
        <f t="shared" si="2"/>
        <v>0</v>
      </c>
      <c r="E24" s="661">
        <f t="shared" si="3"/>
        <v>0</v>
      </c>
      <c r="F24" s="662">
        <f t="shared" si="6"/>
        <v>0</v>
      </c>
      <c r="G24" s="662">
        <f t="shared" si="7"/>
        <v>0</v>
      </c>
      <c r="H24" s="661">
        <f t="shared" si="4"/>
        <v>0</v>
      </c>
      <c r="I24" s="661">
        <f t="shared" si="5"/>
        <v>0</v>
      </c>
      <c r="J24" s="476"/>
      <c r="K24" s="476"/>
      <c r="L24" s="476"/>
    </row>
    <row r="25" spans="1:14" s="120" customFormat="1" ht="15.75" customHeight="1">
      <c r="A25" s="660" t="str">
        <f>+MAYOR!AW6</f>
        <v>RETENCION DE HONORARIOS</v>
      </c>
      <c r="B25" s="661">
        <f>+MAYOR!AW228</f>
        <v>0</v>
      </c>
      <c r="C25" s="661">
        <f>+MAYOR!AX228</f>
        <v>0</v>
      </c>
      <c r="D25" s="661">
        <f t="shared" si="2"/>
        <v>0</v>
      </c>
      <c r="E25" s="661">
        <f t="shared" si="3"/>
        <v>0</v>
      </c>
      <c r="F25" s="662">
        <f>IF(D25&lt;0,0,D25)</f>
        <v>0</v>
      </c>
      <c r="G25" s="662">
        <f>IF(E25&lt;0,0,E25)</f>
        <v>0</v>
      </c>
      <c r="H25" s="661">
        <f t="shared" si="4"/>
        <v>0</v>
      </c>
      <c r="I25" s="661">
        <f t="shared" si="5"/>
        <v>0</v>
      </c>
      <c r="J25" s="476"/>
      <c r="K25" s="476">
        <f>SUM(K20:K24)</f>
        <v>16966027</v>
      </c>
      <c r="L25" s="476"/>
    </row>
    <row r="26" spans="1:14" s="120" customFormat="1" ht="15.75" customHeight="1">
      <c r="A26" s="911" t="str">
        <f>+MAYOR!AY6</f>
        <v>P.P.M. POR PAGAR</v>
      </c>
      <c r="B26" s="912">
        <f>+MAYOR!AY228</f>
        <v>0</v>
      </c>
      <c r="C26" s="912">
        <f>+MAYOR!AZ228</f>
        <v>0</v>
      </c>
      <c r="D26" s="912">
        <f t="shared" ref="D26:D38" si="8">IF(B26&gt;C26,B26-C26,0)</f>
        <v>0</v>
      </c>
      <c r="E26" s="912">
        <f t="shared" si="3"/>
        <v>0</v>
      </c>
      <c r="F26" s="913">
        <f t="shared" si="6"/>
        <v>0</v>
      </c>
      <c r="G26" s="914">
        <f t="shared" si="7"/>
        <v>0</v>
      </c>
      <c r="H26" s="912">
        <f t="shared" si="4"/>
        <v>0</v>
      </c>
      <c r="I26" s="912">
        <f t="shared" si="5"/>
        <v>0</v>
      </c>
      <c r="J26" s="476"/>
      <c r="K26" s="476"/>
      <c r="L26" s="476"/>
    </row>
    <row r="27" spans="1:14" s="120" customFormat="1" ht="15.75" customHeight="1">
      <c r="A27" s="853" t="str">
        <f>+MAYOR!J6</f>
        <v>IVA POR PAGAR</v>
      </c>
      <c r="B27" s="854">
        <f>+MAYOR!J228</f>
        <v>0</v>
      </c>
      <c r="C27" s="854">
        <f>+MAYOR!K228</f>
        <v>0</v>
      </c>
      <c r="D27" s="854">
        <f t="shared" si="8"/>
        <v>0</v>
      </c>
      <c r="E27" s="854">
        <f t="shared" si="3"/>
        <v>0</v>
      </c>
      <c r="F27" s="905">
        <f t="shared" si="6"/>
        <v>0</v>
      </c>
      <c r="G27" s="855">
        <f t="shared" si="7"/>
        <v>0</v>
      </c>
      <c r="H27" s="854">
        <f t="shared" si="4"/>
        <v>0</v>
      </c>
      <c r="I27" s="854">
        <f t="shared" si="5"/>
        <v>0</v>
      </c>
      <c r="J27" s="476"/>
      <c r="K27" s="476"/>
      <c r="L27" s="476"/>
    </row>
    <row r="28" spans="1:14" s="857" customFormat="1" ht="15.75" customHeight="1">
      <c r="A28" s="660" t="str">
        <f>+MAYOR!BA6</f>
        <v>IMPTO UNICO</v>
      </c>
      <c r="B28" s="661">
        <v>58602</v>
      </c>
      <c r="C28" s="661">
        <f>+MAYOR!BB228</f>
        <v>0</v>
      </c>
      <c r="D28" s="661">
        <f>IF(B28&gt;C28,B28-C28,0)</f>
        <v>58602</v>
      </c>
      <c r="E28" s="661">
        <f t="shared" si="3"/>
        <v>0</v>
      </c>
      <c r="F28" s="662">
        <f t="shared" ref="F28:G30" si="9">IF(D28&lt;0,0,D28)</f>
        <v>58602</v>
      </c>
      <c r="G28" s="1103">
        <f t="shared" si="9"/>
        <v>0</v>
      </c>
      <c r="H28" s="661">
        <f t="shared" si="4"/>
        <v>0</v>
      </c>
      <c r="I28" s="661">
        <f t="shared" si="5"/>
        <v>0</v>
      </c>
      <c r="J28" s="856"/>
      <c r="K28" s="856"/>
      <c r="L28" s="856"/>
    </row>
    <row r="29" spans="1:14" s="120" customFormat="1" ht="15.75" customHeight="1">
      <c r="A29" s="660" t="str">
        <f>+MAYOR!BQ6</f>
        <v>Ptmo para Pago Proveedores</v>
      </c>
      <c r="B29" s="661">
        <f>+MAYOR!BQ228</f>
        <v>0</v>
      </c>
      <c r="C29" s="661">
        <f>+MAYOR!BR228</f>
        <v>0</v>
      </c>
      <c r="D29" s="661">
        <f>IF(B29&gt;C29,B29-C29,0)</f>
        <v>0</v>
      </c>
      <c r="E29" s="661">
        <f t="shared" si="3"/>
        <v>0</v>
      </c>
      <c r="F29" s="662">
        <f t="shared" si="9"/>
        <v>0</v>
      </c>
      <c r="G29" s="662">
        <f t="shared" si="9"/>
        <v>0</v>
      </c>
      <c r="H29" s="661">
        <f t="shared" si="4"/>
        <v>0</v>
      </c>
      <c r="I29" s="661">
        <f t="shared" si="5"/>
        <v>0</v>
      </c>
      <c r="J29" s="476"/>
      <c r="K29" s="476"/>
      <c r="L29" s="476"/>
    </row>
    <row r="30" spans="1:14" s="120" customFormat="1" ht="15.75" customHeight="1">
      <c r="A30" s="660" t="str">
        <f>+MAYOR!BS6</f>
        <v>OBLIG. CON BANCOESTADO</v>
      </c>
      <c r="B30" s="661">
        <v>13411244</v>
      </c>
      <c r="C30" s="661">
        <f>+MAYOR!BT228</f>
        <v>0</v>
      </c>
      <c r="D30" s="661">
        <f>IF(B30&gt;C30,B30-C30,0)</f>
        <v>13411244</v>
      </c>
      <c r="E30" s="661">
        <f t="shared" si="3"/>
        <v>0</v>
      </c>
      <c r="F30" s="662">
        <f t="shared" si="9"/>
        <v>13411244</v>
      </c>
      <c r="G30" s="1103">
        <f t="shared" si="9"/>
        <v>0</v>
      </c>
      <c r="H30" s="661">
        <f t="shared" si="4"/>
        <v>0</v>
      </c>
      <c r="I30" s="661">
        <f t="shared" si="5"/>
        <v>0</v>
      </c>
      <c r="J30" s="476"/>
      <c r="K30" s="476"/>
      <c r="L30" s="476"/>
    </row>
    <row r="31" spans="1:14" s="120" customFormat="1" ht="15.75" customHeight="1" thickBot="1">
      <c r="A31" s="660" t="str">
        <f>+MAYOR!BO6</f>
        <v>PROVISION DE IMPUESTOS</v>
      </c>
      <c r="B31" s="661">
        <f>+MAYOR!BO228</f>
        <v>0</v>
      </c>
      <c r="C31" s="661">
        <f>+MAYOR!BP228+4165861</f>
        <v>4165861</v>
      </c>
      <c r="D31" s="661">
        <f t="shared" si="8"/>
        <v>0</v>
      </c>
      <c r="E31" s="661">
        <f t="shared" ref="E31:E38" si="10">IF(B31&lt;C31,C31-B31,0)</f>
        <v>4165861</v>
      </c>
      <c r="F31" s="662">
        <f t="shared" ref="F31:G33" si="11">IF(D31&lt;0,0,D31)</f>
        <v>0</v>
      </c>
      <c r="G31" s="662">
        <f t="shared" si="11"/>
        <v>4165861</v>
      </c>
      <c r="H31" s="661">
        <f t="shared" ref="H31:I33" si="12">IF(F31&lt;=0,D31,0)</f>
        <v>0</v>
      </c>
      <c r="I31" s="661">
        <f t="shared" si="12"/>
        <v>0</v>
      </c>
      <c r="J31" s="476">
        <f>+G30</f>
        <v>0</v>
      </c>
      <c r="K31" s="476"/>
      <c r="L31" s="476">
        <v>13411244</v>
      </c>
    </row>
    <row r="32" spans="1:14" s="120" customFormat="1" ht="15.75" customHeight="1" thickBot="1">
      <c r="A32" s="1105" t="s">
        <v>468</v>
      </c>
      <c r="B32" s="1106">
        <f>+MAYOR!BO229</f>
        <v>0</v>
      </c>
      <c r="C32" s="1106">
        <v>30532457</v>
      </c>
      <c r="D32" s="1106">
        <f>IF(B32&gt;C32,B32-C32,0)</f>
        <v>0</v>
      </c>
      <c r="E32" s="1106">
        <f>IF(B32&lt;C32,C32-B32,0)</f>
        <v>30532457</v>
      </c>
      <c r="F32" s="1107">
        <f>IF(D32&lt;0,0,D32)</f>
        <v>0</v>
      </c>
      <c r="G32" s="1107">
        <f>IF(E32&lt;0,0,E32)</f>
        <v>30532457</v>
      </c>
      <c r="H32" s="1106">
        <f>IF(F32&lt;=0,D32,0)</f>
        <v>0</v>
      </c>
      <c r="I32" s="1108">
        <f>IF(G32&lt;=0,E32,0)</f>
        <v>0</v>
      </c>
      <c r="J32" s="476"/>
      <c r="K32" s="476"/>
      <c r="L32" s="476"/>
    </row>
    <row r="33" spans="1:12" s="120" customFormat="1" ht="15.75" customHeight="1">
      <c r="A33" s="817" t="str">
        <f>+MAYOR!BK6</f>
        <v xml:space="preserve">FINANCIAMIENTO DE TERCEROS </v>
      </c>
      <c r="B33" s="818">
        <f>+MAYOR!BK228</f>
        <v>0</v>
      </c>
      <c r="C33" s="818">
        <f>+MAYOR!BL228</f>
        <v>0</v>
      </c>
      <c r="D33" s="818">
        <f>IF(B33&gt;C33,B33-C33,0)</f>
        <v>0</v>
      </c>
      <c r="E33" s="818">
        <f>IF(B33&lt;C33,C33-B33,0)</f>
        <v>0</v>
      </c>
      <c r="F33" s="819">
        <f t="shared" si="11"/>
        <v>0</v>
      </c>
      <c r="G33" s="819">
        <f t="shared" si="11"/>
        <v>0</v>
      </c>
      <c r="H33" s="661">
        <f t="shared" si="12"/>
        <v>0</v>
      </c>
      <c r="I33" s="661">
        <f t="shared" si="12"/>
        <v>0</v>
      </c>
      <c r="J33" s="476">
        <f>+G28</f>
        <v>0</v>
      </c>
      <c r="K33" s="476"/>
      <c r="L33" s="476">
        <v>58602</v>
      </c>
    </row>
    <row r="34" spans="1:12" s="120" customFormat="1" ht="15.75" customHeight="1" thickBot="1">
      <c r="A34" s="660" t="str">
        <f>+MAYOR!BM6</f>
        <v>CTAS POR PAGAR</v>
      </c>
      <c r="B34" s="661">
        <f>+MAYOR!BM228</f>
        <v>0</v>
      </c>
      <c r="C34" s="661">
        <f>+MAYOR!BN228</f>
        <v>0</v>
      </c>
      <c r="D34" s="661">
        <f>IF(B34&gt;C34,B34-C34,0)</f>
        <v>0</v>
      </c>
      <c r="E34" s="661">
        <f>IF(B34&lt;C34,C34-B34,0)</f>
        <v>0</v>
      </c>
      <c r="F34" s="662">
        <f>IF(D34&lt;0,0,D34)</f>
        <v>0</v>
      </c>
      <c r="G34" s="662">
        <f>IF(E34&lt;0,0,E34)</f>
        <v>0</v>
      </c>
      <c r="H34" s="661">
        <f>IF(F34&lt;=0,D34,0)</f>
        <v>0</v>
      </c>
      <c r="I34" s="661">
        <f>IF(G34&lt;=0,E34,0)</f>
        <v>0</v>
      </c>
      <c r="J34" s="476">
        <f>SUM(J31:J33)</f>
        <v>0</v>
      </c>
      <c r="K34" s="476"/>
      <c r="L34" s="1104">
        <f>SUM(L31:L33)</f>
        <v>13469846</v>
      </c>
    </row>
    <row r="35" spans="1:12" s="120" customFormat="1" ht="15.75" customHeight="1" thickTop="1">
      <c r="A35" s="899" t="str">
        <f>+MAYOR!CC6</f>
        <v>CAPITAL</v>
      </c>
      <c r="B35" s="900">
        <f>+MAYOR!CC228</f>
        <v>0</v>
      </c>
      <c r="C35" s="900">
        <f>+MAYOR!CD228</f>
        <v>0</v>
      </c>
      <c r="D35" s="900">
        <f t="shared" si="8"/>
        <v>0</v>
      </c>
      <c r="E35" s="900">
        <f t="shared" si="10"/>
        <v>0</v>
      </c>
      <c r="F35" s="901">
        <f t="shared" ref="F35:G38" si="13">IF(D35&lt;0,0,D35)</f>
        <v>0</v>
      </c>
      <c r="G35" s="901">
        <f t="shared" si="13"/>
        <v>0</v>
      </c>
      <c r="H35" s="661">
        <f t="shared" ref="H35:I38" si="14">IF(F35&lt;=0,D35,0)</f>
        <v>0</v>
      </c>
      <c r="I35" s="661">
        <f t="shared" si="14"/>
        <v>0</v>
      </c>
      <c r="J35" s="476"/>
      <c r="K35" s="476"/>
      <c r="L35" s="476"/>
    </row>
    <row r="36" spans="1:12" s="120" customFormat="1" ht="15.75" customHeight="1">
      <c r="A36" s="899" t="str">
        <f>+MAYOR!CE6</f>
        <v>REV. CAPITAL PROPIO</v>
      </c>
      <c r="B36" s="900">
        <f>+MAYOR!CE228</f>
        <v>0</v>
      </c>
      <c r="C36" s="900">
        <f>+MAYOR!CF228</f>
        <v>0</v>
      </c>
      <c r="D36" s="900">
        <f t="shared" si="8"/>
        <v>0</v>
      </c>
      <c r="E36" s="900">
        <f t="shared" si="10"/>
        <v>0</v>
      </c>
      <c r="F36" s="901">
        <f t="shared" si="13"/>
        <v>0</v>
      </c>
      <c r="G36" s="901">
        <f t="shared" si="13"/>
        <v>0</v>
      </c>
      <c r="H36" s="661">
        <f t="shared" si="14"/>
        <v>0</v>
      </c>
      <c r="I36" s="661">
        <f t="shared" si="14"/>
        <v>0</v>
      </c>
      <c r="J36" s="476"/>
      <c r="K36" s="476"/>
      <c r="L36" s="476"/>
    </row>
    <row r="37" spans="1:12" s="120" customFormat="1" ht="15.75" customHeight="1">
      <c r="A37" s="899" t="str">
        <f>+MAYOR!CG6</f>
        <v>RESULTADO ACUMULADO</v>
      </c>
      <c r="B37" s="900">
        <f>+MAYOR!CG228</f>
        <v>0</v>
      </c>
      <c r="C37" s="900">
        <f>+MAYOR!CH228</f>
        <v>0</v>
      </c>
      <c r="D37" s="900">
        <f t="shared" si="8"/>
        <v>0</v>
      </c>
      <c r="E37" s="900">
        <f t="shared" si="10"/>
        <v>0</v>
      </c>
      <c r="F37" s="901">
        <f t="shared" si="13"/>
        <v>0</v>
      </c>
      <c r="G37" s="901">
        <f t="shared" si="13"/>
        <v>0</v>
      </c>
      <c r="H37" s="661">
        <f t="shared" si="14"/>
        <v>0</v>
      </c>
      <c r="I37" s="661">
        <f t="shared" si="14"/>
        <v>0</v>
      </c>
      <c r="J37" s="476"/>
      <c r="K37" s="476"/>
      <c r="L37" s="476"/>
    </row>
    <row r="38" spans="1:12" s="120" customFormat="1" ht="15.75" customHeight="1">
      <c r="A38" s="902" t="str">
        <f>+MAYOR!CI6</f>
        <v>RESULTADO EJERCICIO ANTERIOR</v>
      </c>
      <c r="B38" s="903">
        <f>+MAYOR!CI228</f>
        <v>0</v>
      </c>
      <c r="C38" s="903">
        <f>+MAYOR!CJ228</f>
        <v>0</v>
      </c>
      <c r="D38" s="903">
        <f t="shared" si="8"/>
        <v>0</v>
      </c>
      <c r="E38" s="903">
        <f t="shared" si="10"/>
        <v>0</v>
      </c>
      <c r="F38" s="904">
        <f t="shared" si="13"/>
        <v>0</v>
      </c>
      <c r="G38" s="904">
        <f t="shared" si="13"/>
        <v>0</v>
      </c>
      <c r="H38" s="358">
        <f t="shared" si="14"/>
        <v>0</v>
      </c>
      <c r="I38" s="358">
        <f t="shared" si="14"/>
        <v>0</v>
      </c>
      <c r="J38" s="476"/>
      <c r="K38" s="476"/>
      <c r="L38" s="476"/>
    </row>
    <row r="39" spans="1:12" s="857" customFormat="1" ht="15.75" customHeight="1">
      <c r="A39" s="853" t="str">
        <f>+MAYOR!CL6</f>
        <v xml:space="preserve">INGRESOS VENTA </v>
      </c>
      <c r="B39" s="854">
        <f>+MAYOR!CL228</f>
        <v>0</v>
      </c>
      <c r="C39" s="854">
        <f>+MAYOR!CM228</f>
        <v>0</v>
      </c>
      <c r="D39" s="854">
        <f t="shared" ref="D39:D46" si="15">IF(B39&gt;C39,B39-C39,0)</f>
        <v>0</v>
      </c>
      <c r="E39" s="854">
        <f t="shared" ref="E39:E46" si="16">IF(B39&lt;C39,C39-B39,0)</f>
        <v>0</v>
      </c>
      <c r="F39" s="855">
        <v>0</v>
      </c>
      <c r="G39" s="855">
        <v>0</v>
      </c>
      <c r="H39" s="854">
        <f t="shared" ref="H39:I43" si="17">IF(F39&lt;=0,D39,0)</f>
        <v>0</v>
      </c>
      <c r="I39" s="906">
        <f t="shared" si="17"/>
        <v>0</v>
      </c>
      <c r="J39" s="856">
        <f>+I39+I40</f>
        <v>0</v>
      </c>
      <c r="K39" s="910">
        <v>154917647</v>
      </c>
      <c r="L39" s="856"/>
    </row>
    <row r="40" spans="1:12" s="857" customFormat="1" ht="15.75" customHeight="1">
      <c r="A40" s="853" t="str">
        <f>+MAYOR!CN6</f>
        <v>INGRESOS VTA EXENTAS</v>
      </c>
      <c r="B40" s="854">
        <f>+MAYOR!CN228</f>
        <v>0</v>
      </c>
      <c r="C40" s="854">
        <f>+MAYOR!CO228</f>
        <v>0</v>
      </c>
      <c r="D40" s="854">
        <f t="shared" si="15"/>
        <v>0</v>
      </c>
      <c r="E40" s="854">
        <f t="shared" si="16"/>
        <v>0</v>
      </c>
      <c r="F40" s="855">
        <v>0</v>
      </c>
      <c r="G40" s="855">
        <v>0</v>
      </c>
      <c r="H40" s="854">
        <f t="shared" si="17"/>
        <v>0</v>
      </c>
      <c r="I40" s="906">
        <f t="shared" si="17"/>
        <v>0</v>
      </c>
      <c r="J40" s="856"/>
      <c r="K40" s="856"/>
      <c r="L40" s="856"/>
    </row>
    <row r="41" spans="1:12" s="120" customFormat="1" ht="15.75" customHeight="1">
      <c r="A41" s="660" t="str">
        <f>+MAYOR!CP6</f>
        <v>UTILIDAD VENTA A-FIJO</v>
      </c>
      <c r="B41" s="661">
        <f>+MAYOR!CP228</f>
        <v>0</v>
      </c>
      <c r="C41" s="661">
        <f>+MAYOR!CQ228</f>
        <v>0</v>
      </c>
      <c r="D41" s="661">
        <f t="shared" si="15"/>
        <v>0</v>
      </c>
      <c r="E41" s="661">
        <f t="shared" si="16"/>
        <v>0</v>
      </c>
      <c r="F41" s="662">
        <v>0</v>
      </c>
      <c r="G41" s="662">
        <v>0</v>
      </c>
      <c r="H41" s="661">
        <f t="shared" si="17"/>
        <v>0</v>
      </c>
      <c r="I41" s="661">
        <f t="shared" si="17"/>
        <v>0</v>
      </c>
      <c r="J41" s="476"/>
      <c r="K41" s="476"/>
      <c r="L41" s="476"/>
    </row>
    <row r="42" spans="1:12" s="120" customFormat="1" ht="15.75" customHeight="1">
      <c r="A42" s="660" t="str">
        <f>+MAYOR!CR6</f>
        <v>OTRAS VENTA</v>
      </c>
      <c r="B42" s="661">
        <f>+MAYOR!CR228</f>
        <v>0</v>
      </c>
      <c r="C42" s="661">
        <f>+MAYOR!CS228</f>
        <v>0</v>
      </c>
      <c r="D42" s="661">
        <f t="shared" si="15"/>
        <v>0</v>
      </c>
      <c r="E42" s="661">
        <f t="shared" si="16"/>
        <v>0</v>
      </c>
      <c r="F42" s="662">
        <v>0</v>
      </c>
      <c r="G42" s="662">
        <v>0</v>
      </c>
      <c r="H42" s="661">
        <f t="shared" si="17"/>
        <v>0</v>
      </c>
      <c r="I42" s="661">
        <f t="shared" ref="I42:I52" si="18">IF(G42&lt;=0,E42,0)</f>
        <v>0</v>
      </c>
      <c r="J42" s="476"/>
      <c r="K42" s="476"/>
      <c r="L42" s="476"/>
    </row>
    <row r="43" spans="1:12" s="120" customFormat="1" ht="15.75" customHeight="1">
      <c r="A43" s="660" t="str">
        <f>+MAYOR!DA6</f>
        <v>GASTOS DE VTA</v>
      </c>
      <c r="B43" s="661">
        <f>+MAYOR!DA228</f>
        <v>0</v>
      </c>
      <c r="C43" s="661">
        <f>+MAYOR!DV227</f>
        <v>0</v>
      </c>
      <c r="D43" s="661">
        <f>IF(B43&gt;C43,B43-C43,0)</f>
        <v>0</v>
      </c>
      <c r="E43" s="661">
        <f>IF(B43&lt;C43,C43-B43,0)</f>
        <v>0</v>
      </c>
      <c r="F43" s="662">
        <v>0</v>
      </c>
      <c r="G43" s="662">
        <v>0</v>
      </c>
      <c r="H43" s="661">
        <f t="shared" si="17"/>
        <v>0</v>
      </c>
      <c r="I43" s="661">
        <f t="shared" si="18"/>
        <v>0</v>
      </c>
      <c r="J43" s="476"/>
      <c r="K43" s="476" t="s">
        <v>776</v>
      </c>
      <c r="L43" s="476"/>
    </row>
    <row r="44" spans="1:12" s="857" customFormat="1" ht="15.75" customHeight="1">
      <c r="A44" s="853" t="str">
        <f>+MAYOR!DU6</f>
        <v>SUELDOS</v>
      </c>
      <c r="B44" s="854">
        <f>+MAYOR!DU228+6758820</f>
        <v>6758820</v>
      </c>
      <c r="C44" s="854">
        <f>+MAYOR!DV228</f>
        <v>0</v>
      </c>
      <c r="D44" s="854">
        <f t="shared" si="15"/>
        <v>6758820</v>
      </c>
      <c r="E44" s="854">
        <f t="shared" si="16"/>
        <v>0</v>
      </c>
      <c r="F44" s="855">
        <v>0</v>
      </c>
      <c r="G44" s="855">
        <v>0</v>
      </c>
      <c r="H44" s="854">
        <f t="shared" ref="H44:H52" si="19">IF(F44&lt;=0,D44,0)</f>
        <v>6758820</v>
      </c>
      <c r="I44" s="661">
        <f t="shared" si="18"/>
        <v>0</v>
      </c>
      <c r="J44" s="856">
        <f>+H44+H45</f>
        <v>6758820</v>
      </c>
      <c r="K44" s="856">
        <v>27701607</v>
      </c>
      <c r="L44" s="856">
        <f>+K44-J44</f>
        <v>20942787</v>
      </c>
    </row>
    <row r="45" spans="1:12" s="857" customFormat="1" ht="21" customHeight="1">
      <c r="A45" s="853" t="str">
        <f>+MAYOR!DY6</f>
        <v>COSTO EMPLEADOR</v>
      </c>
      <c r="B45" s="854">
        <f>+MAYOR!DY229</f>
        <v>0</v>
      </c>
      <c r="C45" s="854">
        <f>+MAYOR!DZ228</f>
        <v>0</v>
      </c>
      <c r="D45" s="854">
        <f t="shared" si="15"/>
        <v>0</v>
      </c>
      <c r="E45" s="854">
        <f t="shared" si="16"/>
        <v>0</v>
      </c>
      <c r="F45" s="855">
        <v>0</v>
      </c>
      <c r="G45" s="855">
        <v>0</v>
      </c>
      <c r="H45" s="854">
        <f t="shared" si="19"/>
        <v>0</v>
      </c>
      <c r="I45" s="661">
        <f t="shared" si="18"/>
        <v>0</v>
      </c>
      <c r="J45" s="856"/>
      <c r="K45" s="856"/>
      <c r="L45" s="856"/>
    </row>
    <row r="46" spans="1:12" s="120" customFormat="1" ht="15.75" customHeight="1">
      <c r="A46" s="660" t="str">
        <f>+MAYOR!EC6</f>
        <v>COSTO DE VENTA</v>
      </c>
      <c r="B46" s="661">
        <f>+MAYOR!EC228</f>
        <v>0</v>
      </c>
      <c r="C46" s="661">
        <f>+MAYOR!ED228</f>
        <v>0</v>
      </c>
      <c r="D46" s="661">
        <f t="shared" si="15"/>
        <v>0</v>
      </c>
      <c r="E46" s="661">
        <f t="shared" si="16"/>
        <v>0</v>
      </c>
      <c r="F46" s="662">
        <v>0</v>
      </c>
      <c r="G46" s="662">
        <v>0</v>
      </c>
      <c r="H46" s="661">
        <f t="shared" si="19"/>
        <v>0</v>
      </c>
      <c r="I46" s="661">
        <f t="shared" si="18"/>
        <v>0</v>
      </c>
      <c r="J46" s="476"/>
      <c r="K46" s="476"/>
      <c r="L46" s="476"/>
    </row>
    <row r="47" spans="1:12" s="120" customFormat="1" ht="15.75" customHeight="1">
      <c r="A47" s="660" t="str">
        <f>+MAYOR!DC6</f>
        <v>CAPACITACION</v>
      </c>
      <c r="B47" s="661">
        <f>+MAYOR!DC228</f>
        <v>0</v>
      </c>
      <c r="C47" s="661">
        <f>+MAYOR!DD228</f>
        <v>0</v>
      </c>
      <c r="D47" s="661">
        <f>IF(B47&gt;C47,B47-C47,0)</f>
        <v>0</v>
      </c>
      <c r="E47" s="661">
        <f>IF(B47&lt;C47,C47-B47,0)</f>
        <v>0</v>
      </c>
      <c r="F47" s="662">
        <v>0</v>
      </c>
      <c r="G47" s="662">
        <v>0</v>
      </c>
      <c r="H47" s="661">
        <f t="shared" si="19"/>
        <v>0</v>
      </c>
      <c r="I47" s="661">
        <f t="shared" si="18"/>
        <v>0</v>
      </c>
      <c r="J47" s="476"/>
      <c r="K47" s="476"/>
      <c r="L47" s="476"/>
    </row>
    <row r="48" spans="1:12" s="120" customFormat="1" ht="15.75" customHeight="1">
      <c r="A48" s="660" t="str">
        <f>+MAYOR!EA6</f>
        <v>INTERESES FOGAPE</v>
      </c>
      <c r="B48" s="661">
        <f>+MAYOR!EA228</f>
        <v>0</v>
      </c>
      <c r="C48" s="661">
        <f>+MAYOR!EB228</f>
        <v>0</v>
      </c>
      <c r="D48" s="661">
        <f>IF(B48&gt;C48,B48-C48,0)</f>
        <v>0</v>
      </c>
      <c r="E48" s="661">
        <f>IF(B48&lt;C48,C48-B48,0)</f>
        <v>0</v>
      </c>
      <c r="F48" s="662">
        <v>0</v>
      </c>
      <c r="G48" s="662">
        <v>0</v>
      </c>
      <c r="H48" s="661">
        <f t="shared" si="19"/>
        <v>0</v>
      </c>
      <c r="I48" s="661">
        <f t="shared" si="18"/>
        <v>0</v>
      </c>
      <c r="J48" s="476"/>
      <c r="K48" s="476"/>
      <c r="L48" s="476"/>
    </row>
    <row r="49" spans="1:12" s="120" customFormat="1" ht="15.75" customHeight="1">
      <c r="A49" s="660" t="s">
        <v>904</v>
      </c>
      <c r="B49" s="661">
        <v>7880967</v>
      </c>
      <c r="C49" s="661">
        <f>+MAYOR!CX228</f>
        <v>0</v>
      </c>
      <c r="D49" s="661">
        <f>IF(B49&gt;C49,B49-C49,0)</f>
        <v>7880967</v>
      </c>
      <c r="E49" s="661">
        <f>IF(B49&lt;C49,C49-B49,0)</f>
        <v>0</v>
      </c>
      <c r="F49" s="662">
        <v>0</v>
      </c>
      <c r="G49" s="662">
        <v>0</v>
      </c>
      <c r="H49" s="661">
        <f t="shared" si="19"/>
        <v>7880967</v>
      </c>
      <c r="I49" s="661">
        <f t="shared" si="18"/>
        <v>0</v>
      </c>
      <c r="J49" s="476"/>
      <c r="K49" s="476"/>
      <c r="L49" s="476"/>
    </row>
    <row r="50" spans="1:12" s="120" customFormat="1" ht="15.75" customHeight="1">
      <c r="A50" s="660" t="str">
        <f>+MAYOR!CY6</f>
        <v>AMORTIZ. PROY. INVESTIGACION MINERA</v>
      </c>
      <c r="B50" s="661">
        <f>+MAYOR!CY228</f>
        <v>0</v>
      </c>
      <c r="C50" s="661">
        <f>+MAYOR!CX229</f>
        <v>0</v>
      </c>
      <c r="D50" s="661">
        <f>IF(B50&gt;C50,B50-C50,0)</f>
        <v>0</v>
      </c>
      <c r="E50" s="661">
        <f>IF(B50&lt;C50,C50-B50,0)</f>
        <v>0</v>
      </c>
      <c r="F50" s="662">
        <v>0</v>
      </c>
      <c r="G50" s="662">
        <v>0</v>
      </c>
      <c r="H50" s="661">
        <f t="shared" si="19"/>
        <v>0</v>
      </c>
      <c r="I50" s="661">
        <f t="shared" si="18"/>
        <v>0</v>
      </c>
      <c r="J50" s="476"/>
      <c r="K50" s="476"/>
      <c r="L50" s="476"/>
    </row>
    <row r="51" spans="1:12" s="857" customFormat="1" ht="15.75" customHeight="1">
      <c r="A51" s="660" t="str">
        <f>+MAYOR!EG6</f>
        <v>GASTOS GENERALES</v>
      </c>
      <c r="B51" s="661">
        <f>+MAYOR!EG228</f>
        <v>0</v>
      </c>
      <c r="C51" s="661">
        <f>+MAYOR!EH228</f>
        <v>0</v>
      </c>
      <c r="D51" s="661">
        <f t="shared" ref="D51:D56" si="20">IF(B51&gt;C51,B51-C51,0)</f>
        <v>0</v>
      </c>
      <c r="E51" s="661">
        <f t="shared" ref="E51:E56" si="21">IF(B51&lt;C51,C51-B51,0)</f>
        <v>0</v>
      </c>
      <c r="F51" s="662">
        <v>0</v>
      </c>
      <c r="G51" s="662">
        <v>0</v>
      </c>
      <c r="H51" s="661">
        <f t="shared" si="19"/>
        <v>0</v>
      </c>
      <c r="I51" s="661">
        <f t="shared" si="18"/>
        <v>0</v>
      </c>
      <c r="J51" s="856"/>
      <c r="K51" s="856"/>
      <c r="L51" s="856"/>
    </row>
    <row r="52" spans="1:12" s="120" customFormat="1" ht="15.75" customHeight="1">
      <c r="A52" s="660" t="str">
        <f>+MAYOR!DW6</f>
        <v>ARRIENDO Taller y Oficina</v>
      </c>
      <c r="B52" s="661">
        <f>+MAYOR!DW228</f>
        <v>0</v>
      </c>
      <c r="C52" s="661">
        <f>+MAYOR!DX228</f>
        <v>0</v>
      </c>
      <c r="D52" s="661">
        <f>IF(B52&gt;C52,B52-C52,0)</f>
        <v>0</v>
      </c>
      <c r="E52" s="661">
        <f>IF(B52&lt;C52,C52-B52,0)</f>
        <v>0</v>
      </c>
      <c r="F52" s="662">
        <v>0</v>
      </c>
      <c r="G52" s="662">
        <v>0</v>
      </c>
      <c r="H52" s="661">
        <f t="shared" si="19"/>
        <v>0</v>
      </c>
      <c r="I52" s="661">
        <f t="shared" si="18"/>
        <v>0</v>
      </c>
      <c r="J52" s="476"/>
      <c r="K52" s="476"/>
      <c r="L52" s="476"/>
    </row>
    <row r="53" spans="1:12" s="857" customFormat="1" ht="15.75" customHeight="1">
      <c r="A53" s="660" t="str">
        <f>+MAYOR!DS6</f>
        <v>HONORARIOS Y SERVICIOS PROFESIONALES</v>
      </c>
      <c r="B53" s="661">
        <f>+MAYOR!DS228</f>
        <v>0</v>
      </c>
      <c r="C53" s="661">
        <f>+MAYOR!DT228</f>
        <v>0</v>
      </c>
      <c r="D53" s="661">
        <f t="shared" si="20"/>
        <v>0</v>
      </c>
      <c r="E53" s="661">
        <f t="shared" si="21"/>
        <v>0</v>
      </c>
      <c r="F53" s="662">
        <v>0</v>
      </c>
      <c r="G53" s="662">
        <v>0</v>
      </c>
      <c r="H53" s="661">
        <f t="shared" ref="H53:I56" si="22">IF(F53&lt;=0,D53,0)</f>
        <v>0</v>
      </c>
      <c r="I53" s="661">
        <f t="shared" si="22"/>
        <v>0</v>
      </c>
      <c r="J53" s="856"/>
      <c r="K53" s="856"/>
      <c r="L53" s="856"/>
    </row>
    <row r="54" spans="1:12" s="120" customFormat="1" ht="15.75" customHeight="1">
      <c r="A54" s="660" t="str">
        <f>+MAYOR!EI6</f>
        <v>DEPRECIACION DEL EJERCICIO</v>
      </c>
      <c r="B54" s="661">
        <v>30532457</v>
      </c>
      <c r="C54" s="661">
        <f>+MAYOR!EJ228</f>
        <v>0</v>
      </c>
      <c r="D54" s="661">
        <f t="shared" si="20"/>
        <v>30532457</v>
      </c>
      <c r="E54" s="661">
        <f t="shared" si="21"/>
        <v>0</v>
      </c>
      <c r="F54" s="662">
        <v>0</v>
      </c>
      <c r="G54" s="662">
        <v>0</v>
      </c>
      <c r="H54" s="661">
        <f t="shared" si="22"/>
        <v>30532457</v>
      </c>
      <c r="I54" s="661">
        <f t="shared" si="22"/>
        <v>0</v>
      </c>
      <c r="J54" s="476"/>
      <c r="K54" s="476"/>
      <c r="L54" s="476"/>
    </row>
    <row r="55" spans="1:12" s="120" customFormat="1" ht="15.75" customHeight="1">
      <c r="A55" s="660" t="str">
        <f>+MAYOR!EK6</f>
        <v>CORRECCION MONETARIA</v>
      </c>
      <c r="B55" s="661">
        <f>+MAYOR!EK228</f>
        <v>0</v>
      </c>
      <c r="C55" s="661">
        <f>+MAYOR!EL228</f>
        <v>0</v>
      </c>
      <c r="D55" s="661">
        <f t="shared" si="20"/>
        <v>0</v>
      </c>
      <c r="E55" s="661">
        <f t="shared" si="21"/>
        <v>0</v>
      </c>
      <c r="F55" s="662">
        <v>0</v>
      </c>
      <c r="G55" s="662">
        <v>0</v>
      </c>
      <c r="H55" s="661">
        <f t="shared" si="22"/>
        <v>0</v>
      </c>
      <c r="I55" s="661">
        <f t="shared" si="22"/>
        <v>0</v>
      </c>
      <c r="J55" s="476">
        <f>+H54+H51+H49-I55-33589373-I63</f>
        <v>-25175949</v>
      </c>
      <c r="K55" s="476"/>
      <c r="L55" s="476"/>
    </row>
    <row r="56" spans="1:12" s="120" customFormat="1" ht="15.75" customHeight="1">
      <c r="A56" s="660" t="str">
        <f>+MAYOR!EE6</f>
        <v>IMPUESTO RENTA</v>
      </c>
      <c r="B56" s="661">
        <v>4165861</v>
      </c>
      <c r="C56" s="661">
        <f>+MAYOR!EF228</f>
        <v>0</v>
      </c>
      <c r="D56" s="661">
        <f t="shared" si="20"/>
        <v>4165861</v>
      </c>
      <c r="E56" s="661">
        <f t="shared" si="21"/>
        <v>0</v>
      </c>
      <c r="F56" s="662">
        <v>0</v>
      </c>
      <c r="G56" s="662">
        <v>0</v>
      </c>
      <c r="H56" s="661">
        <f>IF(F56&lt;=0,D56,0)</f>
        <v>4165861</v>
      </c>
      <c r="I56" s="661">
        <f t="shared" si="22"/>
        <v>0</v>
      </c>
      <c r="J56" s="476"/>
      <c r="K56" s="476"/>
      <c r="L56" s="476"/>
    </row>
    <row r="57" spans="1:12" s="120" customFormat="1" ht="15.75" customHeight="1">
      <c r="A57" s="663" t="s">
        <v>24</v>
      </c>
      <c r="B57" s="664">
        <f t="shared" ref="B57:I57" si="23">SUM(B12:B56)</f>
        <v>130392435</v>
      </c>
      <c r="C57" s="664">
        <f t="shared" si="23"/>
        <v>130392434</v>
      </c>
      <c r="D57" s="664">
        <f t="shared" si="23"/>
        <v>122511467</v>
      </c>
      <c r="E57" s="664">
        <f t="shared" si="23"/>
        <v>122511466</v>
      </c>
      <c r="F57" s="664">
        <f t="shared" si="23"/>
        <v>73173362</v>
      </c>
      <c r="G57" s="664">
        <f t="shared" si="23"/>
        <v>122511466</v>
      </c>
      <c r="H57" s="664">
        <f t="shared" si="23"/>
        <v>49338105</v>
      </c>
      <c r="I57" s="664">
        <f t="shared" si="23"/>
        <v>0</v>
      </c>
      <c r="J57" s="476"/>
      <c r="K57" s="476"/>
      <c r="L57" s="476"/>
    </row>
    <row r="58" spans="1:12" s="120" customFormat="1" ht="15.75" customHeight="1">
      <c r="A58" s="663" t="s">
        <v>25</v>
      </c>
      <c r="B58" s="664">
        <v>0</v>
      </c>
      <c r="C58" s="664">
        <v>0</v>
      </c>
      <c r="D58" s="664">
        <v>0</v>
      </c>
      <c r="E58" s="664">
        <v>0</v>
      </c>
      <c r="F58" s="664">
        <v>0</v>
      </c>
      <c r="G58" s="664">
        <f>+F57-G57</f>
        <v>-49338104</v>
      </c>
      <c r="H58" s="664">
        <f>+I57-H57</f>
        <v>-49338105</v>
      </c>
      <c r="I58" s="664">
        <v>0</v>
      </c>
      <c r="J58" s="476">
        <f>+H58-G58</f>
        <v>-1</v>
      </c>
      <c r="K58" s="476"/>
      <c r="L58" s="476"/>
    </row>
    <row r="59" spans="1:12" s="120" customFormat="1" ht="15.75" customHeight="1">
      <c r="A59" s="663" t="s">
        <v>26</v>
      </c>
      <c r="B59" s="664">
        <f>+B57+B58</f>
        <v>130392435</v>
      </c>
      <c r="C59" s="665">
        <f t="shared" ref="C59:I59" si="24">+C57+C58</f>
        <v>130392434</v>
      </c>
      <c r="D59" s="665">
        <f t="shared" si="24"/>
        <v>122511467</v>
      </c>
      <c r="E59" s="665">
        <f t="shared" si="24"/>
        <v>122511466</v>
      </c>
      <c r="F59" s="665">
        <f t="shared" si="24"/>
        <v>73173362</v>
      </c>
      <c r="G59" s="665">
        <f t="shared" si="24"/>
        <v>73173362</v>
      </c>
      <c r="H59" s="665">
        <f t="shared" si="24"/>
        <v>0</v>
      </c>
      <c r="I59" s="665">
        <f t="shared" si="24"/>
        <v>0</v>
      </c>
      <c r="J59" s="476"/>
      <c r="K59" s="476"/>
      <c r="L59" s="476"/>
    </row>
    <row r="60" spans="1:12" s="120" customFormat="1" ht="15.75" customHeight="1">
      <c r="A60" s="118"/>
      <c r="B60" s="118"/>
      <c r="C60" s="118"/>
      <c r="D60" s="118"/>
      <c r="E60" s="118"/>
      <c r="F60" s="118"/>
      <c r="G60" s="118">
        <f>+G58-H58</f>
        <v>1</v>
      </c>
      <c r="H60" s="118"/>
      <c r="I60" s="118"/>
      <c r="J60" s="476"/>
      <c r="K60" s="476" t="s">
        <v>755</v>
      </c>
      <c r="L60" s="476"/>
    </row>
    <row r="61" spans="1:12" s="120" customFormat="1" ht="15.75" customHeight="1">
      <c r="A61" s="118"/>
      <c r="B61" s="118"/>
      <c r="C61" s="118"/>
      <c r="D61" s="118"/>
      <c r="E61" s="118"/>
      <c r="F61" s="118" t="s">
        <v>325</v>
      </c>
      <c r="G61" s="823">
        <f>+H58+H56</f>
        <v>-45172244</v>
      </c>
      <c r="H61" s="118"/>
      <c r="I61" s="118">
        <v>41658610</v>
      </c>
      <c r="J61" s="476"/>
      <c r="K61" s="910">
        <v>75153337</v>
      </c>
      <c r="L61" s="476"/>
    </row>
    <row r="62" spans="1:12" s="120" customFormat="1" ht="15.75" customHeight="1">
      <c r="A62" s="118"/>
      <c r="B62" s="118"/>
      <c r="C62" s="99" t="s">
        <v>642</v>
      </c>
      <c r="D62" s="118">
        <f>+F57</f>
        <v>73173362</v>
      </c>
      <c r="E62" s="118"/>
      <c r="F62" s="118" t="s">
        <v>324</v>
      </c>
      <c r="G62" s="118">
        <f>+G61*0.1</f>
        <v>-4517224.4000000004</v>
      </c>
      <c r="H62" s="118"/>
      <c r="I62" s="118">
        <v>11658610</v>
      </c>
      <c r="J62" s="476"/>
      <c r="K62" s="476"/>
      <c r="L62" s="476"/>
    </row>
    <row r="63" spans="1:12" ht="15.75" customHeight="1">
      <c r="A63" s="118"/>
      <c r="B63" s="118"/>
      <c r="C63" s="99" t="s">
        <v>643</v>
      </c>
      <c r="D63" s="99">
        <f>+F27</f>
        <v>0</v>
      </c>
      <c r="E63" s="118"/>
      <c r="F63" s="99" t="s">
        <v>710</v>
      </c>
      <c r="G63" s="118">
        <v>0</v>
      </c>
      <c r="H63" s="118"/>
      <c r="I63" s="118">
        <f>+I61-I62</f>
        <v>30000000</v>
      </c>
    </row>
    <row r="64" spans="1:12" ht="15.75" customHeight="1">
      <c r="A64" s="118">
        <f>+B64-B65</f>
        <v>0</v>
      </c>
      <c r="B64" s="118"/>
      <c r="C64" s="99" t="s">
        <v>905</v>
      </c>
      <c r="D64" s="99">
        <f>+D62-D63</f>
        <v>73173362</v>
      </c>
      <c r="E64" s="118"/>
      <c r="F64" s="118" t="s">
        <v>327</v>
      </c>
      <c r="G64" s="118">
        <f>-F13</f>
        <v>0</v>
      </c>
      <c r="H64" s="118"/>
      <c r="I64" s="118"/>
    </row>
    <row r="65" spans="2:14" ht="15.75" customHeight="1" thickBot="1">
      <c r="B65" s="768"/>
      <c r="C65" s="768"/>
      <c r="D65" s="768"/>
      <c r="E65" s="768"/>
      <c r="G65" s="766">
        <f>SUM(G62:G64)</f>
        <v>-4517224.4000000004</v>
      </c>
    </row>
    <row r="66" spans="2:14" ht="15.75" customHeight="1" thickTop="1">
      <c r="B66" s="260" t="s">
        <v>240</v>
      </c>
      <c r="C66" s="260"/>
      <c r="D66" s="257"/>
      <c r="G66" s="260" t="s">
        <v>430</v>
      </c>
      <c r="H66" s="47"/>
    </row>
    <row r="67" spans="2:14" s="96" customFormat="1" ht="15">
      <c r="B67" s="260" t="s">
        <v>236</v>
      </c>
      <c r="C67" s="260"/>
      <c r="D67" s="257"/>
      <c r="F67" s="99"/>
      <c r="G67" s="47" t="str">
        <f>+DATOS!H4</f>
        <v>MANUEL GUTIERREZ A. RUT: 10,150,081-0</v>
      </c>
      <c r="H67" s="47"/>
      <c r="J67" s="476"/>
      <c r="L67" s="476"/>
      <c r="N67" s="99"/>
    </row>
    <row r="68" spans="2:14" s="96" customFormat="1" ht="15">
      <c r="B68" s="260" t="s">
        <v>237</v>
      </c>
      <c r="C68" s="260"/>
      <c r="D68" s="257"/>
      <c r="F68" s="99"/>
      <c r="G68" s="260" t="s">
        <v>429</v>
      </c>
      <c r="H68" s="47"/>
      <c r="J68" s="476"/>
      <c r="L68" s="476"/>
      <c r="N68" s="99"/>
    </row>
    <row r="69" spans="2:14" s="96" customFormat="1" ht="15">
      <c r="B69" s="261" t="s">
        <v>568</v>
      </c>
      <c r="C69" s="260"/>
      <c r="D69" s="257"/>
      <c r="F69" s="99"/>
      <c r="G69" s="47"/>
      <c r="H69" s="47"/>
      <c r="J69" s="476"/>
      <c r="L69" s="476"/>
      <c r="M69" s="99"/>
      <c r="N69" s="99"/>
    </row>
    <row r="72" spans="2:14" ht="15.75" customHeight="1">
      <c r="B72" s="774"/>
      <c r="C72" s="775"/>
      <c r="D72" s="775"/>
      <c r="E72" s="775"/>
      <c r="F72" s="775"/>
      <c r="G72" s="775"/>
      <c r="H72" s="775"/>
      <c r="I72" s="776"/>
    </row>
    <row r="73" spans="2:14" ht="15.75" customHeight="1">
      <c r="B73" s="777"/>
      <c r="C73" s="778" t="s">
        <v>653</v>
      </c>
      <c r="D73" s="778"/>
      <c r="E73" s="778"/>
      <c r="F73" s="778"/>
      <c r="G73" s="778"/>
      <c r="H73" s="778"/>
      <c r="I73" s="779"/>
    </row>
    <row r="74" spans="2:14" ht="15.75" customHeight="1">
      <c r="B74" s="780" t="s">
        <v>654</v>
      </c>
      <c r="C74" s="781" t="s">
        <v>655</v>
      </c>
      <c r="D74" s="782"/>
      <c r="E74" s="782"/>
      <c r="F74" s="782"/>
      <c r="G74" s="782"/>
      <c r="H74" s="783"/>
      <c r="I74" s="784"/>
    </row>
    <row r="75" spans="2:14" ht="15.75" customHeight="1">
      <c r="B75" s="785">
        <v>1</v>
      </c>
      <c r="C75" s="778" t="s">
        <v>656</v>
      </c>
      <c r="D75" s="786"/>
      <c r="E75" s="787">
        <v>628</v>
      </c>
      <c r="F75" s="788" t="s">
        <v>657</v>
      </c>
      <c r="G75" s="789">
        <f>+I39</f>
        <v>0</v>
      </c>
      <c r="H75" s="789"/>
      <c r="I75" s="784"/>
    </row>
    <row r="76" spans="2:14" ht="15.75" customHeight="1">
      <c r="B76" s="790">
        <v>2</v>
      </c>
      <c r="C76" s="778" t="s">
        <v>658</v>
      </c>
      <c r="D76" s="786"/>
      <c r="E76" s="791">
        <v>851</v>
      </c>
      <c r="F76" s="788" t="s">
        <v>657</v>
      </c>
      <c r="G76" s="789"/>
      <c r="H76" s="789"/>
      <c r="I76" s="784"/>
    </row>
    <row r="77" spans="2:14" ht="15.75" customHeight="1">
      <c r="B77" s="790">
        <v>3</v>
      </c>
      <c r="C77" s="778" t="s">
        <v>659</v>
      </c>
      <c r="D77" s="786"/>
      <c r="E77" s="791">
        <v>629</v>
      </c>
      <c r="F77" s="788" t="s">
        <v>657</v>
      </c>
      <c r="G77" s="789"/>
      <c r="H77" s="789"/>
      <c r="I77" s="784"/>
    </row>
    <row r="78" spans="2:14" ht="15.75" customHeight="1">
      <c r="B78" s="785">
        <v>4</v>
      </c>
      <c r="C78" s="778" t="s">
        <v>660</v>
      </c>
      <c r="D78" s="786"/>
      <c r="E78" s="791">
        <v>651</v>
      </c>
      <c r="F78" s="788" t="s">
        <v>657</v>
      </c>
      <c r="G78" s="789"/>
      <c r="H78" s="789"/>
      <c r="I78" s="784"/>
    </row>
    <row r="79" spans="2:14" ht="15.75" customHeight="1" thickBot="1">
      <c r="B79" s="792"/>
      <c r="C79" s="793" t="s">
        <v>661</v>
      </c>
      <c r="D79" s="794"/>
      <c r="E79" s="795" t="s">
        <v>662</v>
      </c>
      <c r="F79" s="795" t="s">
        <v>662</v>
      </c>
      <c r="G79" s="796">
        <f>SUM(G75:G78)</f>
        <v>0</v>
      </c>
      <c r="H79" s="789">
        <f>+G79-K61</f>
        <v>-75153337</v>
      </c>
      <c r="I79" s="784"/>
    </row>
    <row r="80" spans="2:14" ht="15.75" customHeight="1" thickTop="1">
      <c r="B80" s="790"/>
      <c r="C80" s="778"/>
      <c r="D80" s="786"/>
      <c r="E80" s="786"/>
      <c r="F80" s="783"/>
      <c r="G80" s="797"/>
      <c r="H80" s="789"/>
      <c r="I80" s="784"/>
    </row>
    <row r="81" spans="2:9" ht="15.75" customHeight="1">
      <c r="B81" s="798"/>
      <c r="C81" s="781" t="s">
        <v>663</v>
      </c>
      <c r="D81" s="782"/>
      <c r="E81" s="782"/>
      <c r="F81" s="782"/>
      <c r="G81" s="799"/>
      <c r="H81" s="789"/>
      <c r="I81" s="784"/>
    </row>
    <row r="82" spans="2:9" ht="15.75" customHeight="1">
      <c r="B82" s="785">
        <v>5</v>
      </c>
      <c r="C82" s="778" t="s">
        <v>664</v>
      </c>
      <c r="D82" s="786"/>
      <c r="E82" s="786">
        <v>630</v>
      </c>
      <c r="F82" s="783" t="s">
        <v>665</v>
      </c>
      <c r="G82" s="797">
        <f>-H49-H51</f>
        <v>-7880967</v>
      </c>
      <c r="H82" s="789"/>
      <c r="I82" s="784"/>
    </row>
    <row r="83" spans="2:9" ht="15.75" customHeight="1" thickBot="1">
      <c r="B83" s="792"/>
      <c r="C83" s="793" t="s">
        <v>666</v>
      </c>
      <c r="D83" s="794"/>
      <c r="E83" s="795" t="s">
        <v>662</v>
      </c>
      <c r="F83" s="795" t="s">
        <v>662</v>
      </c>
      <c r="G83" s="796">
        <f>SUM(G82)</f>
        <v>-7880967</v>
      </c>
      <c r="H83" s="789"/>
      <c r="I83" s="784"/>
    </row>
    <row r="84" spans="2:9" ht="15.75" customHeight="1" thickTop="1">
      <c r="B84" s="790"/>
      <c r="C84" s="778"/>
      <c r="D84" s="786"/>
      <c r="E84" s="786"/>
      <c r="F84" s="783"/>
      <c r="G84" s="797"/>
      <c r="H84" s="789"/>
      <c r="I84" s="784"/>
    </row>
    <row r="85" spans="2:9" ht="15.75" customHeight="1">
      <c r="B85" s="798"/>
      <c r="C85" s="781" t="s">
        <v>667</v>
      </c>
      <c r="D85" s="782"/>
      <c r="E85" s="782"/>
      <c r="F85" s="782"/>
      <c r="G85" s="799"/>
      <c r="H85" s="789"/>
      <c r="I85" s="784"/>
    </row>
    <row r="86" spans="2:9" ht="15.75" customHeight="1">
      <c r="B86" s="785">
        <v>6</v>
      </c>
      <c r="C86" s="778" t="s">
        <v>668</v>
      </c>
      <c r="D86" s="786"/>
      <c r="E86" s="787">
        <v>631</v>
      </c>
      <c r="F86" s="788" t="s">
        <v>665</v>
      </c>
      <c r="G86" s="797">
        <f>-H44-H53</f>
        <v>-6758820</v>
      </c>
      <c r="H86" s="789"/>
      <c r="I86" s="784"/>
    </row>
    <row r="87" spans="2:9" ht="15.75" customHeight="1">
      <c r="B87" s="790">
        <v>7</v>
      </c>
      <c r="C87" s="778" t="s">
        <v>669</v>
      </c>
      <c r="D87" s="786"/>
      <c r="E87" s="791">
        <v>632</v>
      </c>
      <c r="F87" s="788" t="s">
        <v>665</v>
      </c>
      <c r="G87" s="797"/>
      <c r="H87" s="789"/>
      <c r="I87" s="784"/>
    </row>
    <row r="88" spans="2:9" ht="15.75" customHeight="1">
      <c r="B88" s="790">
        <v>8</v>
      </c>
      <c r="C88" s="778" t="s">
        <v>670</v>
      </c>
      <c r="D88" s="786"/>
      <c r="E88" s="791">
        <v>633</v>
      </c>
      <c r="F88" s="788" t="s">
        <v>665</v>
      </c>
      <c r="G88" s="797">
        <f>-H48</f>
        <v>0</v>
      </c>
      <c r="H88" s="789"/>
      <c r="I88" s="784"/>
    </row>
    <row r="89" spans="2:9" ht="15.75" customHeight="1">
      <c r="B89" s="790">
        <v>9</v>
      </c>
      <c r="C89" s="778" t="s">
        <v>671</v>
      </c>
      <c r="D89" s="786"/>
      <c r="E89" s="791">
        <v>966</v>
      </c>
      <c r="F89" s="788" t="s">
        <v>665</v>
      </c>
      <c r="G89" s="797"/>
      <c r="H89" s="789"/>
      <c r="I89" s="784"/>
    </row>
    <row r="90" spans="2:9" ht="15.75" customHeight="1">
      <c r="B90" s="790">
        <v>10</v>
      </c>
      <c r="C90" s="778" t="s">
        <v>672</v>
      </c>
      <c r="D90" s="786"/>
      <c r="E90" s="791">
        <v>967</v>
      </c>
      <c r="F90" s="788" t="s">
        <v>665</v>
      </c>
      <c r="G90" s="797"/>
      <c r="H90" s="789"/>
      <c r="I90" s="784"/>
    </row>
    <row r="91" spans="2:9" ht="15.75" customHeight="1">
      <c r="B91" s="790">
        <v>11</v>
      </c>
      <c r="C91" s="778" t="s">
        <v>673</v>
      </c>
      <c r="D91" s="786"/>
      <c r="E91" s="791">
        <v>852</v>
      </c>
      <c r="F91" s="788" t="s">
        <v>665</v>
      </c>
      <c r="G91" s="797"/>
      <c r="H91" s="789"/>
      <c r="I91" s="784"/>
    </row>
    <row r="92" spans="2:9" ht="15.75" customHeight="1">
      <c r="B92" s="790">
        <v>12</v>
      </c>
      <c r="C92" s="778" t="s">
        <v>674</v>
      </c>
      <c r="D92" s="786"/>
      <c r="E92" s="791">
        <v>897</v>
      </c>
      <c r="F92" s="788" t="s">
        <v>665</v>
      </c>
      <c r="G92" s="797"/>
      <c r="H92" s="789"/>
      <c r="I92" s="784"/>
    </row>
    <row r="93" spans="2:9" ht="15.75" customHeight="1">
      <c r="B93" s="790">
        <v>13</v>
      </c>
      <c r="C93" s="778" t="s">
        <v>675</v>
      </c>
      <c r="D93" s="786"/>
      <c r="E93" s="791">
        <v>853</v>
      </c>
      <c r="F93" s="788" t="s">
        <v>665</v>
      </c>
      <c r="G93" s="797"/>
      <c r="H93" s="789"/>
      <c r="I93" s="784"/>
    </row>
    <row r="94" spans="2:9" ht="15.75" customHeight="1">
      <c r="B94" s="785">
        <v>14</v>
      </c>
      <c r="C94" s="778" t="s">
        <v>676</v>
      </c>
      <c r="D94" s="786"/>
      <c r="E94" s="791">
        <v>968</v>
      </c>
      <c r="F94" s="788" t="s">
        <v>665</v>
      </c>
      <c r="G94" s="797">
        <f>-H56</f>
        <v>-4165861</v>
      </c>
      <c r="H94" s="789"/>
      <c r="I94" s="784"/>
    </row>
    <row r="95" spans="2:9" ht="15.75" customHeight="1">
      <c r="B95" s="790">
        <v>15</v>
      </c>
      <c r="C95" s="778" t="s">
        <v>677</v>
      </c>
      <c r="D95" s="786"/>
      <c r="E95" s="791">
        <v>969</v>
      </c>
      <c r="F95" s="788" t="s">
        <v>665</v>
      </c>
      <c r="G95" s="797"/>
      <c r="H95" s="789"/>
      <c r="I95" s="784"/>
    </row>
    <row r="96" spans="2:9" ht="15.75" customHeight="1">
      <c r="B96" s="790">
        <v>16</v>
      </c>
      <c r="C96" s="778" t="s">
        <v>678</v>
      </c>
      <c r="D96" s="786"/>
      <c r="E96" s="791">
        <v>635</v>
      </c>
      <c r="F96" s="788" t="s">
        <v>665</v>
      </c>
      <c r="G96" s="797"/>
      <c r="H96" s="789"/>
      <c r="I96" s="784"/>
    </row>
    <row r="97" spans="2:9" ht="15.75" customHeight="1" thickBot="1">
      <c r="B97" s="792"/>
      <c r="C97" s="793" t="s">
        <v>679</v>
      </c>
      <c r="D97" s="794"/>
      <c r="E97" s="795" t="s">
        <v>662</v>
      </c>
      <c r="F97" s="795" t="s">
        <v>662</v>
      </c>
      <c r="G97" s="796">
        <f>SUM(G86:G96)</f>
        <v>-10924681</v>
      </c>
      <c r="H97" s="789"/>
      <c r="I97" s="784"/>
    </row>
    <row r="98" spans="2:9" ht="15.75" customHeight="1" thickTop="1" thickBot="1">
      <c r="B98" s="792"/>
      <c r="C98" s="793" t="s">
        <v>680</v>
      </c>
      <c r="D98" s="794"/>
      <c r="E98" s="795" t="s">
        <v>662</v>
      </c>
      <c r="F98" s="795" t="s">
        <v>662</v>
      </c>
      <c r="G98" s="796">
        <f>+G79+G83+G97</f>
        <v>-18805648</v>
      </c>
      <c r="H98" s="789"/>
      <c r="I98" s="784"/>
    </row>
    <row r="99" spans="2:9" ht="15.75" customHeight="1" thickTop="1">
      <c r="B99" s="790"/>
      <c r="C99" s="778"/>
      <c r="D99" s="786"/>
      <c r="E99" s="786"/>
      <c r="F99" s="783"/>
      <c r="G99" s="797"/>
      <c r="H99" s="789"/>
      <c r="I99" s="784"/>
    </row>
    <row r="100" spans="2:9" ht="15.75" customHeight="1">
      <c r="B100" s="798"/>
      <c r="C100" s="781" t="s">
        <v>681</v>
      </c>
      <c r="D100" s="782"/>
      <c r="E100" s="782"/>
      <c r="F100" s="782"/>
      <c r="G100" s="799"/>
      <c r="H100" s="789"/>
      <c r="I100" s="784"/>
    </row>
    <row r="101" spans="2:9" ht="15.75" customHeight="1">
      <c r="B101" s="785">
        <v>17</v>
      </c>
      <c r="C101" s="800" t="s">
        <v>682</v>
      </c>
      <c r="D101" s="801"/>
      <c r="E101" s="801">
        <v>637</v>
      </c>
      <c r="F101" s="802" t="s">
        <v>665</v>
      </c>
      <c r="G101" s="797">
        <f>-H55</f>
        <v>0</v>
      </c>
      <c r="H101" s="789"/>
      <c r="I101" s="784"/>
    </row>
    <row r="102" spans="2:9" ht="15.75" customHeight="1">
      <c r="B102" s="790">
        <v>18</v>
      </c>
      <c r="C102" s="800" t="s">
        <v>683</v>
      </c>
      <c r="D102" s="801"/>
      <c r="E102" s="801">
        <v>638</v>
      </c>
      <c r="F102" s="802" t="s">
        <v>657</v>
      </c>
      <c r="G102" s="797">
        <f>+I55</f>
        <v>0</v>
      </c>
      <c r="H102" s="789"/>
      <c r="I102" s="784"/>
    </row>
    <row r="103" spans="2:9" ht="15.75" customHeight="1" thickBot="1">
      <c r="B103" s="792"/>
      <c r="C103" s="793" t="s">
        <v>684</v>
      </c>
      <c r="D103" s="794"/>
      <c r="E103" s="795"/>
      <c r="F103" s="795"/>
      <c r="G103" s="796">
        <f>+G101+G102</f>
        <v>0</v>
      </c>
      <c r="H103" s="789"/>
      <c r="I103" s="784"/>
    </row>
    <row r="104" spans="2:9" ht="15.75" customHeight="1" thickTop="1">
      <c r="B104" s="790"/>
      <c r="C104" s="778"/>
      <c r="D104" s="786"/>
      <c r="E104" s="786"/>
      <c r="F104" s="783"/>
      <c r="G104" s="797"/>
      <c r="H104" s="789"/>
      <c r="I104" s="784"/>
    </row>
    <row r="105" spans="2:9" ht="15.75" customHeight="1">
      <c r="B105" s="798"/>
      <c r="C105" s="781" t="s">
        <v>681</v>
      </c>
      <c r="D105" s="782"/>
      <c r="E105" s="782"/>
      <c r="F105" s="782"/>
      <c r="G105" s="799"/>
      <c r="H105" s="789"/>
      <c r="I105" s="784"/>
    </row>
    <row r="106" spans="2:9" ht="15.75" customHeight="1">
      <c r="B106" s="803">
        <v>19</v>
      </c>
      <c r="C106" s="804" t="s">
        <v>685</v>
      </c>
      <c r="D106" s="805"/>
      <c r="E106" s="805"/>
      <c r="F106" s="806" t="s">
        <v>657</v>
      </c>
      <c r="G106" s="807">
        <f>+H56</f>
        <v>4165861</v>
      </c>
      <c r="H106" s="789"/>
      <c r="I106" s="784"/>
    </row>
    <row r="107" spans="2:9" ht="15.75" customHeight="1">
      <c r="B107" s="808">
        <v>20</v>
      </c>
      <c r="C107" s="778" t="s">
        <v>686</v>
      </c>
      <c r="D107" s="786"/>
      <c r="E107" s="783">
        <v>926</v>
      </c>
      <c r="F107" s="788" t="s">
        <v>657</v>
      </c>
      <c r="G107" s="797"/>
      <c r="H107" s="789"/>
      <c r="I107" s="784"/>
    </row>
    <row r="108" spans="2:9" ht="15.75" customHeight="1">
      <c r="B108" s="808">
        <v>21</v>
      </c>
      <c r="C108" s="778" t="s">
        <v>687</v>
      </c>
      <c r="D108" s="786"/>
      <c r="E108" s="786">
        <v>970</v>
      </c>
      <c r="F108" s="788" t="s">
        <v>665</v>
      </c>
      <c r="G108" s="797"/>
      <c r="H108" s="789"/>
      <c r="I108" s="784"/>
    </row>
    <row r="109" spans="2:9" ht="15.75" customHeight="1">
      <c r="B109" s="808">
        <v>22</v>
      </c>
      <c r="C109" s="778" t="s">
        <v>688</v>
      </c>
      <c r="D109" s="786"/>
      <c r="E109" s="786">
        <v>971</v>
      </c>
      <c r="F109" s="788" t="s">
        <v>657</v>
      </c>
      <c r="G109" s="797"/>
      <c r="H109" s="789"/>
      <c r="I109" s="784"/>
    </row>
    <row r="110" spans="2:9" ht="15.75" customHeight="1">
      <c r="B110" s="808">
        <v>23</v>
      </c>
      <c r="C110" s="778" t="s">
        <v>689</v>
      </c>
      <c r="D110" s="786"/>
      <c r="E110" s="786">
        <v>639</v>
      </c>
      <c r="F110" s="788" t="s">
        <v>665</v>
      </c>
      <c r="G110" s="797"/>
      <c r="H110" s="789"/>
      <c r="I110" s="784"/>
    </row>
    <row r="111" spans="2:9" ht="15.75" customHeight="1" thickBot="1">
      <c r="B111" s="792"/>
      <c r="C111" s="793" t="s">
        <v>690</v>
      </c>
      <c r="D111" s="794"/>
      <c r="E111" s="795"/>
      <c r="F111" s="795"/>
      <c r="G111" s="796">
        <f>SUM(G106:G110)</f>
        <v>4165861</v>
      </c>
      <c r="H111" s="789"/>
      <c r="I111" s="784"/>
    </row>
    <row r="112" spans="2:9" ht="15.75" customHeight="1" thickTop="1">
      <c r="B112" s="808"/>
      <c r="C112" s="778"/>
      <c r="D112" s="786"/>
      <c r="E112" s="786"/>
      <c r="F112" s="783"/>
      <c r="G112" s="797"/>
      <c r="H112" s="789"/>
      <c r="I112" s="784"/>
    </row>
    <row r="113" spans="2:9" ht="15.75" customHeight="1">
      <c r="B113" s="798"/>
      <c r="C113" s="781" t="s">
        <v>691</v>
      </c>
      <c r="D113" s="782"/>
      <c r="E113" s="782"/>
      <c r="F113" s="782"/>
      <c r="G113" s="799"/>
      <c r="H113" s="789"/>
      <c r="I113" s="784"/>
    </row>
    <row r="114" spans="2:9" ht="15.75" customHeight="1">
      <c r="B114" s="808">
        <v>24</v>
      </c>
      <c r="C114" s="778" t="s">
        <v>692</v>
      </c>
      <c r="D114" s="786"/>
      <c r="E114" s="786">
        <v>927</v>
      </c>
      <c r="F114" s="788" t="s">
        <v>665</v>
      </c>
      <c r="G114" s="797"/>
      <c r="H114" s="789"/>
      <c r="I114" s="784"/>
    </row>
    <row r="115" spans="2:9" ht="15.75" customHeight="1">
      <c r="B115" s="808">
        <v>25</v>
      </c>
      <c r="C115" s="778" t="s">
        <v>693</v>
      </c>
      <c r="D115" s="786"/>
      <c r="E115" s="783">
        <v>1000</v>
      </c>
      <c r="F115" s="788" t="s">
        <v>665</v>
      </c>
      <c r="G115" s="797"/>
      <c r="H115" s="789"/>
      <c r="I115" s="784"/>
    </row>
    <row r="116" spans="2:9" ht="15.75" customHeight="1">
      <c r="B116" s="808">
        <v>26</v>
      </c>
      <c r="C116" s="778" t="s">
        <v>694</v>
      </c>
      <c r="D116" s="786"/>
      <c r="E116" s="786">
        <v>827</v>
      </c>
      <c r="F116" s="788" t="s">
        <v>665</v>
      </c>
      <c r="G116" s="797"/>
      <c r="H116" s="789"/>
      <c r="I116" s="784"/>
    </row>
    <row r="117" spans="2:9" ht="15.75" customHeight="1">
      <c r="B117" s="808">
        <v>27</v>
      </c>
      <c r="C117" s="778" t="s">
        <v>695</v>
      </c>
      <c r="D117" s="786"/>
      <c r="E117" s="786">
        <v>928</v>
      </c>
      <c r="F117" s="788" t="s">
        <v>665</v>
      </c>
      <c r="G117" s="797"/>
      <c r="H117" s="789"/>
      <c r="I117" s="784"/>
    </row>
    <row r="118" spans="2:9" ht="15.75" customHeight="1">
      <c r="B118" s="808">
        <v>28</v>
      </c>
      <c r="C118" s="778" t="s">
        <v>696</v>
      </c>
      <c r="D118" s="786"/>
      <c r="E118" s="786">
        <v>929</v>
      </c>
      <c r="F118" s="788" t="s">
        <v>665</v>
      </c>
      <c r="G118" s="797"/>
      <c r="H118" s="789"/>
      <c r="I118" s="784"/>
    </row>
    <row r="119" spans="2:9" ht="15.75" customHeight="1">
      <c r="B119" s="808">
        <v>29</v>
      </c>
      <c r="C119" s="778" t="s">
        <v>697</v>
      </c>
      <c r="D119" s="786"/>
      <c r="E119" s="786">
        <v>807</v>
      </c>
      <c r="F119" s="788" t="s">
        <v>665</v>
      </c>
      <c r="G119" s="797"/>
      <c r="H119" s="789"/>
      <c r="I119" s="784"/>
    </row>
    <row r="120" spans="2:9" ht="15.75" customHeight="1">
      <c r="B120" s="808">
        <v>30</v>
      </c>
      <c r="C120" s="778" t="s">
        <v>698</v>
      </c>
      <c r="D120" s="786"/>
      <c r="E120" s="783">
        <v>641</v>
      </c>
      <c r="F120" s="788" t="s">
        <v>665</v>
      </c>
      <c r="G120" s="797"/>
      <c r="H120" s="789"/>
      <c r="I120" s="784"/>
    </row>
    <row r="121" spans="2:9" ht="15.75" customHeight="1">
      <c r="B121" s="808">
        <v>31</v>
      </c>
      <c r="C121" s="778" t="s">
        <v>699</v>
      </c>
      <c r="D121" s="786"/>
      <c r="E121" s="786">
        <v>642</v>
      </c>
      <c r="F121" s="788" t="s">
        <v>665</v>
      </c>
      <c r="G121" s="797"/>
      <c r="H121" s="789"/>
      <c r="I121" s="784"/>
    </row>
    <row r="122" spans="2:9" ht="15.75" customHeight="1">
      <c r="B122" s="808">
        <v>32</v>
      </c>
      <c r="C122" s="778" t="s">
        <v>700</v>
      </c>
      <c r="D122" s="786"/>
      <c r="E122" s="786">
        <v>973</v>
      </c>
      <c r="F122" s="788" t="s">
        <v>665</v>
      </c>
      <c r="G122" s="797"/>
      <c r="H122" s="789"/>
      <c r="I122" s="784"/>
    </row>
    <row r="123" spans="2:9" ht="15.75" customHeight="1">
      <c r="B123" s="808">
        <v>34</v>
      </c>
      <c r="C123" s="778" t="s">
        <v>701</v>
      </c>
      <c r="D123" s="786"/>
      <c r="E123" s="786">
        <v>640</v>
      </c>
      <c r="F123" s="788" t="s">
        <v>665</v>
      </c>
      <c r="G123" s="797"/>
      <c r="H123" s="789"/>
      <c r="I123" s="784"/>
    </row>
    <row r="124" spans="2:9" ht="15.75" customHeight="1">
      <c r="B124" s="808">
        <v>34</v>
      </c>
      <c r="C124" s="778" t="s">
        <v>702</v>
      </c>
      <c r="D124" s="786"/>
      <c r="E124" s="786">
        <v>634</v>
      </c>
      <c r="F124" s="788" t="s">
        <v>665</v>
      </c>
      <c r="G124" s="797"/>
      <c r="H124" s="789"/>
      <c r="I124" s="784"/>
    </row>
    <row r="125" spans="2:9" ht="15.75" customHeight="1" thickBot="1">
      <c r="B125" s="792"/>
      <c r="C125" s="793" t="s">
        <v>690</v>
      </c>
      <c r="D125" s="794"/>
      <c r="E125" s="795">
        <v>643</v>
      </c>
      <c r="F125" s="795"/>
      <c r="G125" s="796">
        <f>SUM(G114:G124)</f>
        <v>0</v>
      </c>
      <c r="H125" s="789"/>
      <c r="I125" s="784"/>
    </row>
    <row r="126" spans="2:9" ht="15.75" customHeight="1" thickTop="1">
      <c r="B126" s="808"/>
      <c r="C126" s="778"/>
      <c r="D126" s="786"/>
      <c r="E126" s="786"/>
      <c r="F126" s="783"/>
      <c r="G126" s="797"/>
      <c r="H126" s="789"/>
      <c r="I126" s="784"/>
    </row>
    <row r="127" spans="2:9" ht="15.75" customHeight="1" thickBot="1">
      <c r="B127" s="792"/>
      <c r="C127" s="793" t="s">
        <v>680</v>
      </c>
      <c r="D127" s="794"/>
      <c r="E127" s="795" t="s">
        <v>662</v>
      </c>
      <c r="F127" s="795" t="s">
        <v>662</v>
      </c>
      <c r="G127" s="796">
        <f>+G98+G103+G111+G125</f>
        <v>-14639787</v>
      </c>
      <c r="H127" s="789">
        <f>+G44</f>
        <v>0</v>
      </c>
      <c r="I127" s="784">
        <f>+H127-G127</f>
        <v>14639787</v>
      </c>
    </row>
    <row r="128" spans="2:9" ht="15.75" customHeight="1" thickTop="1">
      <c r="B128" s="808"/>
      <c r="C128" s="778"/>
      <c r="D128" s="786"/>
      <c r="E128" s="786"/>
      <c r="F128" s="783"/>
      <c r="G128" s="797"/>
      <c r="H128" s="789"/>
      <c r="I128" s="784"/>
    </row>
    <row r="129" spans="2:9" ht="15.75" customHeight="1">
      <c r="B129" s="809"/>
      <c r="C129" s="810"/>
      <c r="D129" s="811"/>
      <c r="E129" s="811"/>
      <c r="F129" s="812"/>
      <c r="G129" s="813"/>
      <c r="H129" s="813"/>
      <c r="I129" s="814"/>
    </row>
    <row r="155" spans="1:3" ht="15.75" customHeight="1">
      <c r="A155" s="99" t="s">
        <v>111</v>
      </c>
      <c r="B155" s="99">
        <v>1199231588</v>
      </c>
      <c r="C155" s="99">
        <v>1519951732</v>
      </c>
    </row>
    <row r="156" spans="1:3" ht="15.75" customHeight="1">
      <c r="A156" s="99" t="s">
        <v>196</v>
      </c>
      <c r="B156" s="99">
        <v>1210221540</v>
      </c>
      <c r="C156" s="99">
        <v>584567899</v>
      </c>
    </row>
    <row r="157" spans="1:3" ht="15.75" customHeight="1">
      <c r="A157" s="99" t="s">
        <v>160</v>
      </c>
      <c r="B157" s="99">
        <v>251071768</v>
      </c>
      <c r="C157" s="99">
        <v>257310286</v>
      </c>
    </row>
    <row r="158" spans="1:3" ht="15.75" customHeight="1">
      <c r="A158" s="99" t="s">
        <v>142</v>
      </c>
      <c r="B158" s="99">
        <v>12249613</v>
      </c>
      <c r="C158" s="99">
        <v>2542340</v>
      </c>
    </row>
    <row r="159" spans="1:3" ht="15.75" customHeight="1">
      <c r="A159" s="99" t="s">
        <v>221</v>
      </c>
      <c r="B159" s="99">
        <v>6657464</v>
      </c>
      <c r="C159" s="99">
        <v>6657464</v>
      </c>
    </row>
    <row r="160" spans="1:3" ht="15.75" customHeight="1">
      <c r="A160" s="99" t="s">
        <v>197</v>
      </c>
      <c r="B160" s="99">
        <v>0</v>
      </c>
      <c r="C160" s="99">
        <v>0</v>
      </c>
    </row>
    <row r="161" spans="1:3" ht="15.75" customHeight="1">
      <c r="A161" s="99" t="s">
        <v>234</v>
      </c>
      <c r="B161" s="99">
        <v>3789600</v>
      </c>
      <c r="C161" s="99">
        <v>0</v>
      </c>
    </row>
    <row r="162" spans="1:3" ht="15.75" customHeight="1">
      <c r="A162" s="99" t="s">
        <v>198</v>
      </c>
      <c r="B162" s="99">
        <v>0</v>
      </c>
      <c r="C162" s="99">
        <v>0</v>
      </c>
    </row>
    <row r="163" spans="1:3" ht="15.75" customHeight="1">
      <c r="A163" s="99" t="s">
        <v>199</v>
      </c>
      <c r="B163" s="99">
        <v>241876346</v>
      </c>
      <c r="C163" s="99">
        <v>0</v>
      </c>
    </row>
    <row r="164" spans="1:3" ht="15.75" customHeight="1">
      <c r="A164" s="99" t="s">
        <v>226</v>
      </c>
      <c r="B164" s="99">
        <v>80375935</v>
      </c>
      <c r="C164" s="99">
        <v>0</v>
      </c>
    </row>
    <row r="165" spans="1:3" ht="15.75" customHeight="1">
      <c r="A165" s="99" t="s">
        <v>161</v>
      </c>
      <c r="B165" s="99">
        <v>0</v>
      </c>
      <c r="C165" s="99">
        <v>0</v>
      </c>
    </row>
    <row r="166" spans="1:3" ht="15.75" customHeight="1">
      <c r="A166" s="99" t="s">
        <v>253</v>
      </c>
      <c r="B166" s="99">
        <v>49133855</v>
      </c>
      <c r="C166" s="99">
        <v>814083</v>
      </c>
    </row>
    <row r="167" spans="1:3" ht="15.75" customHeight="1">
      <c r="A167" s="99" t="s">
        <v>255</v>
      </c>
      <c r="B167" s="99">
        <v>35697471</v>
      </c>
      <c r="C167" s="99">
        <v>0</v>
      </c>
    </row>
    <row r="168" spans="1:3" ht="15.75" customHeight="1">
      <c r="A168" s="99" t="s">
        <v>198</v>
      </c>
      <c r="B168" s="99">
        <v>0</v>
      </c>
      <c r="C168" s="99">
        <v>0</v>
      </c>
    </row>
    <row r="169" spans="1:3" ht="15.75" customHeight="1">
      <c r="A169" s="99" t="s">
        <v>225</v>
      </c>
      <c r="B169" s="99">
        <v>0</v>
      </c>
      <c r="C169" s="99">
        <v>0</v>
      </c>
    </row>
    <row r="170" spans="1:3" ht="15.75" customHeight="1">
      <c r="A170" s="99">
        <v>0</v>
      </c>
      <c r="B170" s="99">
        <v>0</v>
      </c>
      <c r="C170" s="99">
        <v>0</v>
      </c>
    </row>
    <row r="171" spans="1:3" ht="15.75" customHeight="1">
      <c r="A171" s="99">
        <v>0</v>
      </c>
      <c r="B171" s="99">
        <v>0</v>
      </c>
      <c r="C171" s="99">
        <v>0</v>
      </c>
    </row>
    <row r="172" spans="1:3" ht="15.75" customHeight="1">
      <c r="A172" s="99" t="s">
        <v>201</v>
      </c>
      <c r="B172" s="99">
        <v>0</v>
      </c>
      <c r="C172" s="99">
        <v>0</v>
      </c>
    </row>
    <row r="173" spans="1:3" ht="15.75" customHeight="1">
      <c r="A173" s="99" t="s">
        <v>164</v>
      </c>
      <c r="B173" s="99">
        <v>1306278</v>
      </c>
      <c r="C173" s="99">
        <v>1376582</v>
      </c>
    </row>
    <row r="174" spans="1:3" ht="15.75" customHeight="1">
      <c r="A174" s="99" t="s">
        <v>200</v>
      </c>
      <c r="B174" s="99">
        <v>0</v>
      </c>
      <c r="C174" s="99">
        <v>0</v>
      </c>
    </row>
    <row r="175" spans="1:3" ht="15.75" customHeight="1">
      <c r="A175" s="99" t="s">
        <v>145</v>
      </c>
      <c r="B175" s="99">
        <v>255937</v>
      </c>
      <c r="C175" s="99">
        <v>255937</v>
      </c>
    </row>
    <row r="176" spans="1:3" ht="15.75" customHeight="1">
      <c r="A176" s="99" t="s">
        <v>222</v>
      </c>
      <c r="B176" s="99">
        <v>0</v>
      </c>
      <c r="C176" s="99">
        <v>3890567</v>
      </c>
    </row>
    <row r="177" spans="1:3" ht="15.75" customHeight="1">
      <c r="A177" s="99" t="s">
        <v>230</v>
      </c>
      <c r="B177" s="99">
        <v>814083</v>
      </c>
      <c r="C177" s="99">
        <v>32246919</v>
      </c>
    </row>
    <row r="178" spans="1:3" ht="15.75" customHeight="1">
      <c r="A178" s="99" t="s">
        <v>254</v>
      </c>
      <c r="B178" s="99">
        <v>27079344</v>
      </c>
      <c r="C178" s="99">
        <v>121857048</v>
      </c>
    </row>
    <row r="179" spans="1:3" ht="15.75" customHeight="1">
      <c r="A179" s="99" t="s">
        <v>256</v>
      </c>
      <c r="B179" s="99">
        <v>2279389</v>
      </c>
      <c r="C179" s="99">
        <v>41029256</v>
      </c>
    </row>
    <row r="180" spans="1:3" ht="15.75" customHeight="1">
      <c r="A180" s="99" t="s">
        <v>257</v>
      </c>
      <c r="B180" s="99">
        <v>6250270</v>
      </c>
      <c r="C180" s="99">
        <v>75000505</v>
      </c>
    </row>
    <row r="181" spans="1:3" ht="15.75" customHeight="1">
      <c r="A181" s="99" t="s">
        <v>246</v>
      </c>
      <c r="B181" s="99">
        <v>551001</v>
      </c>
      <c r="C181" s="99">
        <v>606389</v>
      </c>
    </row>
    <row r="182" spans="1:3" ht="15.75" customHeight="1">
      <c r="A182" s="99" t="s">
        <v>159</v>
      </c>
      <c r="B182" s="99">
        <v>0</v>
      </c>
      <c r="C182" s="99">
        <v>0</v>
      </c>
    </row>
    <row r="183" spans="1:3" ht="15.75" customHeight="1">
      <c r="A183" s="99" t="s">
        <v>223</v>
      </c>
      <c r="B183" s="99">
        <v>0</v>
      </c>
      <c r="C183" s="99">
        <v>2785708</v>
      </c>
    </row>
    <row r="184" spans="1:3" ht="15.75" customHeight="1">
      <c r="A184" s="99" t="s">
        <v>227</v>
      </c>
      <c r="B184" s="99">
        <v>0</v>
      </c>
      <c r="C184" s="99">
        <v>9374788</v>
      </c>
    </row>
    <row r="185" spans="1:3" ht="15.75" customHeight="1">
      <c r="A185" s="99" t="s">
        <v>251</v>
      </c>
      <c r="B185" s="99">
        <v>0</v>
      </c>
      <c r="C185" s="99">
        <v>6317820</v>
      </c>
    </row>
    <row r="186" spans="1:3" ht="15.75" customHeight="1">
      <c r="A186" s="99" t="s">
        <v>252</v>
      </c>
      <c r="B186" s="99">
        <v>0</v>
      </c>
      <c r="C186" s="99">
        <v>88007868</v>
      </c>
    </row>
    <row r="187" spans="1:3" ht="15.75" customHeight="1">
      <c r="A187" s="99" t="s">
        <v>53</v>
      </c>
      <c r="B187" s="99">
        <v>0</v>
      </c>
      <c r="C187" s="99">
        <v>20000000</v>
      </c>
    </row>
    <row r="188" spans="1:3" ht="15.75" customHeight="1">
      <c r="A188" s="99" t="s">
        <v>143</v>
      </c>
      <c r="B188" s="99">
        <v>0</v>
      </c>
      <c r="C188" s="99">
        <v>500000</v>
      </c>
    </row>
    <row r="189" spans="1:3" ht="15.75" customHeight="1">
      <c r="A189" s="99" t="s">
        <v>66</v>
      </c>
      <c r="B189" s="99">
        <v>0</v>
      </c>
      <c r="C189" s="99">
        <v>0</v>
      </c>
    </row>
    <row r="190" spans="1:3" ht="15.75" customHeight="1">
      <c r="A190" s="99" t="s">
        <v>194</v>
      </c>
      <c r="B190" s="99">
        <v>10000000</v>
      </c>
      <c r="C190" s="99">
        <v>62003027</v>
      </c>
    </row>
    <row r="191" spans="1:3" ht="15.75" customHeight="1">
      <c r="A191" s="99" t="s">
        <v>180</v>
      </c>
      <c r="B191" s="99">
        <v>0</v>
      </c>
      <c r="C191" s="99">
        <v>1354264665</v>
      </c>
    </row>
    <row r="192" spans="1:3" ht="15.75" customHeight="1">
      <c r="A192" s="99" t="s">
        <v>182</v>
      </c>
      <c r="B192" s="99">
        <v>0</v>
      </c>
      <c r="C192" s="99">
        <v>0</v>
      </c>
    </row>
    <row r="193" spans="1:3" ht="15.75" customHeight="1">
      <c r="A193" s="99" t="s">
        <v>181</v>
      </c>
      <c r="B193" s="99">
        <v>0</v>
      </c>
      <c r="C193" s="99">
        <v>0</v>
      </c>
    </row>
    <row r="194" spans="1:3" ht="15.75" customHeight="1">
      <c r="A194" s="99" t="s">
        <v>183</v>
      </c>
      <c r="B194" s="99">
        <v>0</v>
      </c>
      <c r="C194" s="99">
        <v>0</v>
      </c>
    </row>
    <row r="195" spans="1:3" ht="15.75" customHeight="1">
      <c r="A195" s="99" t="s">
        <v>177</v>
      </c>
      <c r="B195" s="99">
        <v>606389</v>
      </c>
      <c r="C195" s="99">
        <v>0</v>
      </c>
    </row>
    <row r="196" spans="1:3" ht="15.75" customHeight="1">
      <c r="A196" s="99" t="s">
        <v>229</v>
      </c>
      <c r="B196" s="99">
        <v>0</v>
      </c>
    </row>
    <row r="197" spans="1:3" ht="15.75" customHeight="1">
      <c r="A197" s="99" t="s">
        <v>178</v>
      </c>
      <c r="B197" s="99">
        <v>684941638</v>
      </c>
    </row>
    <row r="198" spans="1:3" ht="15.75" customHeight="1">
      <c r="A198" s="99">
        <v>0</v>
      </c>
      <c r="B198" s="99">
        <v>0</v>
      </c>
      <c r="C198" s="99">
        <v>0</v>
      </c>
    </row>
    <row r="199" spans="1:3" ht="15.75" customHeight="1">
      <c r="A199" s="99" t="s">
        <v>232</v>
      </c>
      <c r="B199" s="99">
        <v>0</v>
      </c>
      <c r="C199" s="99">
        <v>0</v>
      </c>
    </row>
    <row r="200" spans="1:3" ht="15.75" customHeight="1">
      <c r="A200" s="99" t="s">
        <v>233</v>
      </c>
      <c r="B200" s="99">
        <v>0</v>
      </c>
      <c r="C200" s="99">
        <v>0</v>
      </c>
    </row>
    <row r="201" spans="1:3" ht="15.75" customHeight="1">
      <c r="A201" s="99">
        <v>0</v>
      </c>
      <c r="B201" s="99">
        <v>0</v>
      </c>
      <c r="C201" s="99">
        <v>0</v>
      </c>
    </row>
    <row r="202" spans="1:3" ht="15.75" customHeight="1">
      <c r="A202" s="99">
        <v>0</v>
      </c>
      <c r="B202" s="99">
        <v>0</v>
      </c>
      <c r="C202" s="99">
        <v>0</v>
      </c>
    </row>
    <row r="203" spans="1:3" ht="15.75" customHeight="1">
      <c r="A203" s="99">
        <v>0</v>
      </c>
      <c r="B203" s="99">
        <v>0</v>
      </c>
      <c r="C203" s="99">
        <v>0</v>
      </c>
    </row>
    <row r="204" spans="1:3" ht="15.75" customHeight="1">
      <c r="A204" s="99">
        <v>0</v>
      </c>
      <c r="B204" s="99">
        <v>0</v>
      </c>
      <c r="C204" s="99">
        <v>0</v>
      </c>
    </row>
    <row r="205" spans="1:3" ht="15.75" customHeight="1">
      <c r="A205" s="99">
        <v>0</v>
      </c>
      <c r="B205" s="99">
        <v>0</v>
      </c>
      <c r="C205" s="99">
        <v>0</v>
      </c>
    </row>
    <row r="206" spans="1:3" ht="15.75" customHeight="1">
      <c r="A206" s="99">
        <v>0</v>
      </c>
      <c r="B206" s="99">
        <v>0</v>
      </c>
      <c r="C206" s="99">
        <v>0</v>
      </c>
    </row>
    <row r="207" spans="1:3" ht="15.75" customHeight="1">
      <c r="A207" s="99">
        <v>0</v>
      </c>
      <c r="B207" s="99">
        <v>0</v>
      </c>
      <c r="C207" s="99">
        <v>0</v>
      </c>
    </row>
    <row r="208" spans="1:3" ht="15.75" customHeight="1">
      <c r="A208" s="99" t="s">
        <v>3</v>
      </c>
      <c r="B208" s="99">
        <v>1038228070</v>
      </c>
      <c r="C208" s="99">
        <v>684941638</v>
      </c>
    </row>
    <row r="209" spans="1:3" ht="15.75" customHeight="1">
      <c r="A209" s="99">
        <v>0</v>
      </c>
      <c r="B209" s="99">
        <v>0</v>
      </c>
      <c r="C209" s="99">
        <v>0</v>
      </c>
    </row>
    <row r="210" spans="1:3" ht="15.75" customHeight="1">
      <c r="A210" s="99">
        <v>0</v>
      </c>
      <c r="B210" s="99">
        <v>0</v>
      </c>
      <c r="C210" s="99">
        <v>0</v>
      </c>
    </row>
    <row r="211" spans="1:3" ht="15.75" customHeight="1">
      <c r="A211" s="99" t="s">
        <v>224</v>
      </c>
      <c r="B211" s="99">
        <v>13765820</v>
      </c>
      <c r="C211" s="99">
        <v>0</v>
      </c>
    </row>
    <row r="212" spans="1:3" ht="15.75" customHeight="1">
      <c r="A212" s="99" t="s">
        <v>144</v>
      </c>
      <c r="B212" s="99">
        <v>0</v>
      </c>
      <c r="C212" s="99">
        <v>0</v>
      </c>
    </row>
    <row r="213" spans="1:3" ht="15.75" customHeight="1">
      <c r="A213" s="99" t="s">
        <v>2</v>
      </c>
      <c r="B213" s="99">
        <v>48994</v>
      </c>
      <c r="C213" s="99">
        <v>129871</v>
      </c>
    </row>
    <row r="214" spans="1:3" ht="15.75" customHeight="1">
      <c r="A214" s="99" t="s">
        <v>146</v>
      </c>
      <c r="B214" s="99">
        <v>0</v>
      </c>
      <c r="C214" s="99">
        <v>0</v>
      </c>
    </row>
    <row r="216" spans="1:3" ht="15.75" customHeight="1">
      <c r="A216" s="99" t="s">
        <v>24</v>
      </c>
      <c r="B216" s="99">
        <v>4876432393</v>
      </c>
      <c r="C216" s="99">
        <v>4876432392</v>
      </c>
    </row>
    <row r="217" spans="1:3" ht="15.75" customHeight="1">
      <c r="A217" s="99" t="s">
        <v>25</v>
      </c>
      <c r="B217" s="99">
        <v>0</v>
      </c>
      <c r="C217" s="99">
        <v>0</v>
      </c>
    </row>
    <row r="218" spans="1:3" ht="15.75" customHeight="1">
      <c r="A218" s="99" t="s">
        <v>26</v>
      </c>
      <c r="B218" s="99">
        <v>4876432393</v>
      </c>
      <c r="C218" s="99">
        <v>4876432392</v>
      </c>
    </row>
  </sheetData>
  <phoneticPr fontId="0" type="noConversion"/>
  <printOptions horizontalCentered="1"/>
  <pageMargins left="0.78740157480314965" right="0.46" top="0.17" bottom="0.22" header="0.17" footer="0.17"/>
  <pageSetup scale="1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20</vt:i4>
      </vt:variant>
    </vt:vector>
  </HeadingPairs>
  <TitlesOfParts>
    <vt:vector size="54" baseType="lpstr">
      <vt:lpstr>B_F</vt:lpstr>
      <vt:lpstr>E-R</vt:lpstr>
      <vt:lpstr>BT - 2022 (5)</vt:lpstr>
      <vt:lpstr>BT - 2023</vt:lpstr>
      <vt:lpstr>BT - 2022 (3)</vt:lpstr>
      <vt:lpstr>BT - 2022 (2)</vt:lpstr>
      <vt:lpstr>Resumen</vt:lpstr>
      <vt:lpstr>RRE-Final-2017</vt:lpstr>
      <vt:lpstr>BT IMPRESION</vt:lpstr>
      <vt:lpstr>Hoja1</vt:lpstr>
      <vt:lpstr>B_T para pago</vt:lpstr>
      <vt:lpstr>B_T IMPRESION</vt:lpstr>
      <vt:lpstr>1948</vt:lpstr>
      <vt:lpstr>NO IMP DJ1887</vt:lpstr>
      <vt:lpstr>BT - 2022 - IMPRI</vt:lpstr>
      <vt:lpstr>BT - 2022 IMPRI</vt:lpstr>
      <vt:lpstr>MAYOR</vt:lpstr>
      <vt:lpstr>DATOS</vt:lpstr>
      <vt:lpstr>C_P</vt:lpstr>
      <vt:lpstr>RLI</vt:lpstr>
      <vt:lpstr>FUT</vt:lpstr>
      <vt:lpstr>FUT-2016</vt:lpstr>
      <vt:lpstr>PPM</vt:lpstr>
      <vt:lpstr>Hoja4</vt:lpstr>
      <vt:lpstr>Hoja3</vt:lpstr>
      <vt:lpstr>PTMO-3-Cero</vt:lpstr>
      <vt:lpstr>REMU- 2022</vt:lpstr>
      <vt:lpstr>DJ1879</vt:lpstr>
      <vt:lpstr>Ret10%</vt:lpstr>
      <vt:lpstr>ITAU-120</vt:lpstr>
      <vt:lpstr>RET</vt:lpstr>
      <vt:lpstr>A-F-BIEN RAIZ</vt:lpstr>
      <vt:lpstr>Eq. y Otros</vt:lpstr>
      <vt:lpstr>Hoja2</vt:lpstr>
      <vt:lpstr>'A-F-BIEN RAIZ'!Área_de_impresión</vt:lpstr>
      <vt:lpstr>B_F!Área_de_impresión</vt:lpstr>
      <vt:lpstr>'B_T IMPRESION'!Área_de_impresión</vt:lpstr>
      <vt:lpstr>'B_T para pago'!Área_de_impresión</vt:lpstr>
      <vt:lpstr>'BT - 2022 - IMPRI'!Área_de_impresión</vt:lpstr>
      <vt:lpstr>'BT - 2022 (2)'!Área_de_impresión</vt:lpstr>
      <vt:lpstr>'BT - 2022 (3)'!Área_de_impresión</vt:lpstr>
      <vt:lpstr>'BT - 2022 (5)'!Área_de_impresión</vt:lpstr>
      <vt:lpstr>'BT - 2022 IMPRI'!Área_de_impresión</vt:lpstr>
      <vt:lpstr>C_P!Área_de_impresión</vt:lpstr>
      <vt:lpstr>DATOS!Área_de_impresión</vt:lpstr>
      <vt:lpstr>'Eq. y Otros'!Área_de_impresión</vt:lpstr>
      <vt:lpstr>'E-R'!Área_de_impresión</vt:lpstr>
      <vt:lpstr>FUT!Área_de_impresión</vt:lpstr>
      <vt:lpstr>'FUT-2016'!Área_de_impresión</vt:lpstr>
      <vt:lpstr>'ITAU-120'!Área_de_impresión</vt:lpstr>
      <vt:lpstr>MAYOR!Área_de_impresión</vt:lpstr>
      <vt:lpstr>PPM!Área_de_impresión</vt:lpstr>
      <vt:lpstr>RLI!Área_de_impresión</vt:lpstr>
      <vt:lpstr>MAYOR!Títulos_a_imprimir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Muñoz A.</dc:creator>
  <cp:lastModifiedBy>Matías Gutiérrez</cp:lastModifiedBy>
  <cp:lastPrinted>2024-04-29T17:17:13Z</cp:lastPrinted>
  <dcterms:created xsi:type="dcterms:W3CDTF">2001-11-12T05:21:18Z</dcterms:created>
  <dcterms:modified xsi:type="dcterms:W3CDTF">2024-05-04T00:34:45Z</dcterms:modified>
</cp:coreProperties>
</file>