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alvar\Desktop\Proyectos\Excel__Personal Budget Manager\"/>
    </mc:Choice>
  </mc:AlternateContent>
  <xr:revisionPtr revIDLastSave="0" documentId="13_ncr:1_{E2274365-5617-42A9-9226-1F84514A465B}" xr6:coauthVersionLast="47" xr6:coauthVersionMax="47" xr10:uidLastSave="{00000000-0000-0000-0000-000000000000}"/>
  <bookViews>
    <workbookView xWindow="-108" yWindow="-108" windowWidth="23256" windowHeight="13176" activeTab="3" xr2:uid="{00000000-000D-0000-FFFF-FFFF00000000}"/>
  </bookViews>
  <sheets>
    <sheet name="Settings" sheetId="1" r:id="rId1"/>
    <sheet name="Budget Planning" sheetId="2" r:id="rId2"/>
    <sheet name="Budget Tracking" sheetId="3" r:id="rId3"/>
    <sheet name="Budget Dashboard" sheetId="5" r:id="rId4"/>
    <sheet name="Calculations" sheetId="4" r:id="rId5"/>
    <sheet name="Dropdown Data" sheetId="6" r:id="rId6"/>
  </sheets>
  <definedNames>
    <definedName name="budget" localSheetId="3">'Budget Dashboard'!$L1</definedName>
    <definedName name="budget_range" localSheetId="3">'Budget Dashboard'!$Q1</definedName>
    <definedName name="budget_rank" localSheetId="3">'Budget Dashboard'!$R1</definedName>
    <definedName name="cc_budget" localSheetId="4">Calculations!$K1</definedName>
    <definedName name="cc_delta" localSheetId="4">Calculations!$L1</definedName>
    <definedName name="cc_in_focus" localSheetId="4">Calculations!$G1</definedName>
    <definedName name="cc_month_number" localSheetId="4">Calculations!$F1</definedName>
    <definedName name="cc_show_remaining_budget" localSheetId="4">Calculations!$I1</definedName>
    <definedName name="cc_show_type" localSheetId="4">Calculations!$H1</definedName>
    <definedName name="cc_tracked" localSheetId="4">Calculations!$J1</definedName>
    <definedName name="cc_type" localSheetId="4">Calculations!$E1</definedName>
    <definedName name="comb_rank" localSheetId="3">'Budget Dashboard'!$S1</definedName>
    <definedName name="comb_rank_norm" localSheetId="3">'Budget Dashboard'!$U1</definedName>
    <definedName name="comb_rank_norm_run_range" localSheetId="3">'Budget Dashboard'!$V1</definedName>
    <definedName name="comb_rank_range" localSheetId="3">'Budget Dashboard'!$T1</definedName>
    <definedName name="comb_rank_unique" localSheetId="3">'Budget Dashboard'!$W1</definedName>
    <definedName name="current_date">TODAY()</definedName>
    <definedName name="expenses_header_row">ROW(Expenses[[#Headers],[Expenses]])</definedName>
    <definedName name="expenses_max_row">MAX(ROW(Expenses[]))</definedName>
    <definedName name="expenses_min_row">MIN(ROW(Expenses[]))</definedName>
    <definedName name="expenses_total_row">ROW('Budget Planning'!$C$36)</definedName>
    <definedName name="header_row_id" localSheetId="3">'Budget Dashboard'!$D1</definedName>
    <definedName name="income_header_row">ROW(Income[[#Headers],[Income]])</definedName>
    <definedName name="income_max_row">MAX(ROW(Income[]))</definedName>
    <definedName name="income_min_row">MIN(ROW(Income[]))</definedName>
    <definedName name="income_total_row">ROW('Budget Planning'!$C$20)</definedName>
    <definedName name="is_cat" localSheetId="3">'Budget Dashboard'!$F1</definedName>
    <definedName name="is_empty" localSheetId="3">'Budget Dashboard'!$H1</definedName>
    <definedName name="is_header" localSheetId="3">'Budget Dashboard'!$E1</definedName>
    <definedName name="is_total" localSheetId="3">'Budget Dashboard'!$G1</definedName>
    <definedName name="item" localSheetId="3">'Budget Dashboard'!$J1</definedName>
    <definedName name="output_budget" localSheetId="3">'Budget Dashboard'!$AA1</definedName>
    <definedName name="output_percentage_completed" localSheetId="3">'Budget Dashboard'!$AB1</definedName>
    <definedName name="output_tracked" localSheetId="3">'Budget Dashboard'!$Z1</definedName>
    <definedName name="row_id" localSheetId="3">'Budget Dashboard'!$C1</definedName>
    <definedName name="savings_header_row">ROW(Savings[[#Headers],[Savings]])</definedName>
    <definedName name="savings_max_row">MAX(ROW(Savings[]))</definedName>
    <definedName name="savings_min_row">MIN(ROW(Savings[]))</definedName>
    <definedName name="savings_rate_calculation_type">Settings!$E$22</definedName>
    <definedName name="savings_total_row">ROW('Budget Planning'!$C$49)</definedName>
    <definedName name="selected_period">Calculations!$E$20</definedName>
    <definedName name="selected_period_display">Calculations!$E$21</definedName>
    <definedName name="selected_year">Calculations!$E$19</definedName>
    <definedName name="shift_late_income_starting_date">Settings!$E$18</definedName>
    <definedName name="shift_late_income_status">Settings!$E$16</definedName>
    <definedName name="sort_max_row" localSheetId="3">'Budget Dashboard'!$N1</definedName>
    <definedName name="sort_min_row" localSheetId="3">'Budget Dashboard'!$M1</definedName>
    <definedName name="starting_year">Settings!$E$8</definedName>
    <definedName name="tracked" localSheetId="3">'Budget Dashboard'!$K1</definedName>
    <definedName name="tracked_range" localSheetId="3">'Budget Dashboard'!$O1</definedName>
    <definedName name="tracked_rank" localSheetId="3">'Budget Dashboard'!$P1</definedName>
    <definedName name="type" localSheetId="3">'Budget Dashboard'!$I1</definedName>
  </definedNames>
  <calcPr calcId="191029"/>
</workbook>
</file>

<file path=xl/calcChain.xml><?xml version="1.0" encoding="utf-8"?>
<calcChain xmlns="http://schemas.openxmlformats.org/spreadsheetml/2006/main">
  <c r="H25" i="3" l="1"/>
  <c r="I25" i="3"/>
  <c r="H26" i="3"/>
  <c r="I26" i="3"/>
  <c r="H27" i="3"/>
  <c r="I27" i="3"/>
  <c r="H28" i="3"/>
  <c r="I28" i="3"/>
  <c r="K13" i="5"/>
  <c r="I60" i="4"/>
  <c r="I61" i="4"/>
  <c r="I62" i="4"/>
  <c r="I64" i="4"/>
  <c r="I65" i="4"/>
  <c r="I66" i="4"/>
  <c r="I68" i="4"/>
  <c r="I69" i="4"/>
  <c r="I70" i="4"/>
  <c r="I72" i="4"/>
  <c r="I73" i="4"/>
  <c r="I74" i="4"/>
  <c r="I76" i="4"/>
  <c r="I77" i="4"/>
  <c r="I78" i="4"/>
  <c r="I80" i="4"/>
  <c r="I81" i="4"/>
  <c r="I82" i="4"/>
  <c r="I84" i="4"/>
  <c r="I85" i="4"/>
  <c r="I86" i="4"/>
  <c r="I88" i="4"/>
  <c r="I89" i="4"/>
  <c r="I90" i="4"/>
  <c r="I92" i="4"/>
  <c r="I93" i="4"/>
  <c r="I94" i="4"/>
  <c r="I96" i="4"/>
  <c r="I97" i="4"/>
  <c r="I98" i="4"/>
  <c r="I100" i="4"/>
  <c r="I101" i="4"/>
  <c r="I102" i="4"/>
  <c r="I57" i="4"/>
  <c r="I58" i="4"/>
  <c r="I56" i="4"/>
  <c r="H60" i="4"/>
  <c r="H61" i="4"/>
  <c r="H62" i="4"/>
  <c r="H64" i="4"/>
  <c r="H65" i="4"/>
  <c r="H66" i="4"/>
  <c r="H68" i="4"/>
  <c r="H69" i="4"/>
  <c r="H70" i="4"/>
  <c r="H72" i="4"/>
  <c r="H73" i="4"/>
  <c r="H74" i="4"/>
  <c r="H76" i="4"/>
  <c r="H77" i="4"/>
  <c r="H78" i="4"/>
  <c r="H80" i="4"/>
  <c r="H81" i="4"/>
  <c r="H82" i="4"/>
  <c r="H84" i="4"/>
  <c r="H85" i="4"/>
  <c r="H86" i="4"/>
  <c r="H88" i="4"/>
  <c r="H89" i="4"/>
  <c r="H90" i="4"/>
  <c r="H92" i="4"/>
  <c r="H93" i="4"/>
  <c r="H94" i="4"/>
  <c r="H96" i="4"/>
  <c r="H97" i="4"/>
  <c r="H98" i="4"/>
  <c r="H100" i="4"/>
  <c r="H101" i="4"/>
  <c r="H102" i="4"/>
  <c r="H58" i="4"/>
  <c r="H57" i="4"/>
  <c r="H56" i="4"/>
  <c r="N37" i="4"/>
  <c r="H16" i="3"/>
  <c r="I16" i="3"/>
  <c r="F37" i="4"/>
  <c r="E37" i="4" s="1"/>
  <c r="AP34" i="5"/>
  <c r="AI34" i="5"/>
  <c r="AI22" i="5"/>
  <c r="H34" i="3"/>
  <c r="I34" i="3"/>
  <c r="H33" i="3"/>
  <c r="I33" i="3"/>
  <c r="H32" i="3"/>
  <c r="I32" i="3"/>
  <c r="H31" i="3"/>
  <c r="I31" i="3"/>
  <c r="H30" i="3"/>
  <c r="I30" i="3"/>
  <c r="H29" i="3"/>
  <c r="I29" i="3"/>
  <c r="H24" i="3"/>
  <c r="I24" i="3"/>
  <c r="H23" i="3"/>
  <c r="I23" i="3"/>
  <c r="H22" i="3"/>
  <c r="I22" i="3"/>
  <c r="H21" i="3"/>
  <c r="I21" i="3"/>
  <c r="H20" i="3"/>
  <c r="I20" i="3"/>
  <c r="H19" i="3"/>
  <c r="I19" i="3"/>
  <c r="H18" i="3"/>
  <c r="I18" i="3"/>
  <c r="H17" i="3"/>
  <c r="I17" i="3"/>
  <c r="C13" i="5"/>
  <c r="C14" i="5" s="1"/>
  <c r="C15" i="5" s="1"/>
  <c r="C16" i="5" s="1"/>
  <c r="C17" i="5" s="1"/>
  <c r="C18" i="5" s="1"/>
  <c r="C19" i="5" s="1"/>
  <c r="C20" i="5" s="1"/>
  <c r="C21" i="5" s="1"/>
  <c r="C22" i="5" s="1"/>
  <c r="C23" i="5" s="1"/>
  <c r="C24" i="5" s="1"/>
  <c r="E20" i="4"/>
  <c r="E19" i="4"/>
  <c r="D92" i="4" s="1"/>
  <c r="C8" i="6"/>
  <c r="C9" i="6" s="1"/>
  <c r="C10" i="6" s="1"/>
  <c r="C11" i="6" s="1"/>
  <c r="C12" i="6" s="1"/>
  <c r="C13" i="6" s="1"/>
  <c r="C14" i="6" s="1"/>
  <c r="C15" i="6" s="1"/>
  <c r="C16" i="6" s="1"/>
  <c r="C17" i="6" s="1"/>
  <c r="E12" i="4"/>
  <c r="E11" i="4"/>
  <c r="E9" i="4"/>
  <c r="E8" i="4"/>
  <c r="I12" i="3"/>
  <c r="I13" i="3"/>
  <c r="I14" i="3"/>
  <c r="I15" i="3"/>
  <c r="H12" i="3"/>
  <c r="H13" i="3"/>
  <c r="H14" i="3"/>
  <c r="H15" i="3"/>
  <c r="Q27" i="2"/>
  <c r="Q28" i="2"/>
  <c r="Q29" i="2"/>
  <c r="AS48" i="2"/>
  <c r="AS47" i="2"/>
  <c r="AS46" i="2"/>
  <c r="AS45" i="2"/>
  <c r="AS44" i="2"/>
  <c r="AS43" i="2"/>
  <c r="AS42" i="2"/>
  <c r="AS41" i="2"/>
  <c r="AS40" i="2"/>
  <c r="AS39" i="2"/>
  <c r="AS35" i="2"/>
  <c r="AS34" i="2"/>
  <c r="AS33" i="2"/>
  <c r="AS32" i="2"/>
  <c r="AS31" i="2"/>
  <c r="AS30" i="2"/>
  <c r="AS26" i="2"/>
  <c r="AS25" i="2"/>
  <c r="AS24" i="2"/>
  <c r="AS23" i="2"/>
  <c r="AS19" i="2"/>
  <c r="AS18" i="2"/>
  <c r="AS17" i="2"/>
  <c r="AS16" i="2"/>
  <c r="AS15" i="2"/>
  <c r="AS14" i="2"/>
  <c r="AS13" i="2"/>
  <c r="AS12" i="2"/>
  <c r="AS11" i="2"/>
  <c r="AS10" i="2"/>
  <c r="AE48" i="2"/>
  <c r="AE47" i="2"/>
  <c r="AE46" i="2"/>
  <c r="AE45" i="2"/>
  <c r="AE44" i="2"/>
  <c r="AE43" i="2"/>
  <c r="AE42" i="2"/>
  <c r="AE41" i="2"/>
  <c r="AE40" i="2"/>
  <c r="AE39" i="2"/>
  <c r="AE35" i="2"/>
  <c r="AE34" i="2"/>
  <c r="AE33" i="2"/>
  <c r="AE32" i="2"/>
  <c r="AE31" i="2"/>
  <c r="AE30" i="2"/>
  <c r="AE26" i="2"/>
  <c r="AE25" i="2"/>
  <c r="AE24" i="2"/>
  <c r="AE23" i="2"/>
  <c r="AE19" i="2"/>
  <c r="AE18" i="2"/>
  <c r="AE17" i="2"/>
  <c r="AE16" i="2"/>
  <c r="AE15" i="2"/>
  <c r="AE14" i="2"/>
  <c r="AE13" i="2"/>
  <c r="AE12" i="2"/>
  <c r="AE11" i="2"/>
  <c r="AE10" i="2"/>
  <c r="Q48" i="2"/>
  <c r="Q47" i="2"/>
  <c r="Q46" i="2"/>
  <c r="Q45" i="2"/>
  <c r="Q44" i="2"/>
  <c r="Q43" i="2"/>
  <c r="Q42" i="2"/>
  <c r="Q41" i="2"/>
  <c r="Q40" i="2"/>
  <c r="Q39" i="2"/>
  <c r="Q35" i="2"/>
  <c r="Q34" i="2"/>
  <c r="Q33" i="2"/>
  <c r="Q32" i="2"/>
  <c r="Q31" i="2"/>
  <c r="Q30" i="2"/>
  <c r="Q26" i="2"/>
  <c r="Q25" i="2"/>
  <c r="Q24" i="2"/>
  <c r="Q23" i="2"/>
  <c r="Q11" i="2"/>
  <c r="Q12" i="2"/>
  <c r="Q13" i="2"/>
  <c r="Q14" i="2"/>
  <c r="Q15" i="2"/>
  <c r="Q16" i="2"/>
  <c r="Q17" i="2"/>
  <c r="Q18" i="2"/>
  <c r="Q19" i="2"/>
  <c r="Q10" i="2"/>
  <c r="E5" i="2"/>
  <c r="P9" i="2" s="1"/>
  <c r="P20" i="2"/>
  <c r="U36" i="2"/>
  <c r="Z49" i="2"/>
  <c r="AH49" i="2"/>
  <c r="S20" i="2"/>
  <c r="O20" i="2"/>
  <c r="Q36" i="2"/>
  <c r="T49" i="2"/>
  <c r="H49" i="2"/>
  <c r="X49" i="2"/>
  <c r="O36" i="2"/>
  <c r="AH20" i="2"/>
  <c r="AL49" i="2"/>
  <c r="AK36" i="2"/>
  <c r="I36" i="2"/>
  <c r="X20" i="2"/>
  <c r="AP36" i="2"/>
  <c r="AE49" i="2"/>
  <c r="Q20" i="2"/>
  <c r="AB36" i="2"/>
  <c r="H20" i="2"/>
  <c r="E36" i="2"/>
  <c r="AM20" i="2"/>
  <c r="T36" i="2"/>
  <c r="AC20" i="2"/>
  <c r="W49" i="2"/>
  <c r="AJ20" i="2"/>
  <c r="G36" i="2"/>
  <c r="AS49" i="2"/>
  <c r="AI20" i="2"/>
  <c r="AN20" i="2"/>
  <c r="N20" i="2"/>
  <c r="K36" i="2"/>
  <c r="AM49" i="2"/>
  <c r="AK49" i="2"/>
  <c r="U20" i="2"/>
  <c r="AE20" i="2"/>
  <c r="L36" i="2"/>
  <c r="N49" i="2"/>
  <c r="H36" i="2"/>
  <c r="AI49" i="2"/>
  <c r="AB20" i="2"/>
  <c r="T20" i="2"/>
  <c r="S49" i="2"/>
  <c r="AG20" i="2"/>
  <c r="AA20" i="2"/>
  <c r="E49" i="2"/>
  <c r="Z20" i="2"/>
  <c r="G20" i="2"/>
  <c r="AR20" i="2"/>
  <c r="F49" i="2"/>
  <c r="F36" i="2"/>
  <c r="Q49" i="2"/>
  <c r="AI36" i="2"/>
  <c r="M36" i="2"/>
  <c r="J20" i="2"/>
  <c r="S36" i="2"/>
  <c r="O49" i="2"/>
  <c r="AP49" i="2"/>
  <c r="AR49" i="2"/>
  <c r="AS20" i="2"/>
  <c r="G49" i="2"/>
  <c r="AQ20" i="2"/>
  <c r="L49" i="2"/>
  <c r="P49" i="2"/>
  <c r="K20" i="2"/>
  <c r="Y36" i="2"/>
  <c r="W36" i="2"/>
  <c r="L20" i="2"/>
  <c r="AD20" i="2"/>
  <c r="AC36" i="2"/>
  <c r="AM36" i="2"/>
  <c r="Y20" i="2"/>
  <c r="AQ49" i="2"/>
  <c r="M20" i="2"/>
  <c r="X36" i="2"/>
  <c r="W20" i="2"/>
  <c r="AB49" i="2"/>
  <c r="AN49" i="2"/>
  <c r="AD49" i="2"/>
  <c r="V49" i="2"/>
  <c r="E20" i="2"/>
  <c r="Y49" i="2"/>
  <c r="AG49" i="2"/>
  <c r="AR36" i="2"/>
  <c r="AS36" i="2"/>
  <c r="M49" i="2"/>
  <c r="AN36" i="2"/>
  <c r="F20" i="2"/>
  <c r="Z36" i="2"/>
  <c r="AJ36" i="2"/>
  <c r="V36" i="2"/>
  <c r="AH36" i="2"/>
  <c r="AQ36" i="2"/>
  <c r="AP20" i="2"/>
  <c r="AA36" i="2"/>
  <c r="AL36" i="2"/>
  <c r="I20" i="2"/>
  <c r="N36" i="2"/>
  <c r="J36" i="2"/>
  <c r="U49" i="2"/>
  <c r="AL20" i="2"/>
  <c r="AJ49" i="2"/>
  <c r="AG36" i="2"/>
  <c r="J49" i="2"/>
  <c r="AO36" i="2"/>
  <c r="AE36" i="2"/>
  <c r="AO49" i="2"/>
  <c r="AD36" i="2"/>
  <c r="AO20" i="2"/>
  <c r="AA49" i="2"/>
  <c r="AK20" i="2"/>
  <c r="P36" i="2"/>
  <c r="AC49" i="2"/>
  <c r="K49" i="2"/>
  <c r="V20" i="2"/>
  <c r="I49" i="2"/>
  <c r="D64" i="4" l="1"/>
  <c r="F66" i="4" s="1"/>
  <c r="J66" i="4" s="1"/>
  <c r="F92" i="4"/>
  <c r="G92" i="4" s="1"/>
  <c r="F93" i="4"/>
  <c r="J93" i="4" s="1"/>
  <c r="F94" i="4"/>
  <c r="J94" i="4" s="1"/>
  <c r="D96" i="4"/>
  <c r="D72" i="4"/>
  <c r="D56" i="4"/>
  <c r="D76" i="4"/>
  <c r="D80" i="4"/>
  <c r="E10" i="4"/>
  <c r="D84" i="4"/>
  <c r="D88" i="4"/>
  <c r="D68" i="4"/>
  <c r="D100" i="4"/>
  <c r="D60" i="4"/>
  <c r="J92" i="4"/>
  <c r="E9" i="2"/>
  <c r="F7" i="2"/>
  <c r="F6" i="2" s="1"/>
  <c r="E22" i="4"/>
  <c r="E23" i="4" s="1"/>
  <c r="E24" i="4" s="1"/>
  <c r="G93" i="4"/>
  <c r="H13" i="5"/>
  <c r="H23" i="5"/>
  <c r="G14" i="5"/>
  <c r="H14" i="5"/>
  <c r="G13" i="5"/>
  <c r="E22" i="5"/>
  <c r="E21" i="5"/>
  <c r="H22" i="5"/>
  <c r="G21" i="5"/>
  <c r="E19" i="5"/>
  <c r="G20" i="5"/>
  <c r="H17" i="5"/>
  <c r="E17" i="5"/>
  <c r="G15" i="5"/>
  <c r="H15" i="5"/>
  <c r="E14" i="5"/>
  <c r="F14" i="5" s="1"/>
  <c r="J13" i="5"/>
  <c r="G23" i="5"/>
  <c r="G22" i="5"/>
  <c r="E20" i="5"/>
  <c r="F20" i="5" s="1"/>
  <c r="H18" i="5"/>
  <c r="E18" i="5"/>
  <c r="G16" i="5"/>
  <c r="H16" i="5"/>
  <c r="C25" i="5"/>
  <c r="E24" i="5"/>
  <c r="H24" i="5"/>
  <c r="G24" i="5"/>
  <c r="G18" i="5"/>
  <c r="H20" i="5"/>
  <c r="G19" i="5"/>
  <c r="F19" i="5" s="1"/>
  <c r="H21" i="5"/>
  <c r="E16" i="5"/>
  <c r="E13" i="5"/>
  <c r="E23" i="5"/>
  <c r="F23" i="5" s="1"/>
  <c r="E15" i="5"/>
  <c r="G17" i="5"/>
  <c r="H19" i="5"/>
  <c r="K19" i="5" s="1"/>
  <c r="E13" i="4"/>
  <c r="E14" i="4" s="1"/>
  <c r="E21" i="4"/>
  <c r="J14" i="5"/>
  <c r="J17" i="5"/>
  <c r="J16" i="5"/>
  <c r="J15" i="5"/>
  <c r="S5" i="2"/>
  <c r="W22" i="2" s="1"/>
  <c r="AH7" i="2"/>
  <c r="AH6" i="2" s="1"/>
  <c r="AP7" i="2"/>
  <c r="AP6" i="2" s="1"/>
  <c r="AI7" i="2"/>
  <c r="AI6" i="2" s="1"/>
  <c r="AQ7" i="2"/>
  <c r="AQ6" i="2" s="1"/>
  <c r="AJ7" i="2"/>
  <c r="AJ6" i="2" s="1"/>
  <c r="AN7" i="2"/>
  <c r="AN6" i="2" s="1"/>
  <c r="AR7" i="2"/>
  <c r="AR6" i="2" s="1"/>
  <c r="AL7" i="2"/>
  <c r="AL6" i="2" s="1"/>
  <c r="AM7" i="2"/>
  <c r="AM6" i="2" s="1"/>
  <c r="AG7" i="2"/>
  <c r="AG6" i="2" s="1"/>
  <c r="AK7" i="2"/>
  <c r="AK6" i="2" s="1"/>
  <c r="AO7" i="2"/>
  <c r="AO6" i="2" s="1"/>
  <c r="AS7" i="2"/>
  <c r="AS6" i="2" s="1"/>
  <c r="T7" i="2"/>
  <c r="T6" i="2" s="1"/>
  <c r="AB7" i="2"/>
  <c r="AB6" i="2" s="1"/>
  <c r="U7" i="2"/>
  <c r="U6" i="2" s="1"/>
  <c r="X7" i="2"/>
  <c r="X6" i="2" s="1"/>
  <c r="Y7" i="2"/>
  <c r="Y6" i="2" s="1"/>
  <c r="V7" i="2"/>
  <c r="V6" i="2" s="1"/>
  <c r="Z7" i="2"/>
  <c r="Z6" i="2" s="1"/>
  <c r="AD7" i="2"/>
  <c r="AD6" i="2" s="1"/>
  <c r="AC7" i="2"/>
  <c r="AC6" i="2" s="1"/>
  <c r="S7" i="2"/>
  <c r="S6" i="2" s="1"/>
  <c r="W7" i="2"/>
  <c r="W6" i="2" s="1"/>
  <c r="AA7" i="2"/>
  <c r="AA6" i="2" s="1"/>
  <c r="AE7" i="2"/>
  <c r="AE6" i="2" s="1"/>
  <c r="T38" i="2"/>
  <c r="U38" i="2"/>
  <c r="AB22" i="2"/>
  <c r="P7" i="2"/>
  <c r="P6" i="2" s="1"/>
  <c r="O7" i="2"/>
  <c r="O6" i="2" s="1"/>
  <c r="K7" i="2"/>
  <c r="K6" i="2" s="1"/>
  <c r="H7" i="2"/>
  <c r="H6" i="2" s="1"/>
  <c r="G7" i="2"/>
  <c r="G6" i="2" s="1"/>
  <c r="N7" i="2"/>
  <c r="N6" i="2" s="1"/>
  <c r="L7" i="2"/>
  <c r="L6" i="2" s="1"/>
  <c r="J7" i="2"/>
  <c r="J6" i="2" s="1"/>
  <c r="M7" i="2"/>
  <c r="M6" i="2" s="1"/>
  <c r="I7" i="2"/>
  <c r="I6" i="2" s="1"/>
  <c r="Q7" i="2"/>
  <c r="Q6" i="2" s="1"/>
  <c r="E7" i="2"/>
  <c r="E6" i="2" s="1"/>
  <c r="K22" i="2"/>
  <c r="N38" i="2"/>
  <c r="O22" i="2"/>
  <c r="E38" i="2"/>
  <c r="P38" i="2"/>
  <c r="I9" i="2"/>
  <c r="E22" i="2"/>
  <c r="P22" i="2"/>
  <c r="I38" i="2"/>
  <c r="I22" i="2"/>
  <c r="J38" i="2"/>
  <c r="G22" i="2"/>
  <c r="L22" i="2"/>
  <c r="Q22" i="2"/>
  <c r="F38" i="2"/>
  <c r="L38" i="2"/>
  <c r="Q38" i="2"/>
  <c r="H22" i="2"/>
  <c r="M22" i="2"/>
  <c r="H38" i="2"/>
  <c r="M38" i="2"/>
  <c r="F22" i="2"/>
  <c r="J22" i="2"/>
  <c r="N22" i="2"/>
  <c r="G38" i="2"/>
  <c r="K38" i="2"/>
  <c r="O38" i="2"/>
  <c r="M9" i="2"/>
  <c r="Q9" i="2"/>
  <c r="F9" i="2"/>
  <c r="J9" i="2"/>
  <c r="N9" i="2"/>
  <c r="G9" i="2"/>
  <c r="K9" i="2"/>
  <c r="O9" i="2"/>
  <c r="H9" i="2"/>
  <c r="L9" i="2"/>
  <c r="F65" i="4" l="1"/>
  <c r="J65" i="4" s="1"/>
  <c r="G66" i="4"/>
  <c r="G94" i="4"/>
  <c r="F64" i="4"/>
  <c r="K64" i="4" s="1"/>
  <c r="F98" i="4"/>
  <c r="F96" i="4"/>
  <c r="K96" i="4" s="1"/>
  <c r="F97" i="4"/>
  <c r="K97" i="4" s="1"/>
  <c r="F60" i="4"/>
  <c r="F61" i="4"/>
  <c r="F62" i="4"/>
  <c r="F101" i="4"/>
  <c r="F102" i="4"/>
  <c r="F100" i="4"/>
  <c r="K100" i="4" s="1"/>
  <c r="F69" i="4"/>
  <c r="K69" i="4" s="1"/>
  <c r="F70" i="4"/>
  <c r="F68" i="4"/>
  <c r="F90" i="4"/>
  <c r="F88" i="4"/>
  <c r="F89" i="4"/>
  <c r="F72" i="4"/>
  <c r="K72" i="4" s="1"/>
  <c r="F73" i="4"/>
  <c r="F74" i="4"/>
  <c r="K74" i="4" s="1"/>
  <c r="F84" i="4"/>
  <c r="F85" i="4"/>
  <c r="F86" i="4"/>
  <c r="F80" i="4"/>
  <c r="F81" i="4"/>
  <c r="F82" i="4"/>
  <c r="K82" i="4" s="1"/>
  <c r="F77" i="4"/>
  <c r="K77" i="4" s="1"/>
  <c r="F76" i="4"/>
  <c r="K76" i="4" s="1"/>
  <c r="F78" i="4"/>
  <c r="F58" i="4"/>
  <c r="G58" i="4" s="1"/>
  <c r="F57" i="4"/>
  <c r="G57" i="4" s="1"/>
  <c r="F56" i="4"/>
  <c r="G56" i="4" s="1"/>
  <c r="K94" i="4"/>
  <c r="M94" i="4" s="1"/>
  <c r="V38" i="2"/>
  <c r="X22" i="2"/>
  <c r="W38" i="2"/>
  <c r="AE22" i="2"/>
  <c r="T9" i="2"/>
  <c r="AD9" i="2"/>
  <c r="Z9" i="2"/>
  <c r="S22" i="2"/>
  <c r="AC22" i="2"/>
  <c r="K66" i="4"/>
  <c r="AC9" i="2"/>
  <c r="L17" i="5"/>
  <c r="L15" i="5"/>
  <c r="K92" i="4"/>
  <c r="M92" i="4" s="1"/>
  <c r="K93" i="4"/>
  <c r="M93" i="4" s="1"/>
  <c r="L14" i="5"/>
  <c r="L18" i="5"/>
  <c r="L23" i="5"/>
  <c r="F22" i="5"/>
  <c r="F21" i="5"/>
  <c r="K20" i="5"/>
  <c r="L20" i="5"/>
  <c r="F16" i="5"/>
  <c r="F17" i="5"/>
  <c r="F18" i="5"/>
  <c r="P18" i="5" s="1"/>
  <c r="D20" i="5"/>
  <c r="I20" i="5" s="1"/>
  <c r="L22" i="5"/>
  <c r="F15" i="5"/>
  <c r="O19" i="5"/>
  <c r="S19" i="5"/>
  <c r="P19" i="5"/>
  <c r="N19" i="5"/>
  <c r="X19" i="5"/>
  <c r="W19" i="5"/>
  <c r="V19" i="5"/>
  <c r="R19" i="5"/>
  <c r="M19" i="5"/>
  <c r="Q19" i="5"/>
  <c r="T19" i="5"/>
  <c r="U19" i="5"/>
  <c r="S18" i="5"/>
  <c r="Q18" i="5"/>
  <c r="D13" i="5"/>
  <c r="F13" i="5"/>
  <c r="L13" i="5"/>
  <c r="Z13" i="5"/>
  <c r="AD13" i="5"/>
  <c r="O20" i="5"/>
  <c r="S20" i="5"/>
  <c r="U20" i="5"/>
  <c r="T20" i="5"/>
  <c r="P20" i="5"/>
  <c r="N20" i="5"/>
  <c r="X20" i="5"/>
  <c r="M20" i="5"/>
  <c r="V20" i="5"/>
  <c r="W20" i="5"/>
  <c r="R20" i="5"/>
  <c r="Q20" i="5"/>
  <c r="AC13" i="5"/>
  <c r="AA19" i="5"/>
  <c r="Y19" i="5"/>
  <c r="AC19" i="5"/>
  <c r="AB19" i="5"/>
  <c r="AD19" i="5"/>
  <c r="Z19" i="5"/>
  <c r="L19" i="5"/>
  <c r="AB13" i="5"/>
  <c r="AA13" i="5"/>
  <c r="L16" i="5"/>
  <c r="F24" i="5"/>
  <c r="C26" i="5"/>
  <c r="G25" i="5"/>
  <c r="E25" i="5"/>
  <c r="H25" i="5"/>
  <c r="D21" i="5"/>
  <c r="D19" i="5"/>
  <c r="I19" i="5" s="1"/>
  <c r="AA20" i="5"/>
  <c r="AC20" i="5"/>
  <c r="AB20" i="5"/>
  <c r="AD20" i="5"/>
  <c r="Z20" i="5"/>
  <c r="L24" i="5"/>
  <c r="L21" i="5"/>
  <c r="AF11" i="5"/>
  <c r="Y11" i="5"/>
  <c r="J18" i="5"/>
  <c r="AD22" i="2"/>
  <c r="X9" i="2"/>
  <c r="Y9" i="2"/>
  <c r="AA38" i="2"/>
  <c r="Z22" i="2"/>
  <c r="V9" i="2"/>
  <c r="Y22" i="2"/>
  <c r="U9" i="2"/>
  <c r="T22" i="2"/>
  <c r="S38" i="2"/>
  <c r="AA22" i="2"/>
  <c r="AE9" i="2"/>
  <c r="AC38" i="2"/>
  <c r="Z38" i="2"/>
  <c r="V22" i="2"/>
  <c r="X38" i="2"/>
  <c r="Y38" i="2"/>
  <c r="U22" i="2"/>
  <c r="AB38" i="2"/>
  <c r="AB9" i="2"/>
  <c r="AE38" i="2"/>
  <c r="S9" i="2"/>
  <c r="AD38" i="2"/>
  <c r="AA9" i="2"/>
  <c r="AG5" i="2"/>
  <c r="W9" i="2"/>
  <c r="K65" i="4" l="1"/>
  <c r="L65" i="4" s="1"/>
  <c r="G65" i="4"/>
  <c r="P66" i="4"/>
  <c r="M66" i="4"/>
  <c r="J86" i="4"/>
  <c r="G86" i="4"/>
  <c r="J90" i="4"/>
  <c r="G90" i="4"/>
  <c r="J85" i="4"/>
  <c r="G85" i="4"/>
  <c r="J60" i="4"/>
  <c r="G60" i="4"/>
  <c r="J78" i="4"/>
  <c r="G78" i="4"/>
  <c r="J84" i="4"/>
  <c r="G84" i="4"/>
  <c r="J97" i="4"/>
  <c r="L97" i="4" s="1"/>
  <c r="G97" i="4"/>
  <c r="J76" i="4"/>
  <c r="L76" i="4" s="1"/>
  <c r="G76" i="4"/>
  <c r="J69" i="4"/>
  <c r="L69" i="4" s="1"/>
  <c r="G69" i="4"/>
  <c r="J77" i="4"/>
  <c r="L77" i="4" s="1"/>
  <c r="G77" i="4"/>
  <c r="J73" i="4"/>
  <c r="G73" i="4"/>
  <c r="J100" i="4"/>
  <c r="L100" i="4" s="1"/>
  <c r="G100" i="4"/>
  <c r="J98" i="4"/>
  <c r="G98" i="4"/>
  <c r="J82" i="4"/>
  <c r="L82" i="4" s="1"/>
  <c r="G82" i="4"/>
  <c r="J72" i="4"/>
  <c r="L72" i="4" s="1"/>
  <c r="G72" i="4"/>
  <c r="J102" i="4"/>
  <c r="G102" i="4"/>
  <c r="J61" i="4"/>
  <c r="G61" i="4"/>
  <c r="J74" i="4"/>
  <c r="L74" i="4" s="1"/>
  <c r="G74" i="4"/>
  <c r="J81" i="4"/>
  <c r="G81" i="4"/>
  <c r="J89" i="4"/>
  <c r="G89" i="4"/>
  <c r="J101" i="4"/>
  <c r="G101" i="4"/>
  <c r="J64" i="4"/>
  <c r="L64" i="4" s="1"/>
  <c r="G64" i="4"/>
  <c r="J68" i="4"/>
  <c r="G68" i="4"/>
  <c r="J70" i="4"/>
  <c r="G70" i="4"/>
  <c r="J96" i="4"/>
  <c r="L96" i="4" s="1"/>
  <c r="G96" i="4"/>
  <c r="K73" i="4"/>
  <c r="K98" i="4"/>
  <c r="J80" i="4"/>
  <c r="G80" i="4"/>
  <c r="J88" i="4"/>
  <c r="G88" i="4"/>
  <c r="J62" i="4"/>
  <c r="G62" i="4"/>
  <c r="K70" i="4"/>
  <c r="K62" i="4"/>
  <c r="K101" i="4"/>
  <c r="L92" i="4"/>
  <c r="Q92" i="4" s="1"/>
  <c r="K90" i="4"/>
  <c r="K85" i="4"/>
  <c r="K57" i="4"/>
  <c r="J57" i="4"/>
  <c r="K88" i="4"/>
  <c r="K58" i="4"/>
  <c r="J58" i="4"/>
  <c r="K78" i="4"/>
  <c r="K102" i="4"/>
  <c r="L94" i="4"/>
  <c r="N94" i="4" s="1"/>
  <c r="K81" i="4"/>
  <c r="K86" i="4"/>
  <c r="K61" i="4"/>
  <c r="K68" i="4"/>
  <c r="K60" i="4"/>
  <c r="K89" i="4"/>
  <c r="J56" i="4"/>
  <c r="K56" i="4"/>
  <c r="K80" i="4"/>
  <c r="P94" i="4"/>
  <c r="K84" i="4"/>
  <c r="L66" i="4"/>
  <c r="N66" i="4" s="1"/>
  <c r="L93" i="4"/>
  <c r="R93" i="4" s="1"/>
  <c r="P93" i="4"/>
  <c r="P92" i="4"/>
  <c r="V18" i="5"/>
  <c r="W18" i="5"/>
  <c r="O18" i="5"/>
  <c r="U18" i="5"/>
  <c r="T18" i="5"/>
  <c r="M18" i="5"/>
  <c r="X18" i="5"/>
  <c r="R18" i="5"/>
  <c r="N18" i="5"/>
  <c r="I13" i="5"/>
  <c r="D14" i="5"/>
  <c r="F25" i="5"/>
  <c r="L25" i="5"/>
  <c r="O13" i="5"/>
  <c r="V13" i="5"/>
  <c r="T13" i="5"/>
  <c r="S13" i="5"/>
  <c r="X13" i="5"/>
  <c r="Y13" i="5" s="1"/>
  <c r="P13" i="5"/>
  <c r="N13" i="5"/>
  <c r="M13" i="5"/>
  <c r="W13" i="5"/>
  <c r="U13" i="5"/>
  <c r="R13" i="5"/>
  <c r="Q13" i="5"/>
  <c r="D22" i="5"/>
  <c r="I21" i="5"/>
  <c r="C27" i="5"/>
  <c r="G26" i="5"/>
  <c r="E26" i="5"/>
  <c r="H26" i="5"/>
  <c r="M21" i="5"/>
  <c r="J19" i="5"/>
  <c r="AR38" i="2"/>
  <c r="AK38" i="2"/>
  <c r="AS22" i="2"/>
  <c r="AK9" i="2"/>
  <c r="AS38" i="2"/>
  <c r="AK22" i="2"/>
  <c r="AS9" i="2"/>
  <c r="AO9" i="2"/>
  <c r="AG38" i="2"/>
  <c r="AO22" i="2"/>
  <c r="AG9" i="2"/>
  <c r="AO38" i="2"/>
  <c r="AG22" i="2"/>
  <c r="AP22" i="2"/>
  <c r="AQ9" i="2"/>
  <c r="AI38" i="2"/>
  <c r="AP9" i="2"/>
  <c r="AJ9" i="2"/>
  <c r="AN22" i="2"/>
  <c r="AJ38" i="2"/>
  <c r="AH22" i="2"/>
  <c r="AQ22" i="2"/>
  <c r="AL9" i="2"/>
  <c r="AJ22" i="2"/>
  <c r="AL38" i="2"/>
  <c r="AI22" i="2"/>
  <c r="AM38" i="2"/>
  <c r="AL22" i="2"/>
  <c r="AN9" i="2"/>
  <c r="AR22" i="2"/>
  <c r="AH9" i="2"/>
  <c r="AM22" i="2"/>
  <c r="AQ38" i="2"/>
  <c r="AH38" i="2"/>
  <c r="AR9" i="2"/>
  <c r="AM9" i="2"/>
  <c r="AP38" i="2"/>
  <c r="AN38" i="2"/>
  <c r="AI9" i="2"/>
  <c r="N100" i="4" l="1"/>
  <c r="O76" i="4"/>
  <c r="Q65" i="4"/>
  <c r="R65" i="4"/>
  <c r="O65" i="4"/>
  <c r="N65" i="4"/>
  <c r="M65" i="4"/>
  <c r="L86" i="4"/>
  <c r="R86" i="4" s="1"/>
  <c r="P65" i="4"/>
  <c r="R69" i="4"/>
  <c r="L73" i="4"/>
  <c r="O73" i="4" s="1"/>
  <c r="P77" i="4"/>
  <c r="P69" i="4"/>
  <c r="N96" i="4"/>
  <c r="O64" i="4"/>
  <c r="M81" i="4"/>
  <c r="P64" i="4"/>
  <c r="M64" i="4"/>
  <c r="M77" i="4"/>
  <c r="P80" i="4"/>
  <c r="R64" i="4"/>
  <c r="Q64" i="4"/>
  <c r="P102" i="4"/>
  <c r="M100" i="4"/>
  <c r="P76" i="4"/>
  <c r="L102" i="4"/>
  <c r="Q102" i="4" s="1"/>
  <c r="M97" i="4"/>
  <c r="M85" i="4"/>
  <c r="M76" i="4"/>
  <c r="M82" i="4"/>
  <c r="P100" i="4"/>
  <c r="M60" i="4"/>
  <c r="Q77" i="4"/>
  <c r="O97" i="4"/>
  <c r="M96" i="4"/>
  <c r="P98" i="4"/>
  <c r="Q69" i="4"/>
  <c r="M102" i="4"/>
  <c r="Q73" i="4"/>
  <c r="L98" i="4"/>
  <c r="N98" i="4" s="1"/>
  <c r="Q74" i="4"/>
  <c r="N74" i="4"/>
  <c r="O74" i="4"/>
  <c r="R74" i="4"/>
  <c r="Q72" i="4"/>
  <c r="N72" i="4"/>
  <c r="R72" i="4"/>
  <c r="O72" i="4"/>
  <c r="O82" i="4"/>
  <c r="N82" i="4"/>
  <c r="R82" i="4"/>
  <c r="Q82" i="4"/>
  <c r="P74" i="4"/>
  <c r="M72" i="4"/>
  <c r="L85" i="4"/>
  <c r="O85" i="4" s="1"/>
  <c r="L90" i="4"/>
  <c r="N90" i="4" s="1"/>
  <c r="O69" i="4"/>
  <c r="P73" i="4"/>
  <c r="P72" i="4"/>
  <c r="P70" i="4"/>
  <c r="P78" i="4"/>
  <c r="L70" i="4"/>
  <c r="Q70" i="4" s="1"/>
  <c r="M98" i="4"/>
  <c r="M69" i="4"/>
  <c r="N64" i="4"/>
  <c r="N69" i="4"/>
  <c r="Q94" i="4"/>
  <c r="M70" i="4"/>
  <c r="P96" i="4"/>
  <c r="M73" i="4"/>
  <c r="P97" i="4"/>
  <c r="M74" i="4"/>
  <c r="M68" i="4"/>
  <c r="M101" i="4"/>
  <c r="O94" i="4"/>
  <c r="P82" i="4"/>
  <c r="P84" i="4"/>
  <c r="P61" i="4"/>
  <c r="M88" i="4"/>
  <c r="M62" i="4"/>
  <c r="P101" i="4"/>
  <c r="R94" i="4"/>
  <c r="P85" i="4"/>
  <c r="N92" i="4"/>
  <c r="R92" i="4"/>
  <c r="O92" i="4"/>
  <c r="L78" i="4"/>
  <c r="N78" i="4" s="1"/>
  <c r="L60" i="4"/>
  <c r="N60" i="4" s="1"/>
  <c r="L62" i="4"/>
  <c r="Q62" i="4" s="1"/>
  <c r="R96" i="4"/>
  <c r="M78" i="4"/>
  <c r="Q96" i="4"/>
  <c r="P62" i="4"/>
  <c r="L61" i="4"/>
  <c r="R61" i="4" s="1"/>
  <c r="M61" i="4"/>
  <c r="P90" i="4"/>
  <c r="P60" i="4"/>
  <c r="M90" i="4"/>
  <c r="O96" i="4"/>
  <c r="L88" i="4"/>
  <c r="Q88" i="4" s="1"/>
  <c r="L101" i="4"/>
  <c r="Q101" i="4" s="1"/>
  <c r="M56" i="4"/>
  <c r="P56" i="4"/>
  <c r="P88" i="4"/>
  <c r="L89" i="4"/>
  <c r="P89" i="4"/>
  <c r="M86" i="4"/>
  <c r="L80" i="4"/>
  <c r="O80" i="4" s="1"/>
  <c r="P86" i="4"/>
  <c r="M80" i="4"/>
  <c r="L56" i="4"/>
  <c r="Q86" i="4"/>
  <c r="P58" i="4"/>
  <c r="M58" i="4"/>
  <c r="P57" i="4"/>
  <c r="M57" i="4"/>
  <c r="L81" i="4"/>
  <c r="N81" i="4" s="1"/>
  <c r="L57" i="4"/>
  <c r="L68" i="4"/>
  <c r="P68" i="4"/>
  <c r="P81" i="4"/>
  <c r="M84" i="4"/>
  <c r="L84" i="4"/>
  <c r="L58" i="4"/>
  <c r="M89" i="4"/>
  <c r="R100" i="4"/>
  <c r="Q100" i="4"/>
  <c r="R97" i="4"/>
  <c r="Q97" i="4"/>
  <c r="N97" i="4"/>
  <c r="O100" i="4"/>
  <c r="Q93" i="4"/>
  <c r="R66" i="4"/>
  <c r="Q66" i="4"/>
  <c r="O66" i="4"/>
  <c r="R73" i="4"/>
  <c r="R76" i="4"/>
  <c r="O93" i="4"/>
  <c r="N76" i="4"/>
  <c r="N93" i="4"/>
  <c r="N77" i="4"/>
  <c r="R77" i="4"/>
  <c r="Q76" i="4"/>
  <c r="O77" i="4"/>
  <c r="C28" i="5"/>
  <c r="H27" i="5"/>
  <c r="G27" i="5"/>
  <c r="E27" i="5"/>
  <c r="N21" i="5"/>
  <c r="Q21" i="5" s="1"/>
  <c r="O21" i="5"/>
  <c r="T21" i="5"/>
  <c r="V21" i="5"/>
  <c r="F26" i="5"/>
  <c r="L26" i="5"/>
  <c r="D23" i="5"/>
  <c r="I22" i="5"/>
  <c r="M22" i="5"/>
  <c r="N22" i="5"/>
  <c r="D15" i="5"/>
  <c r="I14" i="5"/>
  <c r="K14" i="5" s="1"/>
  <c r="N14" i="5"/>
  <c r="M14" i="5"/>
  <c r="J20" i="5"/>
  <c r="N73" i="4" l="1"/>
  <c r="N86" i="4"/>
  <c r="O86" i="4"/>
  <c r="O102" i="4"/>
  <c r="R102" i="4"/>
  <c r="N102" i="4"/>
  <c r="O90" i="4"/>
  <c r="O70" i="4"/>
  <c r="Q90" i="4"/>
  <c r="R98" i="4"/>
  <c r="O98" i="4"/>
  <c r="Q98" i="4"/>
  <c r="N70" i="4"/>
  <c r="Q85" i="4"/>
  <c r="R70" i="4"/>
  <c r="N85" i="4"/>
  <c r="R85" i="4"/>
  <c r="R90" i="4"/>
  <c r="Q61" i="4"/>
  <c r="O62" i="4"/>
  <c r="Q78" i="4"/>
  <c r="O78" i="4"/>
  <c r="R78" i="4"/>
  <c r="N61" i="4"/>
  <c r="N62" i="4"/>
  <c r="O101" i="4"/>
  <c r="Q81" i="4"/>
  <c r="O81" i="4"/>
  <c r="Q80" i="4"/>
  <c r="N101" i="4"/>
  <c r="R101" i="4"/>
  <c r="O61" i="4"/>
  <c r="R81" i="4"/>
  <c r="O60" i="4"/>
  <c r="R60" i="4"/>
  <c r="Q60" i="4"/>
  <c r="R62" i="4"/>
  <c r="O88" i="4"/>
  <c r="R88" i="4"/>
  <c r="N88" i="4"/>
  <c r="N58" i="4"/>
  <c r="R58" i="4"/>
  <c r="O58" i="4"/>
  <c r="Q58" i="4"/>
  <c r="Q84" i="4"/>
  <c r="R84" i="4"/>
  <c r="N84" i="4"/>
  <c r="O84" i="4"/>
  <c r="R80" i="4"/>
  <c r="Q89" i="4"/>
  <c r="R89" i="4"/>
  <c r="O89" i="4"/>
  <c r="N89" i="4"/>
  <c r="N80" i="4"/>
  <c r="R68" i="4"/>
  <c r="N68" i="4"/>
  <c r="O68" i="4"/>
  <c r="Q68" i="4"/>
  <c r="Q56" i="4"/>
  <c r="R56" i="4"/>
  <c r="O56" i="4"/>
  <c r="N56" i="4"/>
  <c r="Q57" i="4"/>
  <c r="N57" i="4"/>
  <c r="R57" i="4"/>
  <c r="O57" i="4"/>
  <c r="Q22" i="5"/>
  <c r="O22" i="5"/>
  <c r="T22" i="5"/>
  <c r="V22" i="5"/>
  <c r="Q14" i="5"/>
  <c r="V14" i="5"/>
  <c r="T14" i="5"/>
  <c r="O14" i="5"/>
  <c r="F27" i="5"/>
  <c r="L27" i="5"/>
  <c r="D24" i="5"/>
  <c r="I23" i="5"/>
  <c r="M23" i="5"/>
  <c r="N23" i="5"/>
  <c r="D16" i="5"/>
  <c r="I15" i="5"/>
  <c r="K15" i="5" s="1"/>
  <c r="N15" i="5"/>
  <c r="M15" i="5"/>
  <c r="C29" i="5"/>
  <c r="H28" i="5"/>
  <c r="G28" i="5"/>
  <c r="E28" i="5"/>
  <c r="J21" i="5"/>
  <c r="K21" i="5" s="1"/>
  <c r="R22" i="5"/>
  <c r="R14" i="5"/>
  <c r="R21" i="5"/>
  <c r="D25" i="5" l="1"/>
  <c r="I24" i="5"/>
  <c r="N24" i="5"/>
  <c r="M24" i="5"/>
  <c r="C30" i="5"/>
  <c r="H29" i="5"/>
  <c r="G29" i="5"/>
  <c r="E29" i="5"/>
  <c r="F28" i="5"/>
  <c r="L28" i="5"/>
  <c r="D17" i="5"/>
  <c r="I16" i="5"/>
  <c r="K16" i="5" s="1"/>
  <c r="N16" i="5"/>
  <c r="M16" i="5"/>
  <c r="O23" i="5"/>
  <c r="V23" i="5"/>
  <c r="T23" i="5"/>
  <c r="Q23" i="5"/>
  <c r="V15" i="5"/>
  <c r="O15" i="5"/>
  <c r="Q15" i="5"/>
  <c r="T15" i="5"/>
  <c r="J22" i="5"/>
  <c r="K22" i="5" s="1"/>
  <c r="R23" i="5"/>
  <c r="R15" i="5"/>
  <c r="W28" i="5" l="1"/>
  <c r="O28" i="5"/>
  <c r="V28" i="5"/>
  <c r="U28" i="5"/>
  <c r="Q28" i="5"/>
  <c r="P28" i="5"/>
  <c r="T28" i="5"/>
  <c r="X28" i="5"/>
  <c r="M28" i="5"/>
  <c r="S28" i="5"/>
  <c r="N28" i="5"/>
  <c r="R28" i="5"/>
  <c r="T16" i="5"/>
  <c r="V16" i="5"/>
  <c r="O16" i="5"/>
  <c r="Q16" i="5"/>
  <c r="D26" i="5"/>
  <c r="I25" i="5"/>
  <c r="M25" i="5"/>
  <c r="N25" i="5"/>
  <c r="D18" i="5"/>
  <c r="I18" i="5" s="1"/>
  <c r="K18" i="5" s="1"/>
  <c r="I17" i="5"/>
  <c r="K17" i="5" s="1"/>
  <c r="N17" i="5"/>
  <c r="M17" i="5"/>
  <c r="AC29" i="5"/>
  <c r="Y29" i="5"/>
  <c r="AA29" i="5"/>
  <c r="AB29" i="5"/>
  <c r="AD29" i="5"/>
  <c r="Z29" i="5"/>
  <c r="Q24" i="5"/>
  <c r="T24" i="5"/>
  <c r="V24" i="5"/>
  <c r="O24" i="5"/>
  <c r="F29" i="5"/>
  <c r="L29" i="5"/>
  <c r="D29" i="5"/>
  <c r="I29" i="5" s="1"/>
  <c r="K29" i="5"/>
  <c r="C31" i="5"/>
  <c r="E30" i="5"/>
  <c r="H30" i="5"/>
  <c r="G30" i="5"/>
  <c r="J23" i="5"/>
  <c r="K23" i="5" s="1"/>
  <c r="P14" i="5"/>
  <c r="P15" i="5"/>
  <c r="R16" i="5"/>
  <c r="P16" i="5"/>
  <c r="R24" i="5"/>
  <c r="S15" i="5" l="1"/>
  <c r="S14" i="5"/>
  <c r="S16" i="5"/>
  <c r="AC30" i="5"/>
  <c r="Z30" i="5"/>
  <c r="AA30" i="5"/>
  <c r="AB30" i="5"/>
  <c r="AD30" i="5"/>
  <c r="T25" i="5"/>
  <c r="Q25" i="5"/>
  <c r="V25" i="5"/>
  <c r="O25" i="5"/>
  <c r="W29" i="5"/>
  <c r="O29" i="5"/>
  <c r="N29" i="5"/>
  <c r="V29" i="5"/>
  <c r="U29" i="5"/>
  <c r="Q29" i="5"/>
  <c r="P29" i="5"/>
  <c r="S29" i="5"/>
  <c r="T29" i="5"/>
  <c r="M29" i="5"/>
  <c r="X29" i="5"/>
  <c r="R29" i="5"/>
  <c r="F30" i="5"/>
  <c r="L30" i="5"/>
  <c r="D30" i="5"/>
  <c r="K30" i="5"/>
  <c r="C32" i="5"/>
  <c r="E31" i="5"/>
  <c r="H31" i="5"/>
  <c r="G31" i="5"/>
  <c r="T17" i="5"/>
  <c r="O17" i="5"/>
  <c r="Q17" i="5"/>
  <c r="V17" i="5"/>
  <c r="D27" i="5"/>
  <c r="I26" i="5"/>
  <c r="M26" i="5"/>
  <c r="N26" i="5"/>
  <c r="J24" i="5"/>
  <c r="K24" i="5" s="1"/>
  <c r="R17" i="5"/>
  <c r="R25" i="5"/>
  <c r="P17" i="5"/>
  <c r="S17" i="5" l="1"/>
  <c r="D31" i="5"/>
  <c r="I30" i="5"/>
  <c r="F31" i="5"/>
  <c r="L31" i="5"/>
  <c r="D28" i="5"/>
  <c r="I28" i="5" s="1"/>
  <c r="K28" i="5" s="1"/>
  <c r="I27" i="5"/>
  <c r="M27" i="5"/>
  <c r="N27" i="5"/>
  <c r="V30" i="5"/>
  <c r="U30" i="5"/>
  <c r="R30" i="5"/>
  <c r="W30" i="5"/>
  <c r="N30" i="5"/>
  <c r="Q30" i="5"/>
  <c r="S30" i="5"/>
  <c r="O30" i="5"/>
  <c r="X30" i="5"/>
  <c r="T30" i="5"/>
  <c r="M30" i="5"/>
  <c r="P30" i="5"/>
  <c r="C33" i="5"/>
  <c r="E32" i="5"/>
  <c r="H32" i="5"/>
  <c r="G32" i="5"/>
  <c r="T26" i="5"/>
  <c r="Q26" i="5"/>
  <c r="V26" i="5"/>
  <c r="O26" i="5"/>
  <c r="J25" i="5"/>
  <c r="K25" i="5" s="1"/>
  <c r="U15" i="5"/>
  <c r="U16" i="5"/>
  <c r="R26" i="5"/>
  <c r="U14" i="5"/>
  <c r="U17" i="5"/>
  <c r="M31" i="5" l="1"/>
  <c r="V31" i="5" s="1"/>
  <c r="F32" i="5"/>
  <c r="L32" i="5"/>
  <c r="O27" i="5"/>
  <c r="Q27" i="5"/>
  <c r="T27" i="5"/>
  <c r="V27" i="5"/>
  <c r="D32" i="5"/>
  <c r="I31" i="5"/>
  <c r="C34" i="5"/>
  <c r="N31" i="5" s="1"/>
  <c r="G33" i="5"/>
  <c r="E33" i="5"/>
  <c r="H33" i="5"/>
  <c r="J26" i="5"/>
  <c r="K26" i="5" s="1"/>
  <c r="W16" i="5"/>
  <c r="W17" i="5"/>
  <c r="W15" i="5"/>
  <c r="R27" i="5"/>
  <c r="W14" i="5"/>
  <c r="X15" i="5" l="1"/>
  <c r="X17" i="5"/>
  <c r="X16" i="5"/>
  <c r="X14" i="5"/>
  <c r="F33" i="4"/>
  <c r="E33" i="4" s="1"/>
  <c r="AI16" i="5" s="1"/>
  <c r="O31" i="5"/>
  <c r="C35" i="5"/>
  <c r="G34" i="5"/>
  <c r="H34" i="5"/>
  <c r="E34" i="5"/>
  <c r="F33" i="5"/>
  <c r="L33" i="5"/>
  <c r="T32" i="5"/>
  <c r="N32" i="5"/>
  <c r="M32" i="5"/>
  <c r="Q32" i="5" s="1"/>
  <c r="Q31" i="5"/>
  <c r="T31" i="5"/>
  <c r="D33" i="5"/>
  <c r="I32" i="5"/>
  <c r="Y14" i="5"/>
  <c r="J27" i="5"/>
  <c r="K27" i="5" s="1"/>
  <c r="P23" i="5"/>
  <c r="P25" i="5"/>
  <c r="P24" i="5"/>
  <c r="P21" i="5"/>
  <c r="P26" i="5"/>
  <c r="P22" i="5"/>
  <c r="P27" i="5"/>
  <c r="F34" i="4" l="1"/>
  <c r="F35" i="4"/>
  <c r="AA15" i="5"/>
  <c r="F39" i="4"/>
  <c r="AJ22" i="5" s="1"/>
  <c r="F36" i="4"/>
  <c r="E36" i="4" s="1"/>
  <c r="AI19" i="5" s="1"/>
  <c r="Y18" i="5"/>
  <c r="Y16" i="5"/>
  <c r="AA16" i="5"/>
  <c r="Z18" i="5"/>
  <c r="AA14" i="5"/>
  <c r="Z15" i="5"/>
  <c r="AC15" i="5" s="1"/>
  <c r="Z14" i="5"/>
  <c r="AA17" i="5"/>
  <c r="Y15" i="5"/>
  <c r="Y20" i="5"/>
  <c r="AA18" i="5"/>
  <c r="Z16" i="5"/>
  <c r="Z17" i="5"/>
  <c r="Y17" i="5"/>
  <c r="AJ16" i="5"/>
  <c r="AJ18" i="5"/>
  <c r="E35" i="4"/>
  <c r="AI18" i="5" s="1"/>
  <c r="AJ17" i="5"/>
  <c r="E34" i="4"/>
  <c r="AI17" i="5" s="1"/>
  <c r="O32" i="5"/>
  <c r="S27" i="5"/>
  <c r="S25" i="5"/>
  <c r="S23" i="5"/>
  <c r="S21" i="5"/>
  <c r="S22" i="5"/>
  <c r="S24" i="5"/>
  <c r="S26" i="5"/>
  <c r="F34" i="5"/>
  <c r="L34" i="5"/>
  <c r="V32" i="5"/>
  <c r="N33" i="5"/>
  <c r="M33" i="5"/>
  <c r="Q33" i="5" s="1"/>
  <c r="D34" i="5"/>
  <c r="I33" i="5"/>
  <c r="C36" i="5"/>
  <c r="H35" i="5"/>
  <c r="G35" i="5"/>
  <c r="E35" i="5"/>
  <c r="J28" i="5"/>
  <c r="R33" i="5"/>
  <c r="R32" i="5"/>
  <c r="U21" i="5"/>
  <c r="R31" i="5"/>
  <c r="U22" i="5"/>
  <c r="U27" i="5"/>
  <c r="U24" i="5"/>
  <c r="U25" i="5"/>
  <c r="U23" i="5"/>
  <c r="U26" i="5"/>
  <c r="F38" i="4" l="1"/>
  <c r="E38" i="4" s="1"/>
  <c r="AI21" i="5" s="1"/>
  <c r="AJ19" i="5"/>
  <c r="AB18" i="5"/>
  <c r="AB16" i="5"/>
  <c r="AD16" i="5"/>
  <c r="AB15" i="5"/>
  <c r="AB14" i="5"/>
  <c r="AD15" i="5"/>
  <c r="AD14" i="5"/>
  <c r="AC14" i="5"/>
  <c r="AD17" i="5"/>
  <c r="AD18" i="5"/>
  <c r="AC18" i="5"/>
  <c r="AC16" i="5"/>
  <c r="AB17" i="5"/>
  <c r="AC17" i="5"/>
  <c r="AJ21" i="5"/>
  <c r="T33" i="5"/>
  <c r="M34" i="5"/>
  <c r="V34" i="5" s="1"/>
  <c r="N34" i="5"/>
  <c r="V33" i="5"/>
  <c r="D35" i="5"/>
  <c r="I35" i="5" s="1"/>
  <c r="I34" i="5"/>
  <c r="O33" i="5"/>
  <c r="C37" i="5"/>
  <c r="H36" i="5"/>
  <c r="G36" i="5"/>
  <c r="E36" i="5"/>
  <c r="F35" i="5"/>
  <c r="K35" i="5"/>
  <c r="L35" i="5"/>
  <c r="J29" i="5"/>
  <c r="W27" i="5"/>
  <c r="W21" i="5"/>
  <c r="W25" i="5"/>
  <c r="W24" i="5"/>
  <c r="W23" i="5"/>
  <c r="W26" i="5"/>
  <c r="W22" i="5"/>
  <c r="X22" i="5" l="1"/>
  <c r="X21" i="5"/>
  <c r="X25" i="5"/>
  <c r="X24" i="5"/>
  <c r="X26" i="5"/>
  <c r="X27" i="5"/>
  <c r="X23" i="5"/>
  <c r="Z25" i="5" s="1"/>
  <c r="O34" i="5"/>
  <c r="T34" i="5"/>
  <c r="AD36" i="5"/>
  <c r="AB36" i="5"/>
  <c r="AA36" i="5"/>
  <c r="AC36" i="5"/>
  <c r="Z36" i="5"/>
  <c r="Y36" i="5"/>
  <c r="L36" i="5"/>
  <c r="K36" i="5"/>
  <c r="D36" i="5"/>
  <c r="I36" i="5" s="1"/>
  <c r="F36" i="5"/>
  <c r="C38" i="5"/>
  <c r="H37" i="5"/>
  <c r="E37" i="5"/>
  <c r="G37" i="5"/>
  <c r="X35" i="5"/>
  <c r="O35" i="5"/>
  <c r="U35" i="5"/>
  <c r="R35" i="5"/>
  <c r="S35" i="5"/>
  <c r="M35" i="5"/>
  <c r="T35" i="5"/>
  <c r="P35" i="5"/>
  <c r="N35" i="5"/>
  <c r="V35" i="5"/>
  <c r="Q35" i="5"/>
  <c r="W35" i="5"/>
  <c r="Q34" i="5"/>
  <c r="J30" i="5"/>
  <c r="R34" i="5"/>
  <c r="Z22" i="5" l="1"/>
  <c r="J35" i="4"/>
  <c r="I35" i="4" s="1"/>
  <c r="AI30" i="5" s="1"/>
  <c r="AA23" i="5"/>
  <c r="J34" i="4"/>
  <c r="I34" i="4" s="1"/>
  <c r="AI29" i="5" s="1"/>
  <c r="AA26" i="5"/>
  <c r="Y30" i="5"/>
  <c r="Y28" i="5"/>
  <c r="Z27" i="5"/>
  <c r="J39" i="4"/>
  <c r="AJ34" i="5" s="1"/>
  <c r="Y22" i="5"/>
  <c r="Y21" i="5"/>
  <c r="AA22" i="5"/>
  <c r="Z23" i="5"/>
  <c r="J33" i="4"/>
  <c r="AJ28" i="5" s="1"/>
  <c r="Y25" i="5"/>
  <c r="Z24" i="5"/>
  <c r="AA28" i="5"/>
  <c r="Y23" i="5"/>
  <c r="Y27" i="5"/>
  <c r="Y24" i="5"/>
  <c r="Y26" i="5"/>
  <c r="AA24" i="5"/>
  <c r="Z26" i="5"/>
  <c r="AB26" i="5" s="1"/>
  <c r="Z28" i="5"/>
  <c r="J37" i="4"/>
  <c r="I37" i="4" s="1"/>
  <c r="AI32" i="5" s="1"/>
  <c r="AA21" i="5"/>
  <c r="Z21" i="5"/>
  <c r="J36" i="4"/>
  <c r="I36" i="4" s="1"/>
  <c r="AI31" i="5" s="1"/>
  <c r="AA25" i="5"/>
  <c r="AC25" i="5" s="1"/>
  <c r="AA27" i="5"/>
  <c r="AQ32" i="5"/>
  <c r="C39" i="5"/>
  <c r="H38" i="5"/>
  <c r="G38" i="5"/>
  <c r="E38" i="5"/>
  <c r="AD37" i="5"/>
  <c r="AB37" i="5"/>
  <c r="AA37" i="5"/>
  <c r="AC37" i="5"/>
  <c r="Z37" i="5"/>
  <c r="Y37" i="5"/>
  <c r="P36" i="5"/>
  <c r="X36" i="5"/>
  <c r="O36" i="5"/>
  <c r="U36" i="5"/>
  <c r="R36" i="5"/>
  <c r="S36" i="5"/>
  <c r="M36" i="5"/>
  <c r="T36" i="5"/>
  <c r="N36" i="5"/>
  <c r="Q36" i="5"/>
  <c r="V36" i="5"/>
  <c r="W36" i="5"/>
  <c r="F37" i="5"/>
  <c r="L37" i="5"/>
  <c r="K37" i="5"/>
  <c r="D37" i="5"/>
  <c r="I37" i="5" s="1"/>
  <c r="J31" i="5"/>
  <c r="K31" i="5" s="1"/>
  <c r="AD22" i="5" l="1"/>
  <c r="AD25" i="5"/>
  <c r="AD23" i="5"/>
  <c r="AJ30" i="5"/>
  <c r="AB23" i="5"/>
  <c r="AC28" i="5"/>
  <c r="AC23" i="5"/>
  <c r="AB25" i="5"/>
  <c r="AJ29" i="5"/>
  <c r="AB21" i="5"/>
  <c r="AC24" i="5"/>
  <c r="AD24" i="5"/>
  <c r="I33" i="4"/>
  <c r="AI28" i="5" s="1"/>
  <c r="AB28" i="5"/>
  <c r="AB24" i="5"/>
  <c r="AB27" i="5"/>
  <c r="AD28" i="5"/>
  <c r="AD27" i="5"/>
  <c r="AC27" i="5"/>
  <c r="AB22" i="5"/>
  <c r="AC22" i="5"/>
  <c r="AC21" i="5"/>
  <c r="J38" i="4"/>
  <c r="I38" i="4" s="1"/>
  <c r="AI33" i="5" s="1"/>
  <c r="AD26" i="5"/>
  <c r="AJ31" i="5"/>
  <c r="AC26" i="5"/>
  <c r="AD21" i="5"/>
  <c r="AJ32" i="5"/>
  <c r="Y38" i="5"/>
  <c r="AD38" i="5"/>
  <c r="AB38" i="5"/>
  <c r="AA38" i="5"/>
  <c r="Z38" i="5"/>
  <c r="AC38" i="5"/>
  <c r="S37" i="5"/>
  <c r="P37" i="5"/>
  <c r="X37" i="5"/>
  <c r="O37" i="5"/>
  <c r="M37" i="5"/>
  <c r="V37" i="5"/>
  <c r="T37" i="5"/>
  <c r="Q37" i="5"/>
  <c r="N37" i="5"/>
  <c r="W37" i="5"/>
  <c r="U37" i="5"/>
  <c r="R37" i="5"/>
  <c r="L38" i="5"/>
  <c r="K38" i="5"/>
  <c r="F38" i="5"/>
  <c r="D38" i="5"/>
  <c r="I38" i="5" s="1"/>
  <c r="C40" i="5"/>
  <c r="E39" i="5"/>
  <c r="H39" i="5"/>
  <c r="G39" i="5"/>
  <c r="J32" i="5"/>
  <c r="K32" i="5" s="1"/>
  <c r="AJ33" i="5" l="1"/>
  <c r="D39" i="5"/>
  <c r="I39" i="5" s="1"/>
  <c r="F39" i="5"/>
  <c r="L39" i="5"/>
  <c r="K39" i="5"/>
  <c r="V38" i="5"/>
  <c r="S38" i="5"/>
  <c r="P38" i="5"/>
  <c r="X38" i="5"/>
  <c r="Q38" i="5"/>
  <c r="W38" i="5"/>
  <c r="U38" i="5"/>
  <c r="R38" i="5"/>
  <c r="M38" i="5"/>
  <c r="O38" i="5"/>
  <c r="N38" i="5"/>
  <c r="T38" i="5"/>
  <c r="C41" i="5"/>
  <c r="E40" i="5"/>
  <c r="G40" i="5"/>
  <c r="H40" i="5"/>
  <c r="Y39" i="5"/>
  <c r="AD39" i="5"/>
  <c r="AB39" i="5"/>
  <c r="Z39" i="5"/>
  <c r="AC39" i="5"/>
  <c r="AA39" i="5"/>
  <c r="J33" i="5"/>
  <c r="K33" i="5" s="1"/>
  <c r="Y40" i="5" l="1"/>
  <c r="AD40" i="5"/>
  <c r="AB40" i="5"/>
  <c r="Z40" i="5"/>
  <c r="AC40" i="5"/>
  <c r="AA40" i="5"/>
  <c r="D40" i="5"/>
  <c r="I40" i="5" s="1"/>
  <c r="K40" i="5"/>
  <c r="F40" i="5"/>
  <c r="L40" i="5"/>
  <c r="Q39" i="5"/>
  <c r="V39" i="5"/>
  <c r="S39" i="5"/>
  <c r="W39" i="5"/>
  <c r="R39" i="5"/>
  <c r="N39" i="5"/>
  <c r="X39" i="5"/>
  <c r="U39" i="5"/>
  <c r="P39" i="5"/>
  <c r="M39" i="5"/>
  <c r="O39" i="5"/>
  <c r="T39" i="5"/>
  <c r="C42" i="5"/>
  <c r="G41" i="5"/>
  <c r="E41" i="5"/>
  <c r="H41" i="5"/>
  <c r="J34" i="5"/>
  <c r="K34" i="5" s="1"/>
  <c r="P32" i="5"/>
  <c r="P31" i="5"/>
  <c r="P33" i="5"/>
  <c r="P34" i="5"/>
  <c r="S34" i="5" l="1"/>
  <c r="S32" i="5"/>
  <c r="S31" i="5"/>
  <c r="S33" i="5"/>
  <c r="C43" i="5"/>
  <c r="G42" i="5"/>
  <c r="H42" i="5"/>
  <c r="E42" i="5"/>
  <c r="Z41" i="5"/>
  <c r="AD41" i="5"/>
  <c r="AB41" i="5"/>
  <c r="Y41" i="5"/>
  <c r="AC41" i="5"/>
  <c r="AA41" i="5"/>
  <c r="D41" i="5"/>
  <c r="I41" i="5" s="1"/>
  <c r="K41" i="5"/>
  <c r="L41" i="5"/>
  <c r="F41" i="5"/>
  <c r="W40" i="5"/>
  <c r="T40" i="5"/>
  <c r="N40" i="5"/>
  <c r="M40" i="5"/>
  <c r="Q40" i="5"/>
  <c r="V40" i="5"/>
  <c r="R40" i="5"/>
  <c r="X40" i="5"/>
  <c r="S40" i="5"/>
  <c r="U40" i="5"/>
  <c r="P40" i="5"/>
  <c r="O40" i="5"/>
  <c r="J35" i="5"/>
  <c r="U34" i="5"/>
  <c r="U32" i="5"/>
  <c r="U33" i="5"/>
  <c r="U31" i="5"/>
  <c r="K42" i="5" l="1"/>
  <c r="F42" i="5"/>
  <c r="L42" i="5"/>
  <c r="D42" i="5"/>
  <c r="I42" i="5" s="1"/>
  <c r="AC42" i="5"/>
  <c r="AD42" i="5"/>
  <c r="AB42" i="5"/>
  <c r="Z42" i="5"/>
  <c r="Y42" i="5"/>
  <c r="AA42" i="5"/>
  <c r="W41" i="5"/>
  <c r="T41" i="5"/>
  <c r="N41" i="5"/>
  <c r="M41" i="5"/>
  <c r="Q41" i="5"/>
  <c r="X41" i="5"/>
  <c r="R41" i="5"/>
  <c r="U41" i="5"/>
  <c r="P41" i="5"/>
  <c r="V41" i="5"/>
  <c r="S41" i="5"/>
  <c r="O41" i="5"/>
  <c r="C44" i="5"/>
  <c r="H43" i="5"/>
  <c r="G43" i="5"/>
  <c r="E43" i="5"/>
  <c r="J36" i="5"/>
  <c r="W34" i="5"/>
  <c r="W31" i="5"/>
  <c r="W33" i="5"/>
  <c r="W32" i="5"/>
  <c r="X32" i="5" l="1"/>
  <c r="X34" i="5"/>
  <c r="X33" i="5"/>
  <c r="X31" i="5"/>
  <c r="N36" i="4" s="1"/>
  <c r="AQ31" i="5" s="1"/>
  <c r="N33" i="4"/>
  <c r="AQ28" i="5" s="1"/>
  <c r="N34" i="4"/>
  <c r="AQ29" i="5" s="1"/>
  <c r="N35" i="4"/>
  <c r="AQ30" i="5" s="1"/>
  <c r="M37" i="4"/>
  <c r="AP32" i="5" s="1"/>
  <c r="AJ20" i="5"/>
  <c r="AI20" i="5"/>
  <c r="U42" i="5"/>
  <c r="R42" i="5"/>
  <c r="W42" i="5"/>
  <c r="T42" i="5"/>
  <c r="V42" i="5"/>
  <c r="P42" i="5"/>
  <c r="Q42" i="5"/>
  <c r="N42" i="5"/>
  <c r="S42" i="5"/>
  <c r="X42" i="5"/>
  <c r="M42" i="5"/>
  <c r="O42" i="5"/>
  <c r="AC43" i="5"/>
  <c r="Z43" i="5"/>
  <c r="AA43" i="5"/>
  <c r="AD43" i="5"/>
  <c r="AB43" i="5"/>
  <c r="Y43" i="5"/>
  <c r="C45" i="5"/>
  <c r="H44" i="5"/>
  <c r="G44" i="5"/>
  <c r="E44" i="5"/>
  <c r="L43" i="5"/>
  <c r="K43" i="5"/>
  <c r="D43" i="5"/>
  <c r="I43" i="5" s="1"/>
  <c r="F43" i="5"/>
  <c r="AA35" i="5"/>
  <c r="Y35" i="5"/>
  <c r="Z35" i="5"/>
  <c r="Z31" i="5"/>
  <c r="J37" i="5"/>
  <c r="Z33" i="5" l="1"/>
  <c r="AA32" i="5"/>
  <c r="Y31" i="5"/>
  <c r="N39" i="4"/>
  <c r="E27" i="4" s="1"/>
  <c r="Y34" i="5"/>
  <c r="AA31" i="5"/>
  <c r="AB31" i="5" s="1"/>
  <c r="Y33" i="5"/>
  <c r="AA33" i="5"/>
  <c r="Z34" i="5"/>
  <c r="Y32" i="5"/>
  <c r="AA34" i="5"/>
  <c r="Z32" i="5"/>
  <c r="AD32" i="5" s="1"/>
  <c r="M33" i="4"/>
  <c r="AP28" i="5" s="1"/>
  <c r="M34" i="4"/>
  <c r="AP29" i="5" s="1"/>
  <c r="M36" i="4"/>
  <c r="AP31" i="5" s="1"/>
  <c r="M35" i="4"/>
  <c r="AP30" i="5" s="1"/>
  <c r="AB35" i="5"/>
  <c r="AD44" i="5"/>
  <c r="AB44" i="5"/>
  <c r="AA44" i="5"/>
  <c r="AC44" i="5"/>
  <c r="Z44" i="5"/>
  <c r="Y44" i="5"/>
  <c r="AD35" i="5"/>
  <c r="AC35" i="5"/>
  <c r="C46" i="5"/>
  <c r="H45" i="5"/>
  <c r="G45" i="5"/>
  <c r="E45" i="5"/>
  <c r="L44" i="5"/>
  <c r="K44" i="5"/>
  <c r="D44" i="5"/>
  <c r="I44" i="5" s="1"/>
  <c r="F44" i="5"/>
  <c r="X43" i="5"/>
  <c r="O43" i="5"/>
  <c r="U43" i="5"/>
  <c r="R43" i="5"/>
  <c r="W43" i="5"/>
  <c r="V43" i="5"/>
  <c r="P43" i="5"/>
  <c r="Q43" i="5"/>
  <c r="N43" i="5"/>
  <c r="M43" i="5"/>
  <c r="S43" i="5"/>
  <c r="T43" i="5"/>
  <c r="J38" i="5"/>
  <c r="AD33" i="5" l="1"/>
  <c r="N38" i="4"/>
  <c r="M38" i="4" s="1"/>
  <c r="AP33" i="5" s="1"/>
  <c r="E25" i="4"/>
  <c r="E26" i="4" s="1"/>
  <c r="AQ34" i="5"/>
  <c r="AD31" i="5"/>
  <c r="AC31" i="5"/>
  <c r="AD34" i="5"/>
  <c r="AB34" i="5"/>
  <c r="AC32" i="5"/>
  <c r="AB33" i="5"/>
  <c r="AC33" i="5"/>
  <c r="AC34" i="5"/>
  <c r="AB32" i="5"/>
  <c r="AQ33" i="5"/>
  <c r="F45" i="5"/>
  <c r="L45" i="5"/>
  <c r="K45" i="5"/>
  <c r="D45" i="5"/>
  <c r="I45" i="5" s="1"/>
  <c r="C47" i="5"/>
  <c r="E46" i="5"/>
  <c r="G46" i="5"/>
  <c r="H46" i="5"/>
  <c r="P44" i="5"/>
  <c r="X44" i="5"/>
  <c r="O44" i="5"/>
  <c r="U44" i="5"/>
  <c r="R44" i="5"/>
  <c r="W44" i="5"/>
  <c r="V44" i="5"/>
  <c r="N44" i="5"/>
  <c r="M44" i="5"/>
  <c r="Q44" i="5"/>
  <c r="S44" i="5"/>
  <c r="T44" i="5"/>
  <c r="AD45" i="5"/>
  <c r="AB45" i="5"/>
  <c r="AA45" i="5"/>
  <c r="AC45" i="5"/>
  <c r="Z45" i="5"/>
  <c r="Y45" i="5"/>
  <c r="J39" i="5"/>
  <c r="L46" i="5" l="1"/>
  <c r="K46" i="5"/>
  <c r="F46" i="5"/>
  <c r="D46" i="5"/>
  <c r="I46" i="5" s="1"/>
  <c r="Y46" i="5"/>
  <c r="AD46" i="5"/>
  <c r="AB46" i="5"/>
  <c r="AA46" i="5"/>
  <c r="AC46" i="5"/>
  <c r="Z46" i="5"/>
  <c r="C48" i="5"/>
  <c r="E47" i="5"/>
  <c r="H47" i="5"/>
  <c r="G47" i="5"/>
  <c r="S45" i="5"/>
  <c r="P45" i="5"/>
  <c r="X45" i="5"/>
  <c r="O45" i="5"/>
  <c r="U45" i="5"/>
  <c r="T45" i="5"/>
  <c r="M45" i="5"/>
  <c r="W45" i="5"/>
  <c r="R45" i="5"/>
  <c r="V45" i="5"/>
  <c r="Q45" i="5"/>
  <c r="N45" i="5"/>
  <c r="J40" i="5"/>
  <c r="D47" i="5" l="1"/>
  <c r="I47" i="5" s="1"/>
  <c r="F47" i="5"/>
  <c r="L47" i="5"/>
  <c r="K47" i="5"/>
  <c r="V46" i="5"/>
  <c r="S46" i="5"/>
  <c r="P46" i="5"/>
  <c r="O46" i="5"/>
  <c r="U46" i="5"/>
  <c r="T46" i="5"/>
  <c r="M46" i="5"/>
  <c r="W46" i="5"/>
  <c r="R46" i="5"/>
  <c r="Q46" i="5"/>
  <c r="X46" i="5"/>
  <c r="N46" i="5"/>
  <c r="Y47" i="5"/>
  <c r="AA47" i="5"/>
  <c r="AC47" i="5"/>
  <c r="AD47" i="5"/>
  <c r="Z47" i="5"/>
  <c r="AB47" i="5"/>
  <c r="C49" i="5"/>
  <c r="E48" i="5"/>
  <c r="H48" i="5"/>
  <c r="G48" i="5"/>
  <c r="J41" i="5"/>
  <c r="D48" i="5" l="1"/>
  <c r="I48" i="5" s="1"/>
  <c r="L48" i="5"/>
  <c r="F48" i="5"/>
  <c r="K48" i="5"/>
  <c r="C50" i="5"/>
  <c r="G49" i="5"/>
  <c r="E49" i="5"/>
  <c r="H49" i="5"/>
  <c r="Q47" i="5"/>
  <c r="V47" i="5"/>
  <c r="S47" i="5"/>
  <c r="M47" i="5"/>
  <c r="O47" i="5"/>
  <c r="U47" i="5"/>
  <c r="T47" i="5"/>
  <c r="P47" i="5"/>
  <c r="W47" i="5"/>
  <c r="R47" i="5"/>
  <c r="N47" i="5"/>
  <c r="X47" i="5"/>
  <c r="Y48" i="5"/>
  <c r="AC48" i="5"/>
  <c r="AA48" i="5"/>
  <c r="Z48" i="5"/>
  <c r="AD48" i="5"/>
  <c r="AB48" i="5"/>
  <c r="J42" i="5"/>
  <c r="Z49" i="5" l="1"/>
  <c r="AA49" i="5"/>
  <c r="Y49" i="5"/>
  <c r="AD49" i="5"/>
  <c r="AC49" i="5"/>
  <c r="AB49" i="5"/>
  <c r="W48" i="5"/>
  <c r="T48" i="5"/>
  <c r="N48" i="5"/>
  <c r="Q48" i="5"/>
  <c r="V48" i="5"/>
  <c r="O48" i="5"/>
  <c r="U48" i="5"/>
  <c r="R48" i="5"/>
  <c r="P48" i="5"/>
  <c r="M48" i="5"/>
  <c r="S48" i="5"/>
  <c r="X48" i="5"/>
  <c r="D49" i="5"/>
  <c r="I49" i="5" s="1"/>
  <c r="L49" i="5"/>
  <c r="F49" i="5"/>
  <c r="K49" i="5"/>
  <c r="C51" i="5"/>
  <c r="G50" i="5"/>
  <c r="H50" i="5"/>
  <c r="J43" i="5"/>
  <c r="C52" i="5" l="1"/>
  <c r="H51" i="5"/>
  <c r="G51" i="5"/>
  <c r="W49" i="5"/>
  <c r="T49" i="5"/>
  <c r="N49" i="5"/>
  <c r="Q49" i="5"/>
  <c r="X49" i="5"/>
  <c r="S49" i="5"/>
  <c r="O49" i="5"/>
  <c r="R49" i="5"/>
  <c r="V49" i="5"/>
  <c r="P49" i="5"/>
  <c r="M49" i="5"/>
  <c r="U49" i="5"/>
  <c r="AD50" i="5"/>
  <c r="AB50" i="5"/>
  <c r="Z50" i="5"/>
  <c r="Y50" i="5"/>
  <c r="AA50" i="5"/>
  <c r="AC50" i="5"/>
  <c r="L50" i="5"/>
  <c r="D50" i="5"/>
  <c r="I50" i="5" s="1"/>
  <c r="F50" i="5"/>
  <c r="K50" i="5"/>
  <c r="J44" i="5"/>
  <c r="K51" i="5" l="1"/>
  <c r="L51" i="5"/>
  <c r="D51" i="5"/>
  <c r="I51" i="5" s="1"/>
  <c r="F51" i="5"/>
  <c r="AC51" i="5"/>
  <c r="Z51" i="5"/>
  <c r="Y51" i="5"/>
  <c r="AD51" i="5"/>
  <c r="AB51" i="5"/>
  <c r="AA51" i="5"/>
  <c r="U50" i="5"/>
  <c r="R50" i="5"/>
  <c r="W50" i="5"/>
  <c r="T50" i="5"/>
  <c r="X50" i="5"/>
  <c r="S50" i="5"/>
  <c r="Q50" i="5"/>
  <c r="N50" i="5"/>
  <c r="O50" i="5"/>
  <c r="P50" i="5"/>
  <c r="M50" i="5"/>
  <c r="V50" i="5"/>
  <c r="C53" i="5"/>
  <c r="H52" i="5"/>
  <c r="G52" i="5"/>
  <c r="J45" i="5"/>
  <c r="AD52" i="5" l="1"/>
  <c r="AB52" i="5"/>
  <c r="AA52" i="5"/>
  <c r="AC52" i="5"/>
  <c r="Z52" i="5"/>
  <c r="Y52" i="5"/>
  <c r="X51" i="5"/>
  <c r="O51" i="5"/>
  <c r="U51" i="5"/>
  <c r="R51" i="5"/>
  <c r="N51" i="5"/>
  <c r="S51" i="5"/>
  <c r="V51" i="5"/>
  <c r="T51" i="5"/>
  <c r="M51" i="5"/>
  <c r="Q51" i="5"/>
  <c r="W51" i="5"/>
  <c r="P51" i="5"/>
  <c r="C54" i="5"/>
  <c r="H53" i="5"/>
  <c r="G53" i="5"/>
  <c r="L52" i="5"/>
  <c r="K52" i="5"/>
  <c r="D52" i="5"/>
  <c r="I52" i="5" s="1"/>
  <c r="F52" i="5"/>
  <c r="J46" i="5"/>
  <c r="AD53" i="5" l="1"/>
  <c r="AB53" i="5"/>
  <c r="AA53" i="5"/>
  <c r="AC53" i="5"/>
  <c r="Z53" i="5"/>
  <c r="Y53" i="5"/>
  <c r="C55" i="5"/>
  <c r="G54" i="5"/>
  <c r="E54" i="5"/>
  <c r="H54" i="5"/>
  <c r="F53" i="5"/>
  <c r="L53" i="5"/>
  <c r="K53" i="5"/>
  <c r="D53" i="5"/>
  <c r="I53" i="5" s="1"/>
  <c r="P52" i="5"/>
  <c r="X52" i="5"/>
  <c r="O52" i="5"/>
  <c r="U52" i="5"/>
  <c r="R52" i="5"/>
  <c r="Q52" i="5"/>
  <c r="N52" i="5"/>
  <c r="V52" i="5"/>
  <c r="T52" i="5"/>
  <c r="M52" i="5"/>
  <c r="S52" i="5"/>
  <c r="W52" i="5"/>
  <c r="J47" i="5"/>
  <c r="C56" i="5" l="1"/>
  <c r="E55" i="5"/>
  <c r="G55" i="5"/>
  <c r="H55" i="5"/>
  <c r="S53" i="5"/>
  <c r="P53" i="5"/>
  <c r="X53" i="5"/>
  <c r="O53" i="5"/>
  <c r="W53" i="5"/>
  <c r="V53" i="5"/>
  <c r="R53" i="5"/>
  <c r="M53" i="5"/>
  <c r="N53" i="5"/>
  <c r="Q53" i="5"/>
  <c r="T53" i="5"/>
  <c r="U53" i="5"/>
  <c r="Y54" i="5"/>
  <c r="AD54" i="5"/>
  <c r="AB54" i="5"/>
  <c r="AA54" i="5"/>
  <c r="Z54" i="5"/>
  <c r="AC54" i="5"/>
  <c r="L54" i="5"/>
  <c r="K54" i="5"/>
  <c r="F54" i="5"/>
  <c r="D54" i="5"/>
  <c r="I54" i="5" s="1"/>
  <c r="J48" i="5"/>
  <c r="Y55" i="5" l="1"/>
  <c r="Z55" i="5"/>
  <c r="AD55" i="5"/>
  <c r="AB55" i="5"/>
  <c r="AA55" i="5"/>
  <c r="AC55" i="5"/>
  <c r="D55" i="5"/>
  <c r="I55" i="5" s="1"/>
  <c r="F55" i="5"/>
  <c r="K55" i="5"/>
  <c r="L55" i="5"/>
  <c r="V54" i="5"/>
  <c r="S54" i="5"/>
  <c r="P54" i="5"/>
  <c r="W54" i="5"/>
  <c r="R54" i="5"/>
  <c r="M54" i="5"/>
  <c r="X54" i="5"/>
  <c r="Q54" i="5"/>
  <c r="N54" i="5"/>
  <c r="T54" i="5"/>
  <c r="O54" i="5"/>
  <c r="U54" i="5"/>
  <c r="C57" i="5"/>
  <c r="E56" i="5"/>
  <c r="H56" i="5"/>
  <c r="G56" i="5"/>
  <c r="J49" i="5"/>
  <c r="D56" i="5" l="1"/>
  <c r="I56" i="5" s="1"/>
  <c r="K56" i="5"/>
  <c r="L56" i="5"/>
  <c r="F56" i="5"/>
  <c r="Q55" i="5"/>
  <c r="V55" i="5"/>
  <c r="S55" i="5"/>
  <c r="M55" i="5"/>
  <c r="X55" i="5"/>
  <c r="W55" i="5"/>
  <c r="R55" i="5"/>
  <c r="U55" i="5"/>
  <c r="P55" i="5"/>
  <c r="O55" i="5"/>
  <c r="T55" i="5"/>
  <c r="N55" i="5"/>
  <c r="C58" i="5"/>
  <c r="G57" i="5"/>
  <c r="E57" i="5"/>
  <c r="H57" i="5"/>
  <c r="Y56" i="5"/>
  <c r="AC56" i="5"/>
  <c r="AD56" i="5"/>
  <c r="AB56" i="5"/>
  <c r="AA56" i="5"/>
  <c r="Z56" i="5"/>
  <c r="J50" i="5"/>
  <c r="W56" i="5" l="1"/>
  <c r="T56" i="5"/>
  <c r="N56" i="5"/>
  <c r="Q56" i="5"/>
  <c r="V56" i="5"/>
  <c r="U56" i="5"/>
  <c r="P56" i="5"/>
  <c r="X56" i="5"/>
  <c r="S56" i="5"/>
  <c r="O56" i="5"/>
  <c r="M56" i="5"/>
  <c r="R56" i="5"/>
  <c r="D57" i="5"/>
  <c r="I57" i="5" s="1"/>
  <c r="K57" i="5"/>
  <c r="L57" i="5"/>
  <c r="F57" i="5"/>
  <c r="AA57" i="5"/>
  <c r="AC57" i="5"/>
  <c r="AB57" i="5"/>
  <c r="AD57" i="5"/>
  <c r="Z57" i="5"/>
  <c r="Y57" i="5"/>
  <c r="C59" i="5"/>
  <c r="G58" i="5"/>
  <c r="H58" i="5"/>
  <c r="E58" i="5"/>
  <c r="J51" i="5"/>
  <c r="W57" i="5" l="1"/>
  <c r="T57" i="5"/>
  <c r="N57" i="5"/>
  <c r="Q57" i="5"/>
  <c r="O57" i="5"/>
  <c r="V57" i="5"/>
  <c r="U57" i="5"/>
  <c r="P57" i="5"/>
  <c r="X57" i="5"/>
  <c r="S57" i="5"/>
  <c r="M57" i="5"/>
  <c r="R57" i="5"/>
  <c r="C60" i="5"/>
  <c r="H59" i="5"/>
  <c r="G59" i="5"/>
  <c r="E59" i="5"/>
  <c r="L58" i="5"/>
  <c r="D58" i="5"/>
  <c r="I58" i="5" s="1"/>
  <c r="F58" i="5"/>
  <c r="K58" i="5"/>
  <c r="AA58" i="5"/>
  <c r="AC58" i="5"/>
  <c r="AB58" i="5"/>
  <c r="AD58" i="5"/>
  <c r="Z58" i="5"/>
  <c r="Y58" i="5"/>
  <c r="J52" i="5"/>
  <c r="L59" i="5" l="1"/>
  <c r="D59" i="5"/>
  <c r="I59" i="5" s="1"/>
  <c r="F59" i="5"/>
  <c r="K59" i="5"/>
  <c r="AC59" i="5"/>
  <c r="Z59" i="5"/>
  <c r="Y59" i="5"/>
  <c r="AA59" i="5"/>
  <c r="AB59" i="5"/>
  <c r="AD59" i="5"/>
  <c r="C61" i="5"/>
  <c r="H60" i="5"/>
  <c r="E60" i="5"/>
  <c r="G60" i="5"/>
  <c r="U58" i="5"/>
  <c r="R58" i="5"/>
  <c r="W58" i="5"/>
  <c r="T58" i="5"/>
  <c r="O58" i="5"/>
  <c r="V58" i="5"/>
  <c r="P58" i="5"/>
  <c r="N58" i="5"/>
  <c r="M58" i="5"/>
  <c r="X58" i="5"/>
  <c r="S58" i="5"/>
  <c r="Q58" i="5"/>
  <c r="J53" i="5"/>
  <c r="AD60" i="5" l="1"/>
  <c r="AB60" i="5"/>
  <c r="AA60" i="5"/>
  <c r="AC60" i="5"/>
  <c r="Z60" i="5"/>
  <c r="Y60" i="5"/>
  <c r="C62" i="5"/>
  <c r="H61" i="5"/>
  <c r="G61" i="5"/>
  <c r="E61" i="5"/>
  <c r="X59" i="5"/>
  <c r="O59" i="5"/>
  <c r="U59" i="5"/>
  <c r="R59" i="5"/>
  <c r="T59" i="5"/>
  <c r="P59" i="5"/>
  <c r="S59" i="5"/>
  <c r="Q59" i="5"/>
  <c r="N59" i="5"/>
  <c r="V59" i="5"/>
  <c r="W59" i="5"/>
  <c r="M59" i="5"/>
  <c r="L60" i="5"/>
  <c r="K60" i="5"/>
  <c r="D60" i="5"/>
  <c r="I60" i="5" s="1"/>
  <c r="F60" i="5"/>
  <c r="J54" i="5"/>
  <c r="E62" i="5" l="1"/>
  <c r="H62" i="5"/>
  <c r="G62" i="5"/>
  <c r="P60" i="5"/>
  <c r="X60" i="5"/>
  <c r="O60" i="5"/>
  <c r="U60" i="5"/>
  <c r="R60" i="5"/>
  <c r="S60" i="5"/>
  <c r="T60" i="5"/>
  <c r="V60" i="5"/>
  <c r="Q60" i="5"/>
  <c r="M60" i="5"/>
  <c r="N60" i="5"/>
  <c r="W60" i="5"/>
  <c r="F61" i="5"/>
  <c r="L61" i="5"/>
  <c r="K61" i="5"/>
  <c r="D61" i="5"/>
  <c r="I61" i="5" s="1"/>
  <c r="AD61" i="5"/>
  <c r="AB61" i="5"/>
  <c r="AA61" i="5"/>
  <c r="AC61" i="5"/>
  <c r="Z61" i="5"/>
  <c r="Y61" i="5"/>
  <c r="J55" i="5"/>
  <c r="Y62" i="5" l="1"/>
  <c r="AD62" i="5"/>
  <c r="AB62" i="5"/>
  <c r="AA62" i="5"/>
  <c r="AC62" i="5"/>
  <c r="Z62" i="5"/>
  <c r="S61" i="5"/>
  <c r="P61" i="5"/>
  <c r="X61" i="5"/>
  <c r="O61" i="5"/>
  <c r="N61" i="5"/>
  <c r="M61" i="5"/>
  <c r="U61" i="5"/>
  <c r="T61" i="5"/>
  <c r="W61" i="5"/>
  <c r="R61" i="5"/>
  <c r="V61" i="5"/>
  <c r="Q61" i="5"/>
  <c r="L62" i="5"/>
  <c r="K62" i="5"/>
  <c r="F62" i="5"/>
  <c r="D62" i="5"/>
  <c r="I62" i="5" s="1"/>
  <c r="J56" i="5"/>
  <c r="V62" i="5" l="1"/>
  <c r="S62" i="5"/>
  <c r="P62" i="5"/>
  <c r="N62" i="5"/>
  <c r="M62" i="5"/>
  <c r="O62" i="5"/>
  <c r="W62" i="5"/>
  <c r="U62" i="5"/>
  <c r="R62" i="5"/>
  <c r="X62" i="5"/>
  <c r="T62" i="5"/>
  <c r="Q62" i="5"/>
  <c r="J57" i="5"/>
  <c r="J58" i="5" l="1"/>
  <c r="J59" i="5" l="1"/>
  <c r="J60" i="5" l="1"/>
  <c r="J62" i="5" l="1"/>
  <c r="J61" i="5"/>
</calcChain>
</file>

<file path=xl/sharedStrings.xml><?xml version="1.0" encoding="utf-8"?>
<sst xmlns="http://schemas.openxmlformats.org/spreadsheetml/2006/main" count="243" uniqueCount="117">
  <si>
    <t>Settings</t>
  </si>
  <si>
    <t>General</t>
  </si>
  <si>
    <t>Starting year:</t>
  </si>
  <si>
    <t>Set the starting year (yyyy) once at the beginning and don't change it</t>
  </si>
  <si>
    <t>Budget Planning</t>
  </si>
  <si>
    <t>Income</t>
  </si>
  <si>
    <t>Enter Income Category...</t>
  </si>
  <si>
    <t>Total</t>
  </si>
  <si>
    <t>Employment (Net)</t>
  </si>
  <si>
    <t>Side Hustle (Net)</t>
  </si>
  <si>
    <t>Dividens Stocks</t>
  </si>
  <si>
    <t>Expenses</t>
  </si>
  <si>
    <t>Housing</t>
  </si>
  <si>
    <t>Groceries</t>
  </si>
  <si>
    <t>Utilities</t>
  </si>
  <si>
    <t>Savings</t>
  </si>
  <si>
    <t>Retirement Account</t>
  </si>
  <si>
    <t>Emergency Fund</t>
  </si>
  <si>
    <t>Stock Portfolio</t>
  </si>
  <si>
    <r>
      <t xml:space="preserve">Define starting year in settings </t>
    </r>
    <r>
      <rPr>
        <i/>
        <sz val="10"/>
        <color theme="2" tint="-0.499984740745262"/>
        <rFont val="Calibri"/>
        <family val="2"/>
      </rPr>
      <t>→</t>
    </r>
  </si>
  <si>
    <t>Transport</t>
  </si>
  <si>
    <t>Insurances</t>
  </si>
  <si>
    <t>Media</t>
  </si>
  <si>
    <t>Amusement &amp; Vacation</t>
  </si>
  <si>
    <t>-</t>
  </si>
  <si>
    <t>To be allocated in savings:</t>
  </si>
  <si>
    <t>Stocks Investments</t>
  </si>
  <si>
    <t>Budget Tracking</t>
  </si>
  <si>
    <t>Date</t>
  </si>
  <si>
    <t>Type</t>
  </si>
  <si>
    <t>Category</t>
  </si>
  <si>
    <t>Amount</t>
  </si>
  <si>
    <t>Details</t>
  </si>
  <si>
    <t>Where did you buy and what specifically</t>
  </si>
  <si>
    <t>Balance</t>
  </si>
  <si>
    <t>Effective Date</t>
  </si>
  <si>
    <t>Late Monthly Income</t>
  </si>
  <si>
    <t>Active</t>
  </si>
  <si>
    <t>Shift Late Income:</t>
  </si>
  <si>
    <t>Starting on day X in month:</t>
  </si>
  <si>
    <t>Activate this option to treat late income received on or after a certain day of the month as income for the next month. This is especially recommended in case you receive your monthly paycheck towards the end of the month and prefer to consider this income as the disposable income for the next month</t>
  </si>
  <si>
    <t>Budget Tracking &amp; Dashboard</t>
  </si>
  <si>
    <t>Calculations</t>
  </si>
  <si>
    <t>Worksheet: Budget Tracking</t>
  </si>
  <si>
    <t>Today:</t>
  </si>
  <si>
    <t>Last Record:</t>
  </si>
  <si>
    <t>Delta Last Record:</t>
  </si>
  <si>
    <t>#Records:</t>
  </si>
  <si>
    <t>#Records this year:</t>
  </si>
  <si>
    <t>Tracking Balance:</t>
  </si>
  <si>
    <t>Balance Analysis Text:</t>
  </si>
  <si>
    <t>Budget Dashboard</t>
  </si>
  <si>
    <t>Year</t>
  </si>
  <si>
    <r>
      <t xml:space="preserve">Select the year to view </t>
    </r>
    <r>
      <rPr>
        <b/>
        <i/>
        <sz val="9"/>
        <color theme="0" tint="-0.499984740745262"/>
        <rFont val="Calibri"/>
        <family val="2"/>
        <scheme val="minor"/>
      </rPr>
      <t>→</t>
    </r>
  </si>
  <si>
    <r>
      <t xml:space="preserve">Select the period to view </t>
    </r>
    <r>
      <rPr>
        <b/>
        <i/>
        <sz val="9"/>
        <color theme="0" tint="-0.499984740745262"/>
        <rFont val="Calibri"/>
        <family val="2"/>
        <scheme val="minor"/>
      </rPr>
      <t>→</t>
    </r>
  </si>
  <si>
    <t>Period</t>
  </si>
  <si>
    <t>Dropdown Data</t>
  </si>
  <si>
    <t>Year Dropdown</t>
  </si>
  <si>
    <t>Current Year</t>
  </si>
  <si>
    <t>Period Dropdown</t>
  </si>
  <si>
    <t>Total Year</t>
  </si>
  <si>
    <t>Current Month</t>
  </si>
  <si>
    <t>Worksheet: Budget Dashboard</t>
  </si>
  <si>
    <t>Selected Year:</t>
  </si>
  <si>
    <t>Selected Period:</t>
  </si>
  <si>
    <t>Selected Period (Display):</t>
  </si>
  <si>
    <t>row_id</t>
  </si>
  <si>
    <t>header_row_id</t>
  </si>
  <si>
    <t>is_header</t>
  </si>
  <si>
    <t>is_cat</t>
  </si>
  <si>
    <t>is_total</t>
  </si>
  <si>
    <t>is_empty</t>
  </si>
  <si>
    <t>type</t>
  </si>
  <si>
    <t>item</t>
  </si>
  <si>
    <t>budget</t>
  </si>
  <si>
    <t>tracked</t>
  </si>
  <si>
    <t>Other income</t>
  </si>
  <si>
    <t>sort_min_row</t>
  </si>
  <si>
    <t>sort_max_row</t>
  </si>
  <si>
    <t>tracked_range</t>
  </si>
  <si>
    <t>tracked_rank</t>
  </si>
  <si>
    <t>budget_range</t>
  </si>
  <si>
    <t>budget_rank</t>
  </si>
  <si>
    <t>comb_rank</t>
  </si>
  <si>
    <t>comb_rank_range</t>
  </si>
  <si>
    <t>comb_rank_norm</t>
  </si>
  <si>
    <t>com_rank_norm_run_range</t>
  </si>
  <si>
    <t>comb_rank_unique</t>
  </si>
  <si>
    <t>sorted_row_id [lookup]</t>
  </si>
  <si>
    <r>
      <rPr>
        <b/>
        <sz val="11"/>
        <color rgb="FF0070C0"/>
        <rFont val="Calibri"/>
        <family val="2"/>
        <scheme val="minor"/>
      </rPr>
      <t>Chart Calculations:</t>
    </r>
    <r>
      <rPr>
        <sz val="11"/>
        <color rgb="FF0070C0"/>
        <rFont val="Calibri"/>
        <family val="2"/>
        <scheme val="minor"/>
      </rPr>
      <t xml:space="preserve"> Category Distribution Charts</t>
    </r>
  </si>
  <si>
    <r>
      <rPr>
        <b/>
        <sz val="11"/>
        <color rgb="FF0070C0"/>
        <rFont val="Calibri"/>
        <family val="2"/>
        <scheme val="minor"/>
      </rPr>
      <t>Chart Calculations:</t>
    </r>
    <r>
      <rPr>
        <sz val="11"/>
        <color rgb="FF0070C0"/>
        <rFont val="Calibri"/>
        <family val="2"/>
        <scheme val="minor"/>
      </rPr>
      <t xml:space="preserve"> Tracked vs (Budget) Chart</t>
    </r>
  </si>
  <si>
    <t>Month</t>
  </si>
  <si>
    <t>Month Number</t>
  </si>
  <si>
    <t>In Focus</t>
  </si>
  <si>
    <t>Show Type</t>
  </si>
  <si>
    <t>Show Remaining Budget</t>
  </si>
  <si>
    <t>Tracked</t>
  </si>
  <si>
    <t>Budget</t>
  </si>
  <si>
    <t>Delta</t>
  </si>
  <si>
    <t>Period in Focus</t>
  </si>
  <si>
    <t>In Budget</t>
  </si>
  <si>
    <t>Remaining</t>
  </si>
  <si>
    <t>Excess</t>
  </si>
  <si>
    <t>Period not in Focus</t>
  </si>
  <si>
    <t>Show Income:</t>
  </si>
  <si>
    <t>Show Expenses:</t>
  </si>
  <si>
    <t>Show Savings:</t>
  </si>
  <si>
    <t>Show Rem. Budget:</t>
  </si>
  <si>
    <t>Days passed in Period:</t>
  </si>
  <si>
    <t>Days passed in Period %:</t>
  </si>
  <si>
    <t>Days in Period:</t>
  </si>
  <si>
    <t>Period Tracking Balance:</t>
  </si>
  <si>
    <t>Period Savings Rate:</t>
  </si>
  <si>
    <t>KPI Calculation in Dashboard</t>
  </si>
  <si>
    <t>Savings Rate as % of Income:</t>
  </si>
  <si>
    <t>% allocated to Savings</t>
  </si>
  <si>
    <t xml:space="preserve">Choose how you want the savings rate (SR) to be calculated in the dashboard KPI tiles:
1) Active Options (% allocated to Savings):                          SR = Savings / Income
2) Passive Option (% not allocated to Expenses):               SR = (Income - Expenses) / Income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</si>
</sst>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 #,##0.00_-;_-* &quot;-&quot;??_-;_-@_-"/>
    <numFmt numFmtId="164" formatCode="mmm"/>
    <numFmt numFmtId="165" formatCode="_-* #,##0_-;\-* #,##0_-;_-* &quot;-&quot;??_-;_-@_-"/>
    <numFmt numFmtId="166" formatCode="mmmm"/>
  </numFmts>
  <fonts count="2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i/>
      <sz val="9"/>
      <color theme="2" tint="-0.499984740745262"/>
      <name val="Calibri"/>
      <family val="2"/>
      <scheme val="minor"/>
    </font>
    <font>
      <i/>
      <sz val="10"/>
      <color theme="2" tint="-0.499984740745262"/>
      <name val="Calibri"/>
      <family val="2"/>
      <scheme val="minor"/>
    </font>
    <font>
      <i/>
      <sz val="10"/>
      <color theme="2" tint="-0.499984740745262"/>
      <name val="Calibri"/>
      <family val="2"/>
    </font>
    <font>
      <b/>
      <sz val="10"/>
      <color theme="0"/>
      <name val="Calibri"/>
      <family val="2"/>
      <scheme val="minor"/>
    </font>
    <font>
      <sz val="10"/>
      <color theme="2" tint="-0.499984740745262"/>
      <name val="Calibri"/>
      <family val="2"/>
      <scheme val="minor"/>
    </font>
    <font>
      <sz val="11"/>
      <color theme="2" tint="-0.499984740745262"/>
      <name val="Calibri"/>
      <family val="2"/>
      <scheme val="minor"/>
    </font>
    <font>
      <b/>
      <sz val="11"/>
      <color theme="2" tint="-0.499984740745262"/>
      <name val="Calibri"/>
      <family val="2"/>
      <scheme val="minor"/>
    </font>
    <font>
      <sz val="10"/>
      <color theme="1"/>
      <name val="Calibri"/>
      <family val="2"/>
      <scheme val="minor"/>
    </font>
    <font>
      <i/>
      <sz val="10"/>
      <color theme="1"/>
      <name val="Calibri"/>
      <family val="2"/>
      <scheme val="minor"/>
    </font>
    <font>
      <b/>
      <sz val="11"/>
      <color theme="8" tint="-0.249977111117893"/>
      <name val="Calibri"/>
      <family val="2"/>
      <scheme val="minor"/>
    </font>
    <font>
      <sz val="11"/>
      <color theme="0"/>
      <name val="Calibri"/>
      <family val="2"/>
      <scheme val="minor"/>
    </font>
    <font>
      <sz val="10"/>
      <color theme="0" tint="-0.249977111117893"/>
      <name val="Calibri"/>
      <family val="2"/>
      <scheme val="minor"/>
    </font>
    <font>
      <b/>
      <sz val="18"/>
      <color rgb="FF002060"/>
      <name val="Calibri"/>
      <family val="2"/>
      <scheme val="minor"/>
    </font>
    <font>
      <i/>
      <sz val="11"/>
      <color theme="0" tint="-0.499984740745262"/>
      <name val="Calibri"/>
      <family val="2"/>
      <scheme val="minor"/>
    </font>
    <font>
      <b/>
      <i/>
      <sz val="9"/>
      <color theme="0" tint="-0.499984740745262"/>
      <name val="Calibri"/>
      <family val="2"/>
      <scheme val="minor"/>
    </font>
    <font>
      <sz val="8"/>
      <color theme="1"/>
      <name val="Calibri"/>
      <family val="2"/>
      <scheme val="minor"/>
    </font>
    <font>
      <sz val="10.5"/>
      <color theme="1"/>
      <name val="Calibri"/>
      <family val="2"/>
      <scheme val="minor"/>
    </font>
    <font>
      <i/>
      <sz val="11"/>
      <color theme="1"/>
      <name val="Calibri"/>
      <family val="2"/>
      <scheme val="minor"/>
    </font>
    <font>
      <sz val="11"/>
      <color rgb="FF0070C0"/>
      <name val="Calibri"/>
      <family val="2"/>
      <scheme val="minor"/>
    </font>
    <font>
      <b/>
      <sz val="11"/>
      <color rgb="FF0070C0"/>
      <name val="Calibri"/>
      <family val="2"/>
      <scheme val="minor"/>
    </font>
    <font>
      <sz val="8"/>
      <name val="Calibri"/>
      <family val="2"/>
      <scheme val="minor"/>
    </font>
    <font>
      <b/>
      <sz val="10"/>
      <color theme="1"/>
      <name val="Calibri"/>
      <family val="2"/>
      <scheme val="minor"/>
    </font>
    <font>
      <b/>
      <sz val="11"/>
      <name val="Calibri"/>
      <family val="2"/>
      <scheme val="minor"/>
    </font>
    <font>
      <sz val="8"/>
      <color rgb="FF000000"/>
      <name val="Segoe UI"/>
      <family val="2"/>
    </font>
  </fonts>
  <fills count="13">
    <fill>
      <patternFill patternType="none"/>
    </fill>
    <fill>
      <patternFill patternType="gray125"/>
    </fill>
    <fill>
      <patternFill patternType="solid">
        <fgColor rgb="FF002060"/>
        <bgColor indexed="64"/>
      </patternFill>
    </fill>
    <fill>
      <patternFill patternType="solid">
        <fgColor theme="8" tint="0.79998168889431442"/>
        <bgColor indexed="64"/>
      </patternFill>
    </fill>
    <fill>
      <patternFill patternType="solid">
        <fgColor rgb="FF2E9E3B"/>
        <bgColor indexed="64"/>
      </patternFill>
    </fill>
    <fill>
      <patternFill patternType="solid">
        <fgColor rgb="FFDA0058"/>
        <bgColor indexed="64"/>
      </patternFill>
    </fill>
    <fill>
      <patternFill patternType="solid">
        <fgColor rgb="FF00A1DA"/>
        <bgColor indexed="64"/>
      </patternFill>
    </fill>
    <fill>
      <patternFill patternType="solid">
        <fgColor theme="0" tint="-0.14999847407452621"/>
        <bgColor indexed="64"/>
      </patternFill>
    </fill>
    <fill>
      <patternFill patternType="solid">
        <fgColor theme="2"/>
        <bgColor indexed="64"/>
      </patternFill>
    </fill>
    <fill>
      <patternFill patternType="solid">
        <fgColor rgb="FFB3FFB3"/>
        <bgColor indexed="64"/>
      </patternFill>
    </fill>
    <fill>
      <patternFill patternType="solid">
        <fgColor rgb="FFEFF4FF"/>
        <bgColor indexed="64"/>
      </patternFill>
    </fill>
    <fill>
      <patternFill patternType="solid">
        <fgColor rgb="FF9FFF9F"/>
        <bgColor indexed="64"/>
      </patternFill>
    </fill>
    <fill>
      <patternFill patternType="solid">
        <fgColor theme="2" tint="-0.249977111117893"/>
        <bgColor indexed="64"/>
      </patternFill>
    </fill>
  </fills>
  <borders count="34">
    <border>
      <left/>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top/>
      <bottom style="dashDotDot">
        <color theme="2" tint="-0.24994659260841701"/>
      </bottom>
      <diagonal/>
    </border>
    <border>
      <left/>
      <right/>
      <top style="dashDotDot">
        <color theme="2" tint="-0.24994659260841701"/>
      </top>
      <bottom/>
      <diagonal/>
    </border>
    <border>
      <left style="thin">
        <color theme="2" tint="-0.499984740745262"/>
      </left>
      <right style="thin">
        <color theme="2" tint="-0.499984740745262"/>
      </right>
      <top/>
      <bottom/>
      <diagonal/>
    </border>
    <border>
      <left/>
      <right/>
      <top style="thin">
        <color auto="1"/>
      </top>
      <bottom/>
      <diagonal/>
    </border>
    <border>
      <left style="thin">
        <color theme="2" tint="-0.24994659260841701"/>
      </left>
      <right/>
      <top style="thin">
        <color theme="2" tint="-0.24994659260841701"/>
      </top>
      <bottom/>
      <diagonal/>
    </border>
    <border>
      <left/>
      <right/>
      <top style="thin">
        <color theme="2" tint="-0.24994659260841701"/>
      </top>
      <bottom/>
      <diagonal/>
    </border>
    <border>
      <left/>
      <right style="thin">
        <color theme="2" tint="-0.24994659260841701"/>
      </right>
      <top style="thin">
        <color theme="2" tint="-0.24994659260841701"/>
      </top>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2" tint="-0.24994659260841701"/>
      </bottom>
      <diagonal/>
    </border>
    <border>
      <left/>
      <right/>
      <top/>
      <bottom style="thin">
        <color theme="2" tint="-0.24994659260841701"/>
      </bottom>
      <diagonal/>
    </border>
    <border>
      <left/>
      <right style="thin">
        <color theme="2" tint="-0.24994659260841701"/>
      </right>
      <top/>
      <bottom style="thin">
        <color theme="2" tint="-0.24994659260841701"/>
      </bottom>
      <diagonal/>
    </border>
    <border>
      <left/>
      <right/>
      <top style="thin">
        <color theme="2" tint="-0.24994659260841701"/>
      </top>
      <bottom style="thin">
        <color theme="2" tint="-0.24994659260841701"/>
      </bottom>
      <diagonal/>
    </border>
    <border>
      <left/>
      <right/>
      <top style="dotted">
        <color auto="1"/>
      </top>
      <bottom style="double">
        <color auto="1"/>
      </bottom>
      <diagonal/>
    </border>
    <border>
      <left/>
      <right/>
      <top/>
      <bottom style="thin">
        <color theme="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42">
    <xf numFmtId="0" fontId="0" fillId="0" borderId="0" xfId="0"/>
    <xf numFmtId="0" fontId="0" fillId="2" borderId="0" xfId="0" applyFill="1"/>
    <xf numFmtId="0" fontId="4"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3" fillId="0" borderId="0" xfId="0" applyFont="1"/>
    <xf numFmtId="0" fontId="0" fillId="3" borderId="0" xfId="0" applyFill="1" applyAlignment="1">
      <alignment horizontal="center" vertical="center"/>
    </xf>
    <xf numFmtId="0" fontId="5" fillId="0" borderId="0" xfId="0" applyFont="1"/>
    <xf numFmtId="0" fontId="6" fillId="0" borderId="0" xfId="0" applyFont="1"/>
    <xf numFmtId="0" fontId="3" fillId="0" borderId="0" xfId="0" applyFont="1" applyAlignment="1">
      <alignment horizontal="left" indent="1"/>
    </xf>
    <xf numFmtId="0" fontId="3" fillId="0" borderId="7" xfId="0" applyFont="1" applyBorder="1" applyAlignment="1">
      <alignment horizontal="left" indent="1"/>
    </xf>
    <xf numFmtId="0" fontId="8" fillId="4" borderId="0" xfId="0" applyFont="1" applyFill="1" applyAlignment="1">
      <alignment horizontal="center" vertical="center"/>
    </xf>
    <xf numFmtId="164" fontId="8" fillId="4" borderId="0" xfId="0" applyNumberFormat="1" applyFont="1" applyFill="1" applyAlignment="1">
      <alignment horizontal="center" vertical="center"/>
    </xf>
    <xf numFmtId="0" fontId="9" fillId="0" borderId="0" xfId="0" applyFont="1" applyAlignment="1">
      <alignment horizontal="left" indent="1"/>
    </xf>
    <xf numFmtId="165" fontId="10" fillId="0" borderId="7" xfId="1" applyNumberFormat="1" applyFont="1" applyBorder="1"/>
    <xf numFmtId="165" fontId="3" fillId="0" borderId="7" xfId="1" applyNumberFormat="1" applyFont="1" applyBorder="1"/>
    <xf numFmtId="165" fontId="11" fillId="0" borderId="7" xfId="1" applyNumberFormat="1" applyFont="1" applyBorder="1"/>
    <xf numFmtId="164" fontId="8" fillId="5" borderId="0" xfId="0" applyNumberFormat="1" applyFont="1" applyFill="1" applyAlignment="1">
      <alignment horizontal="center" vertical="center"/>
    </xf>
    <xf numFmtId="0" fontId="8" fillId="5" borderId="0" xfId="0" applyFont="1" applyFill="1" applyAlignment="1">
      <alignment horizontal="center" vertical="center"/>
    </xf>
    <xf numFmtId="164" fontId="8" fillId="6" borderId="0" xfId="0" applyNumberFormat="1" applyFont="1" applyFill="1" applyAlignment="1">
      <alignment horizontal="center" vertical="center"/>
    </xf>
    <xf numFmtId="0" fontId="8" fillId="6" borderId="0" xfId="0" applyFont="1" applyFill="1" applyAlignment="1">
      <alignment horizontal="center" vertical="center"/>
    </xf>
    <xf numFmtId="0" fontId="2" fillId="2" borderId="0" xfId="0" applyFont="1" applyFill="1" applyAlignment="1">
      <alignment horizontal="center" vertical="center"/>
    </xf>
    <xf numFmtId="0" fontId="13" fillId="0" borderId="0" xfId="0" applyFont="1" applyAlignment="1">
      <alignment horizontal="right"/>
    </xf>
    <xf numFmtId="165" fontId="0" fillId="0" borderId="6" xfId="0" applyNumberFormat="1" applyBorder="1"/>
    <xf numFmtId="0" fontId="3" fillId="0" borderId="6" xfId="0" applyFont="1" applyBorder="1" applyAlignment="1">
      <alignment horizontal="center"/>
    </xf>
    <xf numFmtId="165" fontId="10" fillId="0" borderId="7" xfId="1" applyNumberFormat="1" applyFont="1" applyBorder="1" applyAlignment="1">
      <alignment horizontal="right"/>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0" xfId="0" applyFont="1" applyAlignment="1">
      <alignment horizontal="left" vertical="center" indent="1"/>
    </xf>
    <xf numFmtId="0" fontId="12" fillId="0" borderId="0" xfId="0" applyFont="1" applyAlignment="1">
      <alignment horizontal="left" indent="1"/>
    </xf>
    <xf numFmtId="165" fontId="12" fillId="0" borderId="0" xfId="1" applyNumberFormat="1" applyFont="1" applyAlignment="1">
      <alignment horizontal="left" indent="1"/>
    </xf>
    <xf numFmtId="0" fontId="11" fillId="7" borderId="0" xfId="0" applyFont="1" applyFill="1" applyAlignment="1">
      <alignment horizontal="left" vertical="center" indent="1"/>
    </xf>
    <xf numFmtId="165" fontId="9" fillId="0" borderId="0" xfId="1" applyNumberFormat="1" applyFont="1" applyAlignment="1">
      <alignment horizontal="left" indent="1"/>
    </xf>
    <xf numFmtId="0" fontId="14" fillId="0" borderId="0" xfId="0" applyFont="1"/>
    <xf numFmtId="15" fontId="12" fillId="0" borderId="0" xfId="0" applyNumberFormat="1" applyFont="1" applyAlignment="1">
      <alignment horizontal="left" indent="1"/>
    </xf>
    <xf numFmtId="15" fontId="16" fillId="0" borderId="0" xfId="0" applyNumberFormat="1" applyFont="1" applyAlignment="1">
      <alignment horizontal="right" indent="1"/>
    </xf>
    <xf numFmtId="0" fontId="0" fillId="8" borderId="0" xfId="0" applyFill="1"/>
    <xf numFmtId="0" fontId="17" fillId="8" borderId="0" xfId="0" applyFont="1" applyFill="1"/>
    <xf numFmtId="0" fontId="0" fillId="0" borderId="0" xfId="0" applyAlignment="1">
      <alignment horizontal="center" vertical="center"/>
    </xf>
    <xf numFmtId="0" fontId="9" fillId="9" borderId="0" xfId="0" applyFont="1" applyFill="1" applyAlignment="1">
      <alignment horizontal="left" indent="1"/>
    </xf>
    <xf numFmtId="0" fontId="0" fillId="10" borderId="0" xfId="0" applyFill="1"/>
    <xf numFmtId="0" fontId="17" fillId="10" borderId="0" xfId="0" applyFont="1" applyFill="1"/>
    <xf numFmtId="0" fontId="12" fillId="0" borderId="0" xfId="0" applyFont="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166" fontId="12" fillId="0" borderId="17" xfId="0" applyNumberFormat="1" applyFont="1" applyBorder="1" applyAlignment="1">
      <alignment horizontal="center" vertical="center"/>
    </xf>
    <xf numFmtId="166" fontId="12" fillId="0" borderId="18" xfId="0" applyNumberFormat="1" applyFont="1" applyBorder="1" applyAlignment="1">
      <alignment horizontal="center" vertical="center"/>
    </xf>
    <xf numFmtId="0" fontId="3" fillId="0" borderId="19" xfId="0" applyFont="1" applyBorder="1"/>
    <xf numFmtId="0" fontId="0" fillId="0" borderId="0" xfId="0" applyAlignment="1">
      <alignment horizontal="right"/>
    </xf>
    <xf numFmtId="0" fontId="3" fillId="0" borderId="20" xfId="0" applyFont="1" applyBorder="1"/>
    <xf numFmtId="0" fontId="20" fillId="8" borderId="0" xfId="0" applyFont="1" applyFill="1" applyAlignment="1">
      <alignment horizontal="center" vertical="center"/>
    </xf>
    <xf numFmtId="0" fontId="20" fillId="8" borderId="8" xfId="0" applyFont="1" applyFill="1" applyBorder="1" applyAlignment="1">
      <alignment horizontal="center" vertical="center"/>
    </xf>
    <xf numFmtId="0" fontId="20" fillId="8" borderId="9" xfId="0" applyFont="1" applyFill="1" applyBorder="1" applyAlignment="1">
      <alignment horizontal="center" vertical="center"/>
    </xf>
    <xf numFmtId="165" fontId="0" fillId="0" borderId="0" xfId="0" applyNumberFormat="1"/>
    <xf numFmtId="0" fontId="5" fillId="0" borderId="0" xfId="0" applyFont="1" applyAlignment="1">
      <alignment horizontal="left" vertical="top" wrapText="1"/>
    </xf>
    <xf numFmtId="165" fontId="0" fillId="0" borderId="0" xfId="1" applyNumberFormat="1" applyFont="1"/>
    <xf numFmtId="165" fontId="0" fillId="0" borderId="9" xfId="1" applyNumberFormat="1" applyFont="1" applyBorder="1"/>
    <xf numFmtId="0" fontId="0" fillId="2" borderId="0" xfId="0" applyFill="1" applyAlignment="1">
      <alignment horizontal="center"/>
    </xf>
    <xf numFmtId="0" fontId="0" fillId="0" borderId="0" xfId="0" applyAlignment="1">
      <alignment horizontal="center"/>
    </xf>
    <xf numFmtId="0" fontId="0" fillId="0" borderId="8" xfId="0" applyBorder="1" applyAlignment="1">
      <alignment horizontal="center"/>
    </xf>
    <xf numFmtId="0" fontId="20" fillId="8" borderId="21" xfId="0" applyFont="1" applyFill="1" applyBorder="1" applyAlignment="1">
      <alignment horizontal="center" vertical="center"/>
    </xf>
    <xf numFmtId="0" fontId="0" fillId="0" borderId="21" xfId="0" applyBorder="1"/>
    <xf numFmtId="0" fontId="12" fillId="0" borderId="0" xfId="0" applyFont="1"/>
    <xf numFmtId="0" fontId="21" fillId="0" borderId="0" xfId="0" applyFont="1" applyAlignment="1">
      <alignment horizontal="center" vertical="center"/>
    </xf>
    <xf numFmtId="9" fontId="21" fillId="0" borderId="0" xfId="2" applyFont="1" applyAlignment="1">
      <alignment horizontal="center" vertical="center"/>
    </xf>
    <xf numFmtId="165" fontId="21" fillId="0" borderId="0" xfId="1" applyNumberFormat="1" applyFont="1" applyAlignment="1">
      <alignment horizontal="center" vertical="center"/>
    </xf>
    <xf numFmtId="0" fontId="21" fillId="0" borderId="0" xfId="0" applyFont="1" applyAlignment="1">
      <alignment horizontal="left" vertical="center"/>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22" fillId="0" borderId="0" xfId="0" applyFont="1"/>
    <xf numFmtId="0" fontId="0" fillId="0" borderId="31" xfId="0" applyBorder="1"/>
    <xf numFmtId="0" fontId="23" fillId="0" borderId="31" xfId="0" applyFont="1" applyBorder="1"/>
    <xf numFmtId="0" fontId="3" fillId="0" borderId="4" xfId="0" applyFont="1" applyBorder="1" applyAlignment="1">
      <alignment horizontal="center"/>
    </xf>
    <xf numFmtId="0" fontId="0" fillId="0" borderId="32" xfId="0" applyBorder="1" applyAlignment="1">
      <alignment horizontal="center"/>
    </xf>
    <xf numFmtId="0" fontId="3" fillId="0" borderId="0" xfId="0" applyFont="1" applyAlignment="1">
      <alignment horizontal="center"/>
    </xf>
    <xf numFmtId="165" fontId="0" fillId="0" borderId="0" xfId="1" applyNumberFormat="1" applyFont="1" applyAlignment="1">
      <alignment horizontal="center"/>
    </xf>
    <xf numFmtId="165" fontId="0" fillId="0" borderId="32" xfId="1" applyNumberFormat="1" applyFont="1" applyBorder="1" applyAlignment="1">
      <alignment horizontal="center"/>
    </xf>
    <xf numFmtId="165" fontId="3" fillId="0" borderId="0" xfId="1" applyNumberFormat="1" applyFont="1" applyAlignment="1">
      <alignment horizontal="center"/>
    </xf>
    <xf numFmtId="0" fontId="12" fillId="0" borderId="0" xfId="0" applyFont="1" applyAlignment="1">
      <alignment horizontal="left" indent="2"/>
    </xf>
    <xf numFmtId="165" fontId="12" fillId="0" borderId="0" xfId="1" applyNumberFormat="1" applyFont="1" applyBorder="1"/>
    <xf numFmtId="0" fontId="26" fillId="0" borderId="24" xfId="0" applyFont="1" applyBorder="1" applyAlignment="1">
      <alignment horizontal="left" indent="2"/>
    </xf>
    <xf numFmtId="165" fontId="26" fillId="0" borderId="24" xfId="1" applyNumberFormat="1" applyFont="1" applyBorder="1"/>
    <xf numFmtId="165" fontId="12" fillId="0" borderId="0" xfId="1" applyNumberFormat="1" applyFont="1" applyAlignment="1">
      <alignment horizontal="left" indent="2"/>
    </xf>
    <xf numFmtId="0" fontId="9" fillId="0" borderId="0" xfId="0" applyFont="1" applyAlignment="1">
      <alignment horizontal="left" indent="2"/>
    </xf>
    <xf numFmtId="165" fontId="9" fillId="0" borderId="0" xfId="1" applyNumberFormat="1" applyFont="1" applyAlignment="1">
      <alignment horizontal="left" indent="2"/>
    </xf>
    <xf numFmtId="0" fontId="3" fillId="0" borderId="0" xfId="0" applyFont="1" applyAlignment="1">
      <alignment horizontal="center" vertical="center"/>
    </xf>
    <xf numFmtId="0" fontId="3" fillId="0" borderId="4" xfId="0" applyFont="1" applyBorder="1" applyAlignment="1">
      <alignment horizontal="center" vertical="center"/>
    </xf>
    <xf numFmtId="165" fontId="0" fillId="0" borderId="0" xfId="1" applyNumberFormat="1" applyFont="1" applyBorder="1" applyAlignment="1">
      <alignment horizontal="center" vertical="center"/>
    </xf>
    <xf numFmtId="0" fontId="0" fillId="0" borderId="4" xfId="0" applyBorder="1" applyAlignment="1">
      <alignment horizontal="center" vertical="center"/>
    </xf>
    <xf numFmtId="0" fontId="3" fillId="0" borderId="33" xfId="0" applyFont="1" applyBorder="1" applyAlignment="1">
      <alignment horizontal="center" vertical="center"/>
    </xf>
    <xf numFmtId="0" fontId="0" fillId="8" borderId="0" xfId="0" applyFill="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22" xfId="0" applyBorder="1" applyAlignment="1">
      <alignment horizontal="center" vertical="center"/>
    </xf>
    <xf numFmtId="165" fontId="0" fillId="0" borderId="0" xfId="1" applyNumberFormat="1" applyFont="1" applyAlignment="1">
      <alignment horizontal="center" vertical="center"/>
    </xf>
    <xf numFmtId="165" fontId="0" fillId="0" borderId="32" xfId="1" applyNumberFormat="1" applyFont="1" applyBorder="1" applyAlignment="1">
      <alignment horizontal="center" vertical="center"/>
    </xf>
    <xf numFmtId="165" fontId="3" fillId="0" borderId="0" xfId="1" applyNumberFormat="1" applyFont="1" applyAlignment="1">
      <alignment horizontal="center" vertical="center"/>
    </xf>
    <xf numFmtId="165" fontId="0" fillId="0" borderId="4" xfId="1" applyNumberFormat="1" applyFont="1" applyBorder="1" applyAlignment="1">
      <alignment horizontal="center" vertical="center"/>
    </xf>
    <xf numFmtId="2" fontId="0" fillId="8" borderId="0" xfId="1" applyNumberFormat="1" applyFont="1" applyFill="1" applyAlignment="1">
      <alignment horizontal="center" vertical="center"/>
    </xf>
    <xf numFmtId="2" fontId="0" fillId="0" borderId="0" xfId="1" applyNumberFormat="1" applyFont="1" applyAlignment="1">
      <alignment horizontal="center" vertical="center"/>
    </xf>
    <xf numFmtId="2" fontId="0" fillId="0" borderId="31" xfId="1" applyNumberFormat="1" applyFont="1" applyBorder="1" applyAlignment="1">
      <alignment horizontal="center" vertical="center"/>
    </xf>
    <xf numFmtId="2" fontId="3" fillId="0" borderId="4" xfId="1" applyNumberFormat="1" applyFont="1" applyBorder="1" applyAlignment="1">
      <alignment horizontal="center" vertical="center"/>
    </xf>
    <xf numFmtId="2" fontId="0" fillId="0" borderId="32" xfId="1" applyNumberFormat="1" applyFont="1" applyBorder="1" applyAlignment="1">
      <alignment horizontal="center" vertical="center"/>
    </xf>
    <xf numFmtId="2" fontId="3" fillId="0" borderId="33" xfId="1" applyNumberFormat="1" applyFont="1" applyBorder="1" applyAlignment="1">
      <alignment horizontal="center" vertical="center"/>
    </xf>
    <xf numFmtId="2" fontId="0" fillId="0" borderId="0" xfId="1" applyNumberFormat="1" applyFont="1" applyBorder="1" applyAlignment="1">
      <alignment horizontal="center" vertical="center"/>
    </xf>
    <xf numFmtId="2" fontId="0" fillId="0" borderId="4" xfId="1" applyNumberFormat="1" applyFont="1" applyBorder="1" applyAlignment="1">
      <alignment horizontal="center" vertical="center"/>
    </xf>
    <xf numFmtId="0" fontId="0" fillId="0" borderId="0" xfId="0" applyAlignment="1">
      <alignment horizontal="right" vertical="center"/>
    </xf>
    <xf numFmtId="0" fontId="0" fillId="0" borderId="19" xfId="0" applyBorder="1" applyAlignment="1">
      <alignment horizontal="right" vertical="center"/>
    </xf>
    <xf numFmtId="15" fontId="0" fillId="0" borderId="0" xfId="0" applyNumberFormat="1" applyAlignment="1">
      <alignment horizontal="right" vertical="center"/>
    </xf>
    <xf numFmtId="165" fontId="0" fillId="0" borderId="0" xfId="1" applyNumberFormat="1" applyFont="1" applyAlignment="1">
      <alignment horizontal="right" vertical="center"/>
    </xf>
    <xf numFmtId="9" fontId="0" fillId="0" borderId="0" xfId="2" applyFont="1" applyAlignment="1">
      <alignment horizontal="right" vertical="center"/>
    </xf>
    <xf numFmtId="0" fontId="3" fillId="0" borderId="0" xfId="0" applyFont="1" applyAlignment="1">
      <alignment horizontal="left" indent="2"/>
    </xf>
    <xf numFmtId="0" fontId="12" fillId="3" borderId="0" xfId="0" applyFont="1" applyFill="1" applyAlignment="1">
      <alignment horizontal="center" vertical="center"/>
    </xf>
    <xf numFmtId="165" fontId="0" fillId="0" borderId="0" xfId="0" applyNumberFormat="1" applyAlignment="1">
      <alignment vertical="center"/>
    </xf>
    <xf numFmtId="0" fontId="2" fillId="2" borderId="0" xfId="0" applyFont="1" applyFill="1" applyAlignment="1">
      <alignment horizontal="center"/>
    </xf>
    <xf numFmtId="0" fontId="5" fillId="0" borderId="0" xfId="0" applyFont="1" applyAlignment="1">
      <alignment horizontal="left" vertical="top" wrapText="1"/>
    </xf>
    <xf numFmtId="0" fontId="2" fillId="2" borderId="0" xfId="0" applyFont="1" applyFill="1" applyAlignment="1">
      <alignment horizontal="center" vertical="center"/>
    </xf>
    <xf numFmtId="0" fontId="0" fillId="2" borderId="0" xfId="0" applyFill="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12" fillId="11" borderId="15" xfId="0" applyFont="1" applyFill="1" applyBorder="1" applyAlignment="1">
      <alignment horizontal="center" vertical="center"/>
    </xf>
    <xf numFmtId="0" fontId="18" fillId="0" borderId="0" xfId="0" applyFont="1" applyAlignment="1">
      <alignment horizontal="center" vertical="center"/>
    </xf>
    <xf numFmtId="166" fontId="12" fillId="11" borderId="15" xfId="0" applyNumberFormat="1" applyFont="1" applyFill="1" applyBorder="1" applyAlignment="1">
      <alignment horizontal="center" vertical="center"/>
    </xf>
    <xf numFmtId="0" fontId="2" fillId="2" borderId="0" xfId="0" applyFont="1" applyFill="1" applyAlignment="1">
      <alignment horizontal="left" vertical="center" indent="1"/>
    </xf>
    <xf numFmtId="0" fontId="15" fillId="2" borderId="0" xfId="0" applyFont="1" applyFill="1" applyAlignment="1">
      <alignment horizontal="left" vertical="center" indent="1"/>
    </xf>
    <xf numFmtId="0" fontId="27" fillId="12" borderId="0" xfId="0" applyFont="1" applyFill="1" applyAlignment="1">
      <alignment horizontal="center"/>
    </xf>
    <xf numFmtId="164" fontId="0" fillId="0" borderId="0" xfId="0" applyNumberFormat="1" applyAlignment="1">
      <alignment horizontal="center" vertical="center"/>
    </xf>
    <xf numFmtId="164" fontId="0" fillId="0" borderId="4" xfId="0" applyNumberFormat="1" applyBorder="1" applyAlignment="1">
      <alignment horizontal="center" vertical="center"/>
    </xf>
    <xf numFmtId="164" fontId="0" fillId="0" borderId="22" xfId="0" applyNumberFormat="1" applyBorder="1" applyAlignment="1">
      <alignment horizontal="center" vertical="center"/>
    </xf>
  </cellXfs>
  <cellStyles count="3">
    <cellStyle name="Comma" xfId="1" builtinId="3"/>
    <cellStyle name="Normal" xfId="0" builtinId="0"/>
    <cellStyle name="Per cent" xfId="2" builtinId="5"/>
  </cellStyles>
  <dxfs count="74">
    <dxf>
      <fill>
        <patternFill>
          <fgColor rgb="FFEEEEEE"/>
          <bgColor rgb="FFEEEEEE"/>
        </patternFill>
      </fill>
    </dxf>
    <dxf>
      <fill>
        <patternFill>
          <fgColor rgb="FFAFCFFF"/>
          <bgColor rgb="FFAFCFFF"/>
        </patternFill>
      </fill>
    </dxf>
    <dxf>
      <fill>
        <patternFill>
          <fgColor rgb="FF75ADFF"/>
          <bgColor rgb="FF75ADFF"/>
        </patternFill>
      </fill>
    </dxf>
    <dxf>
      <fill>
        <patternFill>
          <fgColor rgb="FF3788FF"/>
          <bgColor rgb="FF3788FF"/>
        </patternFill>
      </fill>
    </dxf>
    <dxf>
      <fill>
        <patternFill>
          <fgColor rgb="FF0060EE"/>
          <bgColor rgb="FF0060EE"/>
        </patternFill>
      </fill>
    </dxf>
    <dxf>
      <fill>
        <patternFill patternType="solid">
          <fgColor rgb="FF0044A8"/>
          <bgColor rgb="FF0044A8"/>
        </patternFill>
      </fill>
    </dxf>
    <dxf>
      <fill>
        <patternFill>
          <fgColor rgb="FFEEEEEE"/>
          <bgColor rgb="FFEEEEEE"/>
        </patternFill>
      </fill>
    </dxf>
    <dxf>
      <fill>
        <patternFill>
          <fgColor rgb="FFFF9FC6"/>
          <bgColor rgb="FFFF9FC6"/>
        </patternFill>
      </fill>
    </dxf>
    <dxf>
      <fill>
        <patternFill>
          <fgColor rgb="FFFF61A1"/>
          <bgColor rgb="FFFF61A1"/>
        </patternFill>
      </fill>
    </dxf>
    <dxf>
      <fill>
        <patternFill>
          <fgColor rgb="FFFF3386"/>
          <bgColor rgb="FFFF3386"/>
        </patternFill>
      </fill>
    </dxf>
    <dxf>
      <fill>
        <patternFill>
          <fgColor rgb="FFF60064"/>
          <bgColor rgb="FFF60064"/>
        </patternFill>
      </fill>
    </dxf>
    <dxf>
      <fill>
        <patternFill patternType="solid">
          <fgColor rgb="FFD00054"/>
          <bgColor rgb="FFD00054"/>
        </patternFill>
      </fill>
    </dxf>
    <dxf>
      <fill>
        <patternFill>
          <fgColor rgb="FFEEEEEE"/>
          <bgColor rgb="FFEEEEEE"/>
        </patternFill>
      </fill>
    </dxf>
    <dxf>
      <fill>
        <patternFill>
          <fgColor rgb="FF6EF681"/>
          <bgColor rgb="FF6EF681"/>
        </patternFill>
      </fill>
    </dxf>
    <dxf>
      <fill>
        <patternFill>
          <fgColor rgb="FF0FEF2F"/>
          <bgColor rgb="FF0FEF2F"/>
        </patternFill>
      </fill>
    </dxf>
    <dxf>
      <fill>
        <patternFill>
          <fgColor rgb="FF0DC928"/>
          <bgColor rgb="FF0DC928"/>
        </patternFill>
      </fill>
    </dxf>
    <dxf>
      <fill>
        <patternFill>
          <fgColor rgb="FF0AA220"/>
          <bgColor rgb="FF0AA220"/>
        </patternFill>
      </fill>
    </dxf>
    <dxf>
      <fill>
        <patternFill patternType="solid">
          <fgColor rgb="FF00863D"/>
          <bgColor rgb="FF00863D"/>
        </patternFill>
      </fill>
    </dxf>
    <dxf>
      <fill>
        <patternFill>
          <bgColor rgb="FF6DA8FF"/>
        </patternFill>
      </fill>
    </dxf>
    <dxf>
      <fill>
        <patternFill>
          <bgColor rgb="FFFC88B1"/>
        </patternFill>
      </fill>
    </dxf>
    <dxf>
      <fill>
        <patternFill>
          <bgColor rgb="FF85FF85"/>
        </patternFill>
      </fill>
    </dxf>
    <dxf>
      <font>
        <b/>
        <i val="0"/>
      </font>
      <border>
        <top style="thin">
          <color auto="1"/>
        </top>
        <vertical/>
        <horizontal/>
      </border>
    </dxf>
    <dxf>
      <font>
        <b/>
        <i val="0"/>
        <color theme="0"/>
      </font>
      <fill>
        <patternFill>
          <bgColor rgb="FF0066FF"/>
        </patternFill>
      </fill>
    </dxf>
    <dxf>
      <font>
        <b/>
        <i val="0"/>
        <color theme="0"/>
      </font>
      <fill>
        <patternFill>
          <bgColor rgb="FFFC2C80"/>
        </patternFill>
      </fill>
    </dxf>
    <dxf>
      <font>
        <b/>
        <i val="0"/>
        <color theme="0"/>
      </font>
      <fill>
        <patternFill>
          <bgColor rgb="FF00B050"/>
        </patternFill>
      </fill>
    </dxf>
    <dxf>
      <font>
        <color theme="2" tint="-0.499984740745262"/>
      </font>
      <numFmt numFmtId="167" formatCode="\→\ dd\-mmm\-yy"/>
    </dxf>
    <dxf>
      <font>
        <b/>
        <i val="0"/>
        <color rgb="FF00B050"/>
      </font>
      <numFmt numFmtId="1" formatCode="0"/>
    </dxf>
    <dxf>
      <font>
        <color rgb="FFFF0000"/>
      </font>
    </dxf>
    <dxf>
      <font>
        <color theme="1"/>
      </font>
      <fill>
        <patternFill>
          <bgColor rgb="FFD9F5FF"/>
        </patternFill>
      </fill>
    </dxf>
    <dxf>
      <font>
        <color theme="1"/>
      </font>
      <fill>
        <patternFill>
          <bgColor rgb="FFFED2E0"/>
        </patternFill>
      </fill>
    </dxf>
    <dxf>
      <font>
        <color theme="1"/>
      </font>
      <fill>
        <patternFill>
          <bgColor theme="9" tint="0.79998168889431442"/>
        </patternFill>
      </fill>
    </dxf>
    <dxf>
      <font>
        <color rgb="FFFF0000"/>
      </font>
    </dxf>
    <dxf>
      <font>
        <color rgb="FF00B050"/>
      </font>
    </dxf>
    <dxf>
      <font>
        <color theme="2" tint="-0.499984740745262"/>
      </font>
    </dxf>
    <dxf>
      <font>
        <color theme="1"/>
      </font>
      <fill>
        <patternFill>
          <bgColor rgb="FFD9F5FF"/>
        </patternFill>
      </fill>
    </dxf>
    <dxf>
      <font>
        <color theme="1"/>
      </font>
      <fill>
        <patternFill>
          <bgColor rgb="FFFED2E0"/>
        </patternFill>
      </fill>
    </dxf>
    <dxf>
      <font>
        <color theme="1"/>
      </font>
      <fill>
        <patternFill>
          <bgColor theme="9" tint="0.79998168889431442"/>
        </patternFill>
      </fill>
    </dxf>
    <dxf>
      <font>
        <color rgb="FFFF0000"/>
      </font>
    </dxf>
    <dxf>
      <font>
        <color rgb="FF00B050"/>
      </font>
    </dxf>
    <dxf>
      <font>
        <color theme="2" tint="-0.499984740745262"/>
      </font>
    </dxf>
    <dxf>
      <font>
        <color rgb="FFFF0000"/>
      </font>
    </dxf>
    <dxf>
      <font>
        <color rgb="FF00B050"/>
      </font>
    </dxf>
    <dxf>
      <font>
        <color theme="2" tint="-0.499984740745262"/>
      </font>
    </dxf>
    <dxf>
      <font>
        <color theme="1"/>
      </font>
      <fill>
        <patternFill>
          <bgColor rgb="FFD9F5FF"/>
        </patternFill>
      </fill>
    </dxf>
    <dxf>
      <font>
        <color theme="1"/>
      </font>
      <fill>
        <patternFill>
          <bgColor rgb="FFFED2E0"/>
        </patternFill>
      </fill>
    </dxf>
    <dxf>
      <font>
        <color theme="1"/>
      </font>
      <fill>
        <patternFill>
          <bgColor theme="9" tint="0.79998168889431442"/>
        </patternFill>
      </fill>
    </dxf>
    <dxf>
      <font>
        <color theme="2" tint="-0.499984740745262"/>
      </font>
      <fill>
        <patternFill>
          <bgColor theme="0" tint="-4.9989318521683403E-2"/>
        </patternFill>
      </fill>
    </dxf>
    <dxf>
      <font>
        <strike val="0"/>
        <outline val="0"/>
        <shadow val="0"/>
        <u val="none"/>
        <vertAlign val="baseline"/>
        <sz val="10"/>
        <color theme="0" tint="-0.249977111117893"/>
        <name val="Calibri"/>
        <family val="2"/>
        <scheme val="minor"/>
      </font>
      <numFmt numFmtId="20" formatCode="dd\-mmm\-yy"/>
      <alignment horizontal="right" vertical="bottom" textRotation="0" wrapText="0" indent="1" justifyLastLine="0" shrinkToFit="0" readingOrder="0"/>
    </dxf>
    <dxf>
      <font>
        <strike val="0"/>
        <outline val="0"/>
        <shadow val="0"/>
        <u val="none"/>
        <vertAlign val="baseline"/>
        <sz val="10"/>
        <color theme="2" tint="-0.499984740745262"/>
        <name val="Calibri"/>
        <family val="2"/>
        <scheme val="minor"/>
      </font>
      <numFmt numFmtId="165" formatCode="_-* #,##0_-;\-* #,##0_-;_-* &quot;-&quot;??_-;_-@_-"/>
      <alignment horizontal="left" vertical="bottom" textRotation="0" wrapText="0" relativeIndent="1" justifyLastLine="0" shrinkToFit="0" readingOrder="0"/>
    </dxf>
    <dxf>
      <font>
        <strike val="0"/>
        <outline val="0"/>
        <shadow val="0"/>
        <u val="none"/>
        <vertAlign val="baseline"/>
        <sz val="10"/>
        <color theme="2" tint="-0.499984740745262"/>
        <name val="Calibri"/>
        <family val="2"/>
        <scheme val="minor"/>
      </font>
      <alignment horizontal="left" vertical="bottom" textRotation="0" wrapText="0" relativeIndent="1" justifyLastLine="0" shrinkToFit="0" readingOrder="0"/>
    </dxf>
    <dxf>
      <font>
        <strike val="0"/>
        <outline val="0"/>
        <shadow val="0"/>
        <u val="none"/>
        <vertAlign val="baseline"/>
        <sz val="10"/>
        <color theme="1"/>
        <name val="Calibri"/>
        <family val="2"/>
        <scheme val="minor"/>
      </font>
      <numFmt numFmtId="165" formatCode="_-* #,##0_-;\-* #,##0_-;_-* &quot;-&quot;??_-;_-@_-"/>
      <alignment horizontal="left" vertical="bottom" textRotation="0" wrapText="0" relativeIndent="1" justifyLastLine="0" shrinkToFit="0" readingOrder="0"/>
    </dxf>
    <dxf>
      <font>
        <strike val="0"/>
        <outline val="0"/>
        <shadow val="0"/>
        <u val="none"/>
        <vertAlign val="baseline"/>
        <sz val="10"/>
        <color theme="1"/>
        <name val="Calibri"/>
        <family val="2"/>
        <scheme val="minor"/>
      </font>
      <alignment horizontal="left" vertical="bottom" textRotation="0" wrapText="0" relativeIndent="1" justifyLastLine="0" shrinkToFit="0" readingOrder="0"/>
    </dxf>
    <dxf>
      <font>
        <strike val="0"/>
        <outline val="0"/>
        <shadow val="0"/>
        <u val="none"/>
        <vertAlign val="baseline"/>
        <sz val="10"/>
        <color theme="1"/>
        <name val="Calibri"/>
        <family val="2"/>
        <scheme val="minor"/>
      </font>
      <alignment horizontal="left" vertical="bottom" textRotation="0" wrapText="0" relativeIndent="1" justifyLastLine="0" shrinkToFit="0" readingOrder="0"/>
    </dxf>
    <dxf>
      <font>
        <strike val="0"/>
        <outline val="0"/>
        <shadow val="0"/>
        <u val="none"/>
        <vertAlign val="baseline"/>
        <sz val="10"/>
        <color theme="1"/>
        <name val="Calibri"/>
        <family val="2"/>
        <scheme val="minor"/>
      </font>
      <numFmt numFmtId="20" formatCode="dd\-mmm\-yy"/>
      <alignment horizontal="left" vertical="bottom" textRotation="0" wrapText="0" relativeIndent="1" justifyLastLine="0" shrinkToFit="0" readingOrder="0"/>
    </dxf>
    <dxf>
      <font>
        <strike val="0"/>
        <outline val="0"/>
        <shadow val="0"/>
        <u val="none"/>
        <vertAlign val="baseline"/>
        <sz val="10"/>
        <color theme="1"/>
        <name val="Calibri"/>
        <family val="2"/>
        <scheme val="minor"/>
      </font>
      <alignment horizontal="left" vertical="bottom" textRotation="0" wrapText="0" relativeIndent="1" justifyLastLine="0" shrinkToFit="0" readingOrder="0"/>
    </dxf>
    <dxf>
      <font>
        <b/>
      </font>
      <alignment horizontal="left" vertical="center" textRotation="0" wrapText="0" relativeIndent="1" justifyLastLine="0" shrinkToFit="0" readingOrder="0"/>
    </dxf>
    <dxf>
      <font>
        <b val="0"/>
        <i val="0"/>
        <strike val="0"/>
        <condense val="0"/>
        <extend val="0"/>
        <outline val="0"/>
        <shadow val="0"/>
        <u val="none"/>
        <vertAlign val="baseline"/>
        <sz val="10"/>
        <color theme="2" tint="-0.499984740745262"/>
        <name val="Calibri"/>
        <family val="2"/>
        <scheme val="minor"/>
      </font>
      <alignment horizontal="left" vertical="bottom" textRotation="0" wrapText="0" indent="1" justifyLastLine="0" shrinkToFit="0" readingOrder="0"/>
    </dxf>
    <dxf>
      <font>
        <b val="0"/>
        <i val="0"/>
        <strike val="0"/>
        <condense val="0"/>
        <extend val="0"/>
        <outline val="0"/>
        <shadow val="0"/>
        <u val="none"/>
        <vertAlign val="baseline"/>
        <sz val="10"/>
        <color theme="2" tint="-0.499984740745262"/>
        <name val="Calibri"/>
        <family val="2"/>
        <scheme val="minor"/>
      </font>
      <alignment horizontal="left" vertical="bottom" textRotation="0" wrapText="0" indent="1"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1" justifyLastLine="0" shrinkToFit="0" readingOrder="0"/>
    </dxf>
    <dxf>
      <font>
        <b val="0"/>
        <i val="0"/>
        <strike val="0"/>
        <condense val="0"/>
        <extend val="0"/>
        <outline val="0"/>
        <shadow val="0"/>
        <u val="none"/>
        <vertAlign val="baseline"/>
        <sz val="10"/>
        <color theme="2" tint="-0.499984740745262"/>
        <name val="Calibri"/>
        <family val="2"/>
        <scheme val="minor"/>
      </font>
      <alignment horizontal="left" vertical="bottom" textRotation="0" wrapText="0" indent="1" justifyLastLine="0" shrinkToFit="0" readingOrder="0"/>
    </dxf>
    <dxf>
      <font>
        <b val="0"/>
        <i val="0"/>
        <strike val="0"/>
        <condense val="0"/>
        <extend val="0"/>
        <outline val="0"/>
        <shadow val="0"/>
        <u val="none"/>
        <vertAlign val="baseline"/>
        <sz val="10"/>
        <color theme="2" tint="-0.499984740745262"/>
        <name val="Calibri"/>
        <family val="2"/>
        <scheme val="minor"/>
      </font>
      <alignment horizontal="left" vertical="bottom" textRotation="0" wrapText="0" indent="1"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1" justifyLastLine="0" shrinkToFit="0" readingOrder="0"/>
    </dxf>
    <dxf>
      <font>
        <b val="0"/>
        <i val="0"/>
        <strike val="0"/>
        <condense val="0"/>
        <extend val="0"/>
        <outline val="0"/>
        <shadow val="0"/>
        <u val="none"/>
        <vertAlign val="baseline"/>
        <sz val="10"/>
        <color theme="2" tint="-0.499984740745262"/>
        <name val="Calibri"/>
        <family val="2"/>
        <scheme val="minor"/>
      </font>
      <fill>
        <patternFill patternType="solid">
          <fgColor indexed="64"/>
          <bgColor rgb="FFB3FFB3"/>
        </patternFill>
      </fill>
      <alignment horizontal="left" vertical="bottom" textRotation="0" wrapText="0" indent="1" justifyLastLine="0" shrinkToFit="0" readingOrder="0"/>
    </dxf>
    <dxf>
      <font>
        <b val="0"/>
        <i val="0"/>
        <strike val="0"/>
        <condense val="0"/>
        <extend val="0"/>
        <outline val="0"/>
        <shadow val="0"/>
        <u val="none"/>
        <vertAlign val="baseline"/>
        <sz val="10"/>
        <color theme="2" tint="-0.499984740745262"/>
        <name val="Calibri"/>
        <family val="2"/>
        <scheme val="minor"/>
      </font>
      <fill>
        <patternFill patternType="solid">
          <fgColor indexed="64"/>
          <bgColor rgb="FFB3FFB3"/>
        </patternFill>
      </fill>
      <alignment horizontal="left" vertical="bottom" textRotation="0" wrapText="0" indent="1" justifyLastLine="0" shrinkToFit="0" readingOrder="0"/>
    </dxf>
    <dxf>
      <font>
        <b/>
        <i val="0"/>
        <strike val="0"/>
        <condense val="0"/>
        <extend val="0"/>
        <outline val="0"/>
        <shadow val="0"/>
        <u val="none"/>
        <vertAlign val="baseline"/>
        <sz val="11"/>
        <color theme="1"/>
        <name val="Calibri"/>
        <family val="2"/>
        <scheme val="minor"/>
      </font>
      <alignment horizontal="left" vertical="bottom" textRotation="0" wrapText="0" indent="1" justifyLastLine="0" shrinkToFit="0" readingOrder="0"/>
    </dxf>
    <dxf>
      <fill>
        <patternFill>
          <bgColor theme="0" tint="-4.9989318521683403E-2"/>
        </patternFill>
      </fill>
    </dxf>
    <dxf>
      <font>
        <b/>
        <i val="0"/>
        <color theme="0"/>
      </font>
      <fill>
        <patternFill>
          <bgColor rgb="FF002060"/>
        </patternFill>
      </fill>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border>
        <left style="thin">
          <color theme="2" tint="-0.499984740745262"/>
        </left>
        <right style="thin">
          <color theme="2" tint="-0.499984740745262"/>
        </right>
        <top style="thin">
          <color theme="2" tint="-0.499984740745262"/>
        </top>
        <bottom style="thin">
          <color theme="2" tint="-0.499984740745262"/>
        </bottom>
        <vertical/>
        <horizontal/>
      </border>
    </dxf>
    <dxf>
      <font>
        <b/>
        <i val="0"/>
        <color theme="0"/>
      </font>
      <fill>
        <patternFill>
          <bgColor rgb="FF00A1DA"/>
        </patternFill>
      </fill>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color theme="0"/>
      </font>
      <fill>
        <patternFill>
          <bgColor rgb="FF2E9E3B"/>
        </patternFill>
      </fill>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
      <font>
        <b/>
        <i val="0"/>
        <color theme="0"/>
      </font>
      <fill>
        <patternFill patternType="solid">
          <bgColor rgb="FFDA0058"/>
        </patternFill>
      </fill>
    </dxf>
    <dxf>
      <border>
        <left style="thin">
          <color theme="2" tint="-0.499984740745262"/>
        </left>
        <right style="thin">
          <color theme="2" tint="-0.499984740745262"/>
        </right>
        <top style="thin">
          <color theme="2" tint="-0.499984740745262"/>
        </top>
        <bottom style="thin">
          <color theme="2" tint="-0.499984740745262"/>
        </bottom>
        <vertical style="thin">
          <color theme="2" tint="-0.499984740745262"/>
        </vertical>
        <horizontal style="thin">
          <color theme="2" tint="-0.499984740745262"/>
        </horizontal>
      </border>
    </dxf>
  </dxfs>
  <tableStyles count="4" defaultTableStyle="TableStyleMedium2" defaultPivotStyle="PivotStyleLight16">
    <tableStyle name="Expenses Table Style" pivot="0" count="2" xr9:uid="{7E9C7A4E-48F0-42B0-84F0-EE187DF07A55}">
      <tableStyleElement type="wholeTable" dxfId="73"/>
      <tableStyleElement type="headerRow" dxfId="72"/>
    </tableStyle>
    <tableStyle name="Income Table Style" pivot="0" count="2" xr9:uid="{D3610068-95A3-4284-ABCE-E3D0FCFEBF7B}">
      <tableStyleElement type="wholeTable" dxfId="71"/>
      <tableStyleElement type="headerRow" dxfId="70"/>
    </tableStyle>
    <tableStyle name="Savings Table Style" pivot="0" count="2" xr9:uid="{B71DD196-1A97-4FD6-83A1-90076568D862}">
      <tableStyleElement type="wholeTable" dxfId="69"/>
      <tableStyleElement type="headerRow" dxfId="68"/>
    </tableStyle>
    <tableStyle name="Tracking Table Style" pivot="0" count="3" xr9:uid="{92C32503-9404-47B2-9B7D-347BD0CEFBAB}">
      <tableStyleElement type="wholeTable" dxfId="67"/>
      <tableStyleElement type="headerRow" dxfId="66"/>
      <tableStyleElement type="firstRowStripe" dxfId="65"/>
    </tableStyle>
  </tableStyles>
  <colors>
    <mruColors>
      <color rgb="FF0066FF"/>
      <color rgb="FF0049B4"/>
      <color rgb="FF004FC4"/>
      <color rgb="FFABCDFF"/>
      <color rgb="FFC80051"/>
      <color rgb="FFB40049"/>
      <color rgb="FFD20055"/>
      <color rgb="FFFF0066"/>
      <color rgb="FFFDBBD7"/>
      <color rgb="FFFDA9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863D"/>
              </a:solidFill>
              <a:ln w="19050">
                <a:solidFill>
                  <a:schemeClr val="lt1"/>
                </a:solidFill>
              </a:ln>
              <a:effectLst/>
            </c:spPr>
            <c:extLst>
              <c:ext xmlns:c16="http://schemas.microsoft.com/office/drawing/2014/chart" uri="{C3380CC4-5D6E-409C-BE32-E72D297353CC}">
                <c16:uniqueId val="{00000001-9564-4216-AEAC-1E9E8BC2E90D}"/>
              </c:ext>
            </c:extLst>
          </c:dPt>
          <c:dPt>
            <c:idx val="1"/>
            <c:bubble3D val="0"/>
            <c:spPr>
              <a:solidFill>
                <a:srgbClr val="0AA220"/>
              </a:solidFill>
              <a:ln w="19050">
                <a:solidFill>
                  <a:schemeClr val="lt1"/>
                </a:solidFill>
              </a:ln>
              <a:effectLst/>
            </c:spPr>
            <c:extLst>
              <c:ext xmlns:c16="http://schemas.microsoft.com/office/drawing/2014/chart" uri="{C3380CC4-5D6E-409C-BE32-E72D297353CC}">
                <c16:uniqueId val="{00000003-9564-4216-AEAC-1E9E8BC2E90D}"/>
              </c:ext>
            </c:extLst>
          </c:dPt>
          <c:dPt>
            <c:idx val="2"/>
            <c:bubble3D val="0"/>
            <c:spPr>
              <a:solidFill>
                <a:srgbClr val="0DC928"/>
              </a:solidFill>
              <a:ln w="19050">
                <a:solidFill>
                  <a:schemeClr val="lt1"/>
                </a:solidFill>
              </a:ln>
              <a:effectLst/>
            </c:spPr>
            <c:extLst>
              <c:ext xmlns:c16="http://schemas.microsoft.com/office/drawing/2014/chart" uri="{C3380CC4-5D6E-409C-BE32-E72D297353CC}">
                <c16:uniqueId val="{00000005-9564-4216-AEAC-1E9E8BC2E90D}"/>
              </c:ext>
            </c:extLst>
          </c:dPt>
          <c:dPt>
            <c:idx val="3"/>
            <c:bubble3D val="0"/>
            <c:spPr>
              <a:solidFill>
                <a:srgbClr val="0FEF2F"/>
              </a:solidFill>
              <a:ln w="19050">
                <a:solidFill>
                  <a:schemeClr val="lt1"/>
                </a:solidFill>
              </a:ln>
              <a:effectLst/>
            </c:spPr>
            <c:extLst>
              <c:ext xmlns:c16="http://schemas.microsoft.com/office/drawing/2014/chart" uri="{C3380CC4-5D6E-409C-BE32-E72D297353CC}">
                <c16:uniqueId val="{00000007-9564-4216-AEAC-1E9E8BC2E90D}"/>
              </c:ext>
            </c:extLst>
          </c:dPt>
          <c:dPt>
            <c:idx val="4"/>
            <c:bubble3D val="0"/>
            <c:spPr>
              <a:solidFill>
                <a:srgbClr val="88F898"/>
              </a:solidFill>
              <a:ln w="19050">
                <a:solidFill>
                  <a:schemeClr val="lt1"/>
                </a:solidFill>
              </a:ln>
              <a:effectLst/>
            </c:spPr>
            <c:extLst>
              <c:ext xmlns:c16="http://schemas.microsoft.com/office/drawing/2014/chart" uri="{C3380CC4-5D6E-409C-BE32-E72D297353CC}">
                <c16:uniqueId val="{00000009-9564-4216-AEAC-1E9E8BC2E90D}"/>
              </c:ext>
            </c:extLst>
          </c:dPt>
          <c:dPt>
            <c:idx val="5"/>
            <c:bubble3D val="0"/>
            <c:spPr>
              <a:solidFill>
                <a:srgbClr val="EEEEEE"/>
              </a:solidFill>
              <a:ln w="19050">
                <a:solidFill>
                  <a:schemeClr val="lt1"/>
                </a:solidFill>
              </a:ln>
              <a:effectLst/>
            </c:spPr>
            <c:extLst>
              <c:ext xmlns:c16="http://schemas.microsoft.com/office/drawing/2014/chart" uri="{C3380CC4-5D6E-409C-BE32-E72D297353CC}">
                <c16:uniqueId val="{0000000B-9564-4216-AEAC-1E9E8BC2E90D}"/>
              </c:ext>
            </c:extLst>
          </c:dPt>
          <c:cat>
            <c:strRef>
              <c:f>Calculations!$E$33:$E$38</c:f>
              <c:strCache>
                <c:ptCount val="4"/>
                <c:pt idx="0">
                  <c:v>Employment (Net)</c:v>
                </c:pt>
                <c:pt idx="1">
                  <c:v>Side Hustle (Net)</c:v>
                </c:pt>
                <c:pt idx="2">
                  <c:v>Dividens Stocks</c:v>
                </c:pt>
                <c:pt idx="3">
                  <c:v>Other income</c:v>
                </c:pt>
              </c:strCache>
            </c:strRef>
          </c:cat>
          <c:val>
            <c:numRef>
              <c:f>Calculations!$F$33:$F$38</c:f>
              <c:numCache>
                <c:formatCode>_-* #,##0_-;\-* #,##0_-;_-* "-"??_-;_-@_-</c:formatCode>
                <c:ptCount val="6"/>
                <c:pt idx="0">
                  <c:v>3500</c:v>
                </c:pt>
                <c:pt idx="1">
                  <c:v>1000</c:v>
                </c:pt>
                <c:pt idx="2">
                  <c:v>400</c:v>
                </c:pt>
                <c:pt idx="3">
                  <c:v>200</c:v>
                </c:pt>
                <c:pt idx="4">
                  <c:v>0</c:v>
                </c:pt>
                <c:pt idx="5">
                  <c:v>0</c:v>
                </c:pt>
              </c:numCache>
            </c:numRef>
          </c:val>
          <c:extLst>
            <c:ext xmlns:c16="http://schemas.microsoft.com/office/drawing/2014/chart" uri="{C3380CC4-5D6E-409C-BE32-E72D297353CC}">
              <c16:uniqueId val="{0000000C-9564-4216-AEAC-1E9E8BC2E90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D00054"/>
              </a:solidFill>
              <a:ln w="19050">
                <a:solidFill>
                  <a:schemeClr val="lt1"/>
                </a:solidFill>
              </a:ln>
              <a:effectLst/>
            </c:spPr>
            <c:extLst>
              <c:ext xmlns:c16="http://schemas.microsoft.com/office/drawing/2014/chart" uri="{C3380CC4-5D6E-409C-BE32-E72D297353CC}">
                <c16:uniqueId val="{00000001-B7D4-460E-8587-792633BC6A69}"/>
              </c:ext>
            </c:extLst>
          </c:dPt>
          <c:dPt>
            <c:idx val="1"/>
            <c:bubble3D val="0"/>
            <c:spPr>
              <a:solidFill>
                <a:srgbClr val="F60064"/>
              </a:solidFill>
              <a:ln w="19050">
                <a:solidFill>
                  <a:schemeClr val="lt1"/>
                </a:solidFill>
              </a:ln>
              <a:effectLst/>
            </c:spPr>
            <c:extLst>
              <c:ext xmlns:c16="http://schemas.microsoft.com/office/drawing/2014/chart" uri="{C3380CC4-5D6E-409C-BE32-E72D297353CC}">
                <c16:uniqueId val="{00000003-B7D4-460E-8587-792633BC6A69}"/>
              </c:ext>
            </c:extLst>
          </c:dPt>
          <c:dPt>
            <c:idx val="2"/>
            <c:bubble3D val="0"/>
            <c:spPr>
              <a:solidFill>
                <a:srgbClr val="FF3386"/>
              </a:solidFill>
              <a:ln w="19050">
                <a:solidFill>
                  <a:schemeClr val="lt1"/>
                </a:solidFill>
              </a:ln>
              <a:effectLst/>
            </c:spPr>
            <c:extLst>
              <c:ext xmlns:c16="http://schemas.microsoft.com/office/drawing/2014/chart" uri="{C3380CC4-5D6E-409C-BE32-E72D297353CC}">
                <c16:uniqueId val="{00000005-B7D4-460E-8587-792633BC6A69}"/>
              </c:ext>
            </c:extLst>
          </c:dPt>
          <c:dPt>
            <c:idx val="3"/>
            <c:bubble3D val="0"/>
            <c:spPr>
              <a:solidFill>
                <a:srgbClr val="FF61A1"/>
              </a:solidFill>
              <a:ln w="19050">
                <a:solidFill>
                  <a:schemeClr val="lt1"/>
                </a:solidFill>
              </a:ln>
              <a:effectLst/>
            </c:spPr>
            <c:extLst>
              <c:ext xmlns:c16="http://schemas.microsoft.com/office/drawing/2014/chart" uri="{C3380CC4-5D6E-409C-BE32-E72D297353CC}">
                <c16:uniqueId val="{00000007-B7D4-460E-8587-792633BC6A69}"/>
              </c:ext>
            </c:extLst>
          </c:dPt>
          <c:dPt>
            <c:idx val="4"/>
            <c:bubble3D val="0"/>
            <c:spPr>
              <a:solidFill>
                <a:srgbClr val="FF9FC6"/>
              </a:solidFill>
              <a:ln w="19050">
                <a:solidFill>
                  <a:schemeClr val="lt1"/>
                </a:solidFill>
              </a:ln>
              <a:effectLst/>
            </c:spPr>
            <c:extLst>
              <c:ext xmlns:c16="http://schemas.microsoft.com/office/drawing/2014/chart" uri="{C3380CC4-5D6E-409C-BE32-E72D297353CC}">
                <c16:uniqueId val="{00000009-B7D4-460E-8587-792633BC6A69}"/>
              </c:ext>
            </c:extLst>
          </c:dPt>
          <c:dPt>
            <c:idx val="5"/>
            <c:bubble3D val="0"/>
            <c:spPr>
              <a:solidFill>
                <a:srgbClr val="EEEEEE"/>
              </a:solidFill>
              <a:ln w="19050">
                <a:solidFill>
                  <a:schemeClr val="lt1"/>
                </a:solidFill>
              </a:ln>
              <a:effectLst/>
            </c:spPr>
            <c:extLst>
              <c:ext xmlns:c16="http://schemas.microsoft.com/office/drawing/2014/chart" uri="{C3380CC4-5D6E-409C-BE32-E72D297353CC}">
                <c16:uniqueId val="{0000000B-B7D4-460E-8587-792633BC6A69}"/>
              </c:ext>
            </c:extLst>
          </c:dPt>
          <c:cat>
            <c:strRef>
              <c:f>Calculations!$I$33:$I$38</c:f>
              <c:strCache>
                <c:ptCount val="6"/>
                <c:pt idx="0">
                  <c:v>Housing</c:v>
                </c:pt>
                <c:pt idx="1">
                  <c:v>Groceries</c:v>
                </c:pt>
                <c:pt idx="2">
                  <c:v>Amusement &amp; Vacation</c:v>
                </c:pt>
                <c:pt idx="3">
                  <c:v>Transport</c:v>
                </c:pt>
                <c:pt idx="4">
                  <c:v>Media</c:v>
                </c:pt>
                <c:pt idx="5">
                  <c:v>Others</c:v>
                </c:pt>
              </c:strCache>
            </c:strRef>
          </c:cat>
          <c:val>
            <c:numRef>
              <c:f>Calculations!$J$33:$J$38</c:f>
              <c:numCache>
                <c:formatCode>_-* #,##0_-;\-* #,##0_-;_-* "-"??_-;_-@_-</c:formatCode>
                <c:ptCount val="6"/>
                <c:pt idx="0">
                  <c:v>1000</c:v>
                </c:pt>
                <c:pt idx="1">
                  <c:v>200</c:v>
                </c:pt>
                <c:pt idx="2">
                  <c:v>200</c:v>
                </c:pt>
                <c:pt idx="3">
                  <c:v>100</c:v>
                </c:pt>
                <c:pt idx="4">
                  <c:v>100</c:v>
                </c:pt>
                <c:pt idx="5">
                  <c:v>50</c:v>
                </c:pt>
              </c:numCache>
            </c:numRef>
          </c:val>
          <c:extLst>
            <c:ext xmlns:c16="http://schemas.microsoft.com/office/drawing/2014/chart" uri="{C3380CC4-5D6E-409C-BE32-E72D297353CC}">
              <c16:uniqueId val="{0000000C-B7D4-460E-8587-792633BC6A6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0044A8"/>
              </a:solidFill>
              <a:ln w="19050">
                <a:solidFill>
                  <a:schemeClr val="lt1"/>
                </a:solidFill>
              </a:ln>
              <a:effectLst/>
            </c:spPr>
            <c:extLst>
              <c:ext xmlns:c16="http://schemas.microsoft.com/office/drawing/2014/chart" uri="{C3380CC4-5D6E-409C-BE32-E72D297353CC}">
                <c16:uniqueId val="{00000001-5A45-4982-BB73-A40C2403B8F8}"/>
              </c:ext>
            </c:extLst>
          </c:dPt>
          <c:dPt>
            <c:idx val="1"/>
            <c:bubble3D val="0"/>
            <c:spPr>
              <a:solidFill>
                <a:srgbClr val="0060EE"/>
              </a:solidFill>
              <a:ln w="19050">
                <a:solidFill>
                  <a:schemeClr val="lt1"/>
                </a:solidFill>
              </a:ln>
              <a:effectLst/>
            </c:spPr>
            <c:extLst>
              <c:ext xmlns:c16="http://schemas.microsoft.com/office/drawing/2014/chart" uri="{C3380CC4-5D6E-409C-BE32-E72D297353CC}">
                <c16:uniqueId val="{00000003-5A45-4982-BB73-A40C2403B8F8}"/>
              </c:ext>
            </c:extLst>
          </c:dPt>
          <c:dPt>
            <c:idx val="2"/>
            <c:bubble3D val="0"/>
            <c:spPr>
              <a:solidFill>
                <a:srgbClr val="3788FF"/>
              </a:solidFill>
              <a:ln w="19050">
                <a:solidFill>
                  <a:schemeClr val="lt1"/>
                </a:solidFill>
              </a:ln>
              <a:effectLst/>
            </c:spPr>
            <c:extLst>
              <c:ext xmlns:c16="http://schemas.microsoft.com/office/drawing/2014/chart" uri="{C3380CC4-5D6E-409C-BE32-E72D297353CC}">
                <c16:uniqueId val="{00000005-5A45-4982-BB73-A40C2403B8F8}"/>
              </c:ext>
            </c:extLst>
          </c:dPt>
          <c:dPt>
            <c:idx val="3"/>
            <c:bubble3D val="0"/>
            <c:spPr>
              <a:solidFill>
                <a:srgbClr val="75ADFF"/>
              </a:solidFill>
              <a:ln w="19050">
                <a:solidFill>
                  <a:schemeClr val="lt1"/>
                </a:solidFill>
              </a:ln>
              <a:effectLst/>
            </c:spPr>
            <c:extLst>
              <c:ext xmlns:c16="http://schemas.microsoft.com/office/drawing/2014/chart" uri="{C3380CC4-5D6E-409C-BE32-E72D297353CC}">
                <c16:uniqueId val="{00000007-5A45-4982-BB73-A40C2403B8F8}"/>
              </c:ext>
            </c:extLst>
          </c:dPt>
          <c:dPt>
            <c:idx val="4"/>
            <c:bubble3D val="0"/>
            <c:spPr>
              <a:solidFill>
                <a:srgbClr val="AFCFFF"/>
              </a:solidFill>
              <a:ln w="19050">
                <a:solidFill>
                  <a:schemeClr val="lt1"/>
                </a:solidFill>
              </a:ln>
              <a:effectLst/>
            </c:spPr>
            <c:extLst>
              <c:ext xmlns:c16="http://schemas.microsoft.com/office/drawing/2014/chart" uri="{C3380CC4-5D6E-409C-BE32-E72D297353CC}">
                <c16:uniqueId val="{00000009-5A45-4982-BB73-A40C2403B8F8}"/>
              </c:ext>
            </c:extLst>
          </c:dPt>
          <c:dPt>
            <c:idx val="5"/>
            <c:bubble3D val="0"/>
            <c:spPr>
              <a:solidFill>
                <a:srgbClr val="EEEEEE"/>
              </a:solidFill>
              <a:ln w="19050">
                <a:solidFill>
                  <a:schemeClr val="lt1"/>
                </a:solidFill>
              </a:ln>
              <a:effectLst/>
            </c:spPr>
            <c:extLst>
              <c:ext xmlns:c16="http://schemas.microsoft.com/office/drawing/2014/chart" uri="{C3380CC4-5D6E-409C-BE32-E72D297353CC}">
                <c16:uniqueId val="{0000000B-5A45-4982-BB73-A40C2403B8F8}"/>
              </c:ext>
            </c:extLst>
          </c:dPt>
          <c:cat>
            <c:strRef>
              <c:f>Calculations!$M$33:$M$38</c:f>
              <c:strCache>
                <c:ptCount val="3"/>
                <c:pt idx="0">
                  <c:v>Retirement Account</c:v>
                </c:pt>
                <c:pt idx="1">
                  <c:v>Stocks Investments</c:v>
                </c:pt>
                <c:pt idx="2">
                  <c:v>Stock Portfolio</c:v>
                </c:pt>
              </c:strCache>
            </c:strRef>
          </c:cat>
          <c:val>
            <c:numRef>
              <c:f>Calculations!$N$33:$N$38</c:f>
              <c:numCache>
                <c:formatCode>_-* #,##0_-;\-* #,##0_-;_-* "-"??_-;_-@_-</c:formatCode>
                <c:ptCount val="6"/>
                <c:pt idx="0">
                  <c:v>500</c:v>
                </c:pt>
                <c:pt idx="1">
                  <c:v>250</c:v>
                </c:pt>
                <c:pt idx="2">
                  <c:v>250</c:v>
                </c:pt>
                <c:pt idx="3">
                  <c:v>0</c:v>
                </c:pt>
                <c:pt idx="4">
                  <c:v>0</c:v>
                </c:pt>
                <c:pt idx="5">
                  <c:v>0</c:v>
                </c:pt>
              </c:numCache>
            </c:numRef>
          </c:val>
          <c:extLst>
            <c:ext xmlns:c16="http://schemas.microsoft.com/office/drawing/2014/chart" uri="{C3380CC4-5D6E-409C-BE32-E72D297353CC}">
              <c16:uniqueId val="{0000000C-5A45-4982-BB73-A40C2403B8F8}"/>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8899132876241"/>
          <c:y val="9.2243186582809222E-2"/>
          <c:w val="0.87496972333243606"/>
          <c:h val="0.74433252447217679"/>
        </c:manualLayout>
      </c:layout>
      <c:barChart>
        <c:barDir val="col"/>
        <c:grouping val="stacked"/>
        <c:varyColors val="0"/>
        <c:ser>
          <c:idx val="0"/>
          <c:order val="0"/>
          <c:spPr>
            <a:solidFill>
              <a:srgbClr val="00D05E"/>
            </a:solidFill>
            <a:ln>
              <a:noFill/>
            </a:ln>
            <a:effectLst/>
          </c:spPr>
          <c:invertIfNegative val="0"/>
          <c:dPt>
            <c:idx val="1"/>
            <c:invertIfNegative val="0"/>
            <c:bubble3D val="0"/>
            <c:spPr>
              <a:solidFill>
                <a:srgbClr val="FF0066"/>
              </a:solidFill>
              <a:ln>
                <a:noFill/>
              </a:ln>
              <a:effectLst/>
            </c:spPr>
            <c:extLst>
              <c:ext xmlns:c16="http://schemas.microsoft.com/office/drawing/2014/chart" uri="{C3380CC4-5D6E-409C-BE32-E72D297353CC}">
                <c16:uniqueId val="{00000001-C0DB-426E-BA8F-C90DA8EAFF52}"/>
              </c:ext>
            </c:extLst>
          </c:dPt>
          <c:dPt>
            <c:idx val="2"/>
            <c:invertIfNegative val="0"/>
            <c:bubble3D val="0"/>
            <c:spPr>
              <a:solidFill>
                <a:srgbClr val="0066FF"/>
              </a:solidFill>
              <a:ln>
                <a:noFill/>
              </a:ln>
              <a:effectLst/>
            </c:spPr>
            <c:extLst>
              <c:ext xmlns:c16="http://schemas.microsoft.com/office/drawing/2014/chart" uri="{C3380CC4-5D6E-409C-BE32-E72D297353CC}">
                <c16:uniqueId val="{00000003-C0DB-426E-BA8F-C90DA8EAFF52}"/>
              </c:ext>
            </c:extLst>
          </c:dPt>
          <c:dPt>
            <c:idx val="5"/>
            <c:invertIfNegative val="0"/>
            <c:bubble3D val="0"/>
            <c:spPr>
              <a:solidFill>
                <a:srgbClr val="FF0066"/>
              </a:solidFill>
              <a:ln>
                <a:noFill/>
              </a:ln>
              <a:effectLst/>
            </c:spPr>
            <c:extLst>
              <c:ext xmlns:c16="http://schemas.microsoft.com/office/drawing/2014/chart" uri="{C3380CC4-5D6E-409C-BE32-E72D297353CC}">
                <c16:uniqueId val="{00000005-C0DB-426E-BA8F-C90DA8EAFF52}"/>
              </c:ext>
            </c:extLst>
          </c:dPt>
          <c:dPt>
            <c:idx val="6"/>
            <c:invertIfNegative val="0"/>
            <c:bubble3D val="0"/>
            <c:spPr>
              <a:solidFill>
                <a:srgbClr val="0066FF"/>
              </a:solidFill>
              <a:ln>
                <a:noFill/>
              </a:ln>
              <a:effectLst/>
            </c:spPr>
            <c:extLst>
              <c:ext xmlns:c16="http://schemas.microsoft.com/office/drawing/2014/chart" uri="{C3380CC4-5D6E-409C-BE32-E72D297353CC}">
                <c16:uniqueId val="{00000007-C0DB-426E-BA8F-C90DA8EAFF52}"/>
              </c:ext>
            </c:extLst>
          </c:dPt>
          <c:dPt>
            <c:idx val="9"/>
            <c:invertIfNegative val="0"/>
            <c:bubble3D val="0"/>
            <c:spPr>
              <a:solidFill>
                <a:srgbClr val="FF0066"/>
              </a:solidFill>
              <a:ln>
                <a:noFill/>
              </a:ln>
              <a:effectLst/>
            </c:spPr>
            <c:extLst>
              <c:ext xmlns:c16="http://schemas.microsoft.com/office/drawing/2014/chart" uri="{C3380CC4-5D6E-409C-BE32-E72D297353CC}">
                <c16:uniqueId val="{00000009-C0DB-426E-BA8F-C90DA8EAFF52}"/>
              </c:ext>
            </c:extLst>
          </c:dPt>
          <c:dPt>
            <c:idx val="10"/>
            <c:invertIfNegative val="0"/>
            <c:bubble3D val="0"/>
            <c:spPr>
              <a:solidFill>
                <a:srgbClr val="0066FF"/>
              </a:solidFill>
              <a:ln>
                <a:noFill/>
              </a:ln>
              <a:effectLst/>
            </c:spPr>
            <c:extLst>
              <c:ext xmlns:c16="http://schemas.microsoft.com/office/drawing/2014/chart" uri="{C3380CC4-5D6E-409C-BE32-E72D297353CC}">
                <c16:uniqueId val="{0000000B-C0DB-426E-BA8F-C90DA8EAFF52}"/>
              </c:ext>
            </c:extLst>
          </c:dPt>
          <c:dPt>
            <c:idx val="13"/>
            <c:invertIfNegative val="0"/>
            <c:bubble3D val="0"/>
            <c:spPr>
              <a:solidFill>
                <a:srgbClr val="FF0066"/>
              </a:solidFill>
              <a:ln>
                <a:noFill/>
              </a:ln>
              <a:effectLst/>
            </c:spPr>
            <c:extLst>
              <c:ext xmlns:c16="http://schemas.microsoft.com/office/drawing/2014/chart" uri="{C3380CC4-5D6E-409C-BE32-E72D297353CC}">
                <c16:uniqueId val="{0000000D-C0DB-426E-BA8F-C90DA8EAFF52}"/>
              </c:ext>
            </c:extLst>
          </c:dPt>
          <c:dPt>
            <c:idx val="14"/>
            <c:invertIfNegative val="0"/>
            <c:bubble3D val="0"/>
            <c:spPr>
              <a:solidFill>
                <a:srgbClr val="0066FF"/>
              </a:solidFill>
              <a:ln>
                <a:noFill/>
              </a:ln>
              <a:effectLst/>
            </c:spPr>
            <c:extLst>
              <c:ext xmlns:c16="http://schemas.microsoft.com/office/drawing/2014/chart" uri="{C3380CC4-5D6E-409C-BE32-E72D297353CC}">
                <c16:uniqueId val="{0000000F-C0DB-426E-BA8F-C90DA8EAFF52}"/>
              </c:ext>
            </c:extLst>
          </c:dPt>
          <c:dPt>
            <c:idx val="17"/>
            <c:invertIfNegative val="0"/>
            <c:bubble3D val="0"/>
            <c:spPr>
              <a:solidFill>
                <a:srgbClr val="FF0066"/>
              </a:solidFill>
              <a:ln>
                <a:noFill/>
              </a:ln>
              <a:effectLst/>
            </c:spPr>
            <c:extLst>
              <c:ext xmlns:c16="http://schemas.microsoft.com/office/drawing/2014/chart" uri="{C3380CC4-5D6E-409C-BE32-E72D297353CC}">
                <c16:uniqueId val="{00000011-C0DB-426E-BA8F-C90DA8EAFF52}"/>
              </c:ext>
            </c:extLst>
          </c:dPt>
          <c:dPt>
            <c:idx val="18"/>
            <c:invertIfNegative val="0"/>
            <c:bubble3D val="0"/>
            <c:spPr>
              <a:solidFill>
                <a:srgbClr val="0066FF"/>
              </a:solidFill>
              <a:ln>
                <a:noFill/>
              </a:ln>
              <a:effectLst/>
            </c:spPr>
            <c:extLst>
              <c:ext xmlns:c16="http://schemas.microsoft.com/office/drawing/2014/chart" uri="{C3380CC4-5D6E-409C-BE32-E72D297353CC}">
                <c16:uniqueId val="{00000013-C0DB-426E-BA8F-C90DA8EAFF52}"/>
              </c:ext>
            </c:extLst>
          </c:dPt>
          <c:dPt>
            <c:idx val="21"/>
            <c:invertIfNegative val="0"/>
            <c:bubble3D val="0"/>
            <c:spPr>
              <a:solidFill>
                <a:srgbClr val="FF0066"/>
              </a:solidFill>
              <a:ln>
                <a:noFill/>
              </a:ln>
              <a:effectLst/>
            </c:spPr>
            <c:extLst>
              <c:ext xmlns:c16="http://schemas.microsoft.com/office/drawing/2014/chart" uri="{C3380CC4-5D6E-409C-BE32-E72D297353CC}">
                <c16:uniqueId val="{00000015-C0DB-426E-BA8F-C90DA8EAFF52}"/>
              </c:ext>
            </c:extLst>
          </c:dPt>
          <c:dPt>
            <c:idx val="22"/>
            <c:invertIfNegative val="0"/>
            <c:bubble3D val="0"/>
            <c:spPr>
              <a:solidFill>
                <a:srgbClr val="0066FF"/>
              </a:solidFill>
              <a:ln>
                <a:noFill/>
              </a:ln>
              <a:effectLst/>
            </c:spPr>
            <c:extLst>
              <c:ext xmlns:c16="http://schemas.microsoft.com/office/drawing/2014/chart" uri="{C3380CC4-5D6E-409C-BE32-E72D297353CC}">
                <c16:uniqueId val="{00000017-C0DB-426E-BA8F-C90DA8EAFF52}"/>
              </c:ext>
            </c:extLst>
          </c:dPt>
          <c:dPt>
            <c:idx val="25"/>
            <c:invertIfNegative val="0"/>
            <c:bubble3D val="0"/>
            <c:spPr>
              <a:solidFill>
                <a:srgbClr val="FF0066"/>
              </a:solidFill>
              <a:ln>
                <a:noFill/>
              </a:ln>
              <a:effectLst/>
            </c:spPr>
            <c:extLst>
              <c:ext xmlns:c16="http://schemas.microsoft.com/office/drawing/2014/chart" uri="{C3380CC4-5D6E-409C-BE32-E72D297353CC}">
                <c16:uniqueId val="{00000019-C0DB-426E-BA8F-C90DA8EAFF52}"/>
              </c:ext>
            </c:extLst>
          </c:dPt>
          <c:dPt>
            <c:idx val="26"/>
            <c:invertIfNegative val="0"/>
            <c:bubble3D val="0"/>
            <c:spPr>
              <a:solidFill>
                <a:srgbClr val="0066FF"/>
              </a:solidFill>
              <a:ln>
                <a:noFill/>
              </a:ln>
              <a:effectLst/>
            </c:spPr>
            <c:extLst>
              <c:ext xmlns:c16="http://schemas.microsoft.com/office/drawing/2014/chart" uri="{C3380CC4-5D6E-409C-BE32-E72D297353CC}">
                <c16:uniqueId val="{0000001B-C0DB-426E-BA8F-C90DA8EAFF52}"/>
              </c:ext>
            </c:extLst>
          </c:dPt>
          <c:dPt>
            <c:idx val="29"/>
            <c:invertIfNegative val="0"/>
            <c:bubble3D val="0"/>
            <c:spPr>
              <a:solidFill>
                <a:srgbClr val="FF0066"/>
              </a:solidFill>
              <a:ln>
                <a:noFill/>
              </a:ln>
              <a:effectLst/>
            </c:spPr>
            <c:extLst>
              <c:ext xmlns:c16="http://schemas.microsoft.com/office/drawing/2014/chart" uri="{C3380CC4-5D6E-409C-BE32-E72D297353CC}">
                <c16:uniqueId val="{0000001D-C0DB-426E-BA8F-C90DA8EAFF52}"/>
              </c:ext>
            </c:extLst>
          </c:dPt>
          <c:dPt>
            <c:idx val="30"/>
            <c:invertIfNegative val="0"/>
            <c:bubble3D val="0"/>
            <c:spPr>
              <a:solidFill>
                <a:srgbClr val="0066FF"/>
              </a:solidFill>
              <a:ln>
                <a:noFill/>
              </a:ln>
              <a:effectLst/>
            </c:spPr>
            <c:extLst>
              <c:ext xmlns:c16="http://schemas.microsoft.com/office/drawing/2014/chart" uri="{C3380CC4-5D6E-409C-BE32-E72D297353CC}">
                <c16:uniqueId val="{0000001F-C0DB-426E-BA8F-C90DA8EAFF52}"/>
              </c:ext>
            </c:extLst>
          </c:dPt>
          <c:dPt>
            <c:idx val="33"/>
            <c:invertIfNegative val="0"/>
            <c:bubble3D val="0"/>
            <c:spPr>
              <a:solidFill>
                <a:srgbClr val="FF0066"/>
              </a:solidFill>
              <a:ln>
                <a:noFill/>
              </a:ln>
              <a:effectLst/>
            </c:spPr>
            <c:extLst>
              <c:ext xmlns:c16="http://schemas.microsoft.com/office/drawing/2014/chart" uri="{C3380CC4-5D6E-409C-BE32-E72D297353CC}">
                <c16:uniqueId val="{00000021-C0DB-426E-BA8F-C90DA8EAFF52}"/>
              </c:ext>
            </c:extLst>
          </c:dPt>
          <c:dPt>
            <c:idx val="34"/>
            <c:invertIfNegative val="0"/>
            <c:bubble3D val="0"/>
            <c:spPr>
              <a:solidFill>
                <a:srgbClr val="0066FF"/>
              </a:solidFill>
              <a:ln>
                <a:noFill/>
              </a:ln>
              <a:effectLst/>
            </c:spPr>
            <c:extLst>
              <c:ext xmlns:c16="http://schemas.microsoft.com/office/drawing/2014/chart" uri="{C3380CC4-5D6E-409C-BE32-E72D297353CC}">
                <c16:uniqueId val="{00000023-C0DB-426E-BA8F-C90DA8EAFF52}"/>
              </c:ext>
            </c:extLst>
          </c:dPt>
          <c:dPt>
            <c:idx val="37"/>
            <c:invertIfNegative val="0"/>
            <c:bubble3D val="0"/>
            <c:spPr>
              <a:solidFill>
                <a:srgbClr val="FF0066"/>
              </a:solidFill>
              <a:ln>
                <a:noFill/>
              </a:ln>
              <a:effectLst/>
            </c:spPr>
            <c:extLst>
              <c:ext xmlns:c16="http://schemas.microsoft.com/office/drawing/2014/chart" uri="{C3380CC4-5D6E-409C-BE32-E72D297353CC}">
                <c16:uniqueId val="{00000025-C0DB-426E-BA8F-C90DA8EAFF52}"/>
              </c:ext>
            </c:extLst>
          </c:dPt>
          <c:dPt>
            <c:idx val="38"/>
            <c:invertIfNegative val="0"/>
            <c:bubble3D val="0"/>
            <c:spPr>
              <a:solidFill>
                <a:srgbClr val="0066FF"/>
              </a:solidFill>
              <a:ln>
                <a:noFill/>
              </a:ln>
              <a:effectLst/>
            </c:spPr>
            <c:extLst>
              <c:ext xmlns:c16="http://schemas.microsoft.com/office/drawing/2014/chart" uri="{C3380CC4-5D6E-409C-BE32-E72D297353CC}">
                <c16:uniqueId val="{00000027-C0DB-426E-BA8F-C90DA8EAFF52}"/>
              </c:ext>
            </c:extLst>
          </c:dPt>
          <c:dPt>
            <c:idx val="41"/>
            <c:invertIfNegative val="0"/>
            <c:bubble3D val="0"/>
            <c:spPr>
              <a:solidFill>
                <a:srgbClr val="FF0066"/>
              </a:solidFill>
              <a:ln>
                <a:noFill/>
              </a:ln>
              <a:effectLst/>
            </c:spPr>
            <c:extLst>
              <c:ext xmlns:c16="http://schemas.microsoft.com/office/drawing/2014/chart" uri="{C3380CC4-5D6E-409C-BE32-E72D297353CC}">
                <c16:uniqueId val="{00000029-C0DB-426E-BA8F-C90DA8EAFF52}"/>
              </c:ext>
            </c:extLst>
          </c:dPt>
          <c:dPt>
            <c:idx val="42"/>
            <c:invertIfNegative val="0"/>
            <c:bubble3D val="0"/>
            <c:spPr>
              <a:solidFill>
                <a:srgbClr val="0066FF"/>
              </a:solidFill>
              <a:ln>
                <a:noFill/>
              </a:ln>
              <a:effectLst/>
            </c:spPr>
            <c:extLst>
              <c:ext xmlns:c16="http://schemas.microsoft.com/office/drawing/2014/chart" uri="{C3380CC4-5D6E-409C-BE32-E72D297353CC}">
                <c16:uniqueId val="{0000002B-C0DB-426E-BA8F-C90DA8EAFF52}"/>
              </c:ext>
            </c:extLst>
          </c:dPt>
          <c:dPt>
            <c:idx val="45"/>
            <c:invertIfNegative val="0"/>
            <c:bubble3D val="0"/>
            <c:spPr>
              <a:solidFill>
                <a:srgbClr val="FF0066"/>
              </a:solidFill>
              <a:ln>
                <a:noFill/>
              </a:ln>
              <a:effectLst/>
            </c:spPr>
            <c:extLst>
              <c:ext xmlns:c16="http://schemas.microsoft.com/office/drawing/2014/chart" uri="{C3380CC4-5D6E-409C-BE32-E72D297353CC}">
                <c16:uniqueId val="{0000002D-C0DB-426E-BA8F-C90DA8EAFF52}"/>
              </c:ext>
            </c:extLst>
          </c:dPt>
          <c:dPt>
            <c:idx val="46"/>
            <c:invertIfNegative val="0"/>
            <c:bubble3D val="0"/>
            <c:spPr>
              <a:solidFill>
                <a:srgbClr val="0066FF"/>
              </a:solidFill>
              <a:ln>
                <a:noFill/>
              </a:ln>
              <a:effectLst/>
            </c:spPr>
            <c:extLst>
              <c:ext xmlns:c16="http://schemas.microsoft.com/office/drawing/2014/chart" uri="{C3380CC4-5D6E-409C-BE32-E72D297353CC}">
                <c16:uniqueId val="{0000002F-C0DB-426E-BA8F-C90DA8EAFF52}"/>
              </c:ext>
            </c:extLst>
          </c:dPt>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Calculations!$M$56:$M$103</c:f>
              <c:numCache>
                <c:formatCode>_-* #,##0_-;\-* #,##0_-;_-* "-"??_-;_-@_-</c:formatCode>
                <c:ptCount val="48"/>
                <c:pt idx="0">
                  <c:v>0</c:v>
                </c:pt>
                <c:pt idx="1">
                  <c:v>0</c:v>
                </c:pt>
                <c:pt idx="2">
                  <c:v>0</c:v>
                </c:pt>
                <c:pt idx="4">
                  <c:v>4550</c:v>
                </c:pt>
                <c:pt idx="5">
                  <c:v>1650</c:v>
                </c:pt>
                <c:pt idx="6">
                  <c:v>1000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30-C0DB-426E-BA8F-C90DA8EAFF52}"/>
            </c:ext>
          </c:extLst>
        </c:ser>
        <c:ser>
          <c:idx val="1"/>
          <c:order val="1"/>
          <c:spPr>
            <a:solidFill>
              <a:srgbClr val="BAFCC0"/>
            </a:solidFill>
            <a:ln>
              <a:noFill/>
            </a:ln>
            <a:effectLst/>
          </c:spPr>
          <c:invertIfNegative val="0"/>
          <c:dPt>
            <c:idx val="1"/>
            <c:invertIfNegative val="0"/>
            <c:bubble3D val="0"/>
            <c:spPr>
              <a:solidFill>
                <a:srgbClr val="FDBBD7"/>
              </a:solidFill>
              <a:ln>
                <a:noFill/>
              </a:ln>
              <a:effectLst/>
            </c:spPr>
            <c:extLst>
              <c:ext xmlns:c16="http://schemas.microsoft.com/office/drawing/2014/chart" uri="{C3380CC4-5D6E-409C-BE32-E72D297353CC}">
                <c16:uniqueId val="{00000032-C0DB-426E-BA8F-C90DA8EAFF52}"/>
              </c:ext>
            </c:extLst>
          </c:dPt>
          <c:dPt>
            <c:idx val="2"/>
            <c:invertIfNegative val="0"/>
            <c:bubble3D val="0"/>
            <c:spPr>
              <a:solidFill>
                <a:srgbClr val="ABCDFF"/>
              </a:solidFill>
              <a:ln>
                <a:noFill/>
              </a:ln>
              <a:effectLst/>
            </c:spPr>
            <c:extLst>
              <c:ext xmlns:c16="http://schemas.microsoft.com/office/drawing/2014/chart" uri="{C3380CC4-5D6E-409C-BE32-E72D297353CC}">
                <c16:uniqueId val="{00000034-C0DB-426E-BA8F-C90DA8EAFF52}"/>
              </c:ext>
            </c:extLst>
          </c:dPt>
          <c:dPt>
            <c:idx val="5"/>
            <c:invertIfNegative val="0"/>
            <c:bubble3D val="0"/>
            <c:spPr>
              <a:solidFill>
                <a:srgbClr val="FDBBD7"/>
              </a:solidFill>
              <a:ln>
                <a:noFill/>
              </a:ln>
              <a:effectLst/>
            </c:spPr>
            <c:extLst>
              <c:ext xmlns:c16="http://schemas.microsoft.com/office/drawing/2014/chart" uri="{C3380CC4-5D6E-409C-BE32-E72D297353CC}">
                <c16:uniqueId val="{00000036-C0DB-426E-BA8F-C90DA8EAFF52}"/>
              </c:ext>
            </c:extLst>
          </c:dPt>
          <c:dPt>
            <c:idx val="6"/>
            <c:invertIfNegative val="0"/>
            <c:bubble3D val="0"/>
            <c:spPr>
              <a:solidFill>
                <a:srgbClr val="ABCDFF"/>
              </a:solidFill>
              <a:ln>
                <a:noFill/>
              </a:ln>
              <a:effectLst/>
            </c:spPr>
            <c:extLst>
              <c:ext xmlns:c16="http://schemas.microsoft.com/office/drawing/2014/chart" uri="{C3380CC4-5D6E-409C-BE32-E72D297353CC}">
                <c16:uniqueId val="{00000038-C0DB-426E-BA8F-C90DA8EAFF52}"/>
              </c:ext>
            </c:extLst>
          </c:dPt>
          <c:dPt>
            <c:idx val="9"/>
            <c:invertIfNegative val="0"/>
            <c:bubble3D val="0"/>
            <c:spPr>
              <a:solidFill>
                <a:srgbClr val="FDBBD7"/>
              </a:solidFill>
              <a:ln>
                <a:noFill/>
              </a:ln>
              <a:effectLst/>
            </c:spPr>
            <c:extLst>
              <c:ext xmlns:c16="http://schemas.microsoft.com/office/drawing/2014/chart" uri="{C3380CC4-5D6E-409C-BE32-E72D297353CC}">
                <c16:uniqueId val="{0000003A-C0DB-426E-BA8F-C90DA8EAFF52}"/>
              </c:ext>
            </c:extLst>
          </c:dPt>
          <c:dPt>
            <c:idx val="10"/>
            <c:invertIfNegative val="0"/>
            <c:bubble3D val="0"/>
            <c:spPr>
              <a:solidFill>
                <a:srgbClr val="ABCDFF"/>
              </a:solidFill>
              <a:ln>
                <a:noFill/>
              </a:ln>
              <a:effectLst/>
            </c:spPr>
            <c:extLst>
              <c:ext xmlns:c16="http://schemas.microsoft.com/office/drawing/2014/chart" uri="{C3380CC4-5D6E-409C-BE32-E72D297353CC}">
                <c16:uniqueId val="{0000003C-C0DB-426E-BA8F-C90DA8EAFF52}"/>
              </c:ext>
            </c:extLst>
          </c:dPt>
          <c:dPt>
            <c:idx val="13"/>
            <c:invertIfNegative val="0"/>
            <c:bubble3D val="0"/>
            <c:spPr>
              <a:solidFill>
                <a:srgbClr val="FDBBD7"/>
              </a:solidFill>
              <a:ln>
                <a:noFill/>
              </a:ln>
              <a:effectLst/>
            </c:spPr>
            <c:extLst>
              <c:ext xmlns:c16="http://schemas.microsoft.com/office/drawing/2014/chart" uri="{C3380CC4-5D6E-409C-BE32-E72D297353CC}">
                <c16:uniqueId val="{0000003E-C0DB-426E-BA8F-C90DA8EAFF52}"/>
              </c:ext>
            </c:extLst>
          </c:dPt>
          <c:dPt>
            <c:idx val="14"/>
            <c:invertIfNegative val="0"/>
            <c:bubble3D val="0"/>
            <c:spPr>
              <a:solidFill>
                <a:srgbClr val="ABCDFF"/>
              </a:solidFill>
              <a:ln>
                <a:noFill/>
              </a:ln>
              <a:effectLst/>
            </c:spPr>
            <c:extLst>
              <c:ext xmlns:c16="http://schemas.microsoft.com/office/drawing/2014/chart" uri="{C3380CC4-5D6E-409C-BE32-E72D297353CC}">
                <c16:uniqueId val="{00000040-C0DB-426E-BA8F-C90DA8EAFF52}"/>
              </c:ext>
            </c:extLst>
          </c:dPt>
          <c:dPt>
            <c:idx val="17"/>
            <c:invertIfNegative val="0"/>
            <c:bubble3D val="0"/>
            <c:spPr>
              <a:solidFill>
                <a:srgbClr val="FDBBD7"/>
              </a:solidFill>
              <a:ln>
                <a:noFill/>
              </a:ln>
              <a:effectLst/>
            </c:spPr>
            <c:extLst>
              <c:ext xmlns:c16="http://schemas.microsoft.com/office/drawing/2014/chart" uri="{C3380CC4-5D6E-409C-BE32-E72D297353CC}">
                <c16:uniqueId val="{00000042-C0DB-426E-BA8F-C90DA8EAFF52}"/>
              </c:ext>
            </c:extLst>
          </c:dPt>
          <c:dPt>
            <c:idx val="18"/>
            <c:invertIfNegative val="0"/>
            <c:bubble3D val="0"/>
            <c:spPr>
              <a:solidFill>
                <a:srgbClr val="ABCDFF"/>
              </a:solidFill>
              <a:ln>
                <a:noFill/>
              </a:ln>
              <a:effectLst/>
            </c:spPr>
            <c:extLst>
              <c:ext xmlns:c16="http://schemas.microsoft.com/office/drawing/2014/chart" uri="{C3380CC4-5D6E-409C-BE32-E72D297353CC}">
                <c16:uniqueId val="{00000044-C0DB-426E-BA8F-C90DA8EAFF52}"/>
              </c:ext>
            </c:extLst>
          </c:dPt>
          <c:dPt>
            <c:idx val="21"/>
            <c:invertIfNegative val="0"/>
            <c:bubble3D val="0"/>
            <c:spPr>
              <a:solidFill>
                <a:srgbClr val="FDBBD7"/>
              </a:solidFill>
              <a:ln>
                <a:noFill/>
              </a:ln>
              <a:effectLst/>
            </c:spPr>
            <c:extLst>
              <c:ext xmlns:c16="http://schemas.microsoft.com/office/drawing/2014/chart" uri="{C3380CC4-5D6E-409C-BE32-E72D297353CC}">
                <c16:uniqueId val="{00000046-C0DB-426E-BA8F-C90DA8EAFF52}"/>
              </c:ext>
            </c:extLst>
          </c:dPt>
          <c:dPt>
            <c:idx val="22"/>
            <c:invertIfNegative val="0"/>
            <c:bubble3D val="0"/>
            <c:spPr>
              <a:solidFill>
                <a:srgbClr val="ABCDFF"/>
              </a:solidFill>
              <a:ln>
                <a:noFill/>
              </a:ln>
              <a:effectLst/>
            </c:spPr>
            <c:extLst>
              <c:ext xmlns:c16="http://schemas.microsoft.com/office/drawing/2014/chart" uri="{C3380CC4-5D6E-409C-BE32-E72D297353CC}">
                <c16:uniqueId val="{00000048-C0DB-426E-BA8F-C90DA8EAFF52}"/>
              </c:ext>
            </c:extLst>
          </c:dPt>
          <c:dPt>
            <c:idx val="25"/>
            <c:invertIfNegative val="0"/>
            <c:bubble3D val="0"/>
            <c:spPr>
              <a:solidFill>
                <a:srgbClr val="FDBBD7"/>
              </a:solidFill>
              <a:ln>
                <a:noFill/>
              </a:ln>
              <a:effectLst/>
            </c:spPr>
            <c:extLst>
              <c:ext xmlns:c16="http://schemas.microsoft.com/office/drawing/2014/chart" uri="{C3380CC4-5D6E-409C-BE32-E72D297353CC}">
                <c16:uniqueId val="{0000004A-C0DB-426E-BA8F-C90DA8EAFF52}"/>
              </c:ext>
            </c:extLst>
          </c:dPt>
          <c:dPt>
            <c:idx val="26"/>
            <c:invertIfNegative val="0"/>
            <c:bubble3D val="0"/>
            <c:spPr>
              <a:solidFill>
                <a:srgbClr val="ABCDFF"/>
              </a:solidFill>
              <a:ln>
                <a:noFill/>
              </a:ln>
              <a:effectLst/>
            </c:spPr>
            <c:extLst>
              <c:ext xmlns:c16="http://schemas.microsoft.com/office/drawing/2014/chart" uri="{C3380CC4-5D6E-409C-BE32-E72D297353CC}">
                <c16:uniqueId val="{0000004C-C0DB-426E-BA8F-C90DA8EAFF52}"/>
              </c:ext>
            </c:extLst>
          </c:dPt>
          <c:dPt>
            <c:idx val="29"/>
            <c:invertIfNegative val="0"/>
            <c:bubble3D val="0"/>
            <c:spPr>
              <a:solidFill>
                <a:srgbClr val="FDBBD7"/>
              </a:solidFill>
              <a:ln>
                <a:noFill/>
              </a:ln>
              <a:effectLst/>
            </c:spPr>
            <c:extLst>
              <c:ext xmlns:c16="http://schemas.microsoft.com/office/drawing/2014/chart" uri="{C3380CC4-5D6E-409C-BE32-E72D297353CC}">
                <c16:uniqueId val="{0000004E-C0DB-426E-BA8F-C90DA8EAFF52}"/>
              </c:ext>
            </c:extLst>
          </c:dPt>
          <c:dPt>
            <c:idx val="30"/>
            <c:invertIfNegative val="0"/>
            <c:bubble3D val="0"/>
            <c:spPr>
              <a:solidFill>
                <a:srgbClr val="ABCDFF"/>
              </a:solidFill>
              <a:ln>
                <a:noFill/>
              </a:ln>
              <a:effectLst/>
            </c:spPr>
            <c:extLst>
              <c:ext xmlns:c16="http://schemas.microsoft.com/office/drawing/2014/chart" uri="{C3380CC4-5D6E-409C-BE32-E72D297353CC}">
                <c16:uniqueId val="{00000050-C0DB-426E-BA8F-C90DA8EAFF52}"/>
              </c:ext>
            </c:extLst>
          </c:dPt>
          <c:dPt>
            <c:idx val="33"/>
            <c:invertIfNegative val="0"/>
            <c:bubble3D val="0"/>
            <c:spPr>
              <a:solidFill>
                <a:srgbClr val="FDBBD7"/>
              </a:solidFill>
              <a:ln>
                <a:noFill/>
              </a:ln>
              <a:effectLst/>
            </c:spPr>
            <c:extLst>
              <c:ext xmlns:c16="http://schemas.microsoft.com/office/drawing/2014/chart" uri="{C3380CC4-5D6E-409C-BE32-E72D297353CC}">
                <c16:uniqueId val="{00000052-C0DB-426E-BA8F-C90DA8EAFF52}"/>
              </c:ext>
            </c:extLst>
          </c:dPt>
          <c:dPt>
            <c:idx val="34"/>
            <c:invertIfNegative val="0"/>
            <c:bubble3D val="0"/>
            <c:spPr>
              <a:solidFill>
                <a:srgbClr val="ABCDFF"/>
              </a:solidFill>
              <a:ln>
                <a:noFill/>
              </a:ln>
              <a:effectLst/>
            </c:spPr>
            <c:extLst>
              <c:ext xmlns:c16="http://schemas.microsoft.com/office/drawing/2014/chart" uri="{C3380CC4-5D6E-409C-BE32-E72D297353CC}">
                <c16:uniqueId val="{00000054-C0DB-426E-BA8F-C90DA8EAFF52}"/>
              </c:ext>
            </c:extLst>
          </c:dPt>
          <c:dPt>
            <c:idx val="37"/>
            <c:invertIfNegative val="0"/>
            <c:bubble3D val="0"/>
            <c:spPr>
              <a:solidFill>
                <a:srgbClr val="FDBBD7"/>
              </a:solidFill>
              <a:ln>
                <a:noFill/>
              </a:ln>
              <a:effectLst/>
            </c:spPr>
            <c:extLst>
              <c:ext xmlns:c16="http://schemas.microsoft.com/office/drawing/2014/chart" uri="{C3380CC4-5D6E-409C-BE32-E72D297353CC}">
                <c16:uniqueId val="{00000056-C0DB-426E-BA8F-C90DA8EAFF52}"/>
              </c:ext>
            </c:extLst>
          </c:dPt>
          <c:dPt>
            <c:idx val="38"/>
            <c:invertIfNegative val="0"/>
            <c:bubble3D val="0"/>
            <c:spPr>
              <a:solidFill>
                <a:srgbClr val="ABCDFF"/>
              </a:solidFill>
              <a:ln>
                <a:noFill/>
              </a:ln>
              <a:effectLst/>
            </c:spPr>
            <c:extLst>
              <c:ext xmlns:c16="http://schemas.microsoft.com/office/drawing/2014/chart" uri="{C3380CC4-5D6E-409C-BE32-E72D297353CC}">
                <c16:uniqueId val="{00000058-C0DB-426E-BA8F-C90DA8EAFF52}"/>
              </c:ext>
            </c:extLst>
          </c:dPt>
          <c:dPt>
            <c:idx val="41"/>
            <c:invertIfNegative val="0"/>
            <c:bubble3D val="0"/>
            <c:spPr>
              <a:solidFill>
                <a:srgbClr val="FDBBD7"/>
              </a:solidFill>
              <a:ln>
                <a:noFill/>
              </a:ln>
              <a:effectLst/>
            </c:spPr>
            <c:extLst>
              <c:ext xmlns:c16="http://schemas.microsoft.com/office/drawing/2014/chart" uri="{C3380CC4-5D6E-409C-BE32-E72D297353CC}">
                <c16:uniqueId val="{0000005A-C0DB-426E-BA8F-C90DA8EAFF52}"/>
              </c:ext>
            </c:extLst>
          </c:dPt>
          <c:dPt>
            <c:idx val="42"/>
            <c:invertIfNegative val="0"/>
            <c:bubble3D val="0"/>
            <c:spPr>
              <a:solidFill>
                <a:srgbClr val="ABCDFF"/>
              </a:solidFill>
              <a:ln>
                <a:noFill/>
              </a:ln>
              <a:effectLst/>
            </c:spPr>
            <c:extLst>
              <c:ext xmlns:c16="http://schemas.microsoft.com/office/drawing/2014/chart" uri="{C3380CC4-5D6E-409C-BE32-E72D297353CC}">
                <c16:uniqueId val="{0000005C-C0DB-426E-BA8F-C90DA8EAFF52}"/>
              </c:ext>
            </c:extLst>
          </c:dPt>
          <c:dPt>
            <c:idx val="45"/>
            <c:invertIfNegative val="0"/>
            <c:bubble3D val="0"/>
            <c:spPr>
              <a:solidFill>
                <a:srgbClr val="FDBBD7"/>
              </a:solidFill>
              <a:ln>
                <a:noFill/>
              </a:ln>
              <a:effectLst/>
            </c:spPr>
            <c:extLst>
              <c:ext xmlns:c16="http://schemas.microsoft.com/office/drawing/2014/chart" uri="{C3380CC4-5D6E-409C-BE32-E72D297353CC}">
                <c16:uniqueId val="{0000005E-C0DB-426E-BA8F-C90DA8EAFF52}"/>
              </c:ext>
            </c:extLst>
          </c:dPt>
          <c:dPt>
            <c:idx val="46"/>
            <c:invertIfNegative val="0"/>
            <c:bubble3D val="0"/>
            <c:spPr>
              <a:solidFill>
                <a:srgbClr val="ABCDFF"/>
              </a:solidFill>
              <a:ln>
                <a:noFill/>
              </a:ln>
              <a:effectLst/>
            </c:spPr>
            <c:extLst>
              <c:ext xmlns:c16="http://schemas.microsoft.com/office/drawing/2014/chart" uri="{C3380CC4-5D6E-409C-BE32-E72D297353CC}">
                <c16:uniqueId val="{00000060-C0DB-426E-BA8F-C90DA8EAFF52}"/>
              </c:ext>
            </c:extLst>
          </c:dPt>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Calculations!$N$56:$N$103</c:f>
              <c:numCache>
                <c:formatCode>_-* #,##0_-;\-* #,##0_-;_-* "-"??_-;_-@_-</c:formatCode>
                <c:ptCount val="48"/>
                <c:pt idx="0">
                  <c:v>0</c:v>
                </c:pt>
                <c:pt idx="1">
                  <c:v>0</c:v>
                </c:pt>
                <c:pt idx="2">
                  <c:v>0</c:v>
                </c:pt>
                <c:pt idx="4">
                  <c:v>0</c:v>
                </c:pt>
                <c:pt idx="5">
                  <c:v>950</c:v>
                </c:pt>
                <c:pt idx="6">
                  <c:v>1000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61-C0DB-426E-BA8F-C90DA8EAFF52}"/>
            </c:ext>
          </c:extLst>
        </c:ser>
        <c:ser>
          <c:idx val="2"/>
          <c:order val="2"/>
          <c:spPr>
            <a:solidFill>
              <a:srgbClr val="00A44A"/>
            </a:solidFill>
            <a:ln>
              <a:noFill/>
            </a:ln>
            <a:effectLst/>
          </c:spPr>
          <c:invertIfNegative val="0"/>
          <c:dPt>
            <c:idx val="1"/>
            <c:invertIfNegative val="0"/>
            <c:bubble3D val="0"/>
            <c:spPr>
              <a:solidFill>
                <a:srgbClr val="C80051"/>
              </a:solidFill>
              <a:ln>
                <a:noFill/>
              </a:ln>
              <a:effectLst/>
            </c:spPr>
            <c:extLst>
              <c:ext xmlns:c16="http://schemas.microsoft.com/office/drawing/2014/chart" uri="{C3380CC4-5D6E-409C-BE32-E72D297353CC}">
                <c16:uniqueId val="{00000063-C0DB-426E-BA8F-C90DA8EAFF52}"/>
              </c:ext>
            </c:extLst>
          </c:dPt>
          <c:dPt>
            <c:idx val="2"/>
            <c:invertIfNegative val="0"/>
            <c:bubble3D val="0"/>
            <c:spPr>
              <a:solidFill>
                <a:srgbClr val="0049B4"/>
              </a:solidFill>
              <a:ln>
                <a:noFill/>
              </a:ln>
              <a:effectLst/>
            </c:spPr>
            <c:extLst>
              <c:ext xmlns:c16="http://schemas.microsoft.com/office/drawing/2014/chart" uri="{C3380CC4-5D6E-409C-BE32-E72D297353CC}">
                <c16:uniqueId val="{00000065-C0DB-426E-BA8F-C90DA8EAFF52}"/>
              </c:ext>
            </c:extLst>
          </c:dPt>
          <c:dPt>
            <c:idx val="5"/>
            <c:invertIfNegative val="0"/>
            <c:bubble3D val="0"/>
            <c:spPr>
              <a:solidFill>
                <a:srgbClr val="C80051"/>
              </a:solidFill>
              <a:ln>
                <a:noFill/>
              </a:ln>
              <a:effectLst/>
            </c:spPr>
            <c:extLst>
              <c:ext xmlns:c16="http://schemas.microsoft.com/office/drawing/2014/chart" uri="{C3380CC4-5D6E-409C-BE32-E72D297353CC}">
                <c16:uniqueId val="{00000067-C0DB-426E-BA8F-C90DA8EAFF52}"/>
              </c:ext>
            </c:extLst>
          </c:dPt>
          <c:dPt>
            <c:idx val="6"/>
            <c:invertIfNegative val="0"/>
            <c:bubble3D val="0"/>
            <c:spPr>
              <a:solidFill>
                <a:srgbClr val="0049B4"/>
              </a:solidFill>
              <a:ln>
                <a:noFill/>
              </a:ln>
              <a:effectLst/>
            </c:spPr>
            <c:extLst>
              <c:ext xmlns:c16="http://schemas.microsoft.com/office/drawing/2014/chart" uri="{C3380CC4-5D6E-409C-BE32-E72D297353CC}">
                <c16:uniqueId val="{00000069-C0DB-426E-BA8F-C90DA8EAFF52}"/>
              </c:ext>
            </c:extLst>
          </c:dPt>
          <c:dPt>
            <c:idx val="9"/>
            <c:invertIfNegative val="0"/>
            <c:bubble3D val="0"/>
            <c:spPr>
              <a:solidFill>
                <a:srgbClr val="C80051"/>
              </a:solidFill>
              <a:ln>
                <a:noFill/>
              </a:ln>
              <a:effectLst/>
            </c:spPr>
            <c:extLst>
              <c:ext xmlns:c16="http://schemas.microsoft.com/office/drawing/2014/chart" uri="{C3380CC4-5D6E-409C-BE32-E72D297353CC}">
                <c16:uniqueId val="{0000006B-C0DB-426E-BA8F-C90DA8EAFF52}"/>
              </c:ext>
            </c:extLst>
          </c:dPt>
          <c:dPt>
            <c:idx val="10"/>
            <c:invertIfNegative val="0"/>
            <c:bubble3D val="0"/>
            <c:spPr>
              <a:solidFill>
                <a:srgbClr val="0049B4"/>
              </a:solidFill>
              <a:ln>
                <a:noFill/>
              </a:ln>
              <a:effectLst/>
            </c:spPr>
            <c:extLst>
              <c:ext xmlns:c16="http://schemas.microsoft.com/office/drawing/2014/chart" uri="{C3380CC4-5D6E-409C-BE32-E72D297353CC}">
                <c16:uniqueId val="{0000006D-C0DB-426E-BA8F-C90DA8EAFF52}"/>
              </c:ext>
            </c:extLst>
          </c:dPt>
          <c:dPt>
            <c:idx val="13"/>
            <c:invertIfNegative val="0"/>
            <c:bubble3D val="0"/>
            <c:spPr>
              <a:solidFill>
                <a:srgbClr val="C80051"/>
              </a:solidFill>
              <a:ln>
                <a:noFill/>
              </a:ln>
              <a:effectLst/>
            </c:spPr>
            <c:extLst>
              <c:ext xmlns:c16="http://schemas.microsoft.com/office/drawing/2014/chart" uri="{C3380CC4-5D6E-409C-BE32-E72D297353CC}">
                <c16:uniqueId val="{0000006F-C0DB-426E-BA8F-C90DA8EAFF52}"/>
              </c:ext>
            </c:extLst>
          </c:dPt>
          <c:dPt>
            <c:idx val="14"/>
            <c:invertIfNegative val="0"/>
            <c:bubble3D val="0"/>
            <c:spPr>
              <a:solidFill>
                <a:srgbClr val="0049B4"/>
              </a:solidFill>
              <a:ln>
                <a:noFill/>
              </a:ln>
              <a:effectLst/>
            </c:spPr>
            <c:extLst>
              <c:ext xmlns:c16="http://schemas.microsoft.com/office/drawing/2014/chart" uri="{C3380CC4-5D6E-409C-BE32-E72D297353CC}">
                <c16:uniqueId val="{00000071-C0DB-426E-BA8F-C90DA8EAFF52}"/>
              </c:ext>
            </c:extLst>
          </c:dPt>
          <c:dPt>
            <c:idx val="17"/>
            <c:invertIfNegative val="0"/>
            <c:bubble3D val="0"/>
            <c:spPr>
              <a:solidFill>
                <a:srgbClr val="C80051"/>
              </a:solidFill>
              <a:ln>
                <a:noFill/>
              </a:ln>
              <a:effectLst/>
            </c:spPr>
            <c:extLst>
              <c:ext xmlns:c16="http://schemas.microsoft.com/office/drawing/2014/chart" uri="{C3380CC4-5D6E-409C-BE32-E72D297353CC}">
                <c16:uniqueId val="{00000073-C0DB-426E-BA8F-C90DA8EAFF52}"/>
              </c:ext>
            </c:extLst>
          </c:dPt>
          <c:dPt>
            <c:idx val="18"/>
            <c:invertIfNegative val="0"/>
            <c:bubble3D val="0"/>
            <c:spPr>
              <a:solidFill>
                <a:srgbClr val="0049B4"/>
              </a:solidFill>
              <a:ln>
                <a:noFill/>
              </a:ln>
              <a:effectLst/>
            </c:spPr>
            <c:extLst>
              <c:ext xmlns:c16="http://schemas.microsoft.com/office/drawing/2014/chart" uri="{C3380CC4-5D6E-409C-BE32-E72D297353CC}">
                <c16:uniqueId val="{00000075-C0DB-426E-BA8F-C90DA8EAFF52}"/>
              </c:ext>
            </c:extLst>
          </c:dPt>
          <c:dPt>
            <c:idx val="21"/>
            <c:invertIfNegative val="0"/>
            <c:bubble3D val="0"/>
            <c:spPr>
              <a:solidFill>
                <a:srgbClr val="C80051"/>
              </a:solidFill>
              <a:ln>
                <a:noFill/>
              </a:ln>
              <a:effectLst/>
            </c:spPr>
            <c:extLst>
              <c:ext xmlns:c16="http://schemas.microsoft.com/office/drawing/2014/chart" uri="{C3380CC4-5D6E-409C-BE32-E72D297353CC}">
                <c16:uniqueId val="{00000077-C0DB-426E-BA8F-C90DA8EAFF52}"/>
              </c:ext>
            </c:extLst>
          </c:dPt>
          <c:dPt>
            <c:idx val="22"/>
            <c:invertIfNegative val="0"/>
            <c:bubble3D val="0"/>
            <c:spPr>
              <a:solidFill>
                <a:srgbClr val="0049B4"/>
              </a:solidFill>
              <a:ln>
                <a:noFill/>
              </a:ln>
              <a:effectLst/>
            </c:spPr>
            <c:extLst>
              <c:ext xmlns:c16="http://schemas.microsoft.com/office/drawing/2014/chart" uri="{C3380CC4-5D6E-409C-BE32-E72D297353CC}">
                <c16:uniqueId val="{00000079-C0DB-426E-BA8F-C90DA8EAFF52}"/>
              </c:ext>
            </c:extLst>
          </c:dPt>
          <c:dPt>
            <c:idx val="25"/>
            <c:invertIfNegative val="0"/>
            <c:bubble3D val="0"/>
            <c:spPr>
              <a:solidFill>
                <a:srgbClr val="C80051"/>
              </a:solidFill>
              <a:ln>
                <a:noFill/>
              </a:ln>
              <a:effectLst/>
            </c:spPr>
            <c:extLst>
              <c:ext xmlns:c16="http://schemas.microsoft.com/office/drawing/2014/chart" uri="{C3380CC4-5D6E-409C-BE32-E72D297353CC}">
                <c16:uniqueId val="{0000007B-C0DB-426E-BA8F-C90DA8EAFF52}"/>
              </c:ext>
            </c:extLst>
          </c:dPt>
          <c:dPt>
            <c:idx val="26"/>
            <c:invertIfNegative val="0"/>
            <c:bubble3D val="0"/>
            <c:spPr>
              <a:solidFill>
                <a:srgbClr val="0049B4"/>
              </a:solidFill>
              <a:ln>
                <a:noFill/>
              </a:ln>
              <a:effectLst/>
            </c:spPr>
            <c:extLst>
              <c:ext xmlns:c16="http://schemas.microsoft.com/office/drawing/2014/chart" uri="{C3380CC4-5D6E-409C-BE32-E72D297353CC}">
                <c16:uniqueId val="{0000007D-C0DB-426E-BA8F-C90DA8EAFF52}"/>
              </c:ext>
            </c:extLst>
          </c:dPt>
          <c:dPt>
            <c:idx val="29"/>
            <c:invertIfNegative val="0"/>
            <c:bubble3D val="0"/>
            <c:spPr>
              <a:solidFill>
                <a:srgbClr val="C80051"/>
              </a:solidFill>
              <a:ln>
                <a:noFill/>
              </a:ln>
              <a:effectLst/>
            </c:spPr>
            <c:extLst>
              <c:ext xmlns:c16="http://schemas.microsoft.com/office/drawing/2014/chart" uri="{C3380CC4-5D6E-409C-BE32-E72D297353CC}">
                <c16:uniqueId val="{0000007F-C0DB-426E-BA8F-C90DA8EAFF52}"/>
              </c:ext>
            </c:extLst>
          </c:dPt>
          <c:dPt>
            <c:idx val="30"/>
            <c:invertIfNegative val="0"/>
            <c:bubble3D val="0"/>
            <c:spPr>
              <a:solidFill>
                <a:srgbClr val="0049B4"/>
              </a:solidFill>
              <a:ln>
                <a:noFill/>
              </a:ln>
              <a:effectLst/>
            </c:spPr>
            <c:extLst>
              <c:ext xmlns:c16="http://schemas.microsoft.com/office/drawing/2014/chart" uri="{C3380CC4-5D6E-409C-BE32-E72D297353CC}">
                <c16:uniqueId val="{00000081-C0DB-426E-BA8F-C90DA8EAFF52}"/>
              </c:ext>
            </c:extLst>
          </c:dPt>
          <c:dPt>
            <c:idx val="33"/>
            <c:invertIfNegative val="0"/>
            <c:bubble3D val="0"/>
            <c:spPr>
              <a:solidFill>
                <a:srgbClr val="C80051"/>
              </a:solidFill>
              <a:ln>
                <a:noFill/>
              </a:ln>
              <a:effectLst/>
            </c:spPr>
            <c:extLst>
              <c:ext xmlns:c16="http://schemas.microsoft.com/office/drawing/2014/chart" uri="{C3380CC4-5D6E-409C-BE32-E72D297353CC}">
                <c16:uniqueId val="{00000083-C0DB-426E-BA8F-C90DA8EAFF52}"/>
              </c:ext>
            </c:extLst>
          </c:dPt>
          <c:dPt>
            <c:idx val="34"/>
            <c:invertIfNegative val="0"/>
            <c:bubble3D val="0"/>
            <c:spPr>
              <a:solidFill>
                <a:srgbClr val="0049B4"/>
              </a:solidFill>
              <a:ln>
                <a:noFill/>
              </a:ln>
              <a:effectLst/>
            </c:spPr>
            <c:extLst>
              <c:ext xmlns:c16="http://schemas.microsoft.com/office/drawing/2014/chart" uri="{C3380CC4-5D6E-409C-BE32-E72D297353CC}">
                <c16:uniqueId val="{00000085-C0DB-426E-BA8F-C90DA8EAFF52}"/>
              </c:ext>
            </c:extLst>
          </c:dPt>
          <c:dPt>
            <c:idx val="37"/>
            <c:invertIfNegative val="0"/>
            <c:bubble3D val="0"/>
            <c:spPr>
              <a:solidFill>
                <a:srgbClr val="C80051"/>
              </a:solidFill>
              <a:ln>
                <a:noFill/>
              </a:ln>
              <a:effectLst/>
            </c:spPr>
            <c:extLst>
              <c:ext xmlns:c16="http://schemas.microsoft.com/office/drawing/2014/chart" uri="{C3380CC4-5D6E-409C-BE32-E72D297353CC}">
                <c16:uniqueId val="{00000087-C0DB-426E-BA8F-C90DA8EAFF52}"/>
              </c:ext>
            </c:extLst>
          </c:dPt>
          <c:dPt>
            <c:idx val="38"/>
            <c:invertIfNegative val="0"/>
            <c:bubble3D val="0"/>
            <c:spPr>
              <a:solidFill>
                <a:srgbClr val="0049B4"/>
              </a:solidFill>
              <a:ln>
                <a:noFill/>
              </a:ln>
              <a:effectLst/>
            </c:spPr>
            <c:extLst>
              <c:ext xmlns:c16="http://schemas.microsoft.com/office/drawing/2014/chart" uri="{C3380CC4-5D6E-409C-BE32-E72D297353CC}">
                <c16:uniqueId val="{00000089-C0DB-426E-BA8F-C90DA8EAFF52}"/>
              </c:ext>
            </c:extLst>
          </c:dPt>
          <c:dPt>
            <c:idx val="41"/>
            <c:invertIfNegative val="0"/>
            <c:bubble3D val="0"/>
            <c:spPr>
              <a:solidFill>
                <a:srgbClr val="C80051"/>
              </a:solidFill>
              <a:ln>
                <a:noFill/>
              </a:ln>
              <a:effectLst/>
            </c:spPr>
            <c:extLst>
              <c:ext xmlns:c16="http://schemas.microsoft.com/office/drawing/2014/chart" uri="{C3380CC4-5D6E-409C-BE32-E72D297353CC}">
                <c16:uniqueId val="{0000008B-C0DB-426E-BA8F-C90DA8EAFF52}"/>
              </c:ext>
            </c:extLst>
          </c:dPt>
          <c:dPt>
            <c:idx val="42"/>
            <c:invertIfNegative val="0"/>
            <c:bubble3D val="0"/>
            <c:spPr>
              <a:solidFill>
                <a:srgbClr val="0049B4"/>
              </a:solidFill>
              <a:ln>
                <a:noFill/>
              </a:ln>
              <a:effectLst/>
            </c:spPr>
            <c:extLst>
              <c:ext xmlns:c16="http://schemas.microsoft.com/office/drawing/2014/chart" uri="{C3380CC4-5D6E-409C-BE32-E72D297353CC}">
                <c16:uniqueId val="{0000008D-C0DB-426E-BA8F-C90DA8EAFF52}"/>
              </c:ext>
            </c:extLst>
          </c:dPt>
          <c:dPt>
            <c:idx val="45"/>
            <c:invertIfNegative val="0"/>
            <c:bubble3D val="0"/>
            <c:spPr>
              <a:solidFill>
                <a:srgbClr val="C80051"/>
              </a:solidFill>
              <a:ln>
                <a:noFill/>
              </a:ln>
              <a:effectLst/>
            </c:spPr>
            <c:extLst>
              <c:ext xmlns:c16="http://schemas.microsoft.com/office/drawing/2014/chart" uri="{C3380CC4-5D6E-409C-BE32-E72D297353CC}">
                <c16:uniqueId val="{0000008F-C0DB-426E-BA8F-C90DA8EAFF52}"/>
              </c:ext>
            </c:extLst>
          </c:dPt>
          <c:dPt>
            <c:idx val="46"/>
            <c:invertIfNegative val="0"/>
            <c:bubble3D val="0"/>
            <c:spPr>
              <a:solidFill>
                <a:srgbClr val="0049B4"/>
              </a:solidFill>
              <a:ln>
                <a:noFill/>
              </a:ln>
              <a:effectLst/>
            </c:spPr>
            <c:extLst>
              <c:ext xmlns:c16="http://schemas.microsoft.com/office/drawing/2014/chart" uri="{C3380CC4-5D6E-409C-BE32-E72D297353CC}">
                <c16:uniqueId val="{00000091-C0DB-426E-BA8F-C90DA8EAFF52}"/>
              </c:ext>
            </c:extLst>
          </c:dPt>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Calculations!$O$56:$O$103</c:f>
              <c:numCache>
                <c:formatCode>_-* #,##0_-;\-* #,##0_-;_-* "-"??_-;_-@_-</c:formatCode>
                <c:ptCount val="48"/>
                <c:pt idx="0">
                  <c:v>0</c:v>
                </c:pt>
                <c:pt idx="1">
                  <c:v>0</c:v>
                </c:pt>
                <c:pt idx="2">
                  <c:v>0</c:v>
                </c:pt>
                <c:pt idx="4">
                  <c:v>550</c:v>
                </c:pt>
                <c:pt idx="5">
                  <c:v>0</c:v>
                </c:pt>
                <c:pt idx="6">
                  <c:v>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92-C0DB-426E-BA8F-C90DA8EAFF52}"/>
            </c:ext>
          </c:extLst>
        </c:ser>
        <c:ser>
          <c:idx val="3"/>
          <c:order val="3"/>
          <c:spPr>
            <a:solidFill>
              <a:srgbClr val="D1D1D1"/>
            </a:solidFill>
            <a:ln>
              <a:noFill/>
            </a:ln>
            <a:effectLst/>
          </c:spPr>
          <c:invertIfNegative val="0"/>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Calculations!$P$56:$P$103</c:f>
              <c:numCache>
                <c:formatCode>_-* #,##0_-;\-* #,##0_-;_-* "-"??_-;_-@_-</c:formatCode>
                <c:ptCount val="48"/>
                <c:pt idx="0">
                  <c:v>3500</c:v>
                </c:pt>
                <c:pt idx="1">
                  <c:v>1350</c:v>
                </c:pt>
                <c:pt idx="2">
                  <c:v>1000</c:v>
                </c:pt>
                <c:pt idx="4">
                  <c:v>0</c:v>
                </c:pt>
                <c:pt idx="5">
                  <c:v>0</c:v>
                </c:pt>
                <c:pt idx="6">
                  <c:v>0</c:v>
                </c:pt>
                <c:pt idx="8">
                  <c:v>3500</c:v>
                </c:pt>
                <c:pt idx="9">
                  <c:v>2700</c:v>
                </c:pt>
                <c:pt idx="10">
                  <c:v>1000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93-C0DB-426E-BA8F-C90DA8EAFF52}"/>
            </c:ext>
          </c:extLst>
        </c:ser>
        <c:ser>
          <c:idx val="4"/>
          <c:order val="4"/>
          <c:spPr>
            <a:solidFill>
              <a:srgbClr val="E8E8E8"/>
            </a:solidFill>
            <a:ln>
              <a:noFill/>
            </a:ln>
            <a:effectLst/>
          </c:spPr>
          <c:invertIfNegative val="0"/>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Calculations!$Q$56:$Q$103</c:f>
              <c:numCache>
                <c:formatCode>_-* #,##0_-;\-* #,##0_-;_-* "-"??_-;_-@_-</c:formatCode>
                <c:ptCount val="48"/>
                <c:pt idx="0">
                  <c:v>1150</c:v>
                </c:pt>
                <c:pt idx="1">
                  <c:v>1250</c:v>
                </c:pt>
                <c:pt idx="2">
                  <c:v>1100</c:v>
                </c:pt>
                <c:pt idx="4">
                  <c:v>0</c:v>
                </c:pt>
                <c:pt idx="5">
                  <c:v>0</c:v>
                </c:pt>
                <c:pt idx="6">
                  <c:v>0</c:v>
                </c:pt>
                <c:pt idx="8">
                  <c:v>1100</c:v>
                </c:pt>
                <c:pt idx="9">
                  <c:v>0</c:v>
                </c:pt>
                <c:pt idx="10">
                  <c:v>900</c:v>
                </c:pt>
                <c:pt idx="12">
                  <c:v>5650</c:v>
                </c:pt>
                <c:pt idx="13">
                  <c:v>3300</c:v>
                </c:pt>
                <c:pt idx="14">
                  <c:v>2400</c:v>
                </c:pt>
                <c:pt idx="16">
                  <c:v>5550</c:v>
                </c:pt>
                <c:pt idx="17">
                  <c:v>2600</c:v>
                </c:pt>
                <c:pt idx="18">
                  <c:v>3000</c:v>
                </c:pt>
                <c:pt idx="20">
                  <c:v>5600</c:v>
                </c:pt>
                <c:pt idx="21">
                  <c:v>2700</c:v>
                </c:pt>
                <c:pt idx="22">
                  <c:v>2900</c:v>
                </c:pt>
                <c:pt idx="24">
                  <c:v>5650</c:v>
                </c:pt>
                <c:pt idx="25">
                  <c:v>3800</c:v>
                </c:pt>
                <c:pt idx="26">
                  <c:v>1900</c:v>
                </c:pt>
                <c:pt idx="28">
                  <c:v>5550</c:v>
                </c:pt>
                <c:pt idx="29">
                  <c:v>3800</c:v>
                </c:pt>
                <c:pt idx="30">
                  <c:v>1800</c:v>
                </c:pt>
                <c:pt idx="32">
                  <c:v>5600</c:v>
                </c:pt>
                <c:pt idx="33">
                  <c:v>2700</c:v>
                </c:pt>
                <c:pt idx="34">
                  <c:v>2900</c:v>
                </c:pt>
                <c:pt idx="36">
                  <c:v>5650</c:v>
                </c:pt>
                <c:pt idx="37">
                  <c:v>2600</c:v>
                </c:pt>
                <c:pt idx="38">
                  <c:v>3100</c:v>
                </c:pt>
                <c:pt idx="40">
                  <c:v>5550</c:v>
                </c:pt>
                <c:pt idx="41">
                  <c:v>2600</c:v>
                </c:pt>
                <c:pt idx="42">
                  <c:v>3000</c:v>
                </c:pt>
                <c:pt idx="44">
                  <c:v>5600</c:v>
                </c:pt>
                <c:pt idx="45">
                  <c:v>3400</c:v>
                </c:pt>
                <c:pt idx="46">
                  <c:v>2200</c:v>
                </c:pt>
              </c:numCache>
            </c:numRef>
          </c:val>
          <c:extLst>
            <c:ext xmlns:c16="http://schemas.microsoft.com/office/drawing/2014/chart" uri="{C3380CC4-5D6E-409C-BE32-E72D297353CC}">
              <c16:uniqueId val="{00000094-C0DB-426E-BA8F-C90DA8EAFF52}"/>
            </c:ext>
          </c:extLst>
        </c:ser>
        <c:ser>
          <c:idx val="5"/>
          <c:order val="5"/>
          <c:spPr>
            <a:solidFill>
              <a:schemeClr val="bg1">
                <a:lumMod val="75000"/>
              </a:schemeClr>
            </a:solidFill>
            <a:ln>
              <a:noFill/>
            </a:ln>
            <a:effectLst/>
          </c:spPr>
          <c:invertIfNegative val="0"/>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Calculations!$R$56:$R$103</c:f>
              <c:numCache>
                <c:formatCode>_-* #,##0_-;\-* #,##0_-;_-* "-"??_-;_-@_-</c:formatCode>
                <c:ptCount val="48"/>
                <c:pt idx="0">
                  <c:v>0</c:v>
                </c:pt>
                <c:pt idx="1">
                  <c:v>0</c:v>
                </c:pt>
                <c:pt idx="2">
                  <c:v>0</c:v>
                </c:pt>
                <c:pt idx="4">
                  <c:v>0</c:v>
                </c:pt>
                <c:pt idx="5">
                  <c:v>0</c:v>
                </c:pt>
                <c:pt idx="6">
                  <c:v>0</c:v>
                </c:pt>
                <c:pt idx="8">
                  <c:v>0</c:v>
                </c:pt>
                <c:pt idx="9">
                  <c:v>150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95-C0DB-426E-BA8F-C90DA8EAFF52}"/>
            </c:ext>
          </c:extLst>
        </c:ser>
        <c:dLbls>
          <c:showLegendKey val="0"/>
          <c:showVal val="0"/>
          <c:showCatName val="0"/>
          <c:showSerName val="0"/>
          <c:showPercent val="0"/>
          <c:showBubbleSize val="0"/>
        </c:dLbls>
        <c:gapWidth val="35"/>
        <c:overlap val="100"/>
        <c:axId val="960424463"/>
        <c:axId val="72707407"/>
      </c:barChart>
      <c:catAx>
        <c:axId val="960424463"/>
        <c:scaling>
          <c:orientation val="minMax"/>
        </c:scaling>
        <c:delete val="0"/>
        <c:axPos val="b"/>
        <c:numFmt formatCode="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ES"/>
          </a:p>
        </c:txPr>
        <c:crossAx val="72707407"/>
        <c:crosses val="autoZero"/>
        <c:auto val="0"/>
        <c:lblAlgn val="ctr"/>
        <c:lblOffset val="100"/>
        <c:noMultiLvlLbl val="0"/>
      </c:catAx>
      <c:valAx>
        <c:axId val="72707407"/>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ES"/>
          </a:p>
        </c:txPr>
        <c:crossAx val="96042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lumMod val="85000"/>
              </a:schemeClr>
            </a:solidFill>
            <a:ln>
              <a:noFill/>
            </a:ln>
            <a:effectLst/>
          </c:spPr>
          <c:invertIfNegative val="0"/>
          <c:val>
            <c:numRef>
              <c:f>Calculations!$E$24</c:f>
              <c:numCache>
                <c:formatCode>0%</c:formatCode>
                <c:ptCount val="1"/>
                <c:pt idx="0">
                  <c:v>1</c:v>
                </c:pt>
              </c:numCache>
            </c:numRef>
          </c:val>
          <c:extLst>
            <c:ext xmlns:c16="http://schemas.microsoft.com/office/drawing/2014/chart" uri="{C3380CC4-5D6E-409C-BE32-E72D297353CC}">
              <c16:uniqueId val="{00000000-E78B-47E9-B2C9-05F094BAC1D8}"/>
            </c:ext>
          </c:extLst>
        </c:ser>
        <c:dLbls>
          <c:showLegendKey val="0"/>
          <c:showVal val="0"/>
          <c:showCatName val="0"/>
          <c:showSerName val="0"/>
          <c:showPercent val="0"/>
          <c:showBubbleSize val="0"/>
        </c:dLbls>
        <c:gapWidth val="0"/>
        <c:axId val="573545631"/>
        <c:axId val="1075169327"/>
      </c:barChart>
      <c:catAx>
        <c:axId val="573545631"/>
        <c:scaling>
          <c:orientation val="minMax"/>
        </c:scaling>
        <c:delete val="1"/>
        <c:axPos val="l"/>
        <c:majorTickMark val="none"/>
        <c:minorTickMark val="none"/>
        <c:tickLblPos val="nextTo"/>
        <c:crossAx val="1075169327"/>
        <c:crosses val="autoZero"/>
        <c:auto val="1"/>
        <c:lblAlgn val="ctr"/>
        <c:lblOffset val="100"/>
        <c:noMultiLvlLbl val="0"/>
      </c:catAx>
      <c:valAx>
        <c:axId val="1075169327"/>
        <c:scaling>
          <c:orientation val="minMax"/>
          <c:max val="1"/>
        </c:scaling>
        <c:delete val="1"/>
        <c:axPos val="b"/>
        <c:numFmt formatCode="0%" sourceLinked="1"/>
        <c:majorTickMark val="none"/>
        <c:minorTickMark val="none"/>
        <c:tickLblPos val="nextTo"/>
        <c:crossAx val="573545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solidFill>
              <a:srgbClr val="00D05E"/>
            </a:solidFill>
            <a:ln>
              <a:noFill/>
            </a:ln>
            <a:effectLst/>
          </c:spPr>
          <c:invertIfNegative val="0"/>
          <c:dPt>
            <c:idx val="1"/>
            <c:invertIfNegative val="0"/>
            <c:bubble3D val="0"/>
            <c:spPr>
              <a:solidFill>
                <a:srgbClr val="FF0066"/>
              </a:solidFill>
              <a:ln>
                <a:noFill/>
              </a:ln>
              <a:effectLst/>
            </c:spPr>
            <c:extLst>
              <c:ext xmlns:c16="http://schemas.microsoft.com/office/drawing/2014/chart" uri="{C3380CC4-5D6E-409C-BE32-E72D297353CC}">
                <c16:uniqueId val="{00000006-A12C-4447-9D73-A95D2C81A32D}"/>
              </c:ext>
            </c:extLst>
          </c:dPt>
          <c:dPt>
            <c:idx val="2"/>
            <c:invertIfNegative val="0"/>
            <c:bubble3D val="0"/>
            <c:spPr>
              <a:solidFill>
                <a:srgbClr val="0066FF"/>
              </a:solidFill>
              <a:ln>
                <a:noFill/>
              </a:ln>
              <a:effectLst/>
            </c:spPr>
            <c:extLst>
              <c:ext xmlns:c16="http://schemas.microsoft.com/office/drawing/2014/chart" uri="{C3380CC4-5D6E-409C-BE32-E72D297353CC}">
                <c16:uniqueId val="{0000002A-A12C-4447-9D73-A95D2C81A32D}"/>
              </c:ext>
            </c:extLst>
          </c:dPt>
          <c:dPt>
            <c:idx val="5"/>
            <c:invertIfNegative val="0"/>
            <c:bubble3D val="0"/>
            <c:spPr>
              <a:solidFill>
                <a:srgbClr val="FF0066"/>
              </a:solidFill>
              <a:ln>
                <a:noFill/>
              </a:ln>
              <a:effectLst/>
            </c:spPr>
            <c:extLst>
              <c:ext xmlns:c16="http://schemas.microsoft.com/office/drawing/2014/chart" uri="{C3380CC4-5D6E-409C-BE32-E72D297353CC}">
                <c16:uniqueId val="{00000007-A12C-4447-9D73-A95D2C81A32D}"/>
              </c:ext>
            </c:extLst>
          </c:dPt>
          <c:dPt>
            <c:idx val="6"/>
            <c:invertIfNegative val="0"/>
            <c:bubble3D val="0"/>
            <c:spPr>
              <a:solidFill>
                <a:srgbClr val="0066FF"/>
              </a:solidFill>
              <a:ln>
                <a:noFill/>
              </a:ln>
              <a:effectLst/>
            </c:spPr>
            <c:extLst>
              <c:ext xmlns:c16="http://schemas.microsoft.com/office/drawing/2014/chart" uri="{C3380CC4-5D6E-409C-BE32-E72D297353CC}">
                <c16:uniqueId val="{0000002B-A12C-4447-9D73-A95D2C81A32D}"/>
              </c:ext>
            </c:extLst>
          </c:dPt>
          <c:dPt>
            <c:idx val="9"/>
            <c:invertIfNegative val="0"/>
            <c:bubble3D val="0"/>
            <c:spPr>
              <a:solidFill>
                <a:srgbClr val="FF0066"/>
              </a:solidFill>
              <a:ln>
                <a:noFill/>
              </a:ln>
              <a:effectLst/>
            </c:spPr>
            <c:extLst>
              <c:ext xmlns:c16="http://schemas.microsoft.com/office/drawing/2014/chart" uri="{C3380CC4-5D6E-409C-BE32-E72D297353CC}">
                <c16:uniqueId val="{00000008-A12C-4447-9D73-A95D2C81A32D}"/>
              </c:ext>
            </c:extLst>
          </c:dPt>
          <c:dPt>
            <c:idx val="10"/>
            <c:invertIfNegative val="0"/>
            <c:bubble3D val="0"/>
            <c:spPr>
              <a:solidFill>
                <a:srgbClr val="0066FF"/>
              </a:solidFill>
              <a:ln>
                <a:noFill/>
              </a:ln>
              <a:effectLst/>
            </c:spPr>
            <c:extLst>
              <c:ext xmlns:c16="http://schemas.microsoft.com/office/drawing/2014/chart" uri="{C3380CC4-5D6E-409C-BE32-E72D297353CC}">
                <c16:uniqueId val="{0000002C-A12C-4447-9D73-A95D2C81A32D}"/>
              </c:ext>
            </c:extLst>
          </c:dPt>
          <c:dPt>
            <c:idx val="13"/>
            <c:invertIfNegative val="0"/>
            <c:bubble3D val="0"/>
            <c:spPr>
              <a:solidFill>
                <a:srgbClr val="FF0066"/>
              </a:solidFill>
              <a:ln>
                <a:noFill/>
              </a:ln>
              <a:effectLst/>
            </c:spPr>
            <c:extLst>
              <c:ext xmlns:c16="http://schemas.microsoft.com/office/drawing/2014/chart" uri="{C3380CC4-5D6E-409C-BE32-E72D297353CC}">
                <c16:uniqueId val="{00000009-A12C-4447-9D73-A95D2C81A32D}"/>
              </c:ext>
            </c:extLst>
          </c:dPt>
          <c:dPt>
            <c:idx val="14"/>
            <c:invertIfNegative val="0"/>
            <c:bubble3D val="0"/>
            <c:spPr>
              <a:solidFill>
                <a:srgbClr val="0066FF"/>
              </a:solidFill>
              <a:ln>
                <a:noFill/>
              </a:ln>
              <a:effectLst/>
            </c:spPr>
            <c:extLst>
              <c:ext xmlns:c16="http://schemas.microsoft.com/office/drawing/2014/chart" uri="{C3380CC4-5D6E-409C-BE32-E72D297353CC}">
                <c16:uniqueId val="{0000002D-A12C-4447-9D73-A95D2C81A32D}"/>
              </c:ext>
            </c:extLst>
          </c:dPt>
          <c:dPt>
            <c:idx val="17"/>
            <c:invertIfNegative val="0"/>
            <c:bubble3D val="0"/>
            <c:spPr>
              <a:solidFill>
                <a:srgbClr val="FF0066"/>
              </a:solidFill>
              <a:ln>
                <a:noFill/>
              </a:ln>
              <a:effectLst/>
            </c:spPr>
            <c:extLst>
              <c:ext xmlns:c16="http://schemas.microsoft.com/office/drawing/2014/chart" uri="{C3380CC4-5D6E-409C-BE32-E72D297353CC}">
                <c16:uniqueId val="{0000000A-A12C-4447-9D73-A95D2C81A32D}"/>
              </c:ext>
            </c:extLst>
          </c:dPt>
          <c:dPt>
            <c:idx val="18"/>
            <c:invertIfNegative val="0"/>
            <c:bubble3D val="0"/>
            <c:spPr>
              <a:solidFill>
                <a:srgbClr val="0066FF"/>
              </a:solidFill>
              <a:ln>
                <a:noFill/>
              </a:ln>
              <a:effectLst/>
            </c:spPr>
            <c:extLst>
              <c:ext xmlns:c16="http://schemas.microsoft.com/office/drawing/2014/chart" uri="{C3380CC4-5D6E-409C-BE32-E72D297353CC}">
                <c16:uniqueId val="{0000002E-A12C-4447-9D73-A95D2C81A32D}"/>
              </c:ext>
            </c:extLst>
          </c:dPt>
          <c:dPt>
            <c:idx val="21"/>
            <c:invertIfNegative val="0"/>
            <c:bubble3D val="0"/>
            <c:spPr>
              <a:solidFill>
                <a:srgbClr val="FF0066"/>
              </a:solidFill>
              <a:ln>
                <a:noFill/>
              </a:ln>
              <a:effectLst/>
            </c:spPr>
            <c:extLst>
              <c:ext xmlns:c16="http://schemas.microsoft.com/office/drawing/2014/chart" uri="{C3380CC4-5D6E-409C-BE32-E72D297353CC}">
                <c16:uniqueId val="{0000000B-A12C-4447-9D73-A95D2C81A32D}"/>
              </c:ext>
            </c:extLst>
          </c:dPt>
          <c:dPt>
            <c:idx val="22"/>
            <c:invertIfNegative val="0"/>
            <c:bubble3D val="0"/>
            <c:spPr>
              <a:solidFill>
                <a:srgbClr val="0066FF"/>
              </a:solidFill>
              <a:ln>
                <a:noFill/>
              </a:ln>
              <a:effectLst/>
            </c:spPr>
            <c:extLst>
              <c:ext xmlns:c16="http://schemas.microsoft.com/office/drawing/2014/chart" uri="{C3380CC4-5D6E-409C-BE32-E72D297353CC}">
                <c16:uniqueId val="{0000002F-A12C-4447-9D73-A95D2C81A32D}"/>
              </c:ext>
            </c:extLst>
          </c:dPt>
          <c:dPt>
            <c:idx val="25"/>
            <c:invertIfNegative val="0"/>
            <c:bubble3D val="0"/>
            <c:spPr>
              <a:solidFill>
                <a:srgbClr val="FF0066"/>
              </a:solidFill>
              <a:ln>
                <a:noFill/>
              </a:ln>
              <a:effectLst/>
            </c:spPr>
            <c:extLst>
              <c:ext xmlns:c16="http://schemas.microsoft.com/office/drawing/2014/chart" uri="{C3380CC4-5D6E-409C-BE32-E72D297353CC}">
                <c16:uniqueId val="{0000000C-A12C-4447-9D73-A95D2C81A32D}"/>
              </c:ext>
            </c:extLst>
          </c:dPt>
          <c:dPt>
            <c:idx val="26"/>
            <c:invertIfNegative val="0"/>
            <c:bubble3D val="0"/>
            <c:spPr>
              <a:solidFill>
                <a:srgbClr val="0066FF"/>
              </a:solidFill>
              <a:ln>
                <a:noFill/>
              </a:ln>
              <a:effectLst/>
            </c:spPr>
            <c:extLst>
              <c:ext xmlns:c16="http://schemas.microsoft.com/office/drawing/2014/chart" uri="{C3380CC4-5D6E-409C-BE32-E72D297353CC}">
                <c16:uniqueId val="{00000030-A12C-4447-9D73-A95D2C81A32D}"/>
              </c:ext>
            </c:extLst>
          </c:dPt>
          <c:dPt>
            <c:idx val="29"/>
            <c:invertIfNegative val="0"/>
            <c:bubble3D val="0"/>
            <c:spPr>
              <a:solidFill>
                <a:srgbClr val="FF0066"/>
              </a:solidFill>
              <a:ln>
                <a:noFill/>
              </a:ln>
              <a:effectLst/>
            </c:spPr>
            <c:extLst>
              <c:ext xmlns:c16="http://schemas.microsoft.com/office/drawing/2014/chart" uri="{C3380CC4-5D6E-409C-BE32-E72D297353CC}">
                <c16:uniqueId val="{0000000D-A12C-4447-9D73-A95D2C81A32D}"/>
              </c:ext>
            </c:extLst>
          </c:dPt>
          <c:dPt>
            <c:idx val="30"/>
            <c:invertIfNegative val="0"/>
            <c:bubble3D val="0"/>
            <c:spPr>
              <a:solidFill>
                <a:srgbClr val="0066FF"/>
              </a:solidFill>
              <a:ln>
                <a:noFill/>
              </a:ln>
              <a:effectLst/>
            </c:spPr>
            <c:extLst>
              <c:ext xmlns:c16="http://schemas.microsoft.com/office/drawing/2014/chart" uri="{C3380CC4-5D6E-409C-BE32-E72D297353CC}">
                <c16:uniqueId val="{00000031-A12C-4447-9D73-A95D2C81A32D}"/>
              </c:ext>
            </c:extLst>
          </c:dPt>
          <c:dPt>
            <c:idx val="33"/>
            <c:invertIfNegative val="0"/>
            <c:bubble3D val="0"/>
            <c:spPr>
              <a:solidFill>
                <a:srgbClr val="FF0066"/>
              </a:solidFill>
              <a:ln>
                <a:noFill/>
              </a:ln>
              <a:effectLst/>
            </c:spPr>
            <c:extLst>
              <c:ext xmlns:c16="http://schemas.microsoft.com/office/drawing/2014/chart" uri="{C3380CC4-5D6E-409C-BE32-E72D297353CC}">
                <c16:uniqueId val="{0000000E-A12C-4447-9D73-A95D2C81A32D}"/>
              </c:ext>
            </c:extLst>
          </c:dPt>
          <c:dPt>
            <c:idx val="34"/>
            <c:invertIfNegative val="0"/>
            <c:bubble3D val="0"/>
            <c:spPr>
              <a:solidFill>
                <a:srgbClr val="0066FF"/>
              </a:solidFill>
              <a:ln>
                <a:noFill/>
              </a:ln>
              <a:effectLst/>
            </c:spPr>
            <c:extLst>
              <c:ext xmlns:c16="http://schemas.microsoft.com/office/drawing/2014/chart" uri="{C3380CC4-5D6E-409C-BE32-E72D297353CC}">
                <c16:uniqueId val="{00000032-A12C-4447-9D73-A95D2C81A32D}"/>
              </c:ext>
            </c:extLst>
          </c:dPt>
          <c:dPt>
            <c:idx val="37"/>
            <c:invertIfNegative val="0"/>
            <c:bubble3D val="0"/>
            <c:spPr>
              <a:solidFill>
                <a:srgbClr val="FF0066"/>
              </a:solidFill>
              <a:ln>
                <a:noFill/>
              </a:ln>
              <a:effectLst/>
            </c:spPr>
            <c:extLst>
              <c:ext xmlns:c16="http://schemas.microsoft.com/office/drawing/2014/chart" uri="{C3380CC4-5D6E-409C-BE32-E72D297353CC}">
                <c16:uniqueId val="{0000000F-A12C-4447-9D73-A95D2C81A32D}"/>
              </c:ext>
            </c:extLst>
          </c:dPt>
          <c:dPt>
            <c:idx val="38"/>
            <c:invertIfNegative val="0"/>
            <c:bubble3D val="0"/>
            <c:spPr>
              <a:solidFill>
                <a:srgbClr val="0066FF"/>
              </a:solidFill>
              <a:ln>
                <a:noFill/>
              </a:ln>
              <a:effectLst/>
            </c:spPr>
            <c:extLst>
              <c:ext xmlns:c16="http://schemas.microsoft.com/office/drawing/2014/chart" uri="{C3380CC4-5D6E-409C-BE32-E72D297353CC}">
                <c16:uniqueId val="{00000033-A12C-4447-9D73-A95D2C81A32D}"/>
              </c:ext>
            </c:extLst>
          </c:dPt>
          <c:dPt>
            <c:idx val="41"/>
            <c:invertIfNegative val="0"/>
            <c:bubble3D val="0"/>
            <c:spPr>
              <a:solidFill>
                <a:srgbClr val="FF0066"/>
              </a:solidFill>
              <a:ln>
                <a:noFill/>
              </a:ln>
              <a:effectLst/>
            </c:spPr>
            <c:extLst>
              <c:ext xmlns:c16="http://schemas.microsoft.com/office/drawing/2014/chart" uri="{C3380CC4-5D6E-409C-BE32-E72D297353CC}">
                <c16:uniqueId val="{00000010-A12C-4447-9D73-A95D2C81A32D}"/>
              </c:ext>
            </c:extLst>
          </c:dPt>
          <c:dPt>
            <c:idx val="42"/>
            <c:invertIfNegative val="0"/>
            <c:bubble3D val="0"/>
            <c:spPr>
              <a:solidFill>
                <a:srgbClr val="0066FF"/>
              </a:solidFill>
              <a:ln>
                <a:noFill/>
              </a:ln>
              <a:effectLst/>
            </c:spPr>
            <c:extLst>
              <c:ext xmlns:c16="http://schemas.microsoft.com/office/drawing/2014/chart" uri="{C3380CC4-5D6E-409C-BE32-E72D297353CC}">
                <c16:uniqueId val="{00000034-A12C-4447-9D73-A95D2C81A32D}"/>
              </c:ext>
            </c:extLst>
          </c:dPt>
          <c:dPt>
            <c:idx val="45"/>
            <c:invertIfNegative val="0"/>
            <c:bubble3D val="0"/>
            <c:spPr>
              <a:solidFill>
                <a:srgbClr val="FF0066"/>
              </a:solidFill>
              <a:ln>
                <a:noFill/>
              </a:ln>
              <a:effectLst/>
            </c:spPr>
            <c:extLst>
              <c:ext xmlns:c16="http://schemas.microsoft.com/office/drawing/2014/chart" uri="{C3380CC4-5D6E-409C-BE32-E72D297353CC}">
                <c16:uniqueId val="{00000011-A12C-4447-9D73-A95D2C81A32D}"/>
              </c:ext>
            </c:extLst>
          </c:dPt>
          <c:dPt>
            <c:idx val="46"/>
            <c:invertIfNegative val="0"/>
            <c:bubble3D val="0"/>
            <c:spPr>
              <a:solidFill>
                <a:srgbClr val="0066FF"/>
              </a:solidFill>
              <a:ln>
                <a:noFill/>
              </a:ln>
              <a:effectLst/>
            </c:spPr>
            <c:extLst>
              <c:ext xmlns:c16="http://schemas.microsoft.com/office/drawing/2014/chart" uri="{C3380CC4-5D6E-409C-BE32-E72D297353CC}">
                <c16:uniqueId val="{00000035-A12C-4447-9D73-A95D2C81A32D}"/>
              </c:ext>
            </c:extLst>
          </c:dPt>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Calculations!$M$56:$M$103</c:f>
              <c:numCache>
                <c:formatCode>_-* #,##0_-;\-* #,##0_-;_-* "-"??_-;_-@_-</c:formatCode>
                <c:ptCount val="48"/>
                <c:pt idx="0">
                  <c:v>0</c:v>
                </c:pt>
                <c:pt idx="1">
                  <c:v>0</c:v>
                </c:pt>
                <c:pt idx="2">
                  <c:v>0</c:v>
                </c:pt>
                <c:pt idx="4">
                  <c:v>4550</c:v>
                </c:pt>
                <c:pt idx="5">
                  <c:v>1650</c:v>
                </c:pt>
                <c:pt idx="6">
                  <c:v>1000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00-A12C-4447-9D73-A95D2C81A32D}"/>
            </c:ext>
          </c:extLst>
        </c:ser>
        <c:ser>
          <c:idx val="1"/>
          <c:order val="1"/>
          <c:spPr>
            <a:solidFill>
              <a:srgbClr val="BAFCC0"/>
            </a:solidFill>
            <a:ln>
              <a:noFill/>
            </a:ln>
            <a:effectLst/>
          </c:spPr>
          <c:invertIfNegative val="0"/>
          <c:dPt>
            <c:idx val="1"/>
            <c:invertIfNegative val="0"/>
            <c:bubble3D val="0"/>
            <c:spPr>
              <a:solidFill>
                <a:srgbClr val="FDBBD7"/>
              </a:solidFill>
              <a:ln>
                <a:noFill/>
              </a:ln>
              <a:effectLst/>
            </c:spPr>
            <c:extLst>
              <c:ext xmlns:c16="http://schemas.microsoft.com/office/drawing/2014/chart" uri="{C3380CC4-5D6E-409C-BE32-E72D297353CC}">
                <c16:uniqueId val="{00000012-A12C-4447-9D73-A95D2C81A32D}"/>
              </c:ext>
            </c:extLst>
          </c:dPt>
          <c:dPt>
            <c:idx val="2"/>
            <c:invertIfNegative val="0"/>
            <c:bubble3D val="0"/>
            <c:spPr>
              <a:solidFill>
                <a:srgbClr val="ABCDFF"/>
              </a:solidFill>
              <a:ln>
                <a:noFill/>
              </a:ln>
              <a:effectLst/>
            </c:spPr>
            <c:extLst>
              <c:ext xmlns:c16="http://schemas.microsoft.com/office/drawing/2014/chart" uri="{C3380CC4-5D6E-409C-BE32-E72D297353CC}">
                <c16:uniqueId val="{00000036-A12C-4447-9D73-A95D2C81A32D}"/>
              </c:ext>
            </c:extLst>
          </c:dPt>
          <c:dPt>
            <c:idx val="5"/>
            <c:invertIfNegative val="0"/>
            <c:bubble3D val="0"/>
            <c:spPr>
              <a:solidFill>
                <a:srgbClr val="FDBBD7"/>
              </a:solidFill>
              <a:ln>
                <a:noFill/>
              </a:ln>
              <a:effectLst/>
            </c:spPr>
            <c:extLst>
              <c:ext xmlns:c16="http://schemas.microsoft.com/office/drawing/2014/chart" uri="{C3380CC4-5D6E-409C-BE32-E72D297353CC}">
                <c16:uniqueId val="{00000013-A12C-4447-9D73-A95D2C81A32D}"/>
              </c:ext>
            </c:extLst>
          </c:dPt>
          <c:dPt>
            <c:idx val="6"/>
            <c:invertIfNegative val="0"/>
            <c:bubble3D val="0"/>
            <c:spPr>
              <a:solidFill>
                <a:srgbClr val="ABCDFF"/>
              </a:solidFill>
              <a:ln>
                <a:noFill/>
              </a:ln>
              <a:effectLst/>
            </c:spPr>
            <c:extLst>
              <c:ext xmlns:c16="http://schemas.microsoft.com/office/drawing/2014/chart" uri="{C3380CC4-5D6E-409C-BE32-E72D297353CC}">
                <c16:uniqueId val="{00000037-A12C-4447-9D73-A95D2C81A32D}"/>
              </c:ext>
            </c:extLst>
          </c:dPt>
          <c:dPt>
            <c:idx val="9"/>
            <c:invertIfNegative val="0"/>
            <c:bubble3D val="0"/>
            <c:spPr>
              <a:solidFill>
                <a:srgbClr val="FDBBD7"/>
              </a:solidFill>
              <a:ln>
                <a:noFill/>
              </a:ln>
              <a:effectLst/>
            </c:spPr>
            <c:extLst>
              <c:ext xmlns:c16="http://schemas.microsoft.com/office/drawing/2014/chart" uri="{C3380CC4-5D6E-409C-BE32-E72D297353CC}">
                <c16:uniqueId val="{00000014-A12C-4447-9D73-A95D2C81A32D}"/>
              </c:ext>
            </c:extLst>
          </c:dPt>
          <c:dPt>
            <c:idx val="10"/>
            <c:invertIfNegative val="0"/>
            <c:bubble3D val="0"/>
            <c:spPr>
              <a:solidFill>
                <a:srgbClr val="ABCDFF"/>
              </a:solidFill>
              <a:ln>
                <a:noFill/>
              </a:ln>
              <a:effectLst/>
            </c:spPr>
            <c:extLst>
              <c:ext xmlns:c16="http://schemas.microsoft.com/office/drawing/2014/chart" uri="{C3380CC4-5D6E-409C-BE32-E72D297353CC}">
                <c16:uniqueId val="{00000038-A12C-4447-9D73-A95D2C81A32D}"/>
              </c:ext>
            </c:extLst>
          </c:dPt>
          <c:dPt>
            <c:idx val="13"/>
            <c:invertIfNegative val="0"/>
            <c:bubble3D val="0"/>
            <c:spPr>
              <a:solidFill>
                <a:srgbClr val="FDBBD7"/>
              </a:solidFill>
              <a:ln>
                <a:noFill/>
              </a:ln>
              <a:effectLst/>
            </c:spPr>
            <c:extLst>
              <c:ext xmlns:c16="http://schemas.microsoft.com/office/drawing/2014/chart" uri="{C3380CC4-5D6E-409C-BE32-E72D297353CC}">
                <c16:uniqueId val="{00000015-A12C-4447-9D73-A95D2C81A32D}"/>
              </c:ext>
            </c:extLst>
          </c:dPt>
          <c:dPt>
            <c:idx val="14"/>
            <c:invertIfNegative val="0"/>
            <c:bubble3D val="0"/>
            <c:spPr>
              <a:solidFill>
                <a:srgbClr val="ABCDFF"/>
              </a:solidFill>
              <a:ln>
                <a:noFill/>
              </a:ln>
              <a:effectLst/>
            </c:spPr>
            <c:extLst>
              <c:ext xmlns:c16="http://schemas.microsoft.com/office/drawing/2014/chart" uri="{C3380CC4-5D6E-409C-BE32-E72D297353CC}">
                <c16:uniqueId val="{00000039-A12C-4447-9D73-A95D2C81A32D}"/>
              </c:ext>
            </c:extLst>
          </c:dPt>
          <c:dPt>
            <c:idx val="17"/>
            <c:invertIfNegative val="0"/>
            <c:bubble3D val="0"/>
            <c:spPr>
              <a:solidFill>
                <a:srgbClr val="FDBBD7"/>
              </a:solidFill>
              <a:ln>
                <a:noFill/>
              </a:ln>
              <a:effectLst/>
            </c:spPr>
            <c:extLst>
              <c:ext xmlns:c16="http://schemas.microsoft.com/office/drawing/2014/chart" uri="{C3380CC4-5D6E-409C-BE32-E72D297353CC}">
                <c16:uniqueId val="{00000016-A12C-4447-9D73-A95D2C81A32D}"/>
              </c:ext>
            </c:extLst>
          </c:dPt>
          <c:dPt>
            <c:idx val="18"/>
            <c:invertIfNegative val="0"/>
            <c:bubble3D val="0"/>
            <c:spPr>
              <a:solidFill>
                <a:srgbClr val="ABCDFF"/>
              </a:solidFill>
              <a:ln>
                <a:noFill/>
              </a:ln>
              <a:effectLst/>
            </c:spPr>
            <c:extLst>
              <c:ext xmlns:c16="http://schemas.microsoft.com/office/drawing/2014/chart" uri="{C3380CC4-5D6E-409C-BE32-E72D297353CC}">
                <c16:uniqueId val="{0000003A-A12C-4447-9D73-A95D2C81A32D}"/>
              </c:ext>
            </c:extLst>
          </c:dPt>
          <c:dPt>
            <c:idx val="21"/>
            <c:invertIfNegative val="0"/>
            <c:bubble3D val="0"/>
            <c:spPr>
              <a:solidFill>
                <a:srgbClr val="FDBBD7"/>
              </a:solidFill>
              <a:ln>
                <a:noFill/>
              </a:ln>
              <a:effectLst/>
            </c:spPr>
            <c:extLst>
              <c:ext xmlns:c16="http://schemas.microsoft.com/office/drawing/2014/chart" uri="{C3380CC4-5D6E-409C-BE32-E72D297353CC}">
                <c16:uniqueId val="{00000017-A12C-4447-9D73-A95D2C81A32D}"/>
              </c:ext>
            </c:extLst>
          </c:dPt>
          <c:dPt>
            <c:idx val="22"/>
            <c:invertIfNegative val="0"/>
            <c:bubble3D val="0"/>
            <c:spPr>
              <a:solidFill>
                <a:srgbClr val="ABCDFF"/>
              </a:solidFill>
              <a:ln>
                <a:noFill/>
              </a:ln>
              <a:effectLst/>
            </c:spPr>
            <c:extLst>
              <c:ext xmlns:c16="http://schemas.microsoft.com/office/drawing/2014/chart" uri="{C3380CC4-5D6E-409C-BE32-E72D297353CC}">
                <c16:uniqueId val="{0000003B-A12C-4447-9D73-A95D2C81A32D}"/>
              </c:ext>
            </c:extLst>
          </c:dPt>
          <c:dPt>
            <c:idx val="25"/>
            <c:invertIfNegative val="0"/>
            <c:bubble3D val="0"/>
            <c:spPr>
              <a:solidFill>
                <a:srgbClr val="FDBBD7"/>
              </a:solidFill>
              <a:ln>
                <a:noFill/>
              </a:ln>
              <a:effectLst/>
            </c:spPr>
            <c:extLst>
              <c:ext xmlns:c16="http://schemas.microsoft.com/office/drawing/2014/chart" uri="{C3380CC4-5D6E-409C-BE32-E72D297353CC}">
                <c16:uniqueId val="{00000018-A12C-4447-9D73-A95D2C81A32D}"/>
              </c:ext>
            </c:extLst>
          </c:dPt>
          <c:dPt>
            <c:idx val="26"/>
            <c:invertIfNegative val="0"/>
            <c:bubble3D val="0"/>
            <c:spPr>
              <a:solidFill>
                <a:srgbClr val="ABCDFF"/>
              </a:solidFill>
              <a:ln>
                <a:noFill/>
              </a:ln>
              <a:effectLst/>
            </c:spPr>
            <c:extLst>
              <c:ext xmlns:c16="http://schemas.microsoft.com/office/drawing/2014/chart" uri="{C3380CC4-5D6E-409C-BE32-E72D297353CC}">
                <c16:uniqueId val="{0000003C-A12C-4447-9D73-A95D2C81A32D}"/>
              </c:ext>
            </c:extLst>
          </c:dPt>
          <c:dPt>
            <c:idx val="29"/>
            <c:invertIfNegative val="0"/>
            <c:bubble3D val="0"/>
            <c:spPr>
              <a:solidFill>
                <a:srgbClr val="FDBBD7"/>
              </a:solidFill>
              <a:ln>
                <a:noFill/>
              </a:ln>
              <a:effectLst/>
            </c:spPr>
            <c:extLst>
              <c:ext xmlns:c16="http://schemas.microsoft.com/office/drawing/2014/chart" uri="{C3380CC4-5D6E-409C-BE32-E72D297353CC}">
                <c16:uniqueId val="{00000019-A12C-4447-9D73-A95D2C81A32D}"/>
              </c:ext>
            </c:extLst>
          </c:dPt>
          <c:dPt>
            <c:idx val="30"/>
            <c:invertIfNegative val="0"/>
            <c:bubble3D val="0"/>
            <c:spPr>
              <a:solidFill>
                <a:srgbClr val="ABCDFF"/>
              </a:solidFill>
              <a:ln>
                <a:noFill/>
              </a:ln>
              <a:effectLst/>
            </c:spPr>
            <c:extLst>
              <c:ext xmlns:c16="http://schemas.microsoft.com/office/drawing/2014/chart" uri="{C3380CC4-5D6E-409C-BE32-E72D297353CC}">
                <c16:uniqueId val="{0000003D-A12C-4447-9D73-A95D2C81A32D}"/>
              </c:ext>
            </c:extLst>
          </c:dPt>
          <c:dPt>
            <c:idx val="33"/>
            <c:invertIfNegative val="0"/>
            <c:bubble3D val="0"/>
            <c:spPr>
              <a:solidFill>
                <a:srgbClr val="FDBBD7"/>
              </a:solidFill>
              <a:ln>
                <a:noFill/>
              </a:ln>
              <a:effectLst/>
            </c:spPr>
            <c:extLst>
              <c:ext xmlns:c16="http://schemas.microsoft.com/office/drawing/2014/chart" uri="{C3380CC4-5D6E-409C-BE32-E72D297353CC}">
                <c16:uniqueId val="{0000001A-A12C-4447-9D73-A95D2C81A32D}"/>
              </c:ext>
            </c:extLst>
          </c:dPt>
          <c:dPt>
            <c:idx val="34"/>
            <c:invertIfNegative val="0"/>
            <c:bubble3D val="0"/>
            <c:spPr>
              <a:solidFill>
                <a:srgbClr val="ABCDFF"/>
              </a:solidFill>
              <a:ln>
                <a:noFill/>
              </a:ln>
              <a:effectLst/>
            </c:spPr>
            <c:extLst>
              <c:ext xmlns:c16="http://schemas.microsoft.com/office/drawing/2014/chart" uri="{C3380CC4-5D6E-409C-BE32-E72D297353CC}">
                <c16:uniqueId val="{0000003E-A12C-4447-9D73-A95D2C81A32D}"/>
              </c:ext>
            </c:extLst>
          </c:dPt>
          <c:dPt>
            <c:idx val="37"/>
            <c:invertIfNegative val="0"/>
            <c:bubble3D val="0"/>
            <c:spPr>
              <a:solidFill>
                <a:srgbClr val="FDBBD7"/>
              </a:solidFill>
              <a:ln>
                <a:noFill/>
              </a:ln>
              <a:effectLst/>
            </c:spPr>
            <c:extLst>
              <c:ext xmlns:c16="http://schemas.microsoft.com/office/drawing/2014/chart" uri="{C3380CC4-5D6E-409C-BE32-E72D297353CC}">
                <c16:uniqueId val="{0000001B-A12C-4447-9D73-A95D2C81A32D}"/>
              </c:ext>
            </c:extLst>
          </c:dPt>
          <c:dPt>
            <c:idx val="38"/>
            <c:invertIfNegative val="0"/>
            <c:bubble3D val="0"/>
            <c:spPr>
              <a:solidFill>
                <a:srgbClr val="ABCDFF"/>
              </a:solidFill>
              <a:ln>
                <a:noFill/>
              </a:ln>
              <a:effectLst/>
            </c:spPr>
            <c:extLst>
              <c:ext xmlns:c16="http://schemas.microsoft.com/office/drawing/2014/chart" uri="{C3380CC4-5D6E-409C-BE32-E72D297353CC}">
                <c16:uniqueId val="{0000003F-A12C-4447-9D73-A95D2C81A32D}"/>
              </c:ext>
            </c:extLst>
          </c:dPt>
          <c:dPt>
            <c:idx val="41"/>
            <c:invertIfNegative val="0"/>
            <c:bubble3D val="0"/>
            <c:spPr>
              <a:solidFill>
                <a:srgbClr val="FDBBD7"/>
              </a:solidFill>
              <a:ln>
                <a:noFill/>
              </a:ln>
              <a:effectLst/>
            </c:spPr>
            <c:extLst>
              <c:ext xmlns:c16="http://schemas.microsoft.com/office/drawing/2014/chart" uri="{C3380CC4-5D6E-409C-BE32-E72D297353CC}">
                <c16:uniqueId val="{0000001C-A12C-4447-9D73-A95D2C81A32D}"/>
              </c:ext>
            </c:extLst>
          </c:dPt>
          <c:dPt>
            <c:idx val="42"/>
            <c:invertIfNegative val="0"/>
            <c:bubble3D val="0"/>
            <c:spPr>
              <a:solidFill>
                <a:srgbClr val="ABCDFF"/>
              </a:solidFill>
              <a:ln>
                <a:noFill/>
              </a:ln>
              <a:effectLst/>
            </c:spPr>
            <c:extLst>
              <c:ext xmlns:c16="http://schemas.microsoft.com/office/drawing/2014/chart" uri="{C3380CC4-5D6E-409C-BE32-E72D297353CC}">
                <c16:uniqueId val="{00000040-A12C-4447-9D73-A95D2C81A32D}"/>
              </c:ext>
            </c:extLst>
          </c:dPt>
          <c:dPt>
            <c:idx val="45"/>
            <c:invertIfNegative val="0"/>
            <c:bubble3D val="0"/>
            <c:spPr>
              <a:solidFill>
                <a:srgbClr val="FDBBD7"/>
              </a:solidFill>
              <a:ln>
                <a:noFill/>
              </a:ln>
              <a:effectLst/>
            </c:spPr>
            <c:extLst>
              <c:ext xmlns:c16="http://schemas.microsoft.com/office/drawing/2014/chart" uri="{C3380CC4-5D6E-409C-BE32-E72D297353CC}">
                <c16:uniqueId val="{0000001D-A12C-4447-9D73-A95D2C81A32D}"/>
              </c:ext>
            </c:extLst>
          </c:dPt>
          <c:dPt>
            <c:idx val="46"/>
            <c:invertIfNegative val="0"/>
            <c:bubble3D val="0"/>
            <c:spPr>
              <a:solidFill>
                <a:srgbClr val="ABCDFF"/>
              </a:solidFill>
              <a:ln>
                <a:noFill/>
              </a:ln>
              <a:effectLst/>
            </c:spPr>
            <c:extLst>
              <c:ext xmlns:c16="http://schemas.microsoft.com/office/drawing/2014/chart" uri="{C3380CC4-5D6E-409C-BE32-E72D297353CC}">
                <c16:uniqueId val="{00000041-A12C-4447-9D73-A95D2C81A32D}"/>
              </c:ext>
            </c:extLst>
          </c:dPt>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Calculations!$N$56:$N$103</c:f>
              <c:numCache>
                <c:formatCode>_-* #,##0_-;\-* #,##0_-;_-* "-"??_-;_-@_-</c:formatCode>
                <c:ptCount val="48"/>
                <c:pt idx="0">
                  <c:v>0</c:v>
                </c:pt>
                <c:pt idx="1">
                  <c:v>0</c:v>
                </c:pt>
                <c:pt idx="2">
                  <c:v>0</c:v>
                </c:pt>
                <c:pt idx="4">
                  <c:v>0</c:v>
                </c:pt>
                <c:pt idx="5">
                  <c:v>950</c:v>
                </c:pt>
                <c:pt idx="6">
                  <c:v>1000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01-A12C-4447-9D73-A95D2C81A32D}"/>
            </c:ext>
          </c:extLst>
        </c:ser>
        <c:ser>
          <c:idx val="2"/>
          <c:order val="2"/>
          <c:spPr>
            <a:solidFill>
              <a:srgbClr val="00A44A"/>
            </a:solidFill>
            <a:ln>
              <a:noFill/>
            </a:ln>
            <a:effectLst/>
          </c:spPr>
          <c:invertIfNegative val="0"/>
          <c:dPt>
            <c:idx val="1"/>
            <c:invertIfNegative val="0"/>
            <c:bubble3D val="0"/>
            <c:spPr>
              <a:solidFill>
                <a:srgbClr val="C80051"/>
              </a:solidFill>
              <a:ln>
                <a:noFill/>
              </a:ln>
              <a:effectLst/>
            </c:spPr>
            <c:extLst>
              <c:ext xmlns:c16="http://schemas.microsoft.com/office/drawing/2014/chart" uri="{C3380CC4-5D6E-409C-BE32-E72D297353CC}">
                <c16:uniqueId val="{0000001E-A12C-4447-9D73-A95D2C81A32D}"/>
              </c:ext>
            </c:extLst>
          </c:dPt>
          <c:dPt>
            <c:idx val="2"/>
            <c:invertIfNegative val="0"/>
            <c:bubble3D val="0"/>
            <c:spPr>
              <a:solidFill>
                <a:srgbClr val="0049B4"/>
              </a:solidFill>
              <a:ln>
                <a:noFill/>
              </a:ln>
              <a:effectLst/>
            </c:spPr>
            <c:extLst>
              <c:ext xmlns:c16="http://schemas.microsoft.com/office/drawing/2014/chart" uri="{C3380CC4-5D6E-409C-BE32-E72D297353CC}">
                <c16:uniqueId val="{00000042-A12C-4447-9D73-A95D2C81A32D}"/>
              </c:ext>
            </c:extLst>
          </c:dPt>
          <c:dPt>
            <c:idx val="5"/>
            <c:invertIfNegative val="0"/>
            <c:bubble3D val="0"/>
            <c:spPr>
              <a:solidFill>
                <a:srgbClr val="C80051"/>
              </a:solidFill>
              <a:ln>
                <a:noFill/>
              </a:ln>
              <a:effectLst/>
            </c:spPr>
            <c:extLst>
              <c:ext xmlns:c16="http://schemas.microsoft.com/office/drawing/2014/chart" uri="{C3380CC4-5D6E-409C-BE32-E72D297353CC}">
                <c16:uniqueId val="{0000001F-A12C-4447-9D73-A95D2C81A32D}"/>
              </c:ext>
            </c:extLst>
          </c:dPt>
          <c:dPt>
            <c:idx val="6"/>
            <c:invertIfNegative val="0"/>
            <c:bubble3D val="0"/>
            <c:spPr>
              <a:solidFill>
                <a:srgbClr val="0049B4"/>
              </a:solidFill>
              <a:ln>
                <a:noFill/>
              </a:ln>
              <a:effectLst/>
            </c:spPr>
            <c:extLst>
              <c:ext xmlns:c16="http://schemas.microsoft.com/office/drawing/2014/chart" uri="{C3380CC4-5D6E-409C-BE32-E72D297353CC}">
                <c16:uniqueId val="{00000043-A12C-4447-9D73-A95D2C81A32D}"/>
              </c:ext>
            </c:extLst>
          </c:dPt>
          <c:dPt>
            <c:idx val="9"/>
            <c:invertIfNegative val="0"/>
            <c:bubble3D val="0"/>
            <c:spPr>
              <a:solidFill>
                <a:srgbClr val="C80051"/>
              </a:solidFill>
              <a:ln>
                <a:noFill/>
              </a:ln>
              <a:effectLst/>
            </c:spPr>
            <c:extLst>
              <c:ext xmlns:c16="http://schemas.microsoft.com/office/drawing/2014/chart" uri="{C3380CC4-5D6E-409C-BE32-E72D297353CC}">
                <c16:uniqueId val="{00000020-A12C-4447-9D73-A95D2C81A32D}"/>
              </c:ext>
            </c:extLst>
          </c:dPt>
          <c:dPt>
            <c:idx val="10"/>
            <c:invertIfNegative val="0"/>
            <c:bubble3D val="0"/>
            <c:spPr>
              <a:solidFill>
                <a:srgbClr val="0049B4"/>
              </a:solidFill>
              <a:ln>
                <a:noFill/>
              </a:ln>
              <a:effectLst/>
            </c:spPr>
            <c:extLst>
              <c:ext xmlns:c16="http://schemas.microsoft.com/office/drawing/2014/chart" uri="{C3380CC4-5D6E-409C-BE32-E72D297353CC}">
                <c16:uniqueId val="{00000044-A12C-4447-9D73-A95D2C81A32D}"/>
              </c:ext>
            </c:extLst>
          </c:dPt>
          <c:dPt>
            <c:idx val="13"/>
            <c:invertIfNegative val="0"/>
            <c:bubble3D val="0"/>
            <c:spPr>
              <a:solidFill>
                <a:srgbClr val="C80051"/>
              </a:solidFill>
              <a:ln>
                <a:noFill/>
              </a:ln>
              <a:effectLst/>
            </c:spPr>
            <c:extLst>
              <c:ext xmlns:c16="http://schemas.microsoft.com/office/drawing/2014/chart" uri="{C3380CC4-5D6E-409C-BE32-E72D297353CC}">
                <c16:uniqueId val="{00000021-A12C-4447-9D73-A95D2C81A32D}"/>
              </c:ext>
            </c:extLst>
          </c:dPt>
          <c:dPt>
            <c:idx val="14"/>
            <c:invertIfNegative val="0"/>
            <c:bubble3D val="0"/>
            <c:spPr>
              <a:solidFill>
                <a:srgbClr val="0049B4"/>
              </a:solidFill>
              <a:ln>
                <a:noFill/>
              </a:ln>
              <a:effectLst/>
            </c:spPr>
            <c:extLst>
              <c:ext xmlns:c16="http://schemas.microsoft.com/office/drawing/2014/chart" uri="{C3380CC4-5D6E-409C-BE32-E72D297353CC}">
                <c16:uniqueId val="{00000045-A12C-4447-9D73-A95D2C81A32D}"/>
              </c:ext>
            </c:extLst>
          </c:dPt>
          <c:dPt>
            <c:idx val="17"/>
            <c:invertIfNegative val="0"/>
            <c:bubble3D val="0"/>
            <c:spPr>
              <a:solidFill>
                <a:srgbClr val="C80051"/>
              </a:solidFill>
              <a:ln>
                <a:noFill/>
              </a:ln>
              <a:effectLst/>
            </c:spPr>
            <c:extLst>
              <c:ext xmlns:c16="http://schemas.microsoft.com/office/drawing/2014/chart" uri="{C3380CC4-5D6E-409C-BE32-E72D297353CC}">
                <c16:uniqueId val="{00000022-A12C-4447-9D73-A95D2C81A32D}"/>
              </c:ext>
            </c:extLst>
          </c:dPt>
          <c:dPt>
            <c:idx val="18"/>
            <c:invertIfNegative val="0"/>
            <c:bubble3D val="0"/>
            <c:spPr>
              <a:solidFill>
                <a:srgbClr val="0049B4"/>
              </a:solidFill>
              <a:ln>
                <a:noFill/>
              </a:ln>
              <a:effectLst/>
            </c:spPr>
            <c:extLst>
              <c:ext xmlns:c16="http://schemas.microsoft.com/office/drawing/2014/chart" uri="{C3380CC4-5D6E-409C-BE32-E72D297353CC}">
                <c16:uniqueId val="{00000046-A12C-4447-9D73-A95D2C81A32D}"/>
              </c:ext>
            </c:extLst>
          </c:dPt>
          <c:dPt>
            <c:idx val="21"/>
            <c:invertIfNegative val="0"/>
            <c:bubble3D val="0"/>
            <c:spPr>
              <a:solidFill>
                <a:srgbClr val="C80051"/>
              </a:solidFill>
              <a:ln>
                <a:noFill/>
              </a:ln>
              <a:effectLst/>
            </c:spPr>
            <c:extLst>
              <c:ext xmlns:c16="http://schemas.microsoft.com/office/drawing/2014/chart" uri="{C3380CC4-5D6E-409C-BE32-E72D297353CC}">
                <c16:uniqueId val="{00000023-A12C-4447-9D73-A95D2C81A32D}"/>
              </c:ext>
            </c:extLst>
          </c:dPt>
          <c:dPt>
            <c:idx val="22"/>
            <c:invertIfNegative val="0"/>
            <c:bubble3D val="0"/>
            <c:spPr>
              <a:solidFill>
                <a:srgbClr val="0049B4"/>
              </a:solidFill>
              <a:ln>
                <a:noFill/>
              </a:ln>
              <a:effectLst/>
            </c:spPr>
            <c:extLst>
              <c:ext xmlns:c16="http://schemas.microsoft.com/office/drawing/2014/chart" uri="{C3380CC4-5D6E-409C-BE32-E72D297353CC}">
                <c16:uniqueId val="{00000047-A12C-4447-9D73-A95D2C81A32D}"/>
              </c:ext>
            </c:extLst>
          </c:dPt>
          <c:dPt>
            <c:idx val="25"/>
            <c:invertIfNegative val="0"/>
            <c:bubble3D val="0"/>
            <c:spPr>
              <a:solidFill>
                <a:srgbClr val="C80051"/>
              </a:solidFill>
              <a:ln>
                <a:noFill/>
              </a:ln>
              <a:effectLst/>
            </c:spPr>
            <c:extLst>
              <c:ext xmlns:c16="http://schemas.microsoft.com/office/drawing/2014/chart" uri="{C3380CC4-5D6E-409C-BE32-E72D297353CC}">
                <c16:uniqueId val="{00000024-A12C-4447-9D73-A95D2C81A32D}"/>
              </c:ext>
            </c:extLst>
          </c:dPt>
          <c:dPt>
            <c:idx val="26"/>
            <c:invertIfNegative val="0"/>
            <c:bubble3D val="0"/>
            <c:spPr>
              <a:solidFill>
                <a:srgbClr val="0049B4"/>
              </a:solidFill>
              <a:ln>
                <a:noFill/>
              </a:ln>
              <a:effectLst/>
            </c:spPr>
            <c:extLst>
              <c:ext xmlns:c16="http://schemas.microsoft.com/office/drawing/2014/chart" uri="{C3380CC4-5D6E-409C-BE32-E72D297353CC}">
                <c16:uniqueId val="{00000048-A12C-4447-9D73-A95D2C81A32D}"/>
              </c:ext>
            </c:extLst>
          </c:dPt>
          <c:dPt>
            <c:idx val="29"/>
            <c:invertIfNegative val="0"/>
            <c:bubble3D val="0"/>
            <c:spPr>
              <a:solidFill>
                <a:srgbClr val="C80051"/>
              </a:solidFill>
              <a:ln>
                <a:noFill/>
              </a:ln>
              <a:effectLst/>
            </c:spPr>
            <c:extLst>
              <c:ext xmlns:c16="http://schemas.microsoft.com/office/drawing/2014/chart" uri="{C3380CC4-5D6E-409C-BE32-E72D297353CC}">
                <c16:uniqueId val="{00000025-A12C-4447-9D73-A95D2C81A32D}"/>
              </c:ext>
            </c:extLst>
          </c:dPt>
          <c:dPt>
            <c:idx val="30"/>
            <c:invertIfNegative val="0"/>
            <c:bubble3D val="0"/>
            <c:spPr>
              <a:solidFill>
                <a:srgbClr val="0049B4"/>
              </a:solidFill>
              <a:ln>
                <a:noFill/>
              </a:ln>
              <a:effectLst/>
            </c:spPr>
            <c:extLst>
              <c:ext xmlns:c16="http://schemas.microsoft.com/office/drawing/2014/chart" uri="{C3380CC4-5D6E-409C-BE32-E72D297353CC}">
                <c16:uniqueId val="{00000049-A12C-4447-9D73-A95D2C81A32D}"/>
              </c:ext>
            </c:extLst>
          </c:dPt>
          <c:dPt>
            <c:idx val="33"/>
            <c:invertIfNegative val="0"/>
            <c:bubble3D val="0"/>
            <c:spPr>
              <a:solidFill>
                <a:srgbClr val="C80051"/>
              </a:solidFill>
              <a:ln>
                <a:noFill/>
              </a:ln>
              <a:effectLst/>
            </c:spPr>
            <c:extLst>
              <c:ext xmlns:c16="http://schemas.microsoft.com/office/drawing/2014/chart" uri="{C3380CC4-5D6E-409C-BE32-E72D297353CC}">
                <c16:uniqueId val="{00000026-A12C-4447-9D73-A95D2C81A32D}"/>
              </c:ext>
            </c:extLst>
          </c:dPt>
          <c:dPt>
            <c:idx val="34"/>
            <c:invertIfNegative val="0"/>
            <c:bubble3D val="0"/>
            <c:spPr>
              <a:solidFill>
                <a:srgbClr val="0049B4"/>
              </a:solidFill>
              <a:ln>
                <a:noFill/>
              </a:ln>
              <a:effectLst/>
            </c:spPr>
            <c:extLst>
              <c:ext xmlns:c16="http://schemas.microsoft.com/office/drawing/2014/chart" uri="{C3380CC4-5D6E-409C-BE32-E72D297353CC}">
                <c16:uniqueId val="{0000004A-A12C-4447-9D73-A95D2C81A32D}"/>
              </c:ext>
            </c:extLst>
          </c:dPt>
          <c:dPt>
            <c:idx val="37"/>
            <c:invertIfNegative val="0"/>
            <c:bubble3D val="0"/>
            <c:spPr>
              <a:solidFill>
                <a:srgbClr val="C80051"/>
              </a:solidFill>
              <a:ln>
                <a:noFill/>
              </a:ln>
              <a:effectLst/>
            </c:spPr>
            <c:extLst>
              <c:ext xmlns:c16="http://schemas.microsoft.com/office/drawing/2014/chart" uri="{C3380CC4-5D6E-409C-BE32-E72D297353CC}">
                <c16:uniqueId val="{00000027-A12C-4447-9D73-A95D2C81A32D}"/>
              </c:ext>
            </c:extLst>
          </c:dPt>
          <c:dPt>
            <c:idx val="38"/>
            <c:invertIfNegative val="0"/>
            <c:bubble3D val="0"/>
            <c:spPr>
              <a:solidFill>
                <a:srgbClr val="0049B4"/>
              </a:solidFill>
              <a:ln>
                <a:noFill/>
              </a:ln>
              <a:effectLst/>
            </c:spPr>
            <c:extLst>
              <c:ext xmlns:c16="http://schemas.microsoft.com/office/drawing/2014/chart" uri="{C3380CC4-5D6E-409C-BE32-E72D297353CC}">
                <c16:uniqueId val="{0000004B-A12C-4447-9D73-A95D2C81A32D}"/>
              </c:ext>
            </c:extLst>
          </c:dPt>
          <c:dPt>
            <c:idx val="41"/>
            <c:invertIfNegative val="0"/>
            <c:bubble3D val="0"/>
            <c:spPr>
              <a:solidFill>
                <a:srgbClr val="C80051"/>
              </a:solidFill>
              <a:ln>
                <a:noFill/>
              </a:ln>
              <a:effectLst/>
            </c:spPr>
            <c:extLst>
              <c:ext xmlns:c16="http://schemas.microsoft.com/office/drawing/2014/chart" uri="{C3380CC4-5D6E-409C-BE32-E72D297353CC}">
                <c16:uniqueId val="{00000028-A12C-4447-9D73-A95D2C81A32D}"/>
              </c:ext>
            </c:extLst>
          </c:dPt>
          <c:dPt>
            <c:idx val="42"/>
            <c:invertIfNegative val="0"/>
            <c:bubble3D val="0"/>
            <c:spPr>
              <a:solidFill>
                <a:srgbClr val="0049B4"/>
              </a:solidFill>
              <a:ln>
                <a:noFill/>
              </a:ln>
              <a:effectLst/>
            </c:spPr>
            <c:extLst>
              <c:ext xmlns:c16="http://schemas.microsoft.com/office/drawing/2014/chart" uri="{C3380CC4-5D6E-409C-BE32-E72D297353CC}">
                <c16:uniqueId val="{0000004C-A12C-4447-9D73-A95D2C81A32D}"/>
              </c:ext>
            </c:extLst>
          </c:dPt>
          <c:dPt>
            <c:idx val="45"/>
            <c:invertIfNegative val="0"/>
            <c:bubble3D val="0"/>
            <c:spPr>
              <a:solidFill>
                <a:srgbClr val="C80051"/>
              </a:solidFill>
              <a:ln>
                <a:noFill/>
              </a:ln>
              <a:effectLst/>
            </c:spPr>
            <c:extLst>
              <c:ext xmlns:c16="http://schemas.microsoft.com/office/drawing/2014/chart" uri="{C3380CC4-5D6E-409C-BE32-E72D297353CC}">
                <c16:uniqueId val="{00000029-A12C-4447-9D73-A95D2C81A32D}"/>
              </c:ext>
            </c:extLst>
          </c:dPt>
          <c:dPt>
            <c:idx val="46"/>
            <c:invertIfNegative val="0"/>
            <c:bubble3D val="0"/>
            <c:spPr>
              <a:solidFill>
                <a:srgbClr val="0049B4"/>
              </a:solidFill>
              <a:ln>
                <a:noFill/>
              </a:ln>
              <a:effectLst/>
            </c:spPr>
            <c:extLst>
              <c:ext xmlns:c16="http://schemas.microsoft.com/office/drawing/2014/chart" uri="{C3380CC4-5D6E-409C-BE32-E72D297353CC}">
                <c16:uniqueId val="{0000004D-A12C-4447-9D73-A95D2C81A32D}"/>
              </c:ext>
            </c:extLst>
          </c:dPt>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Calculations!$O$56:$O$103</c:f>
              <c:numCache>
                <c:formatCode>_-* #,##0_-;\-* #,##0_-;_-* "-"??_-;_-@_-</c:formatCode>
                <c:ptCount val="48"/>
                <c:pt idx="0">
                  <c:v>0</c:v>
                </c:pt>
                <c:pt idx="1">
                  <c:v>0</c:v>
                </c:pt>
                <c:pt idx="2">
                  <c:v>0</c:v>
                </c:pt>
                <c:pt idx="4">
                  <c:v>550</c:v>
                </c:pt>
                <c:pt idx="5">
                  <c:v>0</c:v>
                </c:pt>
                <c:pt idx="6">
                  <c:v>0</c:v>
                </c:pt>
                <c:pt idx="8">
                  <c:v>0</c:v>
                </c:pt>
                <c:pt idx="9">
                  <c:v>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02-A12C-4447-9D73-A95D2C81A32D}"/>
            </c:ext>
          </c:extLst>
        </c:ser>
        <c:ser>
          <c:idx val="3"/>
          <c:order val="3"/>
          <c:spPr>
            <a:solidFill>
              <a:srgbClr val="D1D1D1"/>
            </a:solidFill>
            <a:ln>
              <a:noFill/>
            </a:ln>
            <a:effectLst/>
          </c:spPr>
          <c:invertIfNegative val="0"/>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Calculations!$P$56:$P$103</c:f>
              <c:numCache>
                <c:formatCode>_-* #,##0_-;\-* #,##0_-;_-* "-"??_-;_-@_-</c:formatCode>
                <c:ptCount val="48"/>
                <c:pt idx="0">
                  <c:v>3500</c:v>
                </c:pt>
                <c:pt idx="1">
                  <c:v>1350</c:v>
                </c:pt>
                <c:pt idx="2">
                  <c:v>1000</c:v>
                </c:pt>
                <c:pt idx="4">
                  <c:v>0</c:v>
                </c:pt>
                <c:pt idx="5">
                  <c:v>0</c:v>
                </c:pt>
                <c:pt idx="6">
                  <c:v>0</c:v>
                </c:pt>
                <c:pt idx="8">
                  <c:v>3500</c:v>
                </c:pt>
                <c:pt idx="9">
                  <c:v>2700</c:v>
                </c:pt>
                <c:pt idx="10">
                  <c:v>1000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03-A12C-4447-9D73-A95D2C81A32D}"/>
            </c:ext>
          </c:extLst>
        </c:ser>
        <c:ser>
          <c:idx val="4"/>
          <c:order val="4"/>
          <c:spPr>
            <a:solidFill>
              <a:srgbClr val="E8E8E8"/>
            </a:solidFill>
            <a:ln>
              <a:noFill/>
            </a:ln>
            <a:effectLst/>
          </c:spPr>
          <c:invertIfNegative val="0"/>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Calculations!$Q$56:$Q$103</c:f>
              <c:numCache>
                <c:formatCode>_-* #,##0_-;\-* #,##0_-;_-* "-"??_-;_-@_-</c:formatCode>
                <c:ptCount val="48"/>
                <c:pt idx="0">
                  <c:v>1150</c:v>
                </c:pt>
                <c:pt idx="1">
                  <c:v>1250</c:v>
                </c:pt>
                <c:pt idx="2">
                  <c:v>1100</c:v>
                </c:pt>
                <c:pt idx="4">
                  <c:v>0</c:v>
                </c:pt>
                <c:pt idx="5">
                  <c:v>0</c:v>
                </c:pt>
                <c:pt idx="6">
                  <c:v>0</c:v>
                </c:pt>
                <c:pt idx="8">
                  <c:v>1100</c:v>
                </c:pt>
                <c:pt idx="9">
                  <c:v>0</c:v>
                </c:pt>
                <c:pt idx="10">
                  <c:v>900</c:v>
                </c:pt>
                <c:pt idx="12">
                  <c:v>5650</c:v>
                </c:pt>
                <c:pt idx="13">
                  <c:v>3300</c:v>
                </c:pt>
                <c:pt idx="14">
                  <c:v>2400</c:v>
                </c:pt>
                <c:pt idx="16">
                  <c:v>5550</c:v>
                </c:pt>
                <c:pt idx="17">
                  <c:v>2600</c:v>
                </c:pt>
                <c:pt idx="18">
                  <c:v>3000</c:v>
                </c:pt>
                <c:pt idx="20">
                  <c:v>5600</c:v>
                </c:pt>
                <c:pt idx="21">
                  <c:v>2700</c:v>
                </c:pt>
                <c:pt idx="22">
                  <c:v>2900</c:v>
                </c:pt>
                <c:pt idx="24">
                  <c:v>5650</c:v>
                </c:pt>
                <c:pt idx="25">
                  <c:v>3800</c:v>
                </c:pt>
                <c:pt idx="26">
                  <c:v>1900</c:v>
                </c:pt>
                <c:pt idx="28">
                  <c:v>5550</c:v>
                </c:pt>
                <c:pt idx="29">
                  <c:v>3800</c:v>
                </c:pt>
                <c:pt idx="30">
                  <c:v>1800</c:v>
                </c:pt>
                <c:pt idx="32">
                  <c:v>5600</c:v>
                </c:pt>
                <c:pt idx="33">
                  <c:v>2700</c:v>
                </c:pt>
                <c:pt idx="34">
                  <c:v>2900</c:v>
                </c:pt>
                <c:pt idx="36">
                  <c:v>5650</c:v>
                </c:pt>
                <c:pt idx="37">
                  <c:v>2600</c:v>
                </c:pt>
                <c:pt idx="38">
                  <c:v>3100</c:v>
                </c:pt>
                <c:pt idx="40">
                  <c:v>5550</c:v>
                </c:pt>
                <c:pt idx="41">
                  <c:v>2600</c:v>
                </c:pt>
                <c:pt idx="42">
                  <c:v>3000</c:v>
                </c:pt>
                <c:pt idx="44">
                  <c:v>5600</c:v>
                </c:pt>
                <c:pt idx="45">
                  <c:v>3400</c:v>
                </c:pt>
                <c:pt idx="46">
                  <c:v>2200</c:v>
                </c:pt>
              </c:numCache>
            </c:numRef>
          </c:val>
          <c:extLst>
            <c:ext xmlns:c16="http://schemas.microsoft.com/office/drawing/2014/chart" uri="{C3380CC4-5D6E-409C-BE32-E72D297353CC}">
              <c16:uniqueId val="{00000004-A12C-4447-9D73-A95D2C81A32D}"/>
            </c:ext>
          </c:extLst>
        </c:ser>
        <c:ser>
          <c:idx val="5"/>
          <c:order val="5"/>
          <c:spPr>
            <a:solidFill>
              <a:schemeClr val="bg1">
                <a:lumMod val="75000"/>
              </a:schemeClr>
            </a:solidFill>
            <a:ln>
              <a:noFill/>
            </a:ln>
            <a:effectLst/>
          </c:spPr>
          <c:invertIfNegative val="0"/>
          <c:cat>
            <c:numRef>
              <c:f>Calculations!$D$56:$D$103</c:f>
              <c:numCache>
                <c:formatCode>mmm</c:formatCode>
                <c:ptCount val="48"/>
                <c:pt idx="0">
                  <c:v>44927</c:v>
                </c:pt>
                <c:pt idx="4">
                  <c:v>44958</c:v>
                </c:pt>
                <c:pt idx="8">
                  <c:v>44986</c:v>
                </c:pt>
                <c:pt idx="12">
                  <c:v>45017</c:v>
                </c:pt>
                <c:pt idx="16">
                  <c:v>45047</c:v>
                </c:pt>
                <c:pt idx="20">
                  <c:v>45078</c:v>
                </c:pt>
                <c:pt idx="24">
                  <c:v>45108</c:v>
                </c:pt>
                <c:pt idx="28">
                  <c:v>45139</c:v>
                </c:pt>
                <c:pt idx="32">
                  <c:v>45170</c:v>
                </c:pt>
                <c:pt idx="36">
                  <c:v>45200</c:v>
                </c:pt>
                <c:pt idx="40">
                  <c:v>45231</c:v>
                </c:pt>
                <c:pt idx="44">
                  <c:v>45261</c:v>
                </c:pt>
              </c:numCache>
            </c:numRef>
          </c:cat>
          <c:val>
            <c:numRef>
              <c:f>Calculations!$R$56:$R$103</c:f>
              <c:numCache>
                <c:formatCode>_-* #,##0_-;\-* #,##0_-;_-* "-"??_-;_-@_-</c:formatCode>
                <c:ptCount val="48"/>
                <c:pt idx="0">
                  <c:v>0</c:v>
                </c:pt>
                <c:pt idx="1">
                  <c:v>0</c:v>
                </c:pt>
                <c:pt idx="2">
                  <c:v>0</c:v>
                </c:pt>
                <c:pt idx="4">
                  <c:v>0</c:v>
                </c:pt>
                <c:pt idx="5">
                  <c:v>0</c:v>
                </c:pt>
                <c:pt idx="6">
                  <c:v>0</c:v>
                </c:pt>
                <c:pt idx="8">
                  <c:v>0</c:v>
                </c:pt>
                <c:pt idx="9">
                  <c:v>150</c:v>
                </c:pt>
                <c:pt idx="10">
                  <c:v>0</c:v>
                </c:pt>
                <c:pt idx="12">
                  <c:v>0</c:v>
                </c:pt>
                <c:pt idx="13">
                  <c:v>0</c:v>
                </c:pt>
                <c:pt idx="14">
                  <c:v>0</c:v>
                </c:pt>
                <c:pt idx="16">
                  <c:v>0</c:v>
                </c:pt>
                <c:pt idx="17">
                  <c:v>0</c:v>
                </c:pt>
                <c:pt idx="18">
                  <c:v>0</c:v>
                </c:pt>
                <c:pt idx="20">
                  <c:v>0</c:v>
                </c:pt>
                <c:pt idx="21">
                  <c:v>0</c:v>
                </c:pt>
                <c:pt idx="22">
                  <c:v>0</c:v>
                </c:pt>
                <c:pt idx="24">
                  <c:v>0</c:v>
                </c:pt>
                <c:pt idx="25">
                  <c:v>0</c:v>
                </c:pt>
                <c:pt idx="26">
                  <c:v>0</c:v>
                </c:pt>
                <c:pt idx="28">
                  <c:v>0</c:v>
                </c:pt>
                <c:pt idx="29">
                  <c:v>0</c:v>
                </c:pt>
                <c:pt idx="30">
                  <c:v>0</c:v>
                </c:pt>
                <c:pt idx="32">
                  <c:v>0</c:v>
                </c:pt>
                <c:pt idx="33">
                  <c:v>0</c:v>
                </c:pt>
                <c:pt idx="34">
                  <c:v>0</c:v>
                </c:pt>
                <c:pt idx="36">
                  <c:v>0</c:v>
                </c:pt>
                <c:pt idx="37">
                  <c:v>0</c:v>
                </c:pt>
                <c:pt idx="38">
                  <c:v>0</c:v>
                </c:pt>
                <c:pt idx="40">
                  <c:v>0</c:v>
                </c:pt>
                <c:pt idx="41">
                  <c:v>0</c:v>
                </c:pt>
                <c:pt idx="42">
                  <c:v>0</c:v>
                </c:pt>
                <c:pt idx="44">
                  <c:v>0</c:v>
                </c:pt>
                <c:pt idx="45">
                  <c:v>0</c:v>
                </c:pt>
                <c:pt idx="46">
                  <c:v>0</c:v>
                </c:pt>
              </c:numCache>
            </c:numRef>
          </c:val>
          <c:extLst>
            <c:ext xmlns:c16="http://schemas.microsoft.com/office/drawing/2014/chart" uri="{C3380CC4-5D6E-409C-BE32-E72D297353CC}">
              <c16:uniqueId val="{00000005-A12C-4447-9D73-A95D2C81A32D}"/>
            </c:ext>
          </c:extLst>
        </c:ser>
        <c:dLbls>
          <c:showLegendKey val="0"/>
          <c:showVal val="0"/>
          <c:showCatName val="0"/>
          <c:showSerName val="0"/>
          <c:showPercent val="0"/>
          <c:showBubbleSize val="0"/>
        </c:dLbls>
        <c:gapWidth val="35"/>
        <c:overlap val="100"/>
        <c:axId val="960424463"/>
        <c:axId val="72707407"/>
      </c:barChart>
      <c:catAx>
        <c:axId val="960424463"/>
        <c:scaling>
          <c:orientation val="minMax"/>
        </c:scaling>
        <c:delete val="0"/>
        <c:axPos val="b"/>
        <c:numFmt formatCode="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72707407"/>
        <c:crosses val="autoZero"/>
        <c:auto val="0"/>
        <c:lblAlgn val="ctr"/>
        <c:lblOffset val="100"/>
        <c:noMultiLvlLbl val="0"/>
      </c:catAx>
      <c:valAx>
        <c:axId val="72707407"/>
        <c:scaling>
          <c:orientation val="minMax"/>
        </c:scaling>
        <c:delete val="0"/>
        <c:axPos val="l"/>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6042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Calculations!$E$50" lockText="1" noThreeD="1"/>
</file>

<file path=xl/ctrlProps/ctrlProp2.xml><?xml version="1.0" encoding="utf-8"?>
<formControlPr xmlns="http://schemas.microsoft.com/office/spreadsheetml/2009/9/main" objectType="CheckBox" checked="Checked" fmlaLink="Calculations!$E$51" lockText="1" noThreeD="1"/>
</file>

<file path=xl/ctrlProps/ctrlProp3.xml><?xml version="1.0" encoding="utf-8"?>
<formControlPr xmlns="http://schemas.microsoft.com/office/spreadsheetml/2009/9/main" objectType="CheckBox" checked="Checked" fmlaLink="Calculations!$E$52" lockText="1" noThreeD="1"/>
</file>

<file path=xl/ctrlProps/ctrlProp4.xml><?xml version="1.0" encoding="utf-8"?>
<formControlPr xmlns="http://schemas.microsoft.com/office/spreadsheetml/2009/9/main" objectType="CheckBox" checked="Checked" fmlaLink="Calculations!$E$53" lockText="1" noThreeD="1"/>
</file>

<file path=xl/ctrlProps/ctrlProp5.xml><?xml version="1.0" encoding="utf-8"?>
<formControlPr xmlns="http://schemas.microsoft.com/office/spreadsheetml/2009/9/main" objectType="CheckBox" checked="Checked" fmlaLink="$E$50" lockText="1" noThreeD="1"/>
</file>

<file path=xl/ctrlProps/ctrlProp6.xml><?xml version="1.0" encoding="utf-8"?>
<formControlPr xmlns="http://schemas.microsoft.com/office/spreadsheetml/2009/9/main" objectType="CheckBox" checked="Checked" fmlaLink="$E$51" lockText="1" noThreeD="1"/>
</file>

<file path=xl/ctrlProps/ctrlProp7.xml><?xml version="1.0" encoding="utf-8"?>
<formControlPr xmlns="http://schemas.microsoft.com/office/spreadsheetml/2009/9/main" objectType="CheckBox" checked="Checked" fmlaLink="$E$52" lockText="1" noThreeD="1"/>
</file>

<file path=xl/ctrlProps/ctrlProp8.xml><?xml version="1.0" encoding="utf-8"?>
<formControlPr xmlns="http://schemas.microsoft.com/office/spreadsheetml/2009/9/main" objectType="CheckBox" checked="Checked" fmlaLink="$E$53"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600075</xdr:colOff>
      <xdr:row>4</xdr:row>
      <xdr:rowOff>109537</xdr:rowOff>
    </xdr:from>
    <xdr:to>
      <xdr:col>3</xdr:col>
      <xdr:colOff>219075</xdr:colOff>
      <xdr:row>8</xdr:row>
      <xdr:rowOff>52387</xdr:rowOff>
    </xdr:to>
    <xdr:grpSp>
      <xdr:nvGrpSpPr>
        <xdr:cNvPr id="17" name="Group 16">
          <a:extLst>
            <a:ext uri="{FF2B5EF4-FFF2-40B4-BE49-F238E27FC236}">
              <a16:creationId xmlns:a16="http://schemas.microsoft.com/office/drawing/2014/main" id="{00000000-0008-0000-0200-000011000000}"/>
            </a:ext>
          </a:extLst>
        </xdr:cNvPr>
        <xdr:cNvGrpSpPr/>
      </xdr:nvGrpSpPr>
      <xdr:grpSpPr>
        <a:xfrm>
          <a:off x="1209675" y="947737"/>
          <a:ext cx="1285875" cy="666750"/>
          <a:chOff x="1209675" y="962025"/>
          <a:chExt cx="1285875" cy="666750"/>
        </a:xfrm>
      </xdr:grpSpPr>
      <xdr:sp macro="" textlink="">
        <xdr:nvSpPr>
          <xdr:cNvPr id="2" name="Rectangle: Rounded Corners 1">
            <a:extLst>
              <a:ext uri="{FF2B5EF4-FFF2-40B4-BE49-F238E27FC236}">
                <a16:creationId xmlns:a16="http://schemas.microsoft.com/office/drawing/2014/main" id="{00000000-0008-0000-0200-000002000000}"/>
              </a:ext>
            </a:extLst>
          </xdr:cNvPr>
          <xdr:cNvSpPr/>
        </xdr:nvSpPr>
        <xdr:spPr>
          <a:xfrm>
            <a:off x="1209675" y="962025"/>
            <a:ext cx="1285875" cy="666750"/>
          </a:xfrm>
          <a:prstGeom prst="roundRect">
            <a:avLst/>
          </a:prstGeom>
          <a:solidFill>
            <a:schemeClr val="bg1"/>
          </a:solidFill>
          <a:ln>
            <a:solidFill>
              <a:schemeClr val="bg2">
                <a:lumMod val="75000"/>
              </a:schemeClr>
            </a:solidFill>
          </a:ln>
          <a:effectLst>
            <a:outerShdw blurRad="292100" dist="127000" dir="5400000" sx="95000" sy="95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219200" y="1000125"/>
            <a:ext cx="1200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t>Date of</a:t>
            </a:r>
            <a:r>
              <a:rPr lang="es-ES" sz="1200" b="1" baseline="0"/>
              <a:t> Today</a:t>
            </a:r>
            <a:endParaRPr lang="es-ES" sz="1200" b="1"/>
          </a:p>
        </xdr:txBody>
      </xdr:sp>
      <xdr:sp macro="" textlink="Calculations!E8">
        <xdr:nvSpPr>
          <xdr:cNvPr id="4" name="TextBox 3">
            <a:extLst>
              <a:ext uri="{FF2B5EF4-FFF2-40B4-BE49-F238E27FC236}">
                <a16:creationId xmlns:a16="http://schemas.microsoft.com/office/drawing/2014/main" id="{00000000-0008-0000-0200-000004000000}"/>
              </a:ext>
            </a:extLst>
          </xdr:cNvPr>
          <xdr:cNvSpPr txBox="1"/>
        </xdr:nvSpPr>
        <xdr:spPr>
          <a:xfrm>
            <a:off x="1238250" y="1285875"/>
            <a:ext cx="1200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A10694-307A-4ACB-9C44-761E42918F45}" type="TxLink">
              <a:rPr lang="en-US" sz="1200" b="1" i="0" u="none" strike="noStrike">
                <a:solidFill>
                  <a:srgbClr val="000000"/>
                </a:solidFill>
                <a:latin typeface="Calibri"/>
                <a:ea typeface="Calibri"/>
                <a:cs typeface="Calibri"/>
              </a:rPr>
              <a:pPr/>
              <a:t>17-ago-23</a:t>
            </a:fld>
            <a:endParaRPr lang="es-ES" sz="1200" b="1"/>
          </a:p>
        </xdr:txBody>
      </xdr:sp>
    </xdr:grpSp>
    <xdr:clientData/>
  </xdr:twoCellAnchor>
  <xdr:twoCellAnchor>
    <xdr:from>
      <xdr:col>3</xdr:col>
      <xdr:colOff>666750</xdr:colOff>
      <xdr:row>4</xdr:row>
      <xdr:rowOff>109537</xdr:rowOff>
    </xdr:from>
    <xdr:to>
      <xdr:col>5</xdr:col>
      <xdr:colOff>352425</xdr:colOff>
      <xdr:row>8</xdr:row>
      <xdr:rowOff>52387</xdr:rowOff>
    </xdr:to>
    <xdr:grpSp>
      <xdr:nvGrpSpPr>
        <xdr:cNvPr id="18" name="Group 17">
          <a:extLst>
            <a:ext uri="{FF2B5EF4-FFF2-40B4-BE49-F238E27FC236}">
              <a16:creationId xmlns:a16="http://schemas.microsoft.com/office/drawing/2014/main" id="{00000000-0008-0000-0200-000012000000}"/>
            </a:ext>
          </a:extLst>
        </xdr:cNvPr>
        <xdr:cNvGrpSpPr/>
      </xdr:nvGrpSpPr>
      <xdr:grpSpPr>
        <a:xfrm>
          <a:off x="2943225" y="947737"/>
          <a:ext cx="2000250" cy="666750"/>
          <a:chOff x="2943225" y="952500"/>
          <a:chExt cx="2000250" cy="666750"/>
        </a:xfrm>
      </xdr:grpSpPr>
      <xdr:sp macro="" textlink="">
        <xdr:nvSpPr>
          <xdr:cNvPr id="5" name="Rectangle: Rounded Corners 4">
            <a:extLst>
              <a:ext uri="{FF2B5EF4-FFF2-40B4-BE49-F238E27FC236}">
                <a16:creationId xmlns:a16="http://schemas.microsoft.com/office/drawing/2014/main" id="{00000000-0008-0000-0200-000005000000}"/>
              </a:ext>
            </a:extLst>
          </xdr:cNvPr>
          <xdr:cNvSpPr/>
        </xdr:nvSpPr>
        <xdr:spPr>
          <a:xfrm>
            <a:off x="2952749" y="952500"/>
            <a:ext cx="1743075" cy="666750"/>
          </a:xfrm>
          <a:prstGeom prst="roundRect">
            <a:avLst/>
          </a:prstGeom>
          <a:solidFill>
            <a:schemeClr val="bg1"/>
          </a:solidFill>
          <a:ln>
            <a:solidFill>
              <a:schemeClr val="bg2">
                <a:lumMod val="75000"/>
              </a:schemeClr>
            </a:solidFill>
          </a:ln>
          <a:effectLst>
            <a:outerShdw blurRad="292100" dist="127000" dir="5400000" sx="95000" sy="95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6" name="TextBox 5">
            <a:extLst>
              <a:ext uri="{FF2B5EF4-FFF2-40B4-BE49-F238E27FC236}">
                <a16:creationId xmlns:a16="http://schemas.microsoft.com/office/drawing/2014/main" id="{00000000-0008-0000-0200-000006000000}"/>
              </a:ext>
            </a:extLst>
          </xdr:cNvPr>
          <xdr:cNvSpPr txBox="1"/>
        </xdr:nvSpPr>
        <xdr:spPr>
          <a:xfrm>
            <a:off x="2943225" y="981075"/>
            <a:ext cx="14478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t>Date of</a:t>
            </a:r>
            <a:r>
              <a:rPr lang="es-ES" sz="1200" b="1" baseline="0"/>
              <a:t> Last Record</a:t>
            </a:r>
            <a:endParaRPr lang="es-ES" sz="1200" b="1"/>
          </a:p>
        </xdr:txBody>
      </xdr:sp>
      <xdr:sp macro="" textlink="Calculations!E9">
        <xdr:nvSpPr>
          <xdr:cNvPr id="7" name="TextBox 6">
            <a:extLst>
              <a:ext uri="{FF2B5EF4-FFF2-40B4-BE49-F238E27FC236}">
                <a16:creationId xmlns:a16="http://schemas.microsoft.com/office/drawing/2014/main" id="{00000000-0008-0000-0200-000007000000}"/>
              </a:ext>
            </a:extLst>
          </xdr:cNvPr>
          <xdr:cNvSpPr txBox="1"/>
        </xdr:nvSpPr>
        <xdr:spPr>
          <a:xfrm>
            <a:off x="2962275" y="1266825"/>
            <a:ext cx="1200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A63A04C-969C-43AE-B90A-8BB221CBDECA}" type="TxLink">
              <a:rPr lang="en-US" sz="1200" b="1" i="0" u="none" strike="noStrike">
                <a:solidFill>
                  <a:srgbClr val="000000"/>
                </a:solidFill>
                <a:latin typeface="Calibri"/>
                <a:ea typeface="Calibri"/>
                <a:cs typeface="Calibri"/>
              </a:rPr>
              <a:pPr/>
              <a:t>15-mar-23</a:t>
            </a:fld>
            <a:endParaRPr lang="es-ES" sz="1200" b="1"/>
          </a:p>
        </xdr:txBody>
      </xdr:sp>
      <xdr:sp macro="" textlink="Calculations!E10">
        <xdr:nvSpPr>
          <xdr:cNvPr id="8" name="TextBox 7">
            <a:extLst>
              <a:ext uri="{FF2B5EF4-FFF2-40B4-BE49-F238E27FC236}">
                <a16:creationId xmlns:a16="http://schemas.microsoft.com/office/drawing/2014/main" id="{00000000-0008-0000-0200-000008000000}"/>
              </a:ext>
            </a:extLst>
          </xdr:cNvPr>
          <xdr:cNvSpPr txBox="1"/>
        </xdr:nvSpPr>
        <xdr:spPr>
          <a:xfrm>
            <a:off x="3743325" y="1266825"/>
            <a:ext cx="1200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E8AAD3B-BBEF-4612-985E-50164E455B0D}" type="TxLink">
              <a:rPr lang="en-US" sz="1100" b="0" i="0" u="none" strike="noStrike">
                <a:solidFill>
                  <a:srgbClr val="000000"/>
                </a:solidFill>
                <a:latin typeface="Calibri"/>
                <a:ea typeface="Calibri"/>
                <a:cs typeface="Calibri"/>
              </a:rPr>
              <a:pPr/>
              <a:t>(155 days ago)</a:t>
            </a:fld>
            <a:endParaRPr lang="es-ES" sz="1200" b="1"/>
          </a:p>
        </xdr:txBody>
      </xdr:sp>
    </xdr:grpSp>
    <xdr:clientData/>
  </xdr:twoCellAnchor>
  <xdr:twoCellAnchor>
    <xdr:from>
      <xdr:col>5</xdr:col>
      <xdr:colOff>552449</xdr:colOff>
      <xdr:row>4</xdr:row>
      <xdr:rowOff>109537</xdr:rowOff>
    </xdr:from>
    <xdr:to>
      <xdr:col>6</xdr:col>
      <xdr:colOff>1238249</xdr:colOff>
      <xdr:row>8</xdr:row>
      <xdr:rowOff>52387</xdr:rowOff>
    </xdr:to>
    <xdr:grpSp>
      <xdr:nvGrpSpPr>
        <xdr:cNvPr id="19" name="Group 18">
          <a:extLst>
            <a:ext uri="{FF2B5EF4-FFF2-40B4-BE49-F238E27FC236}">
              <a16:creationId xmlns:a16="http://schemas.microsoft.com/office/drawing/2014/main" id="{00000000-0008-0000-0200-000013000000}"/>
            </a:ext>
          </a:extLst>
        </xdr:cNvPr>
        <xdr:cNvGrpSpPr/>
      </xdr:nvGrpSpPr>
      <xdr:grpSpPr>
        <a:xfrm>
          <a:off x="5143499" y="947737"/>
          <a:ext cx="1743075" cy="666750"/>
          <a:chOff x="5143499" y="933450"/>
          <a:chExt cx="1743075" cy="666750"/>
        </a:xfrm>
      </xdr:grpSpPr>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5143499" y="933450"/>
            <a:ext cx="1743075" cy="666750"/>
          </a:xfrm>
          <a:prstGeom prst="roundRect">
            <a:avLst/>
          </a:prstGeom>
          <a:solidFill>
            <a:schemeClr val="bg1"/>
          </a:solidFill>
          <a:ln>
            <a:solidFill>
              <a:schemeClr val="bg2">
                <a:lumMod val="75000"/>
              </a:schemeClr>
            </a:solidFill>
          </a:ln>
          <a:effectLst>
            <a:outerShdw blurRad="292100" dist="127000" dir="5400000" sx="95000" sy="95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5153025" y="962026"/>
            <a:ext cx="16954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t>Nº of Tracked Records</a:t>
            </a:r>
          </a:p>
        </xdr:txBody>
      </xdr:sp>
      <xdr:sp macro="" textlink="Calculations!E11">
        <xdr:nvSpPr>
          <xdr:cNvPr id="11" name="TextBox 10">
            <a:extLst>
              <a:ext uri="{FF2B5EF4-FFF2-40B4-BE49-F238E27FC236}">
                <a16:creationId xmlns:a16="http://schemas.microsoft.com/office/drawing/2014/main" id="{00000000-0008-0000-0200-00000B000000}"/>
              </a:ext>
            </a:extLst>
          </xdr:cNvPr>
          <xdr:cNvSpPr txBox="1"/>
        </xdr:nvSpPr>
        <xdr:spPr>
          <a:xfrm>
            <a:off x="5219700" y="1247775"/>
            <a:ext cx="381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D067E9-191C-4992-828D-9BC762A1CCFF}" type="TxLink">
              <a:rPr lang="en-US" sz="1200" b="1" i="0" u="none" strike="noStrike">
                <a:solidFill>
                  <a:srgbClr val="000000"/>
                </a:solidFill>
                <a:latin typeface="Calibri"/>
                <a:ea typeface="Calibri"/>
                <a:cs typeface="Calibri"/>
              </a:rPr>
              <a:pPr/>
              <a:t>23</a:t>
            </a:fld>
            <a:endParaRPr lang="es-ES" sz="1400" b="1"/>
          </a:p>
        </xdr:txBody>
      </xdr:sp>
      <xdr:sp macro="" textlink="Calculations!E12">
        <xdr:nvSpPr>
          <xdr:cNvPr id="12" name="TextBox 11">
            <a:extLst>
              <a:ext uri="{FF2B5EF4-FFF2-40B4-BE49-F238E27FC236}">
                <a16:creationId xmlns:a16="http://schemas.microsoft.com/office/drawing/2014/main" id="{00000000-0008-0000-0200-00000C000000}"/>
              </a:ext>
            </a:extLst>
          </xdr:cNvPr>
          <xdr:cNvSpPr txBox="1"/>
        </xdr:nvSpPr>
        <xdr:spPr>
          <a:xfrm>
            <a:off x="5638800" y="1247775"/>
            <a:ext cx="1200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CC542A-8BCD-417F-A15E-CE1F0A790A02}" type="TxLink">
              <a:rPr lang="en-US" sz="1100" b="0" i="0" u="none" strike="noStrike">
                <a:solidFill>
                  <a:srgbClr val="000000"/>
                </a:solidFill>
                <a:latin typeface="Calibri"/>
                <a:ea typeface="Calibri"/>
                <a:cs typeface="Calibri"/>
              </a:rPr>
              <a:pPr/>
              <a:t>(22 this year)</a:t>
            </a:fld>
            <a:endParaRPr lang="es-ES" sz="1200" b="1"/>
          </a:p>
        </xdr:txBody>
      </xdr:sp>
    </xdr:grpSp>
    <xdr:clientData/>
  </xdr:twoCellAnchor>
  <xdr:twoCellAnchor>
    <xdr:from>
      <xdr:col>6</xdr:col>
      <xdr:colOff>1733546</xdr:colOff>
      <xdr:row>4</xdr:row>
      <xdr:rowOff>109537</xdr:rowOff>
    </xdr:from>
    <xdr:to>
      <xdr:col>9</xdr:col>
      <xdr:colOff>152397</xdr:colOff>
      <xdr:row>8</xdr:row>
      <xdr:rowOff>52387</xdr:rowOff>
    </xdr:to>
    <xdr:grpSp>
      <xdr:nvGrpSpPr>
        <xdr:cNvPr id="20" name="Group 19">
          <a:extLst>
            <a:ext uri="{FF2B5EF4-FFF2-40B4-BE49-F238E27FC236}">
              <a16:creationId xmlns:a16="http://schemas.microsoft.com/office/drawing/2014/main" id="{00000000-0008-0000-0200-000014000000}"/>
            </a:ext>
          </a:extLst>
        </xdr:cNvPr>
        <xdr:cNvGrpSpPr/>
      </xdr:nvGrpSpPr>
      <xdr:grpSpPr>
        <a:xfrm>
          <a:off x="7381871" y="947737"/>
          <a:ext cx="2905126" cy="666750"/>
          <a:chOff x="7381874" y="933450"/>
          <a:chExt cx="3188298" cy="666750"/>
        </a:xfrm>
      </xdr:grpSpPr>
      <xdr:sp macro="" textlink="">
        <xdr:nvSpPr>
          <xdr:cNvPr id="13" name="Rectangle: Rounded Corners 12">
            <a:extLst>
              <a:ext uri="{FF2B5EF4-FFF2-40B4-BE49-F238E27FC236}">
                <a16:creationId xmlns:a16="http://schemas.microsoft.com/office/drawing/2014/main" id="{00000000-0008-0000-0200-00000D000000}"/>
              </a:ext>
            </a:extLst>
          </xdr:cNvPr>
          <xdr:cNvSpPr/>
        </xdr:nvSpPr>
        <xdr:spPr>
          <a:xfrm>
            <a:off x="7381874" y="933450"/>
            <a:ext cx="2867026" cy="666750"/>
          </a:xfrm>
          <a:prstGeom prst="roundRect">
            <a:avLst/>
          </a:prstGeom>
          <a:solidFill>
            <a:schemeClr val="bg1"/>
          </a:solidFill>
          <a:ln>
            <a:solidFill>
              <a:schemeClr val="bg2">
                <a:lumMod val="75000"/>
              </a:schemeClr>
            </a:solidFill>
          </a:ln>
          <a:effectLst>
            <a:outerShdw blurRad="292100" dist="127000" dir="5400000" sx="95000" sy="95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14" name="TextBox 13">
            <a:extLst>
              <a:ext uri="{FF2B5EF4-FFF2-40B4-BE49-F238E27FC236}">
                <a16:creationId xmlns:a16="http://schemas.microsoft.com/office/drawing/2014/main" id="{00000000-0008-0000-0200-00000E000000}"/>
              </a:ext>
            </a:extLst>
          </xdr:cNvPr>
          <xdr:cNvSpPr txBox="1"/>
        </xdr:nvSpPr>
        <xdr:spPr>
          <a:xfrm>
            <a:off x="7496175" y="962026"/>
            <a:ext cx="1871852"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t>Total Tracking Balance</a:t>
            </a:r>
          </a:p>
        </xdr:txBody>
      </xdr:sp>
      <xdr:sp macro="" textlink="Calculations!E14">
        <xdr:nvSpPr>
          <xdr:cNvPr id="16" name="TextBox 15">
            <a:extLst>
              <a:ext uri="{FF2B5EF4-FFF2-40B4-BE49-F238E27FC236}">
                <a16:creationId xmlns:a16="http://schemas.microsoft.com/office/drawing/2014/main" id="{00000000-0008-0000-0200-000010000000}"/>
              </a:ext>
            </a:extLst>
          </xdr:cNvPr>
          <xdr:cNvSpPr txBox="1"/>
        </xdr:nvSpPr>
        <xdr:spPr>
          <a:xfrm>
            <a:off x="8207972" y="1238249"/>
            <a:ext cx="23622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3D86C8-23DF-47BF-8055-9874A90EC7EF}" type="TxLink">
              <a:rPr lang="en-US" sz="1100" b="0" i="0" u="none" strike="noStrike">
                <a:solidFill>
                  <a:srgbClr val="000000"/>
                </a:solidFill>
                <a:latin typeface="Calibri"/>
                <a:ea typeface="Calibri"/>
                <a:cs typeface="Calibri"/>
              </a:rPr>
              <a:pPr/>
              <a:t>of tracked income left to be allocated</a:t>
            </a:fld>
            <a:endParaRPr lang="es-ES" sz="1200" b="1"/>
          </a:p>
        </xdr:txBody>
      </xdr:sp>
      <xdr:sp macro="" textlink="Calculations!E13">
        <xdr:nvSpPr>
          <xdr:cNvPr id="15" name="TextBox 14">
            <a:extLst>
              <a:ext uri="{FF2B5EF4-FFF2-40B4-BE49-F238E27FC236}">
                <a16:creationId xmlns:a16="http://schemas.microsoft.com/office/drawing/2014/main" id="{00000000-0008-0000-0200-00000F000000}"/>
              </a:ext>
            </a:extLst>
          </xdr:cNvPr>
          <xdr:cNvSpPr txBox="1"/>
        </xdr:nvSpPr>
        <xdr:spPr>
          <a:xfrm>
            <a:off x="7489434" y="1238249"/>
            <a:ext cx="728718" cy="300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10C6866-F385-4661-BE10-9368BC7DD467}" type="TxLink">
              <a:rPr lang="en-US" sz="1200" b="1" i="0" u="none" strike="noStrike">
                <a:solidFill>
                  <a:srgbClr val="000000"/>
                </a:solidFill>
                <a:latin typeface="Calibri"/>
                <a:ea typeface="Calibri"/>
                <a:cs typeface="Calibri"/>
              </a:rPr>
              <a:pPr/>
              <a:t> 3.250 </a:t>
            </a:fld>
            <a:endParaRPr lang="es-ES" sz="1600" b="1">
              <a:solidFill>
                <a:sysClr val="windowText" lastClr="000000"/>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118533</xdr:colOff>
      <xdr:row>12</xdr:row>
      <xdr:rowOff>93133</xdr:rowOff>
    </xdr:from>
    <xdr:to>
      <xdr:col>34</xdr:col>
      <xdr:colOff>110067</xdr:colOff>
      <xdr:row>14</xdr:row>
      <xdr:rowOff>50800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798733" y="2438400"/>
          <a:ext cx="2015067"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rgbClr val="00B050"/>
              </a:solidFill>
            </a:rPr>
            <a:t>Income</a:t>
          </a:r>
          <a:r>
            <a:rPr lang="es-ES" sz="1100" b="1"/>
            <a:t> Categories (Tracked)</a:t>
          </a:r>
        </a:p>
      </xdr:txBody>
    </xdr:sp>
    <xdr:clientData/>
  </xdr:twoCellAnchor>
  <xdr:twoCellAnchor editAs="oneCell">
    <xdr:from>
      <xdr:col>31</xdr:col>
      <xdr:colOff>67726</xdr:colOff>
      <xdr:row>13</xdr:row>
      <xdr:rowOff>152393</xdr:rowOff>
    </xdr:from>
    <xdr:to>
      <xdr:col>32</xdr:col>
      <xdr:colOff>761992</xdr:colOff>
      <xdr:row>22</xdr:row>
      <xdr:rowOff>110060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31</xdr:col>
      <xdr:colOff>118533</xdr:colOff>
      <xdr:row>24</xdr:row>
      <xdr:rowOff>101599</xdr:rowOff>
    </xdr:from>
    <xdr:ext cx="2015067" cy="330200"/>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6798733" y="4682066"/>
          <a:ext cx="2015067"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rgbClr val="FF0066"/>
              </a:solidFill>
            </a:rPr>
            <a:t>Expenses</a:t>
          </a:r>
          <a:r>
            <a:rPr lang="es-ES" sz="1100" b="1"/>
            <a:t> Categories (Tracked)</a:t>
          </a:r>
        </a:p>
      </xdr:txBody>
    </xdr:sp>
    <xdr:clientData/>
  </xdr:oneCellAnchor>
  <xdr:oneCellAnchor>
    <xdr:from>
      <xdr:col>31</xdr:col>
      <xdr:colOff>67726</xdr:colOff>
      <xdr:row>25</xdr:row>
      <xdr:rowOff>152393</xdr:rowOff>
    </xdr:from>
    <xdr:ext cx="1634066" cy="1634067"/>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38</xdr:col>
      <xdr:colOff>110070</xdr:colOff>
      <xdr:row>24</xdr:row>
      <xdr:rowOff>93132</xdr:rowOff>
    </xdr:from>
    <xdr:ext cx="2015067" cy="330200"/>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11404603" y="4673599"/>
          <a:ext cx="2015067"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rgbClr val="0066FF"/>
              </a:solidFill>
            </a:rPr>
            <a:t>Savings</a:t>
          </a:r>
          <a:r>
            <a:rPr lang="es-ES" sz="1100" b="1"/>
            <a:t> Categories (Tracked)</a:t>
          </a:r>
        </a:p>
      </xdr:txBody>
    </xdr:sp>
    <xdr:clientData/>
  </xdr:oneCellAnchor>
  <xdr:oneCellAnchor>
    <xdr:from>
      <xdr:col>38</xdr:col>
      <xdr:colOff>67726</xdr:colOff>
      <xdr:row>25</xdr:row>
      <xdr:rowOff>152393</xdr:rowOff>
    </xdr:from>
    <xdr:ext cx="1634066" cy="1634067"/>
    <xdr:graphicFrame macro="">
      <xdr:nvGraphicFramePr>
        <xdr:cNvPr id="11" name="Chart 10">
          <a:extLst>
            <a:ext uri="{FF2B5EF4-FFF2-40B4-BE49-F238E27FC236}">
              <a16:creationId xmlns:a16="http://schemas.microsoft.com/office/drawing/2014/main" id="{00000000-0008-0000-03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twoCellAnchor editAs="oneCell">
    <xdr:from>
      <xdr:col>38</xdr:col>
      <xdr:colOff>93136</xdr:colOff>
      <xdr:row>12</xdr:row>
      <xdr:rowOff>101600</xdr:rowOff>
    </xdr:from>
    <xdr:to>
      <xdr:col>41</xdr:col>
      <xdr:colOff>101603</xdr:colOff>
      <xdr:row>14</xdr:row>
      <xdr:rowOff>16934</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11387669" y="2446867"/>
          <a:ext cx="2015067" cy="287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solidFill>
                <a:sysClr val="windowText" lastClr="000000"/>
              </a:solidFill>
            </a:rPr>
            <a:t>Tracked vs (Budget)</a:t>
          </a:r>
        </a:p>
      </xdr:txBody>
    </xdr:sp>
    <xdr:clientData/>
  </xdr:twoCellAnchor>
  <xdr:twoCellAnchor>
    <xdr:from>
      <xdr:col>38</xdr:col>
      <xdr:colOff>118534</xdr:colOff>
      <xdr:row>14</xdr:row>
      <xdr:rowOff>76201</xdr:rowOff>
    </xdr:from>
    <xdr:to>
      <xdr:col>43</xdr:col>
      <xdr:colOff>321734</xdr:colOff>
      <xdr:row>23</xdr:row>
      <xdr:rowOff>49743</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41</xdr:col>
          <xdr:colOff>289560</xdr:colOff>
          <xdr:row>12</xdr:row>
          <xdr:rowOff>121920</xdr:rowOff>
        </xdr:from>
        <xdr:to>
          <xdr:col>41</xdr:col>
          <xdr:colOff>1043940</xdr:colOff>
          <xdr:row>13</xdr:row>
          <xdr:rowOff>144780</xdr:rowOff>
        </xdr:to>
        <xdr:sp macro="" textlink="">
          <xdr:nvSpPr>
            <xdr:cNvPr id="2064" name="Check Box 16" hidden="1">
              <a:extLst>
                <a:ext uri="{63B3BB69-23CF-44E3-9099-C40C66FF867C}">
                  <a14:compatExt spid="_x0000_s2064"/>
                </a:ext>
                <a:ext uri="{FF2B5EF4-FFF2-40B4-BE49-F238E27FC236}">
                  <a16:creationId xmlns:a16="http://schemas.microsoft.com/office/drawing/2014/main" id="{00000000-0008-0000-0300-000010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Income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289560</xdr:colOff>
          <xdr:row>13</xdr:row>
          <xdr:rowOff>106680</xdr:rowOff>
        </xdr:from>
        <xdr:to>
          <xdr:col>41</xdr:col>
          <xdr:colOff>1043940</xdr:colOff>
          <xdr:row>14</xdr:row>
          <xdr:rowOff>129540</xdr:rowOff>
        </xdr:to>
        <xdr:sp macro="" textlink="">
          <xdr:nvSpPr>
            <xdr:cNvPr id="2065" name="Check Box 17" hidden="1">
              <a:extLst>
                <a:ext uri="{63B3BB69-23CF-44E3-9099-C40C66FF867C}">
                  <a14:compatExt spid="_x0000_s2065"/>
                </a:ext>
                <a:ext uri="{FF2B5EF4-FFF2-40B4-BE49-F238E27FC236}">
                  <a16:creationId xmlns:a16="http://schemas.microsoft.com/office/drawing/2014/main" id="{00000000-0008-0000-0300-00001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Expenses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1089660</xdr:colOff>
          <xdr:row>12</xdr:row>
          <xdr:rowOff>106680</xdr:rowOff>
        </xdr:from>
        <xdr:to>
          <xdr:col>43</xdr:col>
          <xdr:colOff>45720</xdr:colOff>
          <xdr:row>13</xdr:row>
          <xdr:rowOff>137160</xdr:rowOff>
        </xdr:to>
        <xdr:sp macro="" textlink="">
          <xdr:nvSpPr>
            <xdr:cNvPr id="2066" name="Check Box 18" hidden="1">
              <a:extLst>
                <a:ext uri="{63B3BB69-23CF-44E3-9099-C40C66FF867C}">
                  <a14:compatExt spid="_x0000_s2066"/>
                </a:ext>
                <a:ext uri="{FF2B5EF4-FFF2-40B4-BE49-F238E27FC236}">
                  <a16:creationId xmlns:a16="http://schemas.microsoft.com/office/drawing/2014/main" id="{00000000-0008-0000-0300-000012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Savings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41</xdr:col>
          <xdr:colOff>1089660</xdr:colOff>
          <xdr:row>13</xdr:row>
          <xdr:rowOff>99060</xdr:rowOff>
        </xdr:from>
        <xdr:to>
          <xdr:col>43</xdr:col>
          <xdr:colOff>45720</xdr:colOff>
          <xdr:row>14</xdr:row>
          <xdr:rowOff>129540</xdr:rowOff>
        </xdr:to>
        <xdr:sp macro="" textlink="">
          <xdr:nvSpPr>
            <xdr:cNvPr id="2067" name="Check Box 19" hidden="1">
              <a:extLst>
                <a:ext uri="{63B3BB69-23CF-44E3-9099-C40C66FF867C}">
                  <a14:compatExt spid="_x0000_s2067"/>
                </a:ext>
                <a:ext uri="{FF2B5EF4-FFF2-40B4-BE49-F238E27FC236}">
                  <a16:creationId xmlns:a16="http://schemas.microsoft.com/office/drawing/2014/main" id="{00000000-0008-0000-03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Budget</a:t>
              </a:r>
            </a:p>
          </xdr:txBody>
        </xdr:sp>
        <xdr:clientData/>
      </xdr:twoCellAnchor>
    </mc:Choice>
    <mc:Fallback/>
  </mc:AlternateContent>
  <xdr:twoCellAnchor>
    <xdr:from>
      <xdr:col>41</xdr:col>
      <xdr:colOff>177800</xdr:colOff>
      <xdr:row>12</xdr:row>
      <xdr:rowOff>101598</xdr:rowOff>
    </xdr:from>
    <xdr:to>
      <xdr:col>43</xdr:col>
      <xdr:colOff>135466</xdr:colOff>
      <xdr:row>14</xdr:row>
      <xdr:rowOff>160865</xdr:rowOff>
    </xdr:to>
    <xdr:sp macro="" textlink="">
      <xdr:nvSpPr>
        <xdr:cNvPr id="15" name="Rectangle 14">
          <a:extLst>
            <a:ext uri="{FF2B5EF4-FFF2-40B4-BE49-F238E27FC236}">
              <a16:creationId xmlns:a16="http://schemas.microsoft.com/office/drawing/2014/main" id="{00000000-0008-0000-0300-00000F000000}"/>
            </a:ext>
          </a:extLst>
        </xdr:cNvPr>
        <xdr:cNvSpPr/>
      </xdr:nvSpPr>
      <xdr:spPr>
        <a:xfrm>
          <a:off x="13478933" y="2446865"/>
          <a:ext cx="1752600" cy="431800"/>
        </a:xfrm>
        <a:prstGeom prst="rect">
          <a:avLst/>
        </a:prstGeom>
        <a:noFill/>
        <a:ln w="9525">
          <a:solidFill>
            <a:schemeClr val="bg1">
              <a:lumMod val="6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24</xdr:col>
      <xdr:colOff>16934</xdr:colOff>
      <xdr:row>4</xdr:row>
      <xdr:rowOff>67731</xdr:rowOff>
    </xdr:from>
    <xdr:to>
      <xdr:col>25</xdr:col>
      <xdr:colOff>381000</xdr:colOff>
      <xdr:row>8</xdr:row>
      <xdr:rowOff>126997</xdr:rowOff>
    </xdr:to>
    <xdr:grpSp>
      <xdr:nvGrpSpPr>
        <xdr:cNvPr id="16" name="Group 15">
          <a:extLst>
            <a:ext uri="{FF2B5EF4-FFF2-40B4-BE49-F238E27FC236}">
              <a16:creationId xmlns:a16="http://schemas.microsoft.com/office/drawing/2014/main" id="{00000000-0008-0000-0300-000010000000}"/>
            </a:ext>
          </a:extLst>
        </xdr:cNvPr>
        <xdr:cNvGrpSpPr/>
      </xdr:nvGrpSpPr>
      <xdr:grpSpPr>
        <a:xfrm>
          <a:off x="575734" y="922864"/>
          <a:ext cx="2235199" cy="804333"/>
          <a:chOff x="1209675" y="962025"/>
          <a:chExt cx="1285875" cy="666750"/>
        </a:xfrm>
      </xdr:grpSpPr>
      <xdr:sp macro="" textlink="">
        <xdr:nvSpPr>
          <xdr:cNvPr id="17" name="Rectangle: Rounded Corners 16">
            <a:extLst>
              <a:ext uri="{FF2B5EF4-FFF2-40B4-BE49-F238E27FC236}">
                <a16:creationId xmlns:a16="http://schemas.microsoft.com/office/drawing/2014/main" id="{00000000-0008-0000-0300-000011000000}"/>
              </a:ext>
            </a:extLst>
          </xdr:cNvPr>
          <xdr:cNvSpPr/>
        </xdr:nvSpPr>
        <xdr:spPr>
          <a:xfrm>
            <a:off x="1209675" y="962025"/>
            <a:ext cx="1285875" cy="666750"/>
          </a:xfrm>
          <a:prstGeom prst="roundRect">
            <a:avLst/>
          </a:prstGeom>
          <a:solidFill>
            <a:schemeClr val="bg1"/>
          </a:solidFill>
          <a:ln>
            <a:solidFill>
              <a:schemeClr val="bg2">
                <a:lumMod val="75000"/>
              </a:schemeClr>
            </a:solidFill>
          </a:ln>
          <a:effectLst>
            <a:outerShdw blurRad="292100" dist="127000" dir="5400000" sx="95000" sy="95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267905" y="1000125"/>
            <a:ext cx="1200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t>Selected Year &amp; Period</a:t>
            </a:r>
          </a:p>
        </xdr:txBody>
      </xdr:sp>
    </xdr:grpSp>
    <xdr:clientData/>
  </xdr:twoCellAnchor>
  <xdr:twoCellAnchor>
    <xdr:from>
      <xdr:col>24</xdr:col>
      <xdr:colOff>186267</xdr:colOff>
      <xdr:row>6</xdr:row>
      <xdr:rowOff>101600</xdr:rowOff>
    </xdr:from>
    <xdr:to>
      <xdr:col>24</xdr:col>
      <xdr:colOff>889000</xdr:colOff>
      <xdr:row>8</xdr:row>
      <xdr:rowOff>8467</xdr:rowOff>
    </xdr:to>
    <xdr:sp macro="" textlink="selected_year">
      <xdr:nvSpPr>
        <xdr:cNvPr id="20" name="Rectangle: Rounded Corners 19">
          <a:extLst>
            <a:ext uri="{FF2B5EF4-FFF2-40B4-BE49-F238E27FC236}">
              <a16:creationId xmlns:a16="http://schemas.microsoft.com/office/drawing/2014/main" id="{00000000-0008-0000-0300-000014000000}"/>
            </a:ext>
          </a:extLst>
        </xdr:cNvPr>
        <xdr:cNvSpPr/>
      </xdr:nvSpPr>
      <xdr:spPr>
        <a:xfrm>
          <a:off x="745067" y="1329267"/>
          <a:ext cx="702733" cy="279400"/>
        </a:xfrm>
        <a:prstGeom prst="roundRect">
          <a:avLst>
            <a:gd name="adj" fmla="val 50000"/>
          </a:avLst>
        </a:prstGeom>
        <a:solidFill>
          <a:schemeClr val="bg1"/>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E7A9C14-E850-4AAE-AB1D-64E516580614}" type="TxLink">
            <a:rPr lang="en-US" sz="1050" b="1" i="0" u="none" strike="noStrike">
              <a:solidFill>
                <a:srgbClr val="000000"/>
              </a:solidFill>
              <a:latin typeface="Calibri"/>
              <a:ea typeface="Calibri"/>
              <a:cs typeface="Calibri"/>
            </a:rPr>
            <a:pPr algn="ctr"/>
            <a:t>2023</a:t>
          </a:fld>
          <a:endParaRPr lang="es-ES" sz="1050" b="1"/>
        </a:p>
      </xdr:txBody>
    </xdr:sp>
    <xdr:clientData/>
  </xdr:twoCellAnchor>
  <xdr:twoCellAnchor>
    <xdr:from>
      <xdr:col>24</xdr:col>
      <xdr:colOff>1075272</xdr:colOff>
      <xdr:row>6</xdr:row>
      <xdr:rowOff>93133</xdr:rowOff>
    </xdr:from>
    <xdr:to>
      <xdr:col>25</xdr:col>
      <xdr:colOff>160872</xdr:colOff>
      <xdr:row>8</xdr:row>
      <xdr:rowOff>0</xdr:rowOff>
    </xdr:to>
    <xdr:sp macro="" textlink="selected_period_display">
      <xdr:nvSpPr>
        <xdr:cNvPr id="21" name="Rectangle: Rounded Corners 20">
          <a:extLst>
            <a:ext uri="{FF2B5EF4-FFF2-40B4-BE49-F238E27FC236}">
              <a16:creationId xmlns:a16="http://schemas.microsoft.com/office/drawing/2014/main" id="{00000000-0008-0000-0300-000015000000}"/>
            </a:ext>
          </a:extLst>
        </xdr:cNvPr>
        <xdr:cNvSpPr/>
      </xdr:nvSpPr>
      <xdr:spPr>
        <a:xfrm>
          <a:off x="1634072" y="1320800"/>
          <a:ext cx="956733" cy="279400"/>
        </a:xfrm>
        <a:prstGeom prst="roundRect">
          <a:avLst>
            <a:gd name="adj" fmla="val 50000"/>
          </a:avLst>
        </a:prstGeom>
        <a:solidFill>
          <a:schemeClr val="bg1"/>
        </a:solid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2A400ED-C736-4F9E-9801-6F8CDF0CF350}" type="TxLink">
            <a:rPr lang="en-US" sz="1100" b="1" i="0" u="none" strike="noStrike">
              <a:solidFill>
                <a:srgbClr val="000000"/>
              </a:solidFill>
              <a:latin typeface="Calibri"/>
              <a:ea typeface="Calibri"/>
              <a:cs typeface="Calibri"/>
            </a:rPr>
            <a:pPr algn="ctr"/>
            <a:t>Febrero</a:t>
          </a:fld>
          <a:endParaRPr lang="es-ES" sz="1050" b="1"/>
        </a:p>
      </xdr:txBody>
    </xdr:sp>
    <xdr:clientData/>
  </xdr:twoCellAnchor>
  <xdr:twoCellAnchor>
    <xdr:from>
      <xdr:col>25</xdr:col>
      <xdr:colOff>694276</xdr:colOff>
      <xdr:row>4</xdr:row>
      <xdr:rowOff>67731</xdr:rowOff>
    </xdr:from>
    <xdr:to>
      <xdr:col>27</xdr:col>
      <xdr:colOff>279404</xdr:colOff>
      <xdr:row>8</xdr:row>
      <xdr:rowOff>126997</xdr:rowOff>
    </xdr:to>
    <xdr:grpSp>
      <xdr:nvGrpSpPr>
        <xdr:cNvPr id="22" name="Group 21">
          <a:extLst>
            <a:ext uri="{FF2B5EF4-FFF2-40B4-BE49-F238E27FC236}">
              <a16:creationId xmlns:a16="http://schemas.microsoft.com/office/drawing/2014/main" id="{00000000-0008-0000-0300-000016000000}"/>
            </a:ext>
          </a:extLst>
        </xdr:cNvPr>
        <xdr:cNvGrpSpPr/>
      </xdr:nvGrpSpPr>
      <xdr:grpSpPr>
        <a:xfrm>
          <a:off x="3124209" y="922864"/>
          <a:ext cx="1193795" cy="804333"/>
          <a:chOff x="1209675" y="962025"/>
          <a:chExt cx="1285875" cy="666750"/>
        </a:xfrm>
      </xdr:grpSpPr>
      <xdr:sp macro="" textlink="">
        <xdr:nvSpPr>
          <xdr:cNvPr id="23" name="Rectangle: Rounded Corners 22">
            <a:extLst>
              <a:ext uri="{FF2B5EF4-FFF2-40B4-BE49-F238E27FC236}">
                <a16:creationId xmlns:a16="http://schemas.microsoft.com/office/drawing/2014/main" id="{00000000-0008-0000-0300-000017000000}"/>
              </a:ext>
            </a:extLst>
          </xdr:cNvPr>
          <xdr:cNvSpPr/>
        </xdr:nvSpPr>
        <xdr:spPr>
          <a:xfrm>
            <a:off x="1209675" y="962025"/>
            <a:ext cx="1285875" cy="666750"/>
          </a:xfrm>
          <a:prstGeom prst="roundRect">
            <a:avLst/>
          </a:prstGeom>
          <a:solidFill>
            <a:schemeClr val="bg1"/>
          </a:solidFill>
          <a:ln>
            <a:solidFill>
              <a:schemeClr val="bg2">
                <a:lumMod val="75000"/>
              </a:schemeClr>
            </a:solidFill>
          </a:ln>
          <a:effectLst>
            <a:outerShdw blurRad="292100" dist="127000" dir="5400000" sx="95000" sy="95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24" name="TextBox 23">
            <a:extLst>
              <a:ext uri="{FF2B5EF4-FFF2-40B4-BE49-F238E27FC236}">
                <a16:creationId xmlns:a16="http://schemas.microsoft.com/office/drawing/2014/main" id="{00000000-0008-0000-0300-000018000000}"/>
              </a:ext>
            </a:extLst>
          </xdr:cNvPr>
          <xdr:cNvSpPr txBox="1"/>
        </xdr:nvSpPr>
        <xdr:spPr>
          <a:xfrm>
            <a:off x="1267905" y="1000125"/>
            <a:ext cx="1200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t>Period Compl.</a:t>
            </a:r>
          </a:p>
        </xdr:txBody>
      </xdr:sp>
    </xdr:grpSp>
    <xdr:clientData/>
  </xdr:twoCellAnchor>
  <xdr:twoCellAnchor>
    <xdr:from>
      <xdr:col>25</xdr:col>
      <xdr:colOff>660399</xdr:colOff>
      <xdr:row>5</xdr:row>
      <xdr:rowOff>169333</xdr:rowOff>
    </xdr:from>
    <xdr:to>
      <xdr:col>27</xdr:col>
      <xdr:colOff>321734</xdr:colOff>
      <xdr:row>8</xdr:row>
      <xdr:rowOff>110067</xdr:rowOff>
    </xdr:to>
    <xdr:graphicFrame macro="">
      <xdr:nvGraphicFramePr>
        <xdr:cNvPr id="26" name="Chart 25">
          <a:extLst>
            <a:ext uri="{FF2B5EF4-FFF2-40B4-BE49-F238E27FC236}">
              <a16:creationId xmlns:a16="http://schemas.microsoft.com/office/drawing/2014/main" id="{00000000-0008-0000-03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186267</xdr:colOff>
      <xdr:row>6</xdr:row>
      <xdr:rowOff>84667</xdr:rowOff>
    </xdr:from>
    <xdr:to>
      <xdr:col>26</xdr:col>
      <xdr:colOff>783172</xdr:colOff>
      <xdr:row>7</xdr:row>
      <xdr:rowOff>177801</xdr:rowOff>
    </xdr:to>
    <xdr:sp macro="" textlink="Calculations!E24">
      <xdr:nvSpPr>
        <xdr:cNvPr id="25" name="Rectangle: Rounded Corners 24">
          <a:extLst>
            <a:ext uri="{FF2B5EF4-FFF2-40B4-BE49-F238E27FC236}">
              <a16:creationId xmlns:a16="http://schemas.microsoft.com/office/drawing/2014/main" id="{00000000-0008-0000-0300-000019000000}"/>
            </a:ext>
          </a:extLst>
        </xdr:cNvPr>
        <xdr:cNvSpPr/>
      </xdr:nvSpPr>
      <xdr:spPr>
        <a:xfrm>
          <a:off x="3420534" y="1312334"/>
          <a:ext cx="596905" cy="279400"/>
        </a:xfrm>
        <a:prstGeom prst="roundRect">
          <a:avLst>
            <a:gd name="adj" fmla="val 5000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3532718-2F62-470B-B495-31632C61AB9A}" type="TxLink">
            <a:rPr lang="en-US" sz="1100" b="1" i="0" u="none" strike="noStrike">
              <a:solidFill>
                <a:srgbClr val="000000"/>
              </a:solidFill>
              <a:latin typeface="Calibri"/>
              <a:ea typeface="Calibri"/>
              <a:cs typeface="Calibri"/>
            </a:rPr>
            <a:pPr algn="ctr"/>
            <a:t>100%</a:t>
          </a:fld>
          <a:endParaRPr lang="es-ES" sz="1050" b="1"/>
        </a:p>
      </xdr:txBody>
    </xdr:sp>
    <xdr:clientData/>
  </xdr:twoCellAnchor>
  <xdr:twoCellAnchor>
    <xdr:from>
      <xdr:col>27</xdr:col>
      <xdr:colOff>626528</xdr:colOff>
      <xdr:row>4</xdr:row>
      <xdr:rowOff>67731</xdr:rowOff>
    </xdr:from>
    <xdr:to>
      <xdr:col>32</xdr:col>
      <xdr:colOff>457200</xdr:colOff>
      <xdr:row>8</xdr:row>
      <xdr:rowOff>126996</xdr:rowOff>
    </xdr:to>
    <xdr:grpSp>
      <xdr:nvGrpSpPr>
        <xdr:cNvPr id="27" name="Group 26">
          <a:extLst>
            <a:ext uri="{FF2B5EF4-FFF2-40B4-BE49-F238E27FC236}">
              <a16:creationId xmlns:a16="http://schemas.microsoft.com/office/drawing/2014/main" id="{00000000-0008-0000-0300-00001B000000}"/>
            </a:ext>
          </a:extLst>
        </xdr:cNvPr>
        <xdr:cNvGrpSpPr/>
      </xdr:nvGrpSpPr>
      <xdr:grpSpPr>
        <a:xfrm>
          <a:off x="4665128" y="922864"/>
          <a:ext cx="3412072" cy="804332"/>
          <a:chOff x="7381874" y="933450"/>
          <a:chExt cx="3051859" cy="666750"/>
        </a:xfrm>
      </xdr:grpSpPr>
      <xdr:sp macro="" textlink="">
        <xdr:nvSpPr>
          <xdr:cNvPr id="28" name="Rectangle: Rounded Corners 27">
            <a:extLst>
              <a:ext uri="{FF2B5EF4-FFF2-40B4-BE49-F238E27FC236}">
                <a16:creationId xmlns:a16="http://schemas.microsoft.com/office/drawing/2014/main" id="{00000000-0008-0000-0300-00001C000000}"/>
              </a:ext>
            </a:extLst>
          </xdr:cNvPr>
          <xdr:cNvSpPr/>
        </xdr:nvSpPr>
        <xdr:spPr>
          <a:xfrm>
            <a:off x="7381874" y="933450"/>
            <a:ext cx="2867026" cy="666750"/>
          </a:xfrm>
          <a:prstGeom prst="roundRect">
            <a:avLst/>
          </a:prstGeom>
          <a:solidFill>
            <a:schemeClr val="bg1"/>
          </a:solidFill>
          <a:ln>
            <a:solidFill>
              <a:schemeClr val="bg2">
                <a:lumMod val="75000"/>
              </a:schemeClr>
            </a:solidFill>
          </a:ln>
          <a:effectLst>
            <a:outerShdw blurRad="292100" dist="127000" dir="5400000" sx="95000" sy="95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sp macro="" textlink="">
        <xdr:nvSpPr>
          <xdr:cNvPr id="29" name="TextBox 28">
            <a:extLst>
              <a:ext uri="{FF2B5EF4-FFF2-40B4-BE49-F238E27FC236}">
                <a16:creationId xmlns:a16="http://schemas.microsoft.com/office/drawing/2014/main" id="{00000000-0008-0000-0300-00001D000000}"/>
              </a:ext>
            </a:extLst>
          </xdr:cNvPr>
          <xdr:cNvSpPr txBox="1"/>
        </xdr:nvSpPr>
        <xdr:spPr>
          <a:xfrm>
            <a:off x="7496175" y="976064"/>
            <a:ext cx="1871852" cy="242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t>Period Tracking Balance</a:t>
            </a:r>
          </a:p>
        </xdr:txBody>
      </xdr:sp>
      <xdr:sp macro="" textlink="Calculations!E26">
        <xdr:nvSpPr>
          <xdr:cNvPr id="30" name="TextBox 29">
            <a:extLst>
              <a:ext uri="{FF2B5EF4-FFF2-40B4-BE49-F238E27FC236}">
                <a16:creationId xmlns:a16="http://schemas.microsoft.com/office/drawing/2014/main" id="{00000000-0008-0000-0300-00001E000000}"/>
              </a:ext>
            </a:extLst>
          </xdr:cNvPr>
          <xdr:cNvSpPr txBox="1"/>
        </xdr:nvSpPr>
        <xdr:spPr>
          <a:xfrm>
            <a:off x="8071533" y="1238249"/>
            <a:ext cx="23622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F7E33C1-49C2-4BC1-ACFE-1FE1A9C5942A}" type="TxLink">
              <a:rPr lang="en-US" sz="1100" b="0" i="0" u="none" strike="noStrike">
                <a:solidFill>
                  <a:srgbClr val="000000"/>
                </a:solidFill>
                <a:latin typeface="Calibri"/>
                <a:ea typeface="Calibri"/>
                <a:cs typeface="Calibri"/>
              </a:rPr>
              <a:pPr/>
              <a:t>of tracked income left to be allocated</a:t>
            </a:fld>
            <a:endParaRPr lang="es-ES" sz="1200" b="1"/>
          </a:p>
        </xdr:txBody>
      </xdr:sp>
      <xdr:sp macro="" textlink="Calculations!E25">
        <xdr:nvSpPr>
          <xdr:cNvPr id="31" name="TextBox 30">
            <a:extLst>
              <a:ext uri="{FF2B5EF4-FFF2-40B4-BE49-F238E27FC236}">
                <a16:creationId xmlns:a16="http://schemas.microsoft.com/office/drawing/2014/main" id="{00000000-0008-0000-0300-00001F000000}"/>
              </a:ext>
            </a:extLst>
          </xdr:cNvPr>
          <xdr:cNvSpPr txBox="1"/>
        </xdr:nvSpPr>
        <xdr:spPr>
          <a:xfrm>
            <a:off x="7489434" y="1245267"/>
            <a:ext cx="728718" cy="300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299D379-1351-41D4-B24F-27A51AF1FE7F}" type="TxLink">
              <a:rPr lang="en-US" sz="1200" b="1" i="0" u="none" strike="noStrike">
                <a:solidFill>
                  <a:srgbClr val="000000"/>
                </a:solidFill>
                <a:latin typeface="Calibri"/>
                <a:ea typeface="Calibri"/>
                <a:cs typeface="Calibri"/>
              </a:rPr>
              <a:pPr/>
              <a:t> 2.450 </a:t>
            </a:fld>
            <a:endParaRPr lang="es-ES" sz="1800" b="1">
              <a:solidFill>
                <a:sysClr val="windowText" lastClr="000000"/>
              </a:solidFill>
            </a:endParaRPr>
          </a:p>
        </xdr:txBody>
      </xdr:sp>
    </xdr:grpSp>
    <xdr:clientData/>
  </xdr:twoCellAnchor>
  <xdr:twoCellAnchor>
    <xdr:from>
      <xdr:col>32</xdr:col>
      <xdr:colOff>533394</xdr:colOff>
      <xdr:row>4</xdr:row>
      <xdr:rowOff>67731</xdr:rowOff>
    </xdr:from>
    <xdr:to>
      <xdr:col>36</xdr:col>
      <xdr:colOff>228600</xdr:colOff>
      <xdr:row>8</xdr:row>
      <xdr:rowOff>126996</xdr:rowOff>
    </xdr:to>
    <xdr:sp macro="" textlink="">
      <xdr:nvSpPr>
        <xdr:cNvPr id="38" name="Rectangle: Rounded Corners 37">
          <a:extLst>
            <a:ext uri="{FF2B5EF4-FFF2-40B4-BE49-F238E27FC236}">
              <a16:creationId xmlns:a16="http://schemas.microsoft.com/office/drawing/2014/main" id="{00000000-0008-0000-0300-000026000000}"/>
            </a:ext>
          </a:extLst>
        </xdr:cNvPr>
        <xdr:cNvSpPr/>
      </xdr:nvSpPr>
      <xdr:spPr>
        <a:xfrm>
          <a:off x="8153394" y="922864"/>
          <a:ext cx="2650073" cy="804332"/>
        </a:xfrm>
        <a:prstGeom prst="roundRect">
          <a:avLst/>
        </a:prstGeom>
        <a:solidFill>
          <a:schemeClr val="bg1"/>
        </a:solidFill>
        <a:ln>
          <a:solidFill>
            <a:schemeClr val="bg2">
              <a:lumMod val="75000"/>
            </a:schemeClr>
          </a:solidFill>
        </a:ln>
        <a:effectLst>
          <a:outerShdw blurRad="292100" dist="127000" dir="5400000" sx="95000" sy="95000" algn="tl" rotWithShape="0">
            <a:prstClr val="black">
              <a:alpha val="1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twoCellAnchor>
    <xdr:from>
      <xdr:col>32</xdr:col>
      <xdr:colOff>661186</xdr:colOff>
      <xdr:row>4</xdr:row>
      <xdr:rowOff>119138</xdr:rowOff>
    </xdr:from>
    <xdr:to>
      <xdr:col>35</xdr:col>
      <xdr:colOff>484907</xdr:colOff>
      <xdr:row>6</xdr:row>
      <xdr:rowOff>39610</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8281186" y="974271"/>
          <a:ext cx="2092788" cy="293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b="1"/>
            <a:t>Period Tracking Balance</a:t>
          </a:r>
        </a:p>
      </xdr:txBody>
    </xdr:sp>
    <xdr:clientData/>
  </xdr:twoCellAnchor>
  <xdr:twoCellAnchor>
    <xdr:from>
      <xdr:col>32</xdr:col>
      <xdr:colOff>677921</xdr:colOff>
      <xdr:row>6</xdr:row>
      <xdr:rowOff>54423</xdr:rowOff>
    </xdr:from>
    <xdr:to>
      <xdr:col>34</xdr:col>
      <xdr:colOff>668867</xdr:colOff>
      <xdr:row>8</xdr:row>
      <xdr:rowOff>61075</xdr:rowOff>
    </xdr:to>
    <xdr:sp macro="" textlink="">
      <xdr:nvSpPr>
        <xdr:cNvPr id="40" name="TextBox 39">
          <a:extLst>
            <a:ext uri="{FF2B5EF4-FFF2-40B4-BE49-F238E27FC236}">
              <a16:creationId xmlns:a16="http://schemas.microsoft.com/office/drawing/2014/main" id="{00000000-0008-0000-0300-000028000000}"/>
            </a:ext>
          </a:extLst>
        </xdr:cNvPr>
        <xdr:cNvSpPr txBox="1"/>
      </xdr:nvSpPr>
      <xdr:spPr>
        <a:xfrm>
          <a:off x="8297921" y="1282090"/>
          <a:ext cx="1074679" cy="379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ea typeface="Calibri"/>
              <a:cs typeface="Calibri"/>
            </a:rPr>
            <a:t>You are saving</a:t>
          </a:r>
        </a:p>
      </xdr:txBody>
    </xdr:sp>
    <xdr:clientData/>
  </xdr:twoCellAnchor>
  <xdr:twoCellAnchor>
    <xdr:from>
      <xdr:col>34</xdr:col>
      <xdr:colOff>526643</xdr:colOff>
      <xdr:row>6</xdr:row>
      <xdr:rowOff>54423</xdr:rowOff>
    </xdr:from>
    <xdr:to>
      <xdr:col>35</xdr:col>
      <xdr:colOff>156038</xdr:colOff>
      <xdr:row>8</xdr:row>
      <xdr:rowOff>43841</xdr:rowOff>
    </xdr:to>
    <xdr:sp macro="" textlink="Calculations!E27">
      <xdr:nvSpPr>
        <xdr:cNvPr id="41" name="TextBox 40">
          <a:extLst>
            <a:ext uri="{FF2B5EF4-FFF2-40B4-BE49-F238E27FC236}">
              <a16:creationId xmlns:a16="http://schemas.microsoft.com/office/drawing/2014/main" id="{00000000-0008-0000-0300-000029000000}"/>
            </a:ext>
          </a:extLst>
        </xdr:cNvPr>
        <xdr:cNvSpPr txBox="1"/>
      </xdr:nvSpPr>
      <xdr:spPr>
        <a:xfrm>
          <a:off x="9230376" y="1282090"/>
          <a:ext cx="814729" cy="361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39557A-9A79-4516-8759-8E718B5CD5F8}" type="TxLink">
            <a:rPr lang="en-US" sz="1200" b="1" i="0" u="none" strike="noStrike">
              <a:solidFill>
                <a:srgbClr val="0066FF"/>
              </a:solidFill>
              <a:latin typeface="Calibri"/>
              <a:ea typeface="Calibri"/>
              <a:cs typeface="Calibri"/>
            </a:rPr>
            <a:pPr/>
            <a:t>20%</a:t>
          </a:fld>
          <a:endParaRPr lang="es-ES" sz="1800" b="1">
            <a:solidFill>
              <a:srgbClr val="0066FF"/>
            </a:solidFill>
          </a:endParaRPr>
        </a:p>
      </xdr:txBody>
    </xdr:sp>
    <xdr:clientData/>
  </xdr:twoCellAnchor>
  <xdr:twoCellAnchor>
    <xdr:from>
      <xdr:col>34</xdr:col>
      <xdr:colOff>889584</xdr:colOff>
      <xdr:row>6</xdr:row>
      <xdr:rowOff>54423</xdr:rowOff>
    </xdr:from>
    <xdr:to>
      <xdr:col>36</xdr:col>
      <xdr:colOff>93129</xdr:colOff>
      <xdr:row>8</xdr:row>
      <xdr:rowOff>61075</xdr:rowOff>
    </xdr:to>
    <xdr:sp macro="" textlink="">
      <xdr:nvSpPr>
        <xdr:cNvPr id="42" name="TextBox 41">
          <a:extLst>
            <a:ext uri="{FF2B5EF4-FFF2-40B4-BE49-F238E27FC236}">
              <a16:creationId xmlns:a16="http://schemas.microsoft.com/office/drawing/2014/main" id="{00000000-0008-0000-0300-00002A000000}"/>
            </a:ext>
          </a:extLst>
        </xdr:cNvPr>
        <xdr:cNvSpPr txBox="1"/>
      </xdr:nvSpPr>
      <xdr:spPr>
        <a:xfrm>
          <a:off x="9593317" y="1282090"/>
          <a:ext cx="1074679" cy="379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rgbClr val="000000"/>
              </a:solidFill>
              <a:latin typeface="Calibri"/>
              <a:ea typeface="Calibri"/>
              <a:cs typeface="Calibri"/>
            </a:rPr>
            <a:t>of your income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285750</xdr:colOff>
      <xdr:row>39</xdr:row>
      <xdr:rowOff>95250</xdr:rowOff>
    </xdr:from>
    <xdr:to>
      <xdr:col>15</xdr:col>
      <xdr:colOff>923925</xdr:colOff>
      <xdr:row>52</xdr:row>
      <xdr:rowOff>133350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60960</xdr:colOff>
          <xdr:row>48</xdr:row>
          <xdr:rowOff>182880</xdr:rowOff>
        </xdr:from>
        <xdr:to>
          <xdr:col>5</xdr:col>
          <xdr:colOff>815340</xdr:colOff>
          <xdr:row>50</xdr:row>
          <xdr:rowOff>22860</xdr:rowOff>
        </xdr:to>
        <xdr:sp macro="" textlink="">
          <xdr:nvSpPr>
            <xdr:cNvPr id="5121" name="Check Box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Income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xdr:colOff>
          <xdr:row>49</xdr:row>
          <xdr:rowOff>167640</xdr:rowOff>
        </xdr:from>
        <xdr:to>
          <xdr:col>5</xdr:col>
          <xdr:colOff>815340</xdr:colOff>
          <xdr:row>51</xdr:row>
          <xdr:rowOff>7620</xdr:rowOff>
        </xdr:to>
        <xdr:sp macro="" textlink="">
          <xdr:nvSpPr>
            <xdr:cNvPr id="5123" name="Check Box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Expenses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xdr:colOff>
          <xdr:row>50</xdr:row>
          <xdr:rowOff>160020</xdr:rowOff>
        </xdr:from>
        <xdr:to>
          <xdr:col>5</xdr:col>
          <xdr:colOff>815340</xdr:colOff>
          <xdr:row>52</xdr:row>
          <xdr:rowOff>0</xdr:rowOff>
        </xdr:to>
        <xdr:sp macro="" textlink="">
          <xdr:nvSpPr>
            <xdr:cNvPr id="5124" name="Check Box 4" hidden="1">
              <a:extLst>
                <a:ext uri="{63B3BB69-23CF-44E3-9099-C40C66FF867C}">
                  <a14:compatExt spid="_x0000_s5124"/>
                </a:ext>
                <a:ext uri="{FF2B5EF4-FFF2-40B4-BE49-F238E27FC236}">
                  <a16:creationId xmlns:a16="http://schemas.microsoft.com/office/drawing/2014/main" id="{00000000-0008-0000-0400-00000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Savings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60960</xdr:colOff>
          <xdr:row>51</xdr:row>
          <xdr:rowOff>152400</xdr:rowOff>
        </xdr:from>
        <xdr:to>
          <xdr:col>5</xdr:col>
          <xdr:colOff>815340</xdr:colOff>
          <xdr:row>52</xdr:row>
          <xdr:rowOff>175260</xdr:rowOff>
        </xdr:to>
        <xdr:sp macro="" textlink="">
          <xdr:nvSpPr>
            <xdr:cNvPr id="5125" name="Check Box 5" hidden="1">
              <a:extLst>
                <a:ext uri="{63B3BB69-23CF-44E3-9099-C40C66FF867C}">
                  <a14:compatExt spid="_x0000_s5125"/>
                </a:ext>
                <a:ext uri="{FF2B5EF4-FFF2-40B4-BE49-F238E27FC236}">
                  <a16:creationId xmlns:a16="http://schemas.microsoft.com/office/drawing/2014/main" id="{00000000-0008-0000-0400-00000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7432" rIns="0" bIns="27432" anchor="ctr" upright="1"/>
            <a:lstStyle/>
            <a:p>
              <a:pPr algn="l" rtl="0">
                <a:defRPr sz="1000"/>
              </a:pPr>
              <a:r>
                <a:rPr lang="es-ES" sz="800" b="0" i="0" u="none" strike="noStrike" baseline="0">
                  <a:solidFill>
                    <a:srgbClr val="000000"/>
                  </a:solidFill>
                  <a:latin typeface="Segoe UI"/>
                  <a:cs typeface="Segoe UI"/>
                </a:rPr>
                <a:t>Budget</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78B6B1-28B2-4C87-B804-CD4270221FF5}" name="Income" displayName="Income" ref="C9:C13" totalsRowShown="0" headerRowDxfId="64" dataDxfId="63">
  <autoFilter ref="C9:C13" xr:uid="{EA78B6B1-28B2-4C87-B804-CD4270221FF5}">
    <filterColumn colId="0" hiddenButton="1"/>
  </autoFilter>
  <tableColumns count="1">
    <tableColumn id="1" xr3:uid="{C48BDD70-2789-4D8E-8981-84CE29BCFFB2}" name="Income" dataDxfId="62"/>
  </tableColumns>
  <tableStyleInfo name="Income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ADA1D05-AB1C-483B-A596-9126128AFEFA}" name="Expenses" displayName="Expenses" ref="C22:C29" totalsRowShown="0" headerRowDxfId="61" dataDxfId="60">
  <autoFilter ref="C22:C29" xr:uid="{FADA1D05-AB1C-483B-A596-9126128AFEFA}">
    <filterColumn colId="0" hiddenButton="1"/>
  </autoFilter>
  <tableColumns count="1">
    <tableColumn id="1" xr3:uid="{C8D15F47-EA19-410B-A42D-0C8268552B8C}" name="Expenses" dataDxfId="59"/>
  </tableColumns>
  <tableStyleInfo name="Expenses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082884-0C1A-4971-A949-212663BF2DFB}" name="Savings" displayName="Savings" ref="C38:C42" totalsRowShown="0" headerRowDxfId="58" dataDxfId="57">
  <autoFilter ref="C38:C42" xr:uid="{DA082884-0C1A-4971-A949-212663BF2DFB}">
    <filterColumn colId="0" hiddenButton="1"/>
  </autoFilter>
  <tableColumns count="1">
    <tableColumn id="1" xr3:uid="{62EEB825-F1E3-4D61-8881-DDFB30C00686}" name="Savings" dataDxfId="56"/>
  </tableColumns>
  <tableStyleInfo name="Savings Table 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CCEC191-B06B-48D4-810C-16A461FB3E09}" name="Tracking" displayName="Tracking" ref="C11:I34" totalsRowShown="0" headerRowDxfId="55" dataDxfId="54">
  <autoFilter ref="C11:I34" xr:uid="{5CCEC191-B06B-48D4-810C-16A461FB3E09}"/>
  <tableColumns count="7">
    <tableColumn id="1" xr3:uid="{78BC240A-5B1D-4F42-AABD-77797547278A}" name="Date" dataDxfId="53"/>
    <tableColumn id="2" xr3:uid="{44BCE967-7B1F-4916-8204-4B17B84609AA}" name="Type" dataDxfId="52"/>
    <tableColumn id="3" xr3:uid="{A211BE4A-8CAF-49BC-93B3-3670CEA347DF}" name="Category" dataDxfId="51"/>
    <tableColumn id="4" xr3:uid="{EE7B8114-4217-48B1-9994-055D7C5698F1}" name="Amount" dataDxfId="50" dataCellStyle="Comma"/>
    <tableColumn id="5" xr3:uid="{2B39077F-CEAA-4488-8745-6B1EC7580402}" name="Details" dataDxfId="49"/>
    <tableColumn id="6" xr3:uid="{C3D0698C-F5C7-499A-B439-564C57EB1F37}" name="Balance" dataDxfId="48" dataCellStyle="Comma">
      <calculatedColumnFormula>SUMPRODUCT(Tracking[Amount], --(Tracking[Date]&lt;=Tracking[[#This Row],[Date]]), (Tracking[Type]&lt;&gt;"Income")*(-1)+(Tracking[Type]="Income"))</calculatedColumnFormula>
    </tableColumn>
    <tableColumn id="7" xr3:uid="{57663A78-3FE6-4518-8C61-8807CB97B70E}" name="Effective Date" dataDxfId="47">
      <calculatedColumnFormula>IF(AND(Tracking[[#This Row],[Type]]="Income", shift_late_income_status="Active", DAY(Tracking[[#This Row],[Date]])&gt;=shift_late_income_starting_date), DATE(YEAR(Tracking[[#This Row],[Date]]), MONTH(Tracking[[#This Row],[Date]])+1, 1), Tracking[[#This Row],[Date]])</calculatedColumnFormula>
    </tableColumn>
  </tableColumns>
  <tableStyleInfo name="Tracking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8.x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Z26"/>
  <sheetViews>
    <sheetView showGridLines="0" topLeftCell="A7" workbookViewId="0">
      <selection activeCell="E22" sqref="E22"/>
    </sheetView>
  </sheetViews>
  <sheetFormatPr defaultRowHeight="14.4" x14ac:dyDescent="0.3"/>
  <cols>
    <col min="3" max="3" width="2.6640625" customWidth="1"/>
    <col min="4" max="4" width="28.33203125" bestFit="1" customWidth="1"/>
    <col min="5" max="5" width="26.109375" customWidth="1"/>
    <col min="6" max="6" width="6.88671875" customWidth="1"/>
    <col min="7" max="7" width="61.6640625" customWidth="1"/>
    <col min="8" max="8" width="2.6640625" customWidth="1"/>
  </cols>
  <sheetData>
    <row r="1" spans="1:26" x14ac:dyDescent="0.3">
      <c r="A1" s="1"/>
      <c r="B1" s="1"/>
      <c r="C1" s="1"/>
      <c r="D1" s="1"/>
      <c r="E1" s="1"/>
      <c r="F1" s="1"/>
      <c r="G1" s="1"/>
      <c r="H1" s="1"/>
      <c r="I1" s="1"/>
      <c r="J1" s="1"/>
      <c r="K1" s="1"/>
      <c r="L1" s="1"/>
      <c r="M1" s="1"/>
      <c r="N1" s="1"/>
      <c r="O1" s="1"/>
      <c r="P1" s="1"/>
      <c r="Q1" s="1"/>
      <c r="R1" s="1"/>
      <c r="S1" s="1"/>
      <c r="T1" s="1"/>
      <c r="U1" s="1"/>
      <c r="V1" s="1"/>
      <c r="W1" s="1"/>
      <c r="X1" s="1"/>
      <c r="Y1" s="1"/>
      <c r="Z1" s="1"/>
    </row>
    <row r="2" spans="1:26" ht="23.4" x14ac:dyDescent="0.45">
      <c r="A2" s="1"/>
      <c r="B2" s="1"/>
      <c r="C2" s="2" t="s">
        <v>0</v>
      </c>
      <c r="D2" s="1"/>
      <c r="E2" s="1"/>
      <c r="F2" s="1"/>
      <c r="G2" s="1"/>
      <c r="H2" s="1"/>
      <c r="I2" s="1"/>
      <c r="J2" s="1"/>
      <c r="K2" s="1"/>
      <c r="L2" s="1"/>
      <c r="M2" s="1"/>
      <c r="N2" s="1"/>
      <c r="O2" s="1"/>
      <c r="P2" s="1"/>
      <c r="Q2" s="1"/>
      <c r="R2" s="1"/>
      <c r="S2" s="1"/>
      <c r="T2" s="1"/>
      <c r="U2" s="1"/>
      <c r="V2" s="1"/>
      <c r="W2" s="1"/>
      <c r="X2" s="1"/>
      <c r="Y2" s="1"/>
      <c r="Z2" s="1"/>
    </row>
    <row r="3" spans="1:26" x14ac:dyDescent="0.3">
      <c r="A3" s="1"/>
      <c r="B3" s="1"/>
      <c r="C3" s="1"/>
      <c r="D3" s="1"/>
      <c r="E3" s="1"/>
      <c r="F3" s="1"/>
      <c r="G3" s="1"/>
      <c r="H3" s="1"/>
      <c r="I3" s="1"/>
      <c r="J3" s="1"/>
      <c r="K3" s="1"/>
      <c r="L3" s="1"/>
      <c r="M3" s="1"/>
      <c r="N3" s="1"/>
      <c r="O3" s="1"/>
      <c r="P3" s="1"/>
      <c r="Q3" s="1"/>
      <c r="R3" s="1"/>
      <c r="S3" s="1"/>
      <c r="T3" s="1"/>
      <c r="U3" s="1"/>
      <c r="V3" s="1"/>
      <c r="W3" s="1"/>
      <c r="X3" s="1"/>
      <c r="Y3" s="1"/>
      <c r="Z3" s="1"/>
    </row>
    <row r="6" spans="1:26" x14ac:dyDescent="0.3">
      <c r="C6" s="127" t="s">
        <v>1</v>
      </c>
      <c r="D6" s="127"/>
      <c r="E6" s="127"/>
      <c r="F6" s="127"/>
      <c r="G6" s="127"/>
      <c r="H6" s="127"/>
    </row>
    <row r="7" spans="1:26" x14ac:dyDescent="0.3">
      <c r="C7" s="3"/>
      <c r="H7" s="4"/>
    </row>
    <row r="8" spans="1:26" x14ac:dyDescent="0.3">
      <c r="C8" s="3"/>
      <c r="D8" s="124" t="s">
        <v>2</v>
      </c>
      <c r="E8" s="9">
        <v>2023</v>
      </c>
      <c r="G8" s="10" t="s">
        <v>3</v>
      </c>
      <c r="H8" s="4"/>
    </row>
    <row r="9" spans="1:26" x14ac:dyDescent="0.3">
      <c r="C9" s="5"/>
      <c r="D9" s="6"/>
      <c r="E9" s="6"/>
      <c r="F9" s="6"/>
      <c r="G9" s="6"/>
      <c r="H9" s="7"/>
    </row>
    <row r="12" spans="1:26" x14ac:dyDescent="0.3">
      <c r="C12" s="127" t="s">
        <v>41</v>
      </c>
      <c r="D12" s="127"/>
      <c r="E12" s="127"/>
      <c r="F12" s="127"/>
      <c r="G12" s="127"/>
      <c r="H12" s="127"/>
    </row>
    <row r="13" spans="1:26" x14ac:dyDescent="0.3">
      <c r="C13" s="3"/>
      <c r="H13" s="4"/>
    </row>
    <row r="14" spans="1:26" x14ac:dyDescent="0.3">
      <c r="C14" s="3"/>
      <c r="D14" s="39" t="s">
        <v>36</v>
      </c>
      <c r="H14" s="4"/>
    </row>
    <row r="15" spans="1:26" x14ac:dyDescent="0.3">
      <c r="C15" s="3"/>
      <c r="H15" s="4"/>
    </row>
    <row r="16" spans="1:26" x14ac:dyDescent="0.3">
      <c r="C16" s="3"/>
      <c r="D16" s="124" t="s">
        <v>38</v>
      </c>
      <c r="E16" s="9" t="s">
        <v>37</v>
      </c>
      <c r="G16" s="128" t="s">
        <v>40</v>
      </c>
      <c r="H16" s="4"/>
    </row>
    <row r="17" spans="3:8" x14ac:dyDescent="0.3">
      <c r="C17" s="29"/>
      <c r="G17" s="128"/>
      <c r="H17" s="30"/>
    </row>
    <row r="18" spans="3:8" ht="19.5" customHeight="1" x14ac:dyDescent="0.3">
      <c r="C18" s="29"/>
      <c r="D18" s="124" t="s">
        <v>39</v>
      </c>
      <c r="E18" s="9">
        <v>20</v>
      </c>
      <c r="G18" s="128"/>
      <c r="H18" s="30"/>
    </row>
    <row r="19" spans="3:8" x14ac:dyDescent="0.3">
      <c r="C19" s="29"/>
      <c r="H19" s="30"/>
    </row>
    <row r="20" spans="3:8" x14ac:dyDescent="0.3">
      <c r="C20" s="29"/>
      <c r="D20" s="39" t="s">
        <v>113</v>
      </c>
      <c r="H20" s="30"/>
    </row>
    <row r="21" spans="3:8" x14ac:dyDescent="0.3">
      <c r="C21" s="29"/>
      <c r="H21" s="30"/>
    </row>
    <row r="22" spans="3:8" x14ac:dyDescent="0.3">
      <c r="C22" s="29"/>
      <c r="D22" s="124" t="s">
        <v>114</v>
      </c>
      <c r="E22" s="125" t="s">
        <v>115</v>
      </c>
      <c r="G22" s="128" t="s">
        <v>116</v>
      </c>
      <c r="H22" s="30"/>
    </row>
    <row r="23" spans="3:8" x14ac:dyDescent="0.3">
      <c r="C23" s="29"/>
      <c r="D23" s="124"/>
      <c r="G23" s="128"/>
      <c r="H23" s="4"/>
    </row>
    <row r="24" spans="3:8" x14ac:dyDescent="0.3">
      <c r="C24" s="29"/>
      <c r="G24" s="128"/>
      <c r="H24" s="30"/>
    </row>
    <row r="25" spans="3:8" x14ac:dyDescent="0.3">
      <c r="C25" s="29"/>
      <c r="G25" s="61"/>
      <c r="H25" s="30"/>
    </row>
    <row r="26" spans="3:8" x14ac:dyDescent="0.3">
      <c r="C26" s="31"/>
      <c r="D26" s="32"/>
      <c r="E26" s="32"/>
      <c r="F26" s="32"/>
      <c r="G26" s="32"/>
      <c r="H26" s="33"/>
    </row>
  </sheetData>
  <mergeCells count="4">
    <mergeCell ref="C6:H6"/>
    <mergeCell ref="C12:H12"/>
    <mergeCell ref="G16:G18"/>
    <mergeCell ref="G22:G24"/>
  </mergeCells>
  <conditionalFormatting sqref="E18">
    <cfRule type="expression" dxfId="46" priority="1">
      <formula>shift_late_income_status="inactive"</formula>
    </cfRule>
  </conditionalFormatting>
  <dataValidations count="2">
    <dataValidation type="list" allowBlank="1" showInputMessage="1" showErrorMessage="1" sqref="E16" xr:uid="{9C1B8F2F-E219-4ED3-8DAA-156E681492DB}">
      <formula1>"Active, Inactive"</formula1>
    </dataValidation>
    <dataValidation type="list" allowBlank="1" showInputMessage="1" showErrorMessage="1" sqref="E22" xr:uid="{9C8440EA-F414-4593-8F0D-6A7A4D05424B}">
      <formula1>"% allocated to Savings, % not allocated to Expenses"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F3316-5C8F-444E-AEC6-DC59CD0CF5DF}">
  <sheetPr>
    <tabColor theme="0"/>
  </sheetPr>
  <dimension ref="A1:AS49"/>
  <sheetViews>
    <sheetView showGridLines="0" topLeftCell="A9" workbookViewId="0">
      <pane xSplit="4" topLeftCell="E1" activePane="topRight" state="frozen"/>
      <selection activeCell="D24" sqref="D24"/>
      <selection pane="topRight" activeCell="C51" sqref="C51"/>
    </sheetView>
  </sheetViews>
  <sheetFormatPr defaultRowHeight="14.4" outlineLevelCol="1" x14ac:dyDescent="0.3"/>
  <cols>
    <col min="3" max="3" width="26.5546875" customWidth="1"/>
    <col min="4" max="4" width="2.44140625" customWidth="1"/>
    <col min="5" max="16" width="10.6640625" customWidth="1" outlineLevel="1"/>
    <col min="18" max="18" width="4" customWidth="1"/>
    <col min="19" max="30" width="10.6640625" hidden="1" customWidth="1" outlineLevel="1"/>
    <col min="31" max="31" width="9.109375" collapsed="1"/>
    <col min="32" max="32" width="4" customWidth="1"/>
    <col min="33" max="44" width="10.6640625" hidden="1" customWidth="1" outlineLevel="1"/>
    <col min="45" max="45" width="9.109375" collapsed="1"/>
  </cols>
  <sheetData>
    <row r="1" spans="1:45"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row>
    <row r="2" spans="1:45" ht="23.4" x14ac:dyDescent="0.45">
      <c r="A2" s="1"/>
      <c r="B2" s="1"/>
      <c r="C2" s="2" t="s">
        <v>4</v>
      </c>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row>
    <row r="3" spans="1:45"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row>
    <row r="5" spans="1:45" x14ac:dyDescent="0.3">
      <c r="C5" s="11" t="s">
        <v>19</v>
      </c>
      <c r="E5" s="129">
        <f>starting_year</f>
        <v>2023</v>
      </c>
      <c r="F5" s="129"/>
      <c r="G5" s="129"/>
      <c r="H5" s="129"/>
      <c r="I5" s="129"/>
      <c r="J5" s="129"/>
      <c r="K5" s="129"/>
      <c r="L5" s="129"/>
      <c r="M5" s="129"/>
      <c r="N5" s="129"/>
      <c r="O5" s="129"/>
      <c r="P5" s="129"/>
      <c r="Q5" s="129"/>
      <c r="S5" s="129">
        <f>E5+1</f>
        <v>2024</v>
      </c>
      <c r="T5" s="129"/>
      <c r="U5" s="129"/>
      <c r="V5" s="129"/>
      <c r="W5" s="129"/>
      <c r="X5" s="129"/>
      <c r="Y5" s="129"/>
      <c r="Z5" s="129"/>
      <c r="AA5" s="129"/>
      <c r="AB5" s="129"/>
      <c r="AC5" s="129"/>
      <c r="AD5" s="129"/>
      <c r="AE5" s="129"/>
      <c r="AG5" s="129">
        <f>S5+1</f>
        <v>2025</v>
      </c>
      <c r="AH5" s="129"/>
      <c r="AI5" s="129"/>
      <c r="AJ5" s="129"/>
      <c r="AK5" s="129"/>
      <c r="AL5" s="129"/>
      <c r="AM5" s="129"/>
      <c r="AN5" s="129"/>
      <c r="AO5" s="129"/>
      <c r="AP5" s="129"/>
      <c r="AQ5" s="129"/>
      <c r="AR5" s="129"/>
      <c r="AS5" s="129"/>
    </row>
    <row r="6" spans="1:45" x14ac:dyDescent="0.3">
      <c r="E6" s="27" t="str">
        <f ca="1">IF(E7=0,"Ene ✔","Ene")</f>
        <v>Ene</v>
      </c>
      <c r="F6" s="27" t="str">
        <f ca="1">IF(F7=0,"Feb ✔","Feb")</f>
        <v>Feb</v>
      </c>
      <c r="G6" s="27" t="str">
        <f ca="1">IF(G7=0,"Mar ✔","Mar")</f>
        <v>Mar ✔</v>
      </c>
      <c r="H6" s="27" t="str">
        <f ca="1">IF(H7=0,"Abr ✔","Abr")</f>
        <v>Abr</v>
      </c>
      <c r="I6" s="27" t="str">
        <f ca="1">IF(I7=0,"May ✔","May")</f>
        <v>May</v>
      </c>
      <c r="J6" s="27" t="str">
        <f ca="1">IF(J7=0,"Jun ✔","Jun")</f>
        <v>Jun ✔</v>
      </c>
      <c r="K6" s="27" t="str">
        <f ca="1">IF(K7=0,"Jul ✔","Jul")</f>
        <v>Jul</v>
      </c>
      <c r="L6" s="27" t="str">
        <f ca="1">IF(L7=0,"Ago ✔","Ago")</f>
        <v>Ago</v>
      </c>
      <c r="M6" s="27" t="str">
        <f ca="1">IF(M7=0,"Sep ✔","Sep")</f>
        <v>Sep ✔</v>
      </c>
      <c r="N6" s="27" t="str">
        <f ca="1">IF(N7=0,"Oct ✔","Oct")</f>
        <v>Oct</v>
      </c>
      <c r="O6" s="27" t="str">
        <f ca="1">IF(O7=0,"Nov ✔","Nov")</f>
        <v>Nov</v>
      </c>
      <c r="P6" s="27" t="str">
        <f ca="1">IF(P7=0,"Dic ✔","Dic")</f>
        <v>Dic ✔</v>
      </c>
      <c r="Q6" s="27" t="str">
        <f ca="1">IF(Q7=0,"Total ✔","Total")</f>
        <v>Total</v>
      </c>
      <c r="S6" s="27" t="str">
        <f ca="1">IF(S7=0,"Ene ✔","Ene")</f>
        <v>Ene ✔</v>
      </c>
      <c r="T6" s="27" t="str">
        <f ca="1">IF(T7=0,"Feb ✔","Feb")</f>
        <v>Feb ✔</v>
      </c>
      <c r="U6" s="27" t="str">
        <f ca="1">IF(U7=0,"Mar ✔","Mar")</f>
        <v>Mar ✔</v>
      </c>
      <c r="V6" s="27" t="str">
        <f ca="1">IF(V7=0,"Abr ✔","Abr")</f>
        <v>Abr ✔</v>
      </c>
      <c r="W6" s="27" t="str">
        <f ca="1">IF(W7=0,"May ✔","May")</f>
        <v>May ✔</v>
      </c>
      <c r="X6" s="27" t="str">
        <f ca="1">IF(X7=0,"Jun ✔","Jun")</f>
        <v>Jun ✔</v>
      </c>
      <c r="Y6" s="27" t="str">
        <f ca="1">IF(Y7=0,"Jul ✔","Jul")</f>
        <v>Jul ✔</v>
      </c>
      <c r="Z6" s="27" t="str">
        <f ca="1">IF(Z7=0,"Ago ✔","Ago")</f>
        <v>Ago ✔</v>
      </c>
      <c r="AA6" s="27" t="str">
        <f ca="1">IF(AA7=0,"Sep ✔","Sep")</f>
        <v>Sep ✔</v>
      </c>
      <c r="AB6" s="27" t="str">
        <f ca="1">IF(AB7=0,"Oct ✔","Oct")</f>
        <v>Oct ✔</v>
      </c>
      <c r="AC6" s="27" t="str">
        <f ca="1">IF(AC7=0,"Nov ✔","Nov")</f>
        <v>Nov ✔</v>
      </c>
      <c r="AD6" s="27" t="str">
        <f ca="1">IF(AD7=0,"Dic ✔","Dic")</f>
        <v>Dic ✔</v>
      </c>
      <c r="AE6" s="27" t="str">
        <f ca="1">IF(AE7=0,"Total ✔","Total")</f>
        <v>Total ✔</v>
      </c>
      <c r="AG6" s="27" t="str">
        <f ca="1">IF(AG7=0,"Ene ✔","Ene")</f>
        <v>Ene ✔</v>
      </c>
      <c r="AH6" s="27" t="str">
        <f ca="1">IF(AH7=0,"Feb ✔","Feb")</f>
        <v>Feb ✔</v>
      </c>
      <c r="AI6" s="27" t="str">
        <f ca="1">IF(AI7=0,"Mar ✔","Mar")</f>
        <v>Mar ✔</v>
      </c>
      <c r="AJ6" s="27" t="str">
        <f ca="1">IF(AJ7=0,"Abr ✔","Abr")</f>
        <v>Abr ✔</v>
      </c>
      <c r="AK6" s="27" t="str">
        <f ca="1">IF(AK7=0,"May ✔","May")</f>
        <v>May ✔</v>
      </c>
      <c r="AL6" s="27" t="str">
        <f ca="1">IF(AL7=0,"Jun ✔","Jun")</f>
        <v>Jun ✔</v>
      </c>
      <c r="AM6" s="27" t="str">
        <f ca="1">IF(AM7=0,"Jul ✔","Jul")</f>
        <v>Jul ✔</v>
      </c>
      <c r="AN6" s="27" t="str">
        <f ca="1">IF(AN7=0,"Ago ✔","Ago")</f>
        <v>Ago ✔</v>
      </c>
      <c r="AO6" s="27" t="str">
        <f ca="1">IF(AO7=0,"Sep ✔","Sep")</f>
        <v>Sep ✔</v>
      </c>
      <c r="AP6" s="27" t="str">
        <f ca="1">IF(AP7=0,"Oct ✔","Oct")</f>
        <v>Oct ✔</v>
      </c>
      <c r="AQ6" s="27" t="str">
        <f ca="1">IF(AQ7=0,"Nov ✔","Nov")</f>
        <v>Nov ✔</v>
      </c>
      <c r="AR6" s="27" t="str">
        <f ca="1">IF(AR7=0,"Dic ✔","Dic")</f>
        <v>Dic ✔</v>
      </c>
      <c r="AS6" s="27" t="str">
        <f ca="1">IF(AS7=0,"Total ✔","Total")</f>
        <v>Total ✔</v>
      </c>
    </row>
    <row r="7" spans="1:45" x14ac:dyDescent="0.3">
      <c r="C7" s="25" t="s">
        <v>25</v>
      </c>
      <c r="E7" s="26">
        <f ca="1">E20-(E36+E49)</f>
        <v>-50</v>
      </c>
      <c r="F7" s="26">
        <f ca="1">F20-(F36+F49)</f>
        <v>-50</v>
      </c>
      <c r="G7" s="26">
        <f t="shared" ref="G7:Q7" ca="1" si="0">G20-(G36+G49)</f>
        <v>0</v>
      </c>
      <c r="H7" s="26">
        <f t="shared" ca="1" si="0"/>
        <v>-50</v>
      </c>
      <c r="I7" s="26">
        <f t="shared" ca="1" si="0"/>
        <v>-50</v>
      </c>
      <c r="J7" s="26">
        <f t="shared" ca="1" si="0"/>
        <v>0</v>
      </c>
      <c r="K7" s="26">
        <f t="shared" ca="1" si="0"/>
        <v>-50</v>
      </c>
      <c r="L7" s="26">
        <f t="shared" ca="1" si="0"/>
        <v>-50</v>
      </c>
      <c r="M7" s="26">
        <f t="shared" ca="1" si="0"/>
        <v>0</v>
      </c>
      <c r="N7" s="26">
        <f t="shared" ca="1" si="0"/>
        <v>-50</v>
      </c>
      <c r="O7" s="26">
        <f t="shared" ca="1" si="0"/>
        <v>-50</v>
      </c>
      <c r="P7" s="26">
        <f t="shared" ca="1" si="0"/>
        <v>0</v>
      </c>
      <c r="Q7" s="26">
        <f t="shared" ca="1" si="0"/>
        <v>-400</v>
      </c>
      <c r="S7" s="26">
        <f ca="1">S20-(S36+S49)</f>
        <v>0</v>
      </c>
      <c r="T7" s="26">
        <f t="shared" ref="T7:AE7" ca="1" si="1">T20-(T36+T49)</f>
        <v>0</v>
      </c>
      <c r="U7" s="26">
        <f t="shared" ca="1" si="1"/>
        <v>0</v>
      </c>
      <c r="V7" s="26">
        <f t="shared" ca="1" si="1"/>
        <v>0</v>
      </c>
      <c r="W7" s="26">
        <f t="shared" ca="1" si="1"/>
        <v>0</v>
      </c>
      <c r="X7" s="26">
        <f t="shared" ca="1" si="1"/>
        <v>0</v>
      </c>
      <c r="Y7" s="26">
        <f t="shared" ca="1" si="1"/>
        <v>0</v>
      </c>
      <c r="Z7" s="26">
        <f t="shared" ca="1" si="1"/>
        <v>0</v>
      </c>
      <c r="AA7" s="26">
        <f t="shared" ca="1" si="1"/>
        <v>0</v>
      </c>
      <c r="AB7" s="26">
        <f t="shared" ca="1" si="1"/>
        <v>0</v>
      </c>
      <c r="AC7" s="26">
        <f t="shared" ca="1" si="1"/>
        <v>0</v>
      </c>
      <c r="AD7" s="26">
        <f t="shared" ca="1" si="1"/>
        <v>0</v>
      </c>
      <c r="AE7" s="26">
        <f t="shared" ca="1" si="1"/>
        <v>0</v>
      </c>
      <c r="AG7" s="26">
        <f ca="1">AG20-(AG36+AG49)</f>
        <v>0</v>
      </c>
      <c r="AH7" s="26">
        <f t="shared" ref="AH7:AS7" ca="1" si="2">AH20-(AH36+AH49)</f>
        <v>0</v>
      </c>
      <c r="AI7" s="26">
        <f t="shared" ca="1" si="2"/>
        <v>0</v>
      </c>
      <c r="AJ7" s="26">
        <f t="shared" ca="1" si="2"/>
        <v>0</v>
      </c>
      <c r="AK7" s="26">
        <f t="shared" ca="1" si="2"/>
        <v>0</v>
      </c>
      <c r="AL7" s="26">
        <f t="shared" ca="1" si="2"/>
        <v>0</v>
      </c>
      <c r="AM7" s="26">
        <f t="shared" ca="1" si="2"/>
        <v>0</v>
      </c>
      <c r="AN7" s="26">
        <f t="shared" ca="1" si="2"/>
        <v>0</v>
      </c>
      <c r="AO7" s="26">
        <f t="shared" ca="1" si="2"/>
        <v>0</v>
      </c>
      <c r="AP7" s="26">
        <f t="shared" ca="1" si="2"/>
        <v>0</v>
      </c>
      <c r="AQ7" s="26">
        <f t="shared" ca="1" si="2"/>
        <v>0</v>
      </c>
      <c r="AR7" s="26">
        <f t="shared" ca="1" si="2"/>
        <v>0</v>
      </c>
      <c r="AS7" s="26">
        <f t="shared" ca="1" si="2"/>
        <v>0</v>
      </c>
    </row>
    <row r="9" spans="1:45" x14ac:dyDescent="0.3">
      <c r="C9" s="12" t="s">
        <v>5</v>
      </c>
      <c r="E9" s="15">
        <f>DATE(E$5,1,1)</f>
        <v>44927</v>
      </c>
      <c r="F9" s="15">
        <f>DATE(E$5,2,1)</f>
        <v>44958</v>
      </c>
      <c r="G9" s="15">
        <f>DATE(E$5,3,1)</f>
        <v>44986</v>
      </c>
      <c r="H9" s="15">
        <f>DATE(E$5,4,1)</f>
        <v>45017</v>
      </c>
      <c r="I9" s="15">
        <f>DATE(E$5,5,1)</f>
        <v>45047</v>
      </c>
      <c r="J9" s="15">
        <f>DATE(E$5,6,1)</f>
        <v>45078</v>
      </c>
      <c r="K9" s="15">
        <f>DATE(E$5,7,1)</f>
        <v>45108</v>
      </c>
      <c r="L9" s="15">
        <f>DATE(E$5,8,1)</f>
        <v>45139</v>
      </c>
      <c r="M9" s="15">
        <f>DATE(E$5,9,1)</f>
        <v>45170</v>
      </c>
      <c r="N9" s="15">
        <f>DATE(E$5,10,1)</f>
        <v>45200</v>
      </c>
      <c r="O9" s="15">
        <f>DATE(E$5,11,1)</f>
        <v>45231</v>
      </c>
      <c r="P9" s="15">
        <f>DATE(E$5,12,1)</f>
        <v>45261</v>
      </c>
      <c r="Q9" s="14">
        <f>E$5</f>
        <v>2023</v>
      </c>
      <c r="S9" s="15">
        <f>DATE(S$5,1,1)</f>
        <v>45292</v>
      </c>
      <c r="T9" s="15">
        <f>DATE(S$5,2,1)</f>
        <v>45323</v>
      </c>
      <c r="U9" s="15">
        <f>DATE(S$5,3,1)</f>
        <v>45352</v>
      </c>
      <c r="V9" s="15">
        <f>DATE(S$5,4,1)</f>
        <v>45383</v>
      </c>
      <c r="W9" s="15">
        <f>DATE(S$5,5,1)</f>
        <v>45413</v>
      </c>
      <c r="X9" s="15">
        <f>DATE(S$5,6,1)</f>
        <v>45444</v>
      </c>
      <c r="Y9" s="15">
        <f>DATE(S$5,7,1)</f>
        <v>45474</v>
      </c>
      <c r="Z9" s="15">
        <f>DATE(S$5,8,1)</f>
        <v>45505</v>
      </c>
      <c r="AA9" s="15">
        <f>DATE(S$5,9,1)</f>
        <v>45536</v>
      </c>
      <c r="AB9" s="15">
        <f>DATE(S$5,10,1)</f>
        <v>45566</v>
      </c>
      <c r="AC9" s="15">
        <f>DATE(S$5,11,1)</f>
        <v>45597</v>
      </c>
      <c r="AD9" s="15">
        <f>DATE(S$5,12,1)</f>
        <v>45627</v>
      </c>
      <c r="AE9" s="14">
        <f>S$5</f>
        <v>2024</v>
      </c>
      <c r="AG9" s="15">
        <f>DATE(AG$5,1,1)</f>
        <v>45658</v>
      </c>
      <c r="AH9" s="15">
        <f>DATE(AG$5,2,1)</f>
        <v>45689</v>
      </c>
      <c r="AI9" s="15">
        <f>DATE(AG$5,3,1)</f>
        <v>45717</v>
      </c>
      <c r="AJ9" s="15">
        <f>DATE(AG$5,4,1)</f>
        <v>45748</v>
      </c>
      <c r="AK9" s="15">
        <f>DATE(AG$5,5,1)</f>
        <v>45778</v>
      </c>
      <c r="AL9" s="15">
        <f>DATE(AG$5,6,1)</f>
        <v>45809</v>
      </c>
      <c r="AM9" s="15">
        <f>DATE(AG$5,7,1)</f>
        <v>45839</v>
      </c>
      <c r="AN9" s="15">
        <f>DATE(AG$5,8,1)</f>
        <v>45870</v>
      </c>
      <c r="AO9" s="15">
        <f>DATE(AG$5,9,1)</f>
        <v>45901</v>
      </c>
      <c r="AP9" s="15">
        <f>DATE(AG$5,10,1)</f>
        <v>45931</v>
      </c>
      <c r="AQ9" s="15">
        <f>DATE(AG$5,11,1)</f>
        <v>45962</v>
      </c>
      <c r="AR9" s="15">
        <f>DATE(AG$5,12,1)</f>
        <v>45992</v>
      </c>
      <c r="AS9" s="14">
        <f>AG$5</f>
        <v>2025</v>
      </c>
    </row>
    <row r="10" spans="1:45" x14ac:dyDescent="0.3">
      <c r="C10" s="45" t="s">
        <v>8</v>
      </c>
      <c r="E10" s="17">
        <v>3500</v>
      </c>
      <c r="F10" s="17">
        <v>3500</v>
      </c>
      <c r="G10" s="17">
        <v>3500</v>
      </c>
      <c r="H10" s="17">
        <v>4500</v>
      </c>
      <c r="I10" s="17">
        <v>4500</v>
      </c>
      <c r="J10" s="17">
        <v>4500</v>
      </c>
      <c r="K10" s="17">
        <v>4500</v>
      </c>
      <c r="L10" s="17">
        <v>4500</v>
      </c>
      <c r="M10" s="17">
        <v>4500</v>
      </c>
      <c r="N10" s="17">
        <v>4500</v>
      </c>
      <c r="O10" s="17">
        <v>4500</v>
      </c>
      <c r="P10" s="17">
        <v>4500</v>
      </c>
      <c r="Q10" s="19">
        <f>SUM(E10:P10)</f>
        <v>51000</v>
      </c>
      <c r="S10" s="17"/>
      <c r="T10" s="17"/>
      <c r="U10" s="17"/>
      <c r="V10" s="17"/>
      <c r="W10" s="17"/>
      <c r="X10" s="17"/>
      <c r="Y10" s="17"/>
      <c r="Z10" s="17"/>
      <c r="AA10" s="17"/>
      <c r="AB10" s="17"/>
      <c r="AC10" s="17"/>
      <c r="AD10" s="17"/>
      <c r="AE10" s="19">
        <f>SUM(S10:AD10)</f>
        <v>0</v>
      </c>
      <c r="AG10" s="17"/>
      <c r="AH10" s="17"/>
      <c r="AI10" s="17"/>
      <c r="AJ10" s="17"/>
      <c r="AK10" s="17"/>
      <c r="AL10" s="17"/>
      <c r="AM10" s="17"/>
      <c r="AN10" s="17"/>
      <c r="AO10" s="17"/>
      <c r="AP10" s="17"/>
      <c r="AQ10" s="17"/>
      <c r="AR10" s="17"/>
      <c r="AS10" s="19">
        <f>SUM(AG10:AR10)</f>
        <v>0</v>
      </c>
    </row>
    <row r="11" spans="1:45" x14ac:dyDescent="0.3">
      <c r="C11" s="45" t="s">
        <v>9</v>
      </c>
      <c r="E11" s="17">
        <v>1000</v>
      </c>
      <c r="F11" s="17">
        <v>1000</v>
      </c>
      <c r="G11" s="17">
        <v>1000</v>
      </c>
      <c r="H11" s="17">
        <v>1000</v>
      </c>
      <c r="I11" s="17">
        <v>1000</v>
      </c>
      <c r="J11" s="17">
        <v>1000</v>
      </c>
      <c r="K11" s="17">
        <v>1000</v>
      </c>
      <c r="L11" s="17">
        <v>1000</v>
      </c>
      <c r="M11" s="17">
        <v>1000</v>
      </c>
      <c r="N11" s="17">
        <v>1000</v>
      </c>
      <c r="O11" s="17">
        <v>1000</v>
      </c>
      <c r="P11" s="17">
        <v>1000</v>
      </c>
      <c r="Q11" s="19">
        <f t="shared" ref="Q11:Q19" si="3">SUM(E11:P11)</f>
        <v>12000</v>
      </c>
      <c r="S11" s="17"/>
      <c r="T11" s="17"/>
      <c r="U11" s="17"/>
      <c r="V11" s="17"/>
      <c r="W11" s="17"/>
      <c r="X11" s="17"/>
      <c r="Y11" s="17"/>
      <c r="Z11" s="17"/>
      <c r="AA11" s="17"/>
      <c r="AB11" s="17"/>
      <c r="AC11" s="17"/>
      <c r="AD11" s="17"/>
      <c r="AE11" s="19">
        <f t="shared" ref="AE11:AE19" si="4">SUM(S11:AD11)</f>
        <v>0</v>
      </c>
      <c r="AG11" s="17"/>
      <c r="AH11" s="17"/>
      <c r="AI11" s="17"/>
      <c r="AJ11" s="17"/>
      <c r="AK11" s="17"/>
      <c r="AL11" s="17"/>
      <c r="AM11" s="17"/>
      <c r="AN11" s="17"/>
      <c r="AO11" s="17"/>
      <c r="AP11" s="17"/>
      <c r="AQ11" s="17"/>
      <c r="AR11" s="17"/>
      <c r="AS11" s="19">
        <f t="shared" ref="AS11:AS19" si="5">SUM(AG11:AR11)</f>
        <v>0</v>
      </c>
    </row>
    <row r="12" spans="1:45" x14ac:dyDescent="0.3">
      <c r="C12" s="45" t="s">
        <v>10</v>
      </c>
      <c r="E12" s="17">
        <v>150</v>
      </c>
      <c r="F12" s="17">
        <v>50</v>
      </c>
      <c r="G12" s="17">
        <v>100</v>
      </c>
      <c r="H12" s="17">
        <v>150</v>
      </c>
      <c r="I12" s="17">
        <v>50</v>
      </c>
      <c r="J12" s="17">
        <v>100</v>
      </c>
      <c r="K12" s="17">
        <v>150</v>
      </c>
      <c r="L12" s="17">
        <v>50</v>
      </c>
      <c r="M12" s="17">
        <v>100</v>
      </c>
      <c r="N12" s="17">
        <v>150</v>
      </c>
      <c r="O12" s="17">
        <v>50</v>
      </c>
      <c r="P12" s="17">
        <v>100</v>
      </c>
      <c r="Q12" s="19">
        <f t="shared" si="3"/>
        <v>1200</v>
      </c>
      <c r="S12" s="17"/>
      <c r="T12" s="17"/>
      <c r="U12" s="17"/>
      <c r="V12" s="17"/>
      <c r="W12" s="17"/>
      <c r="X12" s="17"/>
      <c r="Y12" s="17"/>
      <c r="Z12" s="17"/>
      <c r="AA12" s="17"/>
      <c r="AB12" s="17"/>
      <c r="AC12" s="17"/>
      <c r="AD12" s="17"/>
      <c r="AE12" s="19">
        <f t="shared" si="4"/>
        <v>0</v>
      </c>
      <c r="AG12" s="17"/>
      <c r="AH12" s="17"/>
      <c r="AI12" s="17"/>
      <c r="AJ12" s="17"/>
      <c r="AK12" s="17"/>
      <c r="AL12" s="17"/>
      <c r="AM12" s="17"/>
      <c r="AN12" s="17"/>
      <c r="AO12" s="17"/>
      <c r="AP12" s="17"/>
      <c r="AQ12" s="17"/>
      <c r="AR12" s="17"/>
      <c r="AS12" s="19">
        <f t="shared" si="5"/>
        <v>0</v>
      </c>
    </row>
    <row r="13" spans="1:45" x14ac:dyDescent="0.3">
      <c r="C13" s="45" t="s">
        <v>76</v>
      </c>
      <c r="E13" s="17"/>
      <c r="F13" s="17"/>
      <c r="G13" s="17"/>
      <c r="H13" s="17"/>
      <c r="I13" s="17"/>
      <c r="J13" s="17"/>
      <c r="K13" s="17"/>
      <c r="L13" s="17"/>
      <c r="M13" s="17"/>
      <c r="N13" s="17"/>
      <c r="O13" s="17"/>
      <c r="P13" s="17"/>
      <c r="Q13" s="19">
        <f t="shared" si="3"/>
        <v>0</v>
      </c>
      <c r="S13" s="17"/>
      <c r="T13" s="17"/>
      <c r="U13" s="17"/>
      <c r="V13" s="17"/>
      <c r="W13" s="17"/>
      <c r="X13" s="17"/>
      <c r="Y13" s="17"/>
      <c r="Z13" s="17"/>
      <c r="AA13" s="17"/>
      <c r="AB13" s="17"/>
      <c r="AC13" s="17"/>
      <c r="AD13" s="17"/>
      <c r="AE13" s="19">
        <f t="shared" si="4"/>
        <v>0</v>
      </c>
      <c r="AG13" s="17"/>
      <c r="AH13" s="17"/>
      <c r="AI13" s="17"/>
      <c r="AJ13" s="17"/>
      <c r="AK13" s="17"/>
      <c r="AL13" s="17"/>
      <c r="AM13" s="17"/>
      <c r="AN13" s="17"/>
      <c r="AO13" s="17"/>
      <c r="AP13" s="17"/>
      <c r="AQ13" s="17"/>
      <c r="AR13" s="17"/>
      <c r="AS13" s="19">
        <f t="shared" si="5"/>
        <v>0</v>
      </c>
    </row>
    <row r="14" spans="1:45" hidden="1" x14ac:dyDescent="0.3">
      <c r="C14" s="16" t="s">
        <v>6</v>
      </c>
      <c r="E14" s="17"/>
      <c r="F14" s="17"/>
      <c r="G14" s="17"/>
      <c r="H14" s="17"/>
      <c r="I14" s="17"/>
      <c r="J14" s="17"/>
      <c r="K14" s="17"/>
      <c r="L14" s="17"/>
      <c r="M14" s="17"/>
      <c r="N14" s="17"/>
      <c r="O14" s="17"/>
      <c r="P14" s="17"/>
      <c r="Q14" s="19">
        <f t="shared" si="3"/>
        <v>0</v>
      </c>
      <c r="S14" s="17"/>
      <c r="T14" s="17"/>
      <c r="U14" s="17"/>
      <c r="V14" s="17"/>
      <c r="W14" s="17"/>
      <c r="X14" s="17"/>
      <c r="Y14" s="17"/>
      <c r="Z14" s="17"/>
      <c r="AA14" s="17"/>
      <c r="AB14" s="17"/>
      <c r="AC14" s="17"/>
      <c r="AD14" s="17"/>
      <c r="AE14" s="19">
        <f t="shared" si="4"/>
        <v>0</v>
      </c>
      <c r="AG14" s="17"/>
      <c r="AH14" s="17"/>
      <c r="AI14" s="17"/>
      <c r="AJ14" s="17"/>
      <c r="AK14" s="17"/>
      <c r="AL14" s="17"/>
      <c r="AM14" s="17"/>
      <c r="AN14" s="17"/>
      <c r="AO14" s="17"/>
      <c r="AP14" s="17"/>
      <c r="AQ14" s="17"/>
      <c r="AR14" s="17"/>
      <c r="AS14" s="19">
        <f t="shared" si="5"/>
        <v>0</v>
      </c>
    </row>
    <row r="15" spans="1:45" hidden="1" x14ac:dyDescent="0.3">
      <c r="C15" s="16" t="s">
        <v>6</v>
      </c>
      <c r="E15" s="17"/>
      <c r="F15" s="17"/>
      <c r="G15" s="17"/>
      <c r="H15" s="17"/>
      <c r="I15" s="17"/>
      <c r="J15" s="17"/>
      <c r="K15" s="17"/>
      <c r="L15" s="17"/>
      <c r="M15" s="17"/>
      <c r="N15" s="17"/>
      <c r="O15" s="17"/>
      <c r="P15" s="17"/>
      <c r="Q15" s="19">
        <f t="shared" si="3"/>
        <v>0</v>
      </c>
      <c r="S15" s="17"/>
      <c r="T15" s="17"/>
      <c r="U15" s="17"/>
      <c r="V15" s="17"/>
      <c r="W15" s="17"/>
      <c r="X15" s="17"/>
      <c r="Y15" s="17"/>
      <c r="Z15" s="17"/>
      <c r="AA15" s="17"/>
      <c r="AB15" s="17"/>
      <c r="AC15" s="17"/>
      <c r="AD15" s="17"/>
      <c r="AE15" s="19">
        <f t="shared" si="4"/>
        <v>0</v>
      </c>
      <c r="AG15" s="17"/>
      <c r="AH15" s="17"/>
      <c r="AI15" s="17"/>
      <c r="AJ15" s="17"/>
      <c r="AK15" s="17"/>
      <c r="AL15" s="17"/>
      <c r="AM15" s="17"/>
      <c r="AN15" s="17"/>
      <c r="AO15" s="17"/>
      <c r="AP15" s="17"/>
      <c r="AQ15" s="17"/>
      <c r="AR15" s="17"/>
      <c r="AS15" s="19">
        <f t="shared" si="5"/>
        <v>0</v>
      </c>
    </row>
    <row r="16" spans="1:45" hidden="1" x14ac:dyDescent="0.3">
      <c r="C16" s="16" t="s">
        <v>6</v>
      </c>
      <c r="E16" s="17"/>
      <c r="F16" s="17"/>
      <c r="G16" s="17"/>
      <c r="H16" s="17"/>
      <c r="I16" s="17"/>
      <c r="J16" s="17"/>
      <c r="K16" s="17"/>
      <c r="L16" s="17"/>
      <c r="M16" s="17"/>
      <c r="N16" s="17"/>
      <c r="O16" s="17"/>
      <c r="P16" s="17"/>
      <c r="Q16" s="19">
        <f t="shared" si="3"/>
        <v>0</v>
      </c>
      <c r="S16" s="17"/>
      <c r="T16" s="17"/>
      <c r="U16" s="17"/>
      <c r="V16" s="17"/>
      <c r="W16" s="17"/>
      <c r="X16" s="17"/>
      <c r="Y16" s="17"/>
      <c r="Z16" s="17"/>
      <c r="AA16" s="17"/>
      <c r="AB16" s="17"/>
      <c r="AC16" s="17"/>
      <c r="AD16" s="17"/>
      <c r="AE16" s="19">
        <f t="shared" si="4"/>
        <v>0</v>
      </c>
      <c r="AG16" s="17"/>
      <c r="AH16" s="17"/>
      <c r="AI16" s="17"/>
      <c r="AJ16" s="17"/>
      <c r="AK16" s="17"/>
      <c r="AL16" s="17"/>
      <c r="AM16" s="17"/>
      <c r="AN16" s="17"/>
      <c r="AO16" s="17"/>
      <c r="AP16" s="17"/>
      <c r="AQ16" s="17"/>
      <c r="AR16" s="17"/>
      <c r="AS16" s="19">
        <f t="shared" si="5"/>
        <v>0</v>
      </c>
    </row>
    <row r="17" spans="3:45" hidden="1" x14ac:dyDescent="0.3">
      <c r="C17" s="16" t="s">
        <v>6</v>
      </c>
      <c r="E17" s="17"/>
      <c r="F17" s="17"/>
      <c r="G17" s="17"/>
      <c r="H17" s="17"/>
      <c r="I17" s="17"/>
      <c r="J17" s="17"/>
      <c r="K17" s="17"/>
      <c r="L17" s="17"/>
      <c r="M17" s="17"/>
      <c r="N17" s="17"/>
      <c r="O17" s="17"/>
      <c r="P17" s="17"/>
      <c r="Q17" s="19">
        <f t="shared" si="3"/>
        <v>0</v>
      </c>
      <c r="S17" s="17"/>
      <c r="T17" s="17"/>
      <c r="U17" s="17"/>
      <c r="V17" s="17"/>
      <c r="W17" s="17"/>
      <c r="X17" s="17"/>
      <c r="Y17" s="17"/>
      <c r="Z17" s="17"/>
      <c r="AA17" s="17"/>
      <c r="AB17" s="17"/>
      <c r="AC17" s="17"/>
      <c r="AD17" s="17"/>
      <c r="AE17" s="19">
        <f t="shared" si="4"/>
        <v>0</v>
      </c>
      <c r="AG17" s="17"/>
      <c r="AH17" s="17"/>
      <c r="AI17" s="17"/>
      <c r="AJ17" s="17"/>
      <c r="AK17" s="17"/>
      <c r="AL17" s="17"/>
      <c r="AM17" s="17"/>
      <c r="AN17" s="17"/>
      <c r="AO17" s="17"/>
      <c r="AP17" s="17"/>
      <c r="AQ17" s="17"/>
      <c r="AR17" s="17"/>
      <c r="AS17" s="19">
        <f t="shared" si="5"/>
        <v>0</v>
      </c>
    </row>
    <row r="18" spans="3:45" hidden="1" x14ac:dyDescent="0.3">
      <c r="C18" s="16" t="s">
        <v>6</v>
      </c>
      <c r="E18" s="17"/>
      <c r="F18" s="17"/>
      <c r="G18" s="17"/>
      <c r="H18" s="17"/>
      <c r="I18" s="17"/>
      <c r="J18" s="17"/>
      <c r="K18" s="17"/>
      <c r="L18" s="17"/>
      <c r="M18" s="17"/>
      <c r="N18" s="17"/>
      <c r="O18" s="17"/>
      <c r="P18" s="17"/>
      <c r="Q18" s="19">
        <f t="shared" si="3"/>
        <v>0</v>
      </c>
      <c r="S18" s="17"/>
      <c r="T18" s="17"/>
      <c r="U18" s="17"/>
      <c r="V18" s="17"/>
      <c r="W18" s="17"/>
      <c r="X18" s="17"/>
      <c r="Y18" s="17"/>
      <c r="Z18" s="17"/>
      <c r="AA18" s="17"/>
      <c r="AB18" s="17"/>
      <c r="AC18" s="17"/>
      <c r="AD18" s="17"/>
      <c r="AE18" s="19">
        <f t="shared" si="4"/>
        <v>0</v>
      </c>
      <c r="AG18" s="17"/>
      <c r="AH18" s="17"/>
      <c r="AI18" s="17"/>
      <c r="AJ18" s="17"/>
      <c r="AK18" s="17"/>
      <c r="AL18" s="17"/>
      <c r="AM18" s="17"/>
      <c r="AN18" s="17"/>
      <c r="AO18" s="17"/>
      <c r="AP18" s="17"/>
      <c r="AQ18" s="17"/>
      <c r="AR18" s="17"/>
      <c r="AS18" s="19">
        <f t="shared" si="5"/>
        <v>0</v>
      </c>
    </row>
    <row r="19" spans="3:45" hidden="1" x14ac:dyDescent="0.3">
      <c r="C19" s="16" t="s">
        <v>6</v>
      </c>
      <c r="E19" s="17"/>
      <c r="F19" s="17"/>
      <c r="G19" s="17"/>
      <c r="H19" s="17"/>
      <c r="I19" s="17"/>
      <c r="J19" s="17"/>
      <c r="K19" s="17"/>
      <c r="L19" s="17"/>
      <c r="M19" s="17"/>
      <c r="N19" s="17"/>
      <c r="O19" s="17"/>
      <c r="P19" s="17"/>
      <c r="Q19" s="19">
        <f t="shared" si="3"/>
        <v>0</v>
      </c>
      <c r="S19" s="17"/>
      <c r="T19" s="17"/>
      <c r="U19" s="17"/>
      <c r="V19" s="17"/>
      <c r="W19" s="17"/>
      <c r="X19" s="17"/>
      <c r="Y19" s="17"/>
      <c r="Z19" s="17"/>
      <c r="AA19" s="17"/>
      <c r="AB19" s="17"/>
      <c r="AC19" s="17"/>
      <c r="AD19" s="17"/>
      <c r="AE19" s="19">
        <f t="shared" si="4"/>
        <v>0</v>
      </c>
      <c r="AG19" s="17"/>
      <c r="AH19" s="17"/>
      <c r="AI19" s="17"/>
      <c r="AJ19" s="17"/>
      <c r="AK19" s="17"/>
      <c r="AL19" s="17"/>
      <c r="AM19" s="17"/>
      <c r="AN19" s="17"/>
      <c r="AO19" s="17"/>
      <c r="AP19" s="17"/>
      <c r="AQ19" s="17"/>
      <c r="AR19" s="17"/>
      <c r="AS19" s="19">
        <f t="shared" si="5"/>
        <v>0</v>
      </c>
    </row>
    <row r="20" spans="3:45" x14ac:dyDescent="0.3">
      <c r="C20" s="13" t="s">
        <v>7</v>
      </c>
      <c r="E20" s="18">
        <f t="shared" ref="E20:AS20" ca="1" si="6">SUM(INDIRECT(ADDRESS(income_min_row,COLUMN()) &amp; ":" &amp; ADDRESS(income_max_row,COLUMN())))</f>
        <v>4650</v>
      </c>
      <c r="F20" s="18">
        <f t="shared" ca="1" si="6"/>
        <v>4550</v>
      </c>
      <c r="G20" s="18">
        <f t="shared" ca="1" si="6"/>
        <v>4600</v>
      </c>
      <c r="H20" s="18">
        <f t="shared" ca="1" si="6"/>
        <v>5650</v>
      </c>
      <c r="I20" s="18">
        <f t="shared" ca="1" si="6"/>
        <v>5550</v>
      </c>
      <c r="J20" s="18">
        <f t="shared" ca="1" si="6"/>
        <v>5600</v>
      </c>
      <c r="K20" s="18">
        <f t="shared" ca="1" si="6"/>
        <v>5650</v>
      </c>
      <c r="L20" s="18">
        <f t="shared" ca="1" si="6"/>
        <v>5550</v>
      </c>
      <c r="M20" s="18">
        <f t="shared" ca="1" si="6"/>
        <v>5600</v>
      </c>
      <c r="N20" s="18">
        <f t="shared" ca="1" si="6"/>
        <v>5650</v>
      </c>
      <c r="O20" s="18">
        <f t="shared" ca="1" si="6"/>
        <v>5550</v>
      </c>
      <c r="P20" s="18">
        <f t="shared" ca="1" si="6"/>
        <v>5600</v>
      </c>
      <c r="Q20" s="18">
        <f t="shared" ca="1" si="6"/>
        <v>64200</v>
      </c>
      <c r="S20" s="18">
        <f t="shared" ca="1" si="6"/>
        <v>0</v>
      </c>
      <c r="T20" s="18">
        <f t="shared" ca="1" si="6"/>
        <v>0</v>
      </c>
      <c r="U20" s="18">
        <f t="shared" ca="1" si="6"/>
        <v>0</v>
      </c>
      <c r="V20" s="18">
        <f t="shared" ca="1" si="6"/>
        <v>0</v>
      </c>
      <c r="W20" s="18">
        <f t="shared" ca="1" si="6"/>
        <v>0</v>
      </c>
      <c r="X20" s="18">
        <f t="shared" ca="1" si="6"/>
        <v>0</v>
      </c>
      <c r="Y20" s="18">
        <f t="shared" ca="1" si="6"/>
        <v>0</v>
      </c>
      <c r="Z20" s="18">
        <f t="shared" ca="1" si="6"/>
        <v>0</v>
      </c>
      <c r="AA20" s="18">
        <f t="shared" ca="1" si="6"/>
        <v>0</v>
      </c>
      <c r="AB20" s="18">
        <f t="shared" ca="1" si="6"/>
        <v>0</v>
      </c>
      <c r="AC20" s="18">
        <f t="shared" ca="1" si="6"/>
        <v>0</v>
      </c>
      <c r="AD20" s="18">
        <f t="shared" ca="1" si="6"/>
        <v>0</v>
      </c>
      <c r="AE20" s="18">
        <f t="shared" ca="1" si="6"/>
        <v>0</v>
      </c>
      <c r="AG20" s="18">
        <f t="shared" ca="1" si="6"/>
        <v>0</v>
      </c>
      <c r="AH20" s="18">
        <f t="shared" ca="1" si="6"/>
        <v>0</v>
      </c>
      <c r="AI20" s="18">
        <f t="shared" ca="1" si="6"/>
        <v>0</v>
      </c>
      <c r="AJ20" s="18">
        <f t="shared" ca="1" si="6"/>
        <v>0</v>
      </c>
      <c r="AK20" s="18">
        <f t="shared" ca="1" si="6"/>
        <v>0</v>
      </c>
      <c r="AL20" s="18">
        <f t="shared" ca="1" si="6"/>
        <v>0</v>
      </c>
      <c r="AM20" s="18">
        <f t="shared" ca="1" si="6"/>
        <v>0</v>
      </c>
      <c r="AN20" s="18">
        <f t="shared" ca="1" si="6"/>
        <v>0</v>
      </c>
      <c r="AO20" s="18">
        <f t="shared" ca="1" si="6"/>
        <v>0</v>
      </c>
      <c r="AP20" s="18">
        <f t="shared" ca="1" si="6"/>
        <v>0</v>
      </c>
      <c r="AQ20" s="18">
        <f t="shared" ca="1" si="6"/>
        <v>0</v>
      </c>
      <c r="AR20" s="18">
        <f t="shared" ca="1" si="6"/>
        <v>0</v>
      </c>
      <c r="AS20" s="18">
        <f t="shared" ca="1" si="6"/>
        <v>0</v>
      </c>
    </row>
    <row r="22" spans="3:45" x14ac:dyDescent="0.3">
      <c r="C22" s="12" t="s">
        <v>11</v>
      </c>
      <c r="E22" s="20">
        <f>DATE(E$5,1,1)</f>
        <v>44927</v>
      </c>
      <c r="F22" s="20">
        <f>DATE(E$5,2,1)</f>
        <v>44958</v>
      </c>
      <c r="G22" s="20">
        <f>DATE(E$5,3,1)</f>
        <v>44986</v>
      </c>
      <c r="H22" s="20">
        <f>DATE(E$5,4,1)</f>
        <v>45017</v>
      </c>
      <c r="I22" s="20">
        <f>DATE(E$5,5,1)</f>
        <v>45047</v>
      </c>
      <c r="J22" s="20">
        <f>DATE(E$5,6,1)</f>
        <v>45078</v>
      </c>
      <c r="K22" s="20">
        <f>DATE(E$5,7,1)</f>
        <v>45108</v>
      </c>
      <c r="L22" s="20">
        <f>DATE(E$5,8,1)</f>
        <v>45139</v>
      </c>
      <c r="M22" s="20">
        <f>DATE(E$5,9,1)</f>
        <v>45170</v>
      </c>
      <c r="N22" s="20">
        <f>DATE(E$5,10,1)</f>
        <v>45200</v>
      </c>
      <c r="O22" s="20">
        <f>DATE(E$5,11,1)</f>
        <v>45231</v>
      </c>
      <c r="P22" s="20">
        <f>DATE(E$5,12,1)</f>
        <v>45261</v>
      </c>
      <c r="Q22" s="21">
        <f>E$5</f>
        <v>2023</v>
      </c>
      <c r="S22" s="20">
        <f>DATE(S$5,1,1)</f>
        <v>45292</v>
      </c>
      <c r="T22" s="20">
        <f>DATE(S$5,2,1)</f>
        <v>45323</v>
      </c>
      <c r="U22" s="20">
        <f>DATE(S$5,3,1)</f>
        <v>45352</v>
      </c>
      <c r="V22" s="20">
        <f>DATE(S$5,4,1)</f>
        <v>45383</v>
      </c>
      <c r="W22" s="20">
        <f>DATE(S$5,5,1)</f>
        <v>45413</v>
      </c>
      <c r="X22" s="20">
        <f>DATE(S$5,6,1)</f>
        <v>45444</v>
      </c>
      <c r="Y22" s="20">
        <f>DATE(S$5,7,1)</f>
        <v>45474</v>
      </c>
      <c r="Z22" s="20">
        <f>DATE(S$5,8,1)</f>
        <v>45505</v>
      </c>
      <c r="AA22" s="20">
        <f>DATE(S$5,9,1)</f>
        <v>45536</v>
      </c>
      <c r="AB22" s="20">
        <f>DATE(S$5,10,1)</f>
        <v>45566</v>
      </c>
      <c r="AC22" s="20">
        <f>DATE(S$5,11,1)</f>
        <v>45597</v>
      </c>
      <c r="AD22" s="20">
        <f>DATE(S$5,12,1)</f>
        <v>45627</v>
      </c>
      <c r="AE22" s="21">
        <f>S$5</f>
        <v>2024</v>
      </c>
      <c r="AG22" s="20">
        <f>DATE(AG$5,1,1)</f>
        <v>45658</v>
      </c>
      <c r="AH22" s="20">
        <f>DATE(AG$5,2,1)</f>
        <v>45689</v>
      </c>
      <c r="AI22" s="20">
        <f>DATE(AG$5,3,1)</f>
        <v>45717</v>
      </c>
      <c r="AJ22" s="20">
        <f>DATE(AG$5,4,1)</f>
        <v>45748</v>
      </c>
      <c r="AK22" s="20">
        <f>DATE(AG$5,5,1)</f>
        <v>45778</v>
      </c>
      <c r="AL22" s="20">
        <f>DATE(AG$5,6,1)</f>
        <v>45809</v>
      </c>
      <c r="AM22" s="20">
        <f>DATE(AG$5,7,1)</f>
        <v>45839</v>
      </c>
      <c r="AN22" s="20">
        <f>DATE(AG$5,8,1)</f>
        <v>45870</v>
      </c>
      <c r="AO22" s="20">
        <f>DATE(AG$5,9,1)</f>
        <v>45901</v>
      </c>
      <c r="AP22" s="20">
        <f>DATE(AG$5,10,1)</f>
        <v>45931</v>
      </c>
      <c r="AQ22" s="20">
        <f>DATE(AG$5,11,1)</f>
        <v>45962</v>
      </c>
      <c r="AR22" s="20">
        <f>DATE(AG$5,12,1)</f>
        <v>45992</v>
      </c>
      <c r="AS22" s="21">
        <f>AG$5</f>
        <v>2025</v>
      </c>
    </row>
    <row r="23" spans="3:45" x14ac:dyDescent="0.3">
      <c r="C23" s="16" t="s">
        <v>12</v>
      </c>
      <c r="E23" s="17">
        <v>1200</v>
      </c>
      <c r="F23" s="17">
        <v>1200</v>
      </c>
      <c r="G23" s="17">
        <v>1200</v>
      </c>
      <c r="H23" s="17">
        <v>1200</v>
      </c>
      <c r="I23" s="17">
        <v>1200</v>
      </c>
      <c r="J23" s="17">
        <v>1200</v>
      </c>
      <c r="K23" s="17">
        <v>1200</v>
      </c>
      <c r="L23" s="17">
        <v>1200</v>
      </c>
      <c r="M23" s="17">
        <v>1200</v>
      </c>
      <c r="N23" s="17">
        <v>1200</v>
      </c>
      <c r="O23" s="17">
        <v>1200</v>
      </c>
      <c r="P23" s="17">
        <v>1200</v>
      </c>
      <c r="Q23" s="19">
        <f>SUM(E23:P23)</f>
        <v>14400</v>
      </c>
      <c r="S23" s="17"/>
      <c r="T23" s="17"/>
      <c r="U23" s="17"/>
      <c r="V23" s="17"/>
      <c r="W23" s="17"/>
      <c r="X23" s="17"/>
      <c r="Y23" s="17"/>
      <c r="Z23" s="17"/>
      <c r="AA23" s="17"/>
      <c r="AB23" s="17"/>
      <c r="AC23" s="17"/>
      <c r="AD23" s="17"/>
      <c r="AE23" s="19">
        <f>SUM(S23:AD23)</f>
        <v>0</v>
      </c>
      <c r="AG23" s="17"/>
      <c r="AH23" s="17"/>
      <c r="AI23" s="17"/>
      <c r="AJ23" s="17"/>
      <c r="AK23" s="17"/>
      <c r="AL23" s="17"/>
      <c r="AM23" s="17"/>
      <c r="AN23" s="17"/>
      <c r="AO23" s="17"/>
      <c r="AP23" s="17"/>
      <c r="AQ23" s="17"/>
      <c r="AR23" s="17"/>
      <c r="AS23" s="19">
        <f>SUM(AG23:AR23)</f>
        <v>0</v>
      </c>
    </row>
    <row r="24" spans="3:45" x14ac:dyDescent="0.3">
      <c r="C24" s="16" t="s">
        <v>13</v>
      </c>
      <c r="E24" s="17">
        <v>300</v>
      </c>
      <c r="F24" s="17">
        <v>300</v>
      </c>
      <c r="G24" s="17">
        <v>300</v>
      </c>
      <c r="H24" s="17">
        <v>300</v>
      </c>
      <c r="I24" s="17">
        <v>300</v>
      </c>
      <c r="J24" s="17">
        <v>300</v>
      </c>
      <c r="K24" s="17">
        <v>300</v>
      </c>
      <c r="L24" s="17">
        <v>300</v>
      </c>
      <c r="M24" s="17">
        <v>300</v>
      </c>
      <c r="N24" s="17">
        <v>300</v>
      </c>
      <c r="O24" s="17">
        <v>300</v>
      </c>
      <c r="P24" s="17">
        <v>300</v>
      </c>
      <c r="Q24" s="19">
        <f t="shared" ref="Q24:Q35" si="7">SUM(E24:P24)</f>
        <v>3600</v>
      </c>
      <c r="S24" s="17"/>
      <c r="T24" s="17"/>
      <c r="U24" s="17"/>
      <c r="V24" s="17"/>
      <c r="W24" s="17"/>
      <c r="X24" s="17"/>
      <c r="Y24" s="17"/>
      <c r="Z24" s="17"/>
      <c r="AA24" s="17"/>
      <c r="AB24" s="17"/>
      <c r="AC24" s="17"/>
      <c r="AD24" s="17"/>
      <c r="AE24" s="19">
        <f t="shared" ref="AE24:AE35" si="8">SUM(S24:AD24)</f>
        <v>0</v>
      </c>
      <c r="AG24" s="17"/>
      <c r="AH24" s="17"/>
      <c r="AI24" s="17"/>
      <c r="AJ24" s="17"/>
      <c r="AK24" s="17"/>
      <c r="AL24" s="17"/>
      <c r="AM24" s="17"/>
      <c r="AN24" s="17"/>
      <c r="AO24" s="17"/>
      <c r="AP24" s="17"/>
      <c r="AQ24" s="17"/>
      <c r="AR24" s="17"/>
      <c r="AS24" s="19">
        <f t="shared" ref="AS24:AS35" si="9">SUM(AG24:AR24)</f>
        <v>0</v>
      </c>
    </row>
    <row r="25" spans="3:45" x14ac:dyDescent="0.3">
      <c r="C25" s="16" t="s">
        <v>14</v>
      </c>
      <c r="E25" s="17">
        <v>350</v>
      </c>
      <c r="F25" s="17">
        <v>350</v>
      </c>
      <c r="G25" s="17">
        <v>350</v>
      </c>
      <c r="H25" s="17">
        <v>350</v>
      </c>
      <c r="I25" s="17">
        <v>350</v>
      </c>
      <c r="J25" s="17">
        <v>350</v>
      </c>
      <c r="K25" s="17">
        <v>350</v>
      </c>
      <c r="L25" s="17">
        <v>350</v>
      </c>
      <c r="M25" s="17">
        <v>350</v>
      </c>
      <c r="N25" s="17">
        <v>350</v>
      </c>
      <c r="O25" s="17">
        <v>350</v>
      </c>
      <c r="P25" s="17">
        <v>350</v>
      </c>
      <c r="Q25" s="19">
        <f t="shared" si="7"/>
        <v>4200</v>
      </c>
      <c r="S25" s="17"/>
      <c r="T25" s="17"/>
      <c r="U25" s="17"/>
      <c r="V25" s="17"/>
      <c r="W25" s="17"/>
      <c r="X25" s="17"/>
      <c r="Y25" s="17"/>
      <c r="Z25" s="17"/>
      <c r="AA25" s="17"/>
      <c r="AB25" s="17"/>
      <c r="AC25" s="17"/>
      <c r="AD25" s="17"/>
      <c r="AE25" s="19">
        <f t="shared" si="8"/>
        <v>0</v>
      </c>
      <c r="AG25" s="17"/>
      <c r="AH25" s="17"/>
      <c r="AI25" s="17"/>
      <c r="AJ25" s="17"/>
      <c r="AK25" s="17"/>
      <c r="AL25" s="17"/>
      <c r="AM25" s="17"/>
      <c r="AN25" s="17"/>
      <c r="AO25" s="17"/>
      <c r="AP25" s="17"/>
      <c r="AQ25" s="17"/>
      <c r="AR25" s="17"/>
      <c r="AS25" s="19">
        <f t="shared" si="9"/>
        <v>0</v>
      </c>
    </row>
    <row r="26" spans="3:45" x14ac:dyDescent="0.3">
      <c r="C26" s="16" t="s">
        <v>20</v>
      </c>
      <c r="E26" s="17">
        <v>300</v>
      </c>
      <c r="F26" s="17">
        <v>300</v>
      </c>
      <c r="G26" s="17">
        <v>300</v>
      </c>
      <c r="H26" s="17">
        <v>300</v>
      </c>
      <c r="I26" s="17">
        <v>300</v>
      </c>
      <c r="J26" s="17">
        <v>300</v>
      </c>
      <c r="K26" s="17">
        <v>300</v>
      </c>
      <c r="L26" s="17">
        <v>300</v>
      </c>
      <c r="M26" s="17">
        <v>300</v>
      </c>
      <c r="N26" s="17">
        <v>300</v>
      </c>
      <c r="O26" s="17">
        <v>300</v>
      </c>
      <c r="P26" s="17">
        <v>300</v>
      </c>
      <c r="Q26" s="19">
        <f t="shared" si="7"/>
        <v>3600</v>
      </c>
      <c r="S26" s="17"/>
      <c r="T26" s="17"/>
      <c r="U26" s="17"/>
      <c r="V26" s="17"/>
      <c r="W26" s="17"/>
      <c r="X26" s="17"/>
      <c r="Y26" s="17"/>
      <c r="Z26" s="17"/>
      <c r="AA26" s="17"/>
      <c r="AB26" s="17"/>
      <c r="AC26" s="17"/>
      <c r="AD26" s="17"/>
      <c r="AE26" s="19">
        <f t="shared" si="8"/>
        <v>0</v>
      </c>
      <c r="AG26" s="17"/>
      <c r="AH26" s="17"/>
      <c r="AI26" s="17"/>
      <c r="AJ26" s="17"/>
      <c r="AK26" s="17"/>
      <c r="AL26" s="17"/>
      <c r="AM26" s="17"/>
      <c r="AN26" s="17"/>
      <c r="AO26" s="17"/>
      <c r="AP26" s="17"/>
      <c r="AQ26" s="17"/>
      <c r="AR26" s="17"/>
      <c r="AS26" s="19">
        <f t="shared" si="9"/>
        <v>0</v>
      </c>
    </row>
    <row r="27" spans="3:45" x14ac:dyDescent="0.3">
      <c r="C27" s="16" t="s">
        <v>21</v>
      </c>
      <c r="E27" s="28">
        <v>50</v>
      </c>
      <c r="F27" s="28">
        <v>50</v>
      </c>
      <c r="G27" s="17">
        <v>150</v>
      </c>
      <c r="H27" s="28">
        <v>50</v>
      </c>
      <c r="I27" s="28">
        <v>50</v>
      </c>
      <c r="J27" s="17">
        <v>150</v>
      </c>
      <c r="K27" s="28">
        <v>50</v>
      </c>
      <c r="L27" s="28">
        <v>50</v>
      </c>
      <c r="M27" s="17">
        <v>150</v>
      </c>
      <c r="N27" s="28">
        <v>50</v>
      </c>
      <c r="O27" s="28">
        <v>50</v>
      </c>
      <c r="P27" s="17">
        <v>150</v>
      </c>
      <c r="Q27" s="19">
        <f t="shared" si="7"/>
        <v>1000</v>
      </c>
      <c r="S27" s="17"/>
      <c r="T27" s="17"/>
      <c r="U27" s="17"/>
      <c r="V27" s="17"/>
      <c r="W27" s="17"/>
      <c r="X27" s="17"/>
      <c r="Y27" s="17"/>
      <c r="Z27" s="17"/>
      <c r="AA27" s="17"/>
      <c r="AB27" s="17"/>
      <c r="AC27" s="17"/>
      <c r="AD27" s="17"/>
      <c r="AE27" s="19"/>
      <c r="AG27" s="17"/>
      <c r="AH27" s="17"/>
      <c r="AI27" s="17"/>
      <c r="AJ27" s="17"/>
      <c r="AK27" s="17"/>
      <c r="AL27" s="17"/>
      <c r="AM27" s="17"/>
      <c r="AN27" s="17"/>
      <c r="AO27" s="17"/>
      <c r="AP27" s="17"/>
      <c r="AQ27" s="17"/>
      <c r="AR27" s="17"/>
      <c r="AS27" s="19"/>
    </row>
    <row r="28" spans="3:45" x14ac:dyDescent="0.3">
      <c r="C28" s="16" t="s">
        <v>22</v>
      </c>
      <c r="E28" s="17">
        <v>100</v>
      </c>
      <c r="F28" s="17">
        <v>100</v>
      </c>
      <c r="G28" s="17">
        <v>100</v>
      </c>
      <c r="H28" s="17">
        <v>100</v>
      </c>
      <c r="I28" s="17">
        <v>100</v>
      </c>
      <c r="J28" s="17">
        <v>100</v>
      </c>
      <c r="K28" s="17">
        <v>100</v>
      </c>
      <c r="L28" s="17">
        <v>100</v>
      </c>
      <c r="M28" s="17">
        <v>100</v>
      </c>
      <c r="N28" s="17">
        <v>100</v>
      </c>
      <c r="O28" s="17">
        <v>100</v>
      </c>
      <c r="P28" s="17">
        <v>100</v>
      </c>
      <c r="Q28" s="19">
        <f t="shared" si="7"/>
        <v>1200</v>
      </c>
      <c r="S28" s="17"/>
      <c r="T28" s="17"/>
      <c r="U28" s="17"/>
      <c r="V28" s="17"/>
      <c r="W28" s="17"/>
      <c r="X28" s="17"/>
      <c r="Y28" s="17"/>
      <c r="Z28" s="17"/>
      <c r="AA28" s="17"/>
      <c r="AB28" s="17"/>
      <c r="AC28" s="17"/>
      <c r="AD28" s="17"/>
      <c r="AE28" s="19"/>
      <c r="AG28" s="17"/>
      <c r="AH28" s="17"/>
      <c r="AI28" s="17"/>
      <c r="AJ28" s="17"/>
      <c r="AK28" s="17"/>
      <c r="AL28" s="17"/>
      <c r="AM28" s="17"/>
      <c r="AN28" s="17"/>
      <c r="AO28" s="17"/>
      <c r="AP28" s="17"/>
      <c r="AQ28" s="17"/>
      <c r="AR28" s="17"/>
      <c r="AS28" s="19"/>
    </row>
    <row r="29" spans="3:45" x14ac:dyDescent="0.3">
      <c r="C29" s="16" t="s">
        <v>23</v>
      </c>
      <c r="E29" s="17">
        <v>300</v>
      </c>
      <c r="F29" s="17">
        <v>300</v>
      </c>
      <c r="G29" s="17">
        <v>300</v>
      </c>
      <c r="H29" s="17">
        <v>1000</v>
      </c>
      <c r="I29" s="17">
        <v>300</v>
      </c>
      <c r="J29" s="17">
        <v>300</v>
      </c>
      <c r="K29" s="17">
        <v>1500</v>
      </c>
      <c r="L29" s="17">
        <v>1500</v>
      </c>
      <c r="M29" s="17">
        <v>300</v>
      </c>
      <c r="N29" s="17">
        <v>300</v>
      </c>
      <c r="O29" s="17">
        <v>300</v>
      </c>
      <c r="P29" s="17">
        <v>1000</v>
      </c>
      <c r="Q29" s="19">
        <f t="shared" si="7"/>
        <v>7400</v>
      </c>
      <c r="S29" s="17"/>
      <c r="T29" s="17"/>
      <c r="U29" s="17"/>
      <c r="V29" s="17"/>
      <c r="W29" s="17"/>
      <c r="X29" s="17"/>
      <c r="Y29" s="17"/>
      <c r="Z29" s="17"/>
      <c r="AA29" s="17"/>
      <c r="AB29" s="17"/>
      <c r="AC29" s="17"/>
      <c r="AD29" s="17"/>
      <c r="AE29" s="19"/>
      <c r="AG29" s="17"/>
      <c r="AH29" s="17"/>
      <c r="AI29" s="17"/>
      <c r="AJ29" s="17"/>
      <c r="AK29" s="17"/>
      <c r="AL29" s="17"/>
      <c r="AM29" s="17"/>
      <c r="AN29" s="17"/>
      <c r="AO29" s="17"/>
      <c r="AP29" s="17"/>
      <c r="AQ29" s="17"/>
      <c r="AR29" s="17"/>
      <c r="AS29" s="19"/>
    </row>
    <row r="30" spans="3:45" hidden="1" x14ac:dyDescent="0.3">
      <c r="C30" s="16" t="s">
        <v>6</v>
      </c>
      <c r="E30" s="17"/>
      <c r="F30" s="17"/>
      <c r="G30" s="17"/>
      <c r="H30" s="17"/>
      <c r="I30" s="17"/>
      <c r="J30" s="17"/>
      <c r="K30" s="17"/>
      <c r="L30" s="17"/>
      <c r="M30" s="17"/>
      <c r="N30" s="17"/>
      <c r="O30" s="17"/>
      <c r="P30" s="17"/>
      <c r="Q30" s="19">
        <f t="shared" si="7"/>
        <v>0</v>
      </c>
      <c r="S30" s="17"/>
      <c r="T30" s="17"/>
      <c r="U30" s="17"/>
      <c r="V30" s="17"/>
      <c r="W30" s="17"/>
      <c r="X30" s="17"/>
      <c r="Y30" s="17"/>
      <c r="Z30" s="17"/>
      <c r="AA30" s="17"/>
      <c r="AB30" s="17"/>
      <c r="AC30" s="17"/>
      <c r="AD30" s="17"/>
      <c r="AE30" s="19">
        <f t="shared" si="8"/>
        <v>0</v>
      </c>
      <c r="AG30" s="17"/>
      <c r="AH30" s="17"/>
      <c r="AI30" s="17"/>
      <c r="AJ30" s="17"/>
      <c r="AK30" s="17"/>
      <c r="AL30" s="17"/>
      <c r="AM30" s="17"/>
      <c r="AN30" s="17"/>
      <c r="AO30" s="17"/>
      <c r="AP30" s="17"/>
      <c r="AQ30" s="17"/>
      <c r="AR30" s="17"/>
      <c r="AS30" s="19">
        <f t="shared" si="9"/>
        <v>0</v>
      </c>
    </row>
    <row r="31" spans="3:45" hidden="1" x14ac:dyDescent="0.3">
      <c r="C31" s="16" t="s">
        <v>6</v>
      </c>
      <c r="E31" s="17"/>
      <c r="F31" s="17"/>
      <c r="G31" s="17"/>
      <c r="H31" s="17"/>
      <c r="I31" s="17"/>
      <c r="J31" s="17"/>
      <c r="K31" s="17"/>
      <c r="L31" s="17"/>
      <c r="M31" s="17"/>
      <c r="N31" s="17"/>
      <c r="O31" s="17"/>
      <c r="P31" s="17"/>
      <c r="Q31" s="19">
        <f t="shared" si="7"/>
        <v>0</v>
      </c>
      <c r="S31" s="17"/>
      <c r="T31" s="17"/>
      <c r="U31" s="17"/>
      <c r="V31" s="17"/>
      <c r="W31" s="17"/>
      <c r="X31" s="17"/>
      <c r="Y31" s="17"/>
      <c r="Z31" s="17"/>
      <c r="AA31" s="17"/>
      <c r="AB31" s="17"/>
      <c r="AC31" s="17"/>
      <c r="AD31" s="17"/>
      <c r="AE31" s="19">
        <f t="shared" si="8"/>
        <v>0</v>
      </c>
      <c r="AG31" s="17"/>
      <c r="AH31" s="17"/>
      <c r="AI31" s="17"/>
      <c r="AJ31" s="17"/>
      <c r="AK31" s="17"/>
      <c r="AL31" s="17"/>
      <c r="AM31" s="17"/>
      <c r="AN31" s="17"/>
      <c r="AO31" s="17"/>
      <c r="AP31" s="17"/>
      <c r="AQ31" s="17"/>
      <c r="AR31" s="17"/>
      <c r="AS31" s="19">
        <f t="shared" si="9"/>
        <v>0</v>
      </c>
    </row>
    <row r="32" spans="3:45" hidden="1" x14ac:dyDescent="0.3">
      <c r="C32" s="16" t="s">
        <v>6</v>
      </c>
      <c r="E32" s="17"/>
      <c r="F32" s="17"/>
      <c r="G32" s="17"/>
      <c r="H32" s="17"/>
      <c r="I32" s="17"/>
      <c r="J32" s="17"/>
      <c r="K32" s="17"/>
      <c r="L32" s="17"/>
      <c r="M32" s="17"/>
      <c r="N32" s="17"/>
      <c r="O32" s="17"/>
      <c r="P32" s="17"/>
      <c r="Q32" s="19">
        <f t="shared" si="7"/>
        <v>0</v>
      </c>
      <c r="S32" s="17"/>
      <c r="T32" s="17"/>
      <c r="U32" s="17"/>
      <c r="V32" s="17"/>
      <c r="W32" s="17"/>
      <c r="X32" s="17"/>
      <c r="Y32" s="17"/>
      <c r="Z32" s="17"/>
      <c r="AA32" s="17"/>
      <c r="AB32" s="17"/>
      <c r="AC32" s="17"/>
      <c r="AD32" s="17"/>
      <c r="AE32" s="19">
        <f t="shared" si="8"/>
        <v>0</v>
      </c>
      <c r="AG32" s="17"/>
      <c r="AH32" s="17"/>
      <c r="AI32" s="17"/>
      <c r="AJ32" s="17"/>
      <c r="AK32" s="17"/>
      <c r="AL32" s="17"/>
      <c r="AM32" s="17"/>
      <c r="AN32" s="17"/>
      <c r="AO32" s="17"/>
      <c r="AP32" s="17"/>
      <c r="AQ32" s="17"/>
      <c r="AR32" s="17"/>
      <c r="AS32" s="19">
        <f t="shared" si="9"/>
        <v>0</v>
      </c>
    </row>
    <row r="33" spans="3:45" hidden="1" x14ac:dyDescent="0.3">
      <c r="C33" s="16" t="s">
        <v>6</v>
      </c>
      <c r="E33" s="17"/>
      <c r="F33" s="17"/>
      <c r="G33" s="17"/>
      <c r="H33" s="17"/>
      <c r="I33" s="17"/>
      <c r="J33" s="17"/>
      <c r="K33" s="17"/>
      <c r="L33" s="17"/>
      <c r="M33" s="17"/>
      <c r="N33" s="17"/>
      <c r="O33" s="17"/>
      <c r="P33" s="17"/>
      <c r="Q33" s="19">
        <f t="shared" si="7"/>
        <v>0</v>
      </c>
      <c r="S33" s="17"/>
      <c r="T33" s="17"/>
      <c r="U33" s="17"/>
      <c r="V33" s="17"/>
      <c r="W33" s="17"/>
      <c r="X33" s="17"/>
      <c r="Y33" s="17"/>
      <c r="Z33" s="17"/>
      <c r="AA33" s="17"/>
      <c r="AB33" s="17"/>
      <c r="AC33" s="17"/>
      <c r="AD33" s="17"/>
      <c r="AE33" s="19">
        <f t="shared" si="8"/>
        <v>0</v>
      </c>
      <c r="AG33" s="17"/>
      <c r="AH33" s="17"/>
      <c r="AI33" s="17"/>
      <c r="AJ33" s="17"/>
      <c r="AK33" s="17"/>
      <c r="AL33" s="17"/>
      <c r="AM33" s="17"/>
      <c r="AN33" s="17"/>
      <c r="AO33" s="17"/>
      <c r="AP33" s="17"/>
      <c r="AQ33" s="17"/>
      <c r="AR33" s="17"/>
      <c r="AS33" s="19">
        <f t="shared" si="9"/>
        <v>0</v>
      </c>
    </row>
    <row r="34" spans="3:45" hidden="1" x14ac:dyDescent="0.3">
      <c r="C34" s="16" t="s">
        <v>6</v>
      </c>
      <c r="E34" s="17"/>
      <c r="F34" s="17"/>
      <c r="G34" s="17"/>
      <c r="H34" s="17"/>
      <c r="I34" s="17"/>
      <c r="J34" s="17"/>
      <c r="K34" s="17"/>
      <c r="L34" s="17"/>
      <c r="M34" s="17"/>
      <c r="N34" s="17"/>
      <c r="O34" s="17"/>
      <c r="P34" s="17"/>
      <c r="Q34" s="19">
        <f t="shared" si="7"/>
        <v>0</v>
      </c>
      <c r="S34" s="17"/>
      <c r="T34" s="17"/>
      <c r="U34" s="17"/>
      <c r="V34" s="17"/>
      <c r="W34" s="17"/>
      <c r="X34" s="17"/>
      <c r="Y34" s="17"/>
      <c r="Z34" s="17"/>
      <c r="AA34" s="17"/>
      <c r="AB34" s="17"/>
      <c r="AC34" s="17"/>
      <c r="AD34" s="17"/>
      <c r="AE34" s="19">
        <f t="shared" si="8"/>
        <v>0</v>
      </c>
      <c r="AG34" s="17"/>
      <c r="AH34" s="17"/>
      <c r="AI34" s="17"/>
      <c r="AJ34" s="17"/>
      <c r="AK34" s="17"/>
      <c r="AL34" s="17"/>
      <c r="AM34" s="17"/>
      <c r="AN34" s="17"/>
      <c r="AO34" s="17"/>
      <c r="AP34" s="17"/>
      <c r="AQ34" s="17"/>
      <c r="AR34" s="17"/>
      <c r="AS34" s="19">
        <f t="shared" si="9"/>
        <v>0</v>
      </c>
    </row>
    <row r="35" spans="3:45" hidden="1" x14ac:dyDescent="0.3">
      <c r="C35" s="16" t="s">
        <v>6</v>
      </c>
      <c r="E35" s="17"/>
      <c r="F35" s="17"/>
      <c r="G35" s="17"/>
      <c r="H35" s="17"/>
      <c r="I35" s="17"/>
      <c r="J35" s="17"/>
      <c r="K35" s="17"/>
      <c r="L35" s="17"/>
      <c r="M35" s="17"/>
      <c r="N35" s="17"/>
      <c r="O35" s="17"/>
      <c r="P35" s="17"/>
      <c r="Q35" s="19">
        <f t="shared" si="7"/>
        <v>0</v>
      </c>
      <c r="S35" s="17"/>
      <c r="T35" s="17"/>
      <c r="U35" s="17"/>
      <c r="V35" s="17"/>
      <c r="W35" s="17"/>
      <c r="X35" s="17"/>
      <c r="Y35" s="17"/>
      <c r="Z35" s="17"/>
      <c r="AA35" s="17"/>
      <c r="AB35" s="17"/>
      <c r="AC35" s="17"/>
      <c r="AD35" s="17"/>
      <c r="AE35" s="19">
        <f t="shared" si="8"/>
        <v>0</v>
      </c>
      <c r="AG35" s="17"/>
      <c r="AH35" s="17"/>
      <c r="AI35" s="17"/>
      <c r="AJ35" s="17"/>
      <c r="AK35" s="17"/>
      <c r="AL35" s="17"/>
      <c r="AM35" s="17"/>
      <c r="AN35" s="17"/>
      <c r="AO35" s="17"/>
      <c r="AP35" s="17"/>
      <c r="AQ35" s="17"/>
      <c r="AR35" s="17"/>
      <c r="AS35" s="19">
        <f t="shared" si="9"/>
        <v>0</v>
      </c>
    </row>
    <row r="36" spans="3:45" x14ac:dyDescent="0.3">
      <c r="C36" s="13" t="s">
        <v>7</v>
      </c>
      <c r="E36" s="18">
        <f t="shared" ref="E36:AS36" ca="1" si="10">SUM(INDIRECT(ADDRESS(expenses_min_row,COLUMN()) &amp; ":" &amp; ADDRESS(expenses_max_row,COLUMN())))</f>
        <v>2600</v>
      </c>
      <c r="F36" s="18">
        <f t="shared" ca="1" si="10"/>
        <v>2600</v>
      </c>
      <c r="G36" s="18">
        <f t="shared" ca="1" si="10"/>
        <v>2700</v>
      </c>
      <c r="H36" s="18">
        <f t="shared" ca="1" si="10"/>
        <v>3300</v>
      </c>
      <c r="I36" s="18">
        <f t="shared" ca="1" si="10"/>
        <v>2600</v>
      </c>
      <c r="J36" s="18">
        <f t="shared" ca="1" si="10"/>
        <v>2700</v>
      </c>
      <c r="K36" s="18">
        <f t="shared" ca="1" si="10"/>
        <v>3800</v>
      </c>
      <c r="L36" s="18">
        <f t="shared" ca="1" si="10"/>
        <v>3800</v>
      </c>
      <c r="M36" s="18">
        <f t="shared" ca="1" si="10"/>
        <v>2700</v>
      </c>
      <c r="N36" s="18">
        <f t="shared" ca="1" si="10"/>
        <v>2600</v>
      </c>
      <c r="O36" s="18">
        <f t="shared" ca="1" si="10"/>
        <v>2600</v>
      </c>
      <c r="P36" s="18">
        <f t="shared" ca="1" si="10"/>
        <v>3400</v>
      </c>
      <c r="Q36" s="18">
        <f t="shared" ca="1" si="10"/>
        <v>35400</v>
      </c>
      <c r="S36" s="18">
        <f t="shared" ca="1" si="10"/>
        <v>0</v>
      </c>
      <c r="T36" s="18">
        <f t="shared" ca="1" si="10"/>
        <v>0</v>
      </c>
      <c r="U36" s="18">
        <f t="shared" ca="1" si="10"/>
        <v>0</v>
      </c>
      <c r="V36" s="18">
        <f t="shared" ca="1" si="10"/>
        <v>0</v>
      </c>
      <c r="W36" s="18">
        <f t="shared" ca="1" si="10"/>
        <v>0</v>
      </c>
      <c r="X36" s="18">
        <f t="shared" ca="1" si="10"/>
        <v>0</v>
      </c>
      <c r="Y36" s="18">
        <f t="shared" ca="1" si="10"/>
        <v>0</v>
      </c>
      <c r="Z36" s="18">
        <f t="shared" ca="1" si="10"/>
        <v>0</v>
      </c>
      <c r="AA36" s="18">
        <f t="shared" ca="1" si="10"/>
        <v>0</v>
      </c>
      <c r="AB36" s="18">
        <f t="shared" ca="1" si="10"/>
        <v>0</v>
      </c>
      <c r="AC36" s="18">
        <f t="shared" ca="1" si="10"/>
        <v>0</v>
      </c>
      <c r="AD36" s="18">
        <f t="shared" ca="1" si="10"/>
        <v>0</v>
      </c>
      <c r="AE36" s="18">
        <f t="shared" ca="1" si="10"/>
        <v>0</v>
      </c>
      <c r="AG36" s="18">
        <f t="shared" ca="1" si="10"/>
        <v>0</v>
      </c>
      <c r="AH36" s="18">
        <f t="shared" ca="1" si="10"/>
        <v>0</v>
      </c>
      <c r="AI36" s="18">
        <f t="shared" ca="1" si="10"/>
        <v>0</v>
      </c>
      <c r="AJ36" s="18">
        <f t="shared" ca="1" si="10"/>
        <v>0</v>
      </c>
      <c r="AK36" s="18">
        <f t="shared" ca="1" si="10"/>
        <v>0</v>
      </c>
      <c r="AL36" s="18">
        <f t="shared" ca="1" si="10"/>
        <v>0</v>
      </c>
      <c r="AM36" s="18">
        <f t="shared" ca="1" si="10"/>
        <v>0</v>
      </c>
      <c r="AN36" s="18">
        <f t="shared" ca="1" si="10"/>
        <v>0</v>
      </c>
      <c r="AO36" s="18">
        <f t="shared" ca="1" si="10"/>
        <v>0</v>
      </c>
      <c r="AP36" s="18">
        <f t="shared" ca="1" si="10"/>
        <v>0</v>
      </c>
      <c r="AQ36" s="18">
        <f t="shared" ca="1" si="10"/>
        <v>0</v>
      </c>
      <c r="AR36" s="18">
        <f t="shared" ca="1" si="10"/>
        <v>0</v>
      </c>
      <c r="AS36" s="18">
        <f t="shared" ca="1" si="10"/>
        <v>0</v>
      </c>
    </row>
    <row r="38" spans="3:45" x14ac:dyDescent="0.3">
      <c r="C38" s="12" t="s">
        <v>15</v>
      </c>
      <c r="E38" s="22">
        <f>DATE(E$5,1,1)</f>
        <v>44927</v>
      </c>
      <c r="F38" s="22">
        <f>DATE(E$5,2,1)</f>
        <v>44958</v>
      </c>
      <c r="G38" s="22">
        <f>DATE(E$5,3,1)</f>
        <v>44986</v>
      </c>
      <c r="H38" s="22">
        <f>DATE(E$5,4,1)</f>
        <v>45017</v>
      </c>
      <c r="I38" s="22">
        <f>DATE(E$5,5,1)</f>
        <v>45047</v>
      </c>
      <c r="J38" s="22">
        <f>DATE(E$5,6,1)</f>
        <v>45078</v>
      </c>
      <c r="K38" s="22">
        <f>DATE(E$5,7,1)</f>
        <v>45108</v>
      </c>
      <c r="L38" s="22">
        <f>DATE(E$5,8,1)</f>
        <v>45139</v>
      </c>
      <c r="M38" s="22">
        <f>DATE(E$5,9,1)</f>
        <v>45170</v>
      </c>
      <c r="N38" s="22">
        <f>DATE(E$5,10,1)</f>
        <v>45200</v>
      </c>
      <c r="O38" s="22">
        <f>DATE(E$5,11,1)</f>
        <v>45231</v>
      </c>
      <c r="P38" s="22">
        <f>DATE(E$5,12,1)</f>
        <v>45261</v>
      </c>
      <c r="Q38" s="23">
        <f>E$5</f>
        <v>2023</v>
      </c>
      <c r="S38" s="22">
        <f>DATE(S$5,1,1)</f>
        <v>45292</v>
      </c>
      <c r="T38" s="22">
        <f>DATE(S$5,2,1)</f>
        <v>45323</v>
      </c>
      <c r="U38" s="22">
        <f>DATE(S$5,3,1)</f>
        <v>45352</v>
      </c>
      <c r="V38" s="22">
        <f>DATE(S$5,4,1)</f>
        <v>45383</v>
      </c>
      <c r="W38" s="22">
        <f>DATE(S$5,5,1)</f>
        <v>45413</v>
      </c>
      <c r="X38" s="22">
        <f>DATE(S$5,6,1)</f>
        <v>45444</v>
      </c>
      <c r="Y38" s="22">
        <f>DATE(S$5,7,1)</f>
        <v>45474</v>
      </c>
      <c r="Z38" s="22">
        <f>DATE(S$5,8,1)</f>
        <v>45505</v>
      </c>
      <c r="AA38" s="22">
        <f>DATE(S$5,9,1)</f>
        <v>45536</v>
      </c>
      <c r="AB38" s="22">
        <f>DATE(S$5,10,1)</f>
        <v>45566</v>
      </c>
      <c r="AC38" s="22">
        <f>DATE(S$5,11,1)</f>
        <v>45597</v>
      </c>
      <c r="AD38" s="22">
        <f>DATE(S$5,12,1)</f>
        <v>45627</v>
      </c>
      <c r="AE38" s="23">
        <f>S$5</f>
        <v>2024</v>
      </c>
      <c r="AG38" s="22">
        <f>DATE(AG$5,1,1)</f>
        <v>45658</v>
      </c>
      <c r="AH38" s="22">
        <f>DATE(AG$5,2,1)</f>
        <v>45689</v>
      </c>
      <c r="AI38" s="22">
        <f>DATE(AG$5,3,1)</f>
        <v>45717</v>
      </c>
      <c r="AJ38" s="22">
        <f>DATE(AG$5,4,1)</f>
        <v>45748</v>
      </c>
      <c r="AK38" s="22">
        <f>DATE(AG$5,5,1)</f>
        <v>45778</v>
      </c>
      <c r="AL38" s="22">
        <f>DATE(AG$5,6,1)</f>
        <v>45809</v>
      </c>
      <c r="AM38" s="22">
        <f>DATE(AG$5,7,1)</f>
        <v>45839</v>
      </c>
      <c r="AN38" s="22">
        <f>DATE(AG$5,8,1)</f>
        <v>45870</v>
      </c>
      <c r="AO38" s="22">
        <f>DATE(AG$5,9,1)</f>
        <v>45901</v>
      </c>
      <c r="AP38" s="22">
        <f>DATE(AG$5,10,1)</f>
        <v>45931</v>
      </c>
      <c r="AQ38" s="22">
        <f>DATE(AG$5,11,1)</f>
        <v>45962</v>
      </c>
      <c r="AR38" s="22">
        <f>DATE(AG$5,12,1)</f>
        <v>45992</v>
      </c>
      <c r="AS38" s="23">
        <f>AG$5</f>
        <v>2025</v>
      </c>
    </row>
    <row r="39" spans="3:45" x14ac:dyDescent="0.3">
      <c r="C39" s="16" t="s">
        <v>17</v>
      </c>
      <c r="E39" s="17">
        <v>1000</v>
      </c>
      <c r="F39" s="17">
        <v>1000</v>
      </c>
      <c r="G39" s="17">
        <v>1000</v>
      </c>
      <c r="H39" s="28">
        <v>800</v>
      </c>
      <c r="I39" s="28">
        <v>1000</v>
      </c>
      <c r="J39" s="28">
        <v>1000</v>
      </c>
      <c r="K39" s="28" t="s">
        <v>24</v>
      </c>
      <c r="L39" s="28" t="s">
        <v>24</v>
      </c>
      <c r="M39" s="28">
        <v>1000</v>
      </c>
      <c r="N39" s="28">
        <v>1000</v>
      </c>
      <c r="O39" s="28">
        <v>1000</v>
      </c>
      <c r="P39" s="28">
        <v>600</v>
      </c>
      <c r="Q39" s="19">
        <f>SUM(E39:P39)</f>
        <v>9400</v>
      </c>
      <c r="S39" s="17"/>
      <c r="T39" s="17"/>
      <c r="U39" s="17"/>
      <c r="V39" s="17"/>
      <c r="W39" s="17"/>
      <c r="X39" s="17"/>
      <c r="Y39" s="17"/>
      <c r="Z39" s="17"/>
      <c r="AA39" s="17"/>
      <c r="AB39" s="17"/>
      <c r="AC39" s="17"/>
      <c r="AD39" s="17"/>
      <c r="AE39" s="19">
        <f>SUM(S39:AD39)</f>
        <v>0</v>
      </c>
      <c r="AG39" s="17"/>
      <c r="AH39" s="17"/>
      <c r="AI39" s="17"/>
      <c r="AJ39" s="17"/>
      <c r="AK39" s="17"/>
      <c r="AL39" s="17"/>
      <c r="AM39" s="17"/>
      <c r="AN39" s="17"/>
      <c r="AO39" s="17"/>
      <c r="AP39" s="17"/>
      <c r="AQ39" s="17"/>
      <c r="AR39" s="17"/>
      <c r="AS39" s="19">
        <f>SUM(AG39:AR39)</f>
        <v>0</v>
      </c>
    </row>
    <row r="40" spans="3:45" x14ac:dyDescent="0.3">
      <c r="C40" s="16" t="s">
        <v>16</v>
      </c>
      <c r="E40" s="17">
        <v>400</v>
      </c>
      <c r="F40" s="17">
        <v>400</v>
      </c>
      <c r="G40" s="17">
        <v>400</v>
      </c>
      <c r="H40" s="17">
        <v>400</v>
      </c>
      <c r="I40" s="17">
        <v>400</v>
      </c>
      <c r="J40" s="17">
        <v>400</v>
      </c>
      <c r="K40" s="17">
        <v>400</v>
      </c>
      <c r="L40" s="17">
        <v>400</v>
      </c>
      <c r="M40" s="17">
        <v>400</v>
      </c>
      <c r="N40" s="17">
        <v>400</v>
      </c>
      <c r="O40" s="17">
        <v>400</v>
      </c>
      <c r="P40" s="17">
        <v>400</v>
      </c>
      <c r="Q40" s="19">
        <f t="shared" ref="Q40:Q48" si="11">SUM(E40:P40)</f>
        <v>4800</v>
      </c>
      <c r="S40" s="17"/>
      <c r="T40" s="17"/>
      <c r="U40" s="17"/>
      <c r="V40" s="17"/>
      <c r="W40" s="17"/>
      <c r="X40" s="17"/>
      <c r="Y40" s="17"/>
      <c r="Z40" s="17"/>
      <c r="AA40" s="17"/>
      <c r="AB40" s="17"/>
      <c r="AC40" s="17"/>
      <c r="AD40" s="17"/>
      <c r="AE40" s="19">
        <f t="shared" ref="AE40:AE48" si="12">SUM(S40:AD40)</f>
        <v>0</v>
      </c>
      <c r="AG40" s="17"/>
      <c r="AH40" s="17"/>
      <c r="AI40" s="17"/>
      <c r="AJ40" s="17"/>
      <c r="AK40" s="17"/>
      <c r="AL40" s="17"/>
      <c r="AM40" s="17"/>
      <c r="AN40" s="17"/>
      <c r="AO40" s="17"/>
      <c r="AP40" s="17"/>
      <c r="AQ40" s="17"/>
      <c r="AR40" s="17"/>
      <c r="AS40" s="19">
        <f t="shared" ref="AS40:AS48" si="13">SUM(AG40:AR40)</f>
        <v>0</v>
      </c>
    </row>
    <row r="41" spans="3:45" x14ac:dyDescent="0.3">
      <c r="C41" s="16" t="s">
        <v>18</v>
      </c>
      <c r="E41" s="17">
        <v>200</v>
      </c>
      <c r="F41" s="17">
        <v>200</v>
      </c>
      <c r="G41" s="17">
        <v>200</v>
      </c>
      <c r="H41" s="17">
        <v>200</v>
      </c>
      <c r="I41" s="17">
        <v>600</v>
      </c>
      <c r="J41" s="17">
        <v>500</v>
      </c>
      <c r="K41" s="17">
        <v>500</v>
      </c>
      <c r="L41" s="17">
        <v>400</v>
      </c>
      <c r="M41" s="17">
        <v>500</v>
      </c>
      <c r="N41" s="17">
        <v>700</v>
      </c>
      <c r="O41" s="17">
        <v>600</v>
      </c>
      <c r="P41" s="17">
        <v>200</v>
      </c>
      <c r="Q41" s="19">
        <f t="shared" si="11"/>
        <v>4800</v>
      </c>
      <c r="S41" s="17"/>
      <c r="T41" s="17"/>
      <c r="U41" s="17"/>
      <c r="V41" s="17"/>
      <c r="W41" s="17"/>
      <c r="X41" s="17"/>
      <c r="Y41" s="17"/>
      <c r="Z41" s="17"/>
      <c r="AA41" s="17"/>
      <c r="AB41" s="17"/>
      <c r="AC41" s="17"/>
      <c r="AD41" s="17"/>
      <c r="AE41" s="19">
        <f t="shared" si="12"/>
        <v>0</v>
      </c>
      <c r="AG41" s="17"/>
      <c r="AH41" s="17"/>
      <c r="AI41" s="17"/>
      <c r="AJ41" s="17"/>
      <c r="AK41" s="17"/>
      <c r="AL41" s="17"/>
      <c r="AM41" s="17"/>
      <c r="AN41" s="17"/>
      <c r="AO41" s="17"/>
      <c r="AP41" s="17"/>
      <c r="AQ41" s="17"/>
      <c r="AR41" s="17"/>
      <c r="AS41" s="19">
        <f t="shared" si="13"/>
        <v>0</v>
      </c>
    </row>
    <row r="42" spans="3:45" x14ac:dyDescent="0.3">
      <c r="C42" s="16" t="s">
        <v>26</v>
      </c>
      <c r="E42" s="17">
        <v>500</v>
      </c>
      <c r="F42" s="17">
        <v>400</v>
      </c>
      <c r="G42" s="17">
        <v>300</v>
      </c>
      <c r="H42" s="17">
        <v>1000</v>
      </c>
      <c r="I42" s="17">
        <v>1000</v>
      </c>
      <c r="J42" s="17">
        <v>1000</v>
      </c>
      <c r="K42" s="17">
        <v>1000</v>
      </c>
      <c r="L42" s="17">
        <v>1000</v>
      </c>
      <c r="M42" s="17">
        <v>1000</v>
      </c>
      <c r="N42" s="17">
        <v>1000</v>
      </c>
      <c r="O42" s="17">
        <v>1000</v>
      </c>
      <c r="P42" s="17">
        <v>1000</v>
      </c>
      <c r="Q42" s="19">
        <f t="shared" si="11"/>
        <v>10200</v>
      </c>
      <c r="S42" s="17"/>
      <c r="T42" s="17"/>
      <c r="U42" s="17"/>
      <c r="V42" s="17"/>
      <c r="W42" s="17"/>
      <c r="X42" s="17"/>
      <c r="Y42" s="17"/>
      <c r="Z42" s="17"/>
      <c r="AA42" s="17"/>
      <c r="AB42" s="17"/>
      <c r="AC42" s="17"/>
      <c r="AD42" s="17"/>
      <c r="AE42" s="19">
        <f t="shared" si="12"/>
        <v>0</v>
      </c>
      <c r="AG42" s="17"/>
      <c r="AH42" s="17"/>
      <c r="AI42" s="17"/>
      <c r="AJ42" s="17"/>
      <c r="AK42" s="17"/>
      <c r="AL42" s="17"/>
      <c r="AM42" s="17"/>
      <c r="AN42" s="17"/>
      <c r="AO42" s="17"/>
      <c r="AP42" s="17"/>
      <c r="AQ42" s="17"/>
      <c r="AR42" s="17"/>
      <c r="AS42" s="19">
        <f t="shared" si="13"/>
        <v>0</v>
      </c>
    </row>
    <row r="43" spans="3:45" hidden="1" x14ac:dyDescent="0.3">
      <c r="C43" s="16" t="s">
        <v>6</v>
      </c>
      <c r="E43" s="17"/>
      <c r="F43" s="17"/>
      <c r="G43" s="17"/>
      <c r="H43" s="17"/>
      <c r="I43" s="17"/>
      <c r="J43" s="17"/>
      <c r="K43" s="17"/>
      <c r="L43" s="17"/>
      <c r="M43" s="17"/>
      <c r="N43" s="17"/>
      <c r="O43" s="17"/>
      <c r="P43" s="17"/>
      <c r="Q43" s="19">
        <f t="shared" si="11"/>
        <v>0</v>
      </c>
      <c r="S43" s="17"/>
      <c r="T43" s="17"/>
      <c r="U43" s="17"/>
      <c r="V43" s="17"/>
      <c r="W43" s="17"/>
      <c r="X43" s="17"/>
      <c r="Y43" s="17"/>
      <c r="Z43" s="17"/>
      <c r="AA43" s="17"/>
      <c r="AB43" s="17"/>
      <c r="AC43" s="17"/>
      <c r="AD43" s="17"/>
      <c r="AE43" s="19">
        <f t="shared" si="12"/>
        <v>0</v>
      </c>
      <c r="AG43" s="17"/>
      <c r="AH43" s="17"/>
      <c r="AI43" s="17"/>
      <c r="AJ43" s="17"/>
      <c r="AK43" s="17"/>
      <c r="AL43" s="17"/>
      <c r="AM43" s="17"/>
      <c r="AN43" s="17"/>
      <c r="AO43" s="17"/>
      <c r="AP43" s="17"/>
      <c r="AQ43" s="17"/>
      <c r="AR43" s="17"/>
      <c r="AS43" s="19">
        <f t="shared" si="13"/>
        <v>0</v>
      </c>
    </row>
    <row r="44" spans="3:45" hidden="1" x14ac:dyDescent="0.3">
      <c r="C44" s="16" t="s">
        <v>6</v>
      </c>
      <c r="E44" s="17"/>
      <c r="F44" s="17"/>
      <c r="G44" s="17"/>
      <c r="H44" s="17"/>
      <c r="I44" s="17"/>
      <c r="J44" s="17"/>
      <c r="K44" s="17"/>
      <c r="L44" s="17"/>
      <c r="M44" s="17"/>
      <c r="N44" s="17"/>
      <c r="O44" s="17"/>
      <c r="P44" s="17"/>
      <c r="Q44" s="19">
        <f t="shared" si="11"/>
        <v>0</v>
      </c>
      <c r="S44" s="17"/>
      <c r="T44" s="17"/>
      <c r="U44" s="17"/>
      <c r="V44" s="17"/>
      <c r="W44" s="17"/>
      <c r="X44" s="17"/>
      <c r="Y44" s="17"/>
      <c r="Z44" s="17"/>
      <c r="AA44" s="17"/>
      <c r="AB44" s="17"/>
      <c r="AC44" s="17"/>
      <c r="AD44" s="17"/>
      <c r="AE44" s="19">
        <f t="shared" si="12"/>
        <v>0</v>
      </c>
      <c r="AG44" s="17"/>
      <c r="AH44" s="17"/>
      <c r="AI44" s="17"/>
      <c r="AJ44" s="17"/>
      <c r="AK44" s="17"/>
      <c r="AL44" s="17"/>
      <c r="AM44" s="17"/>
      <c r="AN44" s="17"/>
      <c r="AO44" s="17"/>
      <c r="AP44" s="17"/>
      <c r="AQ44" s="17"/>
      <c r="AR44" s="17"/>
      <c r="AS44" s="19">
        <f t="shared" si="13"/>
        <v>0</v>
      </c>
    </row>
    <row r="45" spans="3:45" hidden="1" x14ac:dyDescent="0.3">
      <c r="C45" s="16" t="s">
        <v>6</v>
      </c>
      <c r="E45" s="17"/>
      <c r="F45" s="17"/>
      <c r="G45" s="17"/>
      <c r="H45" s="17"/>
      <c r="I45" s="17"/>
      <c r="J45" s="17"/>
      <c r="K45" s="17"/>
      <c r="L45" s="17"/>
      <c r="M45" s="17"/>
      <c r="N45" s="17"/>
      <c r="O45" s="17"/>
      <c r="P45" s="17"/>
      <c r="Q45" s="19">
        <f t="shared" si="11"/>
        <v>0</v>
      </c>
      <c r="S45" s="17"/>
      <c r="T45" s="17"/>
      <c r="U45" s="17"/>
      <c r="V45" s="17"/>
      <c r="W45" s="17"/>
      <c r="X45" s="17"/>
      <c r="Y45" s="17"/>
      <c r="Z45" s="17"/>
      <c r="AA45" s="17"/>
      <c r="AB45" s="17"/>
      <c r="AC45" s="17"/>
      <c r="AD45" s="17"/>
      <c r="AE45" s="19">
        <f t="shared" si="12"/>
        <v>0</v>
      </c>
      <c r="AG45" s="17"/>
      <c r="AH45" s="17"/>
      <c r="AI45" s="17"/>
      <c r="AJ45" s="17"/>
      <c r="AK45" s="17"/>
      <c r="AL45" s="17"/>
      <c r="AM45" s="17"/>
      <c r="AN45" s="17"/>
      <c r="AO45" s="17"/>
      <c r="AP45" s="17"/>
      <c r="AQ45" s="17"/>
      <c r="AR45" s="17"/>
      <c r="AS45" s="19">
        <f t="shared" si="13"/>
        <v>0</v>
      </c>
    </row>
    <row r="46" spans="3:45" hidden="1" x14ac:dyDescent="0.3">
      <c r="C46" s="16" t="s">
        <v>6</v>
      </c>
      <c r="E46" s="17"/>
      <c r="F46" s="17"/>
      <c r="G46" s="17"/>
      <c r="H46" s="17"/>
      <c r="I46" s="17"/>
      <c r="J46" s="17"/>
      <c r="K46" s="17"/>
      <c r="L46" s="17"/>
      <c r="M46" s="17"/>
      <c r="N46" s="17"/>
      <c r="O46" s="17"/>
      <c r="P46" s="17"/>
      <c r="Q46" s="19">
        <f t="shared" si="11"/>
        <v>0</v>
      </c>
      <c r="S46" s="17"/>
      <c r="T46" s="17"/>
      <c r="U46" s="17"/>
      <c r="V46" s="17"/>
      <c r="W46" s="17"/>
      <c r="X46" s="17"/>
      <c r="Y46" s="17"/>
      <c r="Z46" s="17"/>
      <c r="AA46" s="17"/>
      <c r="AB46" s="17"/>
      <c r="AC46" s="17"/>
      <c r="AD46" s="17"/>
      <c r="AE46" s="19">
        <f t="shared" si="12"/>
        <v>0</v>
      </c>
      <c r="AG46" s="17"/>
      <c r="AH46" s="17"/>
      <c r="AI46" s="17"/>
      <c r="AJ46" s="17"/>
      <c r="AK46" s="17"/>
      <c r="AL46" s="17"/>
      <c r="AM46" s="17"/>
      <c r="AN46" s="17"/>
      <c r="AO46" s="17"/>
      <c r="AP46" s="17"/>
      <c r="AQ46" s="17"/>
      <c r="AR46" s="17"/>
      <c r="AS46" s="19">
        <f t="shared" si="13"/>
        <v>0</v>
      </c>
    </row>
    <row r="47" spans="3:45" hidden="1" x14ac:dyDescent="0.3">
      <c r="C47" s="16" t="s">
        <v>6</v>
      </c>
      <c r="E47" s="17"/>
      <c r="F47" s="17"/>
      <c r="G47" s="17"/>
      <c r="H47" s="17"/>
      <c r="I47" s="17"/>
      <c r="J47" s="17"/>
      <c r="K47" s="17"/>
      <c r="L47" s="17"/>
      <c r="M47" s="17"/>
      <c r="N47" s="17"/>
      <c r="O47" s="17"/>
      <c r="P47" s="17"/>
      <c r="Q47" s="19">
        <f t="shared" si="11"/>
        <v>0</v>
      </c>
      <c r="S47" s="17"/>
      <c r="T47" s="17"/>
      <c r="U47" s="17"/>
      <c r="V47" s="17"/>
      <c r="W47" s="17"/>
      <c r="X47" s="17"/>
      <c r="Y47" s="17"/>
      <c r="Z47" s="17"/>
      <c r="AA47" s="17"/>
      <c r="AB47" s="17"/>
      <c r="AC47" s="17"/>
      <c r="AD47" s="17"/>
      <c r="AE47" s="19">
        <f t="shared" si="12"/>
        <v>0</v>
      </c>
      <c r="AG47" s="17"/>
      <c r="AH47" s="17"/>
      <c r="AI47" s="17"/>
      <c r="AJ47" s="17"/>
      <c r="AK47" s="17"/>
      <c r="AL47" s="17"/>
      <c r="AM47" s="17"/>
      <c r="AN47" s="17"/>
      <c r="AO47" s="17"/>
      <c r="AP47" s="17"/>
      <c r="AQ47" s="17"/>
      <c r="AR47" s="17"/>
      <c r="AS47" s="19">
        <f t="shared" si="13"/>
        <v>0</v>
      </c>
    </row>
    <row r="48" spans="3:45" hidden="1" x14ac:dyDescent="0.3">
      <c r="C48" s="16" t="s">
        <v>6</v>
      </c>
      <c r="E48" s="17"/>
      <c r="F48" s="17"/>
      <c r="G48" s="17"/>
      <c r="H48" s="17"/>
      <c r="I48" s="17"/>
      <c r="J48" s="17"/>
      <c r="K48" s="17"/>
      <c r="L48" s="17"/>
      <c r="M48" s="17"/>
      <c r="N48" s="17"/>
      <c r="O48" s="17"/>
      <c r="P48" s="17"/>
      <c r="Q48" s="19">
        <f t="shared" si="11"/>
        <v>0</v>
      </c>
      <c r="S48" s="17"/>
      <c r="T48" s="17"/>
      <c r="U48" s="17"/>
      <c r="V48" s="17"/>
      <c r="W48" s="17"/>
      <c r="X48" s="17"/>
      <c r="Y48" s="17"/>
      <c r="Z48" s="17"/>
      <c r="AA48" s="17"/>
      <c r="AB48" s="17"/>
      <c r="AC48" s="17"/>
      <c r="AD48" s="17"/>
      <c r="AE48" s="19">
        <f t="shared" si="12"/>
        <v>0</v>
      </c>
      <c r="AG48" s="17"/>
      <c r="AH48" s="17"/>
      <c r="AI48" s="17"/>
      <c r="AJ48" s="17"/>
      <c r="AK48" s="17"/>
      <c r="AL48" s="17"/>
      <c r="AM48" s="17"/>
      <c r="AN48" s="17"/>
      <c r="AO48" s="17"/>
      <c r="AP48" s="17"/>
      <c r="AQ48" s="17"/>
      <c r="AR48" s="17"/>
      <c r="AS48" s="19">
        <f t="shared" si="13"/>
        <v>0</v>
      </c>
    </row>
    <row r="49" spans="3:45" x14ac:dyDescent="0.3">
      <c r="C49" s="13" t="s">
        <v>7</v>
      </c>
      <c r="E49" s="18">
        <f t="shared" ref="E49:AS49" ca="1" si="14">SUM(INDIRECT(ADDRESS(savings_min_row,COLUMN()) &amp; ":" &amp; ADDRESS(savings_max_row,COLUMN())))</f>
        <v>2100</v>
      </c>
      <c r="F49" s="18">
        <f t="shared" ca="1" si="14"/>
        <v>2000</v>
      </c>
      <c r="G49" s="18">
        <f t="shared" ca="1" si="14"/>
        <v>1900</v>
      </c>
      <c r="H49" s="18">
        <f t="shared" ca="1" si="14"/>
        <v>2400</v>
      </c>
      <c r="I49" s="18">
        <f t="shared" ca="1" si="14"/>
        <v>3000</v>
      </c>
      <c r="J49" s="18">
        <f t="shared" ca="1" si="14"/>
        <v>2900</v>
      </c>
      <c r="K49" s="18">
        <f t="shared" ca="1" si="14"/>
        <v>1900</v>
      </c>
      <c r="L49" s="18">
        <f t="shared" ca="1" si="14"/>
        <v>1800</v>
      </c>
      <c r="M49" s="18">
        <f t="shared" ca="1" si="14"/>
        <v>2900</v>
      </c>
      <c r="N49" s="18">
        <f t="shared" ca="1" si="14"/>
        <v>3100</v>
      </c>
      <c r="O49" s="18">
        <f t="shared" ca="1" si="14"/>
        <v>3000</v>
      </c>
      <c r="P49" s="18">
        <f t="shared" ca="1" si="14"/>
        <v>2200</v>
      </c>
      <c r="Q49" s="18">
        <f t="shared" ca="1" si="14"/>
        <v>29200</v>
      </c>
      <c r="S49" s="18">
        <f t="shared" ca="1" si="14"/>
        <v>0</v>
      </c>
      <c r="T49" s="18">
        <f t="shared" ca="1" si="14"/>
        <v>0</v>
      </c>
      <c r="U49" s="18">
        <f t="shared" ca="1" si="14"/>
        <v>0</v>
      </c>
      <c r="V49" s="18">
        <f t="shared" ca="1" si="14"/>
        <v>0</v>
      </c>
      <c r="W49" s="18">
        <f t="shared" ca="1" si="14"/>
        <v>0</v>
      </c>
      <c r="X49" s="18">
        <f t="shared" ca="1" si="14"/>
        <v>0</v>
      </c>
      <c r="Y49" s="18">
        <f t="shared" ca="1" si="14"/>
        <v>0</v>
      </c>
      <c r="Z49" s="18">
        <f t="shared" ca="1" si="14"/>
        <v>0</v>
      </c>
      <c r="AA49" s="18">
        <f t="shared" ca="1" si="14"/>
        <v>0</v>
      </c>
      <c r="AB49" s="18">
        <f t="shared" ca="1" si="14"/>
        <v>0</v>
      </c>
      <c r="AC49" s="18">
        <f t="shared" ca="1" si="14"/>
        <v>0</v>
      </c>
      <c r="AD49" s="18">
        <f t="shared" ca="1" si="14"/>
        <v>0</v>
      </c>
      <c r="AE49" s="18">
        <f t="shared" ca="1" si="14"/>
        <v>0</v>
      </c>
      <c r="AG49" s="18">
        <f t="shared" ca="1" si="14"/>
        <v>0</v>
      </c>
      <c r="AH49" s="18">
        <f t="shared" ca="1" si="14"/>
        <v>0</v>
      </c>
      <c r="AI49" s="18">
        <f t="shared" ca="1" si="14"/>
        <v>0</v>
      </c>
      <c r="AJ49" s="18">
        <f t="shared" ca="1" si="14"/>
        <v>0</v>
      </c>
      <c r="AK49" s="18">
        <f t="shared" ca="1" si="14"/>
        <v>0</v>
      </c>
      <c r="AL49" s="18">
        <f t="shared" ca="1" si="14"/>
        <v>0</v>
      </c>
      <c r="AM49" s="18">
        <f t="shared" ca="1" si="14"/>
        <v>0</v>
      </c>
      <c r="AN49" s="18">
        <f t="shared" ca="1" si="14"/>
        <v>0</v>
      </c>
      <c r="AO49" s="18">
        <f t="shared" ca="1" si="14"/>
        <v>0</v>
      </c>
      <c r="AP49" s="18">
        <f t="shared" ca="1" si="14"/>
        <v>0</v>
      </c>
      <c r="AQ49" s="18">
        <f t="shared" ca="1" si="14"/>
        <v>0</v>
      </c>
      <c r="AR49" s="18">
        <f t="shared" ca="1" si="14"/>
        <v>0</v>
      </c>
      <c r="AS49" s="18">
        <f t="shared" ca="1" si="14"/>
        <v>0</v>
      </c>
    </row>
  </sheetData>
  <mergeCells count="3">
    <mergeCell ref="E5:Q5"/>
    <mergeCell ref="S5:AE5"/>
    <mergeCell ref="AG5:AS5"/>
  </mergeCells>
  <conditionalFormatting sqref="C10:C19 E10:Q19">
    <cfRule type="expression" dxfId="45" priority="18">
      <formula>ROW(A10)&lt;=income_max_row</formula>
    </cfRule>
  </conditionalFormatting>
  <conditionalFormatting sqref="C23:C35 E23:Q35">
    <cfRule type="expression" dxfId="44" priority="17">
      <formula>ROW(A23)&lt;=expenses_max_row</formula>
    </cfRule>
  </conditionalFormatting>
  <conditionalFormatting sqref="C39:C48 E39:Q48">
    <cfRule type="expression" dxfId="43" priority="16">
      <formula>ROW(A39)&lt;=savings_max_row</formula>
    </cfRule>
  </conditionalFormatting>
  <conditionalFormatting sqref="E6:Q7">
    <cfRule type="expression" dxfId="42" priority="13" stopIfTrue="1">
      <formula>AND(E$20=0, E$36=0, E$49=0)</formula>
    </cfRule>
    <cfRule type="expression" dxfId="41" priority="14" stopIfTrue="1">
      <formula>E$7=0</formula>
    </cfRule>
    <cfRule type="expression" dxfId="40" priority="15">
      <formula>E$7&lt;0</formula>
    </cfRule>
  </conditionalFormatting>
  <conditionalFormatting sqref="S6:AE7">
    <cfRule type="expression" dxfId="39" priority="7" stopIfTrue="1">
      <formula>AND(S$20=0, S$36=0, S$49=0)</formula>
    </cfRule>
    <cfRule type="expression" dxfId="38" priority="8" stopIfTrue="1">
      <formula>S$7=0</formula>
    </cfRule>
    <cfRule type="expression" dxfId="37" priority="9">
      <formula>S$7&lt;0</formula>
    </cfRule>
  </conditionalFormatting>
  <conditionalFormatting sqref="S10:AE19">
    <cfRule type="expression" dxfId="36" priority="12">
      <formula>ROW(Q10)&lt;=income_max_row</formula>
    </cfRule>
  </conditionalFormatting>
  <conditionalFormatting sqref="S23:AE35">
    <cfRule type="expression" dxfId="35" priority="11">
      <formula>ROW(Q23)&lt;=expenses_max_row</formula>
    </cfRule>
  </conditionalFormatting>
  <conditionalFormatting sqref="S39:AE48">
    <cfRule type="expression" dxfId="34" priority="10">
      <formula>ROW(Q39)&lt;=savings_max_row</formula>
    </cfRule>
  </conditionalFormatting>
  <conditionalFormatting sqref="AG6:AS7">
    <cfRule type="expression" dxfId="33" priority="1" stopIfTrue="1">
      <formula>AND(AG$20=0, AG$36=0, AG$49=0)</formula>
    </cfRule>
    <cfRule type="expression" dxfId="32" priority="2" stopIfTrue="1">
      <formula>AG$7=0</formula>
    </cfRule>
    <cfRule type="expression" dxfId="31" priority="3">
      <formula>AG$7&lt;0</formula>
    </cfRule>
  </conditionalFormatting>
  <conditionalFormatting sqref="AG10:AS19">
    <cfRule type="expression" dxfId="30" priority="6">
      <formula>ROW(AE10)&lt;=income_max_row</formula>
    </cfRule>
  </conditionalFormatting>
  <conditionalFormatting sqref="AG23:AS35">
    <cfRule type="expression" dxfId="29" priority="5">
      <formula>ROW(AE23)&lt;=expenses_max_row</formula>
    </cfRule>
  </conditionalFormatting>
  <conditionalFormatting sqref="AG39:AS48">
    <cfRule type="expression" dxfId="28" priority="4">
      <formula>ROW(AE39)&lt;=savings_max_row</formula>
    </cfRule>
  </conditionalFormatting>
  <pageMargins left="0.7" right="0.7" top="0.75" bottom="0.75" header="0.3" footer="0.3"/>
  <pageSetup orientation="portrait" r:id="rId1"/>
  <tableParts count="3">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2457A-2797-42DA-8B37-970818EE06C4}">
  <sheetPr>
    <tabColor theme="0"/>
  </sheetPr>
  <dimension ref="C1:M34"/>
  <sheetViews>
    <sheetView showGridLines="0" zoomScale="80" zoomScaleNormal="80" workbookViewId="0">
      <pane ySplit="11" topLeftCell="A12" activePane="bottomLeft" state="frozen"/>
      <selection pane="bottomLeft" activeCell="F27" sqref="F27"/>
    </sheetView>
  </sheetViews>
  <sheetFormatPr defaultRowHeight="14.4" x14ac:dyDescent="0.3"/>
  <cols>
    <col min="3" max="4" width="15.44140625" customWidth="1"/>
    <col min="5" max="5" width="18.33203125" customWidth="1"/>
    <col min="6" max="6" width="15.44140625" customWidth="1"/>
    <col min="7" max="7" width="34.33203125" customWidth="1"/>
    <col min="8" max="8" width="13.5546875" customWidth="1"/>
    <col min="9" max="9" width="17.44140625" customWidth="1"/>
  </cols>
  <sheetData>
    <row r="1" spans="3:13" s="1" customFormat="1" x14ac:dyDescent="0.3"/>
    <row r="2" spans="3:13" s="1" customFormat="1" ht="23.4" x14ac:dyDescent="0.45">
      <c r="C2" s="2" t="s">
        <v>27</v>
      </c>
    </row>
    <row r="3" spans="3:13" s="1" customFormat="1" x14ac:dyDescent="0.3"/>
    <row r="11" spans="3:13" x14ac:dyDescent="0.3">
      <c r="C11" s="34" t="s">
        <v>28</v>
      </c>
      <c r="D11" s="34" t="s">
        <v>29</v>
      </c>
      <c r="E11" s="34" t="s">
        <v>30</v>
      </c>
      <c r="F11" s="34" t="s">
        <v>31</v>
      </c>
      <c r="G11" s="34" t="s">
        <v>32</v>
      </c>
      <c r="H11" s="37" t="s">
        <v>34</v>
      </c>
      <c r="I11" s="37" t="s">
        <v>35</v>
      </c>
    </row>
    <row r="12" spans="3:13" x14ac:dyDescent="0.3">
      <c r="C12" s="40">
        <v>44920</v>
      </c>
      <c r="D12" s="35" t="s">
        <v>5</v>
      </c>
      <c r="E12" s="35" t="s">
        <v>8</v>
      </c>
      <c r="F12" s="36">
        <v>3500</v>
      </c>
      <c r="G12" s="16" t="s">
        <v>33</v>
      </c>
      <c r="H12" s="38">
        <f>SUMPRODUCT(Tracking[Amount], --(Tracking[Date]&lt;=Tracking[[#This Row],[Date]]), (Tracking[Type]&lt;&gt;"Income")*(-1)+(Tracking[Type]="Income"))</f>
        <v>3500</v>
      </c>
      <c r="I12" s="41">
        <f>IF(AND(Tracking[[#This Row],[Type]]="Income", shift_late_income_status="Active", DAY(Tracking[[#This Row],[Date]])&gt;=shift_late_income_starting_date), DATE(YEAR(Tracking[[#This Row],[Date]]), MONTH(Tracking[[#This Row],[Date]])+1, 1), Tracking[[#This Row],[Date]])</f>
        <v>44927</v>
      </c>
      <c r="K12" s="60"/>
      <c r="M12" s="60"/>
    </row>
    <row r="13" spans="3:13" x14ac:dyDescent="0.3">
      <c r="C13" s="40">
        <v>44928</v>
      </c>
      <c r="D13" s="35" t="s">
        <v>11</v>
      </c>
      <c r="E13" s="35" t="s">
        <v>12</v>
      </c>
      <c r="F13" s="36">
        <v>1200</v>
      </c>
      <c r="G13" s="16" t="s">
        <v>33</v>
      </c>
      <c r="H13" s="38">
        <f>SUMPRODUCT(Tracking[Amount], --(Tracking[Date]&lt;=Tracking[[#This Row],[Date]]), (Tracking[Type]&lt;&gt;"Income")*(-1)+(Tracking[Type]="Income"))</f>
        <v>2300</v>
      </c>
      <c r="I13" s="41">
        <f>IF(AND(Tracking[[#This Row],[Type]]="Income", shift_late_income_status="Active", DAY(Tracking[[#This Row],[Date]])&gt;=shift_late_income_starting_date), DATE(YEAR(Tracking[[#This Row],[Date]]), MONTH(Tracking[[#This Row],[Date]])+1, 1), Tracking[[#This Row],[Date]])</f>
        <v>44928</v>
      </c>
      <c r="K13" s="60"/>
      <c r="M13" s="60"/>
    </row>
    <row r="14" spans="3:13" x14ac:dyDescent="0.3">
      <c r="C14" s="40">
        <v>44929</v>
      </c>
      <c r="D14" s="35" t="s">
        <v>11</v>
      </c>
      <c r="E14" s="35" t="s">
        <v>14</v>
      </c>
      <c r="F14" s="36">
        <v>150</v>
      </c>
      <c r="G14" s="16" t="s">
        <v>33</v>
      </c>
      <c r="H14" s="38">
        <f>SUMPRODUCT(Tracking[Amount], --(Tracking[Date]&lt;=Tracking[[#This Row],[Date]]), (Tracking[Type]&lt;&gt;"Income")*(-1)+(Tracking[Type]="Income"))</f>
        <v>2150</v>
      </c>
      <c r="I14" s="41">
        <f>IF(AND(Tracking[[#This Row],[Type]]="Income", shift_late_income_status="Active", DAY(Tracking[[#This Row],[Date]])&gt;=shift_late_income_starting_date), DATE(YEAR(Tracking[[#This Row],[Date]]), MONTH(Tracking[[#This Row],[Date]])+1, 1), Tracking[[#This Row],[Date]])</f>
        <v>44929</v>
      </c>
      <c r="K14" s="60"/>
      <c r="M14" s="60"/>
    </row>
    <row r="15" spans="3:13" x14ac:dyDescent="0.3">
      <c r="C15" s="40">
        <v>44930</v>
      </c>
      <c r="D15" s="35" t="s">
        <v>15</v>
      </c>
      <c r="E15" s="35" t="s">
        <v>17</v>
      </c>
      <c r="F15" s="36">
        <v>1000</v>
      </c>
      <c r="G15" s="16" t="s">
        <v>33</v>
      </c>
      <c r="H15" s="38">
        <f>SUMPRODUCT(Tracking[Amount], --(Tracking[Date]&lt;=Tracking[[#This Row],[Date]]), (Tracking[Type]&lt;&gt;"Income")*(-1)+(Tracking[Type]="Income"))</f>
        <v>1150</v>
      </c>
      <c r="I15" s="41">
        <f>IF(AND(Tracking[[#This Row],[Type]]="Income", shift_late_income_status="Active", DAY(Tracking[[#This Row],[Date]])&gt;=shift_late_income_starting_date), DATE(YEAR(Tracking[[#This Row],[Date]]), MONTH(Tracking[[#This Row],[Date]])+1, 1), Tracking[[#This Row],[Date]])</f>
        <v>44930</v>
      </c>
      <c r="K15" s="60"/>
      <c r="M15" s="60"/>
    </row>
    <row r="16" spans="3:13" x14ac:dyDescent="0.3">
      <c r="C16" s="40">
        <v>44959</v>
      </c>
      <c r="D16" s="91" t="s">
        <v>5</v>
      </c>
      <c r="E16" s="91" t="s">
        <v>8</v>
      </c>
      <c r="F16" s="95">
        <v>3500</v>
      </c>
      <c r="G16" s="96"/>
      <c r="H16" s="97">
        <f>SUMPRODUCT(Tracking[Amount], --(Tracking[Date]&lt;=Tracking[[#This Row],[Date]]), (Tracking[Type]&lt;&gt;"Income")*(-1)+(Tracking[Type]="Income"))</f>
        <v>4650</v>
      </c>
      <c r="I16" s="41">
        <f>IF(AND(Tracking[[#This Row],[Type]]="Income", shift_late_income_status="Active", DAY(Tracking[[#This Row],[Date]])&gt;=shift_late_income_starting_date), DATE(YEAR(Tracking[[#This Row],[Date]]), MONTH(Tracking[[#This Row],[Date]])+1, 1), Tracking[[#This Row],[Date]])</f>
        <v>44959</v>
      </c>
    </row>
    <row r="17" spans="3:9" x14ac:dyDescent="0.3">
      <c r="C17" s="40">
        <v>44962</v>
      </c>
      <c r="D17" s="35" t="s">
        <v>5</v>
      </c>
      <c r="E17" s="35" t="s">
        <v>9</v>
      </c>
      <c r="F17" s="36">
        <v>1000</v>
      </c>
      <c r="G17" s="16" t="s">
        <v>33</v>
      </c>
      <c r="H17" s="38">
        <f>SUMPRODUCT(Tracking[Amount], --(Tracking[Date]&lt;=Tracking[[#This Row],[Date]]), (Tracking[Type]&lt;&gt;"Income")*(-1)+(Tracking[Type]="Income"))</f>
        <v>5650</v>
      </c>
      <c r="I17" s="41">
        <f>IF(AND(Tracking[[#This Row],[Type]]="Income", shift_late_income_status="Active", DAY(Tracking[[#This Row],[Date]])&gt;=shift_late_income_starting_date), DATE(YEAR(Tracking[[#This Row],[Date]]), MONTH(Tracking[[#This Row],[Date]])+1, 1), Tracking[[#This Row],[Date]])</f>
        <v>44962</v>
      </c>
    </row>
    <row r="18" spans="3:9" x14ac:dyDescent="0.3">
      <c r="C18" s="40">
        <v>44964</v>
      </c>
      <c r="D18" s="35" t="s">
        <v>11</v>
      </c>
      <c r="E18" s="35" t="s">
        <v>13</v>
      </c>
      <c r="F18" s="36">
        <v>200</v>
      </c>
      <c r="G18" s="16" t="s">
        <v>33</v>
      </c>
      <c r="H18" s="38">
        <f>SUMPRODUCT(Tracking[Amount], --(Tracking[Date]&lt;=Tracking[[#This Row],[Date]]), (Tracking[Type]&lt;&gt;"Income")*(-1)+(Tracking[Type]="Income"))</f>
        <v>5450</v>
      </c>
      <c r="I18" s="41">
        <f>IF(AND(Tracking[[#This Row],[Type]]="Income", shift_late_income_status="Active", DAY(Tracking[[#This Row],[Date]])&gt;=shift_late_income_starting_date), DATE(YEAR(Tracking[[#This Row],[Date]]), MONTH(Tracking[[#This Row],[Date]])+1, 1), Tracking[[#This Row],[Date]])</f>
        <v>44964</v>
      </c>
    </row>
    <row r="19" spans="3:9" x14ac:dyDescent="0.3">
      <c r="C19" s="40">
        <v>44965</v>
      </c>
      <c r="D19" s="35" t="s">
        <v>11</v>
      </c>
      <c r="E19" s="35" t="s">
        <v>20</v>
      </c>
      <c r="F19" s="36">
        <v>100</v>
      </c>
      <c r="G19" s="16" t="s">
        <v>33</v>
      </c>
      <c r="H19" s="38">
        <f>SUMPRODUCT(Tracking[Amount], --(Tracking[Date]&lt;=Tracking[[#This Row],[Date]]), (Tracking[Type]&lt;&gt;"Income")*(-1)+(Tracking[Type]="Income"))</f>
        <v>5350</v>
      </c>
      <c r="I19" s="41">
        <f>IF(AND(Tracking[[#This Row],[Type]]="Income", shift_late_income_status="Active", DAY(Tracking[[#This Row],[Date]])&gt;=shift_late_income_starting_date), DATE(YEAR(Tracking[[#This Row],[Date]]), MONTH(Tracking[[#This Row],[Date]])+1, 1), Tracking[[#This Row],[Date]])</f>
        <v>44965</v>
      </c>
    </row>
    <row r="20" spans="3:9" x14ac:dyDescent="0.3">
      <c r="C20" s="40">
        <v>44966</v>
      </c>
      <c r="D20" s="35" t="s">
        <v>15</v>
      </c>
      <c r="E20" s="35" t="s">
        <v>18</v>
      </c>
      <c r="F20" s="36">
        <v>250</v>
      </c>
      <c r="G20" s="16" t="s">
        <v>33</v>
      </c>
      <c r="H20" s="38">
        <f>SUMPRODUCT(Tracking[Amount], --(Tracking[Date]&lt;=Tracking[[#This Row],[Date]]), (Tracking[Type]&lt;&gt;"Income")*(-1)+(Tracking[Type]="Income"))</f>
        <v>5100</v>
      </c>
      <c r="I20" s="41">
        <f>IF(AND(Tracking[[#This Row],[Type]]="Income", shift_late_income_status="Active", DAY(Tracking[[#This Row],[Date]])&gt;=shift_late_income_starting_date), DATE(YEAR(Tracking[[#This Row],[Date]]), MONTH(Tracking[[#This Row],[Date]])+1, 1), Tracking[[#This Row],[Date]])</f>
        <v>44966</v>
      </c>
    </row>
    <row r="21" spans="3:9" x14ac:dyDescent="0.3">
      <c r="C21" s="40">
        <v>44969</v>
      </c>
      <c r="D21" s="35" t="s">
        <v>5</v>
      </c>
      <c r="E21" s="35" t="s">
        <v>10</v>
      </c>
      <c r="F21" s="36">
        <v>200</v>
      </c>
      <c r="G21" s="16"/>
      <c r="H21" s="38">
        <f>SUMPRODUCT(Tracking[Amount], --(Tracking[Date]&lt;=Tracking[[#This Row],[Date]]), (Tracking[Type]&lt;&gt;"Income")*(-1)+(Tracking[Type]="Income"))</f>
        <v>5300</v>
      </c>
      <c r="I21" s="41">
        <f>IF(AND(Tracking[[#This Row],[Type]]="Income", shift_late_income_status="Active", DAY(Tracking[[#This Row],[Date]])&gt;=shift_late_income_starting_date), DATE(YEAR(Tracking[[#This Row],[Date]]), MONTH(Tracking[[#This Row],[Date]])+1, 1), Tracking[[#This Row],[Date]])</f>
        <v>44969</v>
      </c>
    </row>
    <row r="22" spans="3:9" x14ac:dyDescent="0.3">
      <c r="C22" s="40">
        <v>44972</v>
      </c>
      <c r="D22" s="35" t="s">
        <v>11</v>
      </c>
      <c r="E22" s="35" t="s">
        <v>21</v>
      </c>
      <c r="F22" s="36">
        <v>50</v>
      </c>
      <c r="G22" s="16"/>
      <c r="H22" s="38">
        <f>SUMPRODUCT(Tracking[Amount], --(Tracking[Date]&lt;=Tracking[[#This Row],[Date]]), (Tracking[Type]&lt;&gt;"Income")*(-1)+(Tracking[Type]="Income"))</f>
        <v>5250</v>
      </c>
      <c r="I22" s="41">
        <f>IF(AND(Tracking[[#This Row],[Type]]="Income", shift_late_income_status="Active", DAY(Tracking[[#This Row],[Date]])&gt;=shift_late_income_starting_date), DATE(YEAR(Tracking[[#This Row],[Date]]), MONTH(Tracking[[#This Row],[Date]])+1, 1), Tracking[[#This Row],[Date]])</f>
        <v>44972</v>
      </c>
    </row>
    <row r="23" spans="3:9" x14ac:dyDescent="0.3">
      <c r="C23" s="40">
        <v>44975</v>
      </c>
      <c r="D23" s="35" t="s">
        <v>11</v>
      </c>
      <c r="E23" s="35" t="s">
        <v>22</v>
      </c>
      <c r="F23" s="36">
        <v>100</v>
      </c>
      <c r="G23" s="16"/>
      <c r="H23" s="38">
        <f>SUMPRODUCT(Tracking[Amount], --(Tracking[Date]&lt;=Tracking[[#This Row],[Date]]), (Tracking[Type]&lt;&gt;"Income")*(-1)+(Tracking[Type]="Income"))</f>
        <v>5150</v>
      </c>
      <c r="I23" s="41">
        <f>IF(AND(Tracking[[#This Row],[Type]]="Income", shift_late_income_status="Active", DAY(Tracking[[#This Row],[Date]])&gt;=shift_late_income_starting_date), DATE(YEAR(Tracking[[#This Row],[Date]]), MONTH(Tracking[[#This Row],[Date]])+1, 1), Tracking[[#This Row],[Date]])</f>
        <v>44975</v>
      </c>
    </row>
    <row r="24" spans="3:9" x14ac:dyDescent="0.3">
      <c r="C24" s="40">
        <v>44976</v>
      </c>
      <c r="D24" s="35" t="s">
        <v>5</v>
      </c>
      <c r="E24" s="35" t="s">
        <v>76</v>
      </c>
      <c r="F24" s="36">
        <v>200</v>
      </c>
      <c r="G24" s="16"/>
      <c r="H24" s="38">
        <f>SUMPRODUCT(Tracking[Amount], --(Tracking[Date]&lt;=Tracking[[#This Row],[Date]]), (Tracking[Type]&lt;&gt;"Income")*(-1)+(Tracking[Type]="Income"))</f>
        <v>4550</v>
      </c>
      <c r="I24" s="41">
        <f>IF(AND(Tracking[[#This Row],[Type]]="Income", shift_late_income_status="Active", DAY(Tracking[[#This Row],[Date]])&gt;=shift_late_income_starting_date), DATE(YEAR(Tracking[[#This Row],[Date]]), MONTH(Tracking[[#This Row],[Date]])+1, 1), Tracking[[#This Row],[Date]])</f>
        <v>44976</v>
      </c>
    </row>
    <row r="25" spans="3:9" x14ac:dyDescent="0.3">
      <c r="C25" s="40">
        <v>44976</v>
      </c>
      <c r="D25" s="91" t="s">
        <v>5</v>
      </c>
      <c r="E25" s="91" t="s">
        <v>10</v>
      </c>
      <c r="F25" s="95">
        <v>200</v>
      </c>
      <c r="G25" s="96"/>
      <c r="H25" s="97">
        <f>SUMPRODUCT(Tracking[Amount], --(Tracking[Date]&lt;=Tracking[[#This Row],[Date]]), (Tracking[Type]&lt;&gt;"Income")*(-1)+(Tracking[Type]="Income"))</f>
        <v>4550</v>
      </c>
      <c r="I25" s="41">
        <f>IF(AND(Tracking[[#This Row],[Type]]="Income", shift_late_income_status="Active", DAY(Tracking[[#This Row],[Date]])&gt;=shift_late_income_starting_date), DATE(YEAR(Tracking[[#This Row],[Date]]), MONTH(Tracking[[#This Row],[Date]])+1, 1), Tracking[[#This Row],[Date]])</f>
        <v>44976</v>
      </c>
    </row>
    <row r="26" spans="3:9" x14ac:dyDescent="0.3">
      <c r="C26" s="40">
        <v>44976</v>
      </c>
      <c r="D26" s="91" t="s">
        <v>11</v>
      </c>
      <c r="E26" s="91" t="s">
        <v>12</v>
      </c>
      <c r="F26" s="95">
        <v>1000</v>
      </c>
      <c r="G26" s="96"/>
      <c r="H26" s="97">
        <f>SUMPRODUCT(Tracking[Amount], --(Tracking[Date]&lt;=Tracking[[#This Row],[Date]]), (Tracking[Type]&lt;&gt;"Income")*(-1)+(Tracking[Type]="Income"))</f>
        <v>4550</v>
      </c>
      <c r="I26" s="41">
        <f>IF(AND(Tracking[[#This Row],[Type]]="Income", shift_late_income_status="Active", DAY(Tracking[[#This Row],[Date]])&gt;=shift_late_income_starting_date), DATE(YEAR(Tracking[[#This Row],[Date]]), MONTH(Tracking[[#This Row],[Date]])+1, 1), Tracking[[#This Row],[Date]])</f>
        <v>44976</v>
      </c>
    </row>
    <row r="27" spans="3:9" x14ac:dyDescent="0.3">
      <c r="C27" s="40">
        <v>44977</v>
      </c>
      <c r="D27" s="91" t="s">
        <v>11</v>
      </c>
      <c r="E27" s="91" t="s">
        <v>23</v>
      </c>
      <c r="F27" s="95">
        <v>200</v>
      </c>
      <c r="G27" s="96"/>
      <c r="H27" s="97">
        <f>SUMPRODUCT(Tracking[Amount], --(Tracking[Date]&lt;=Tracking[[#This Row],[Date]]), (Tracking[Type]&lt;&gt;"Income")*(-1)+(Tracking[Type]="Income"))</f>
        <v>4350</v>
      </c>
      <c r="I27" s="41">
        <f>IF(AND(Tracking[[#This Row],[Type]]="Income", shift_late_income_status="Active", DAY(Tracking[[#This Row],[Date]])&gt;=shift_late_income_starting_date), DATE(YEAR(Tracking[[#This Row],[Date]]), MONTH(Tracking[[#This Row],[Date]])+1, 1), Tracking[[#This Row],[Date]])</f>
        <v>44977</v>
      </c>
    </row>
    <row r="28" spans="3:9" x14ac:dyDescent="0.3">
      <c r="C28" s="40">
        <v>44978</v>
      </c>
      <c r="D28" s="91"/>
      <c r="E28" s="91"/>
      <c r="F28" s="95"/>
      <c r="G28" s="96"/>
      <c r="H28" s="97">
        <f>SUMPRODUCT(Tracking[Amount], --(Tracking[Date]&lt;=Tracking[[#This Row],[Date]]), (Tracking[Type]&lt;&gt;"Income")*(-1)+(Tracking[Type]="Income"))</f>
        <v>4350</v>
      </c>
      <c r="I28" s="41">
        <f>IF(AND(Tracking[[#This Row],[Type]]="Income", shift_late_income_status="Active", DAY(Tracking[[#This Row],[Date]])&gt;=shift_late_income_starting_date), DATE(YEAR(Tracking[[#This Row],[Date]]), MONTH(Tracking[[#This Row],[Date]])+1, 1), Tracking[[#This Row],[Date]])</f>
        <v>44978</v>
      </c>
    </row>
    <row r="29" spans="3:9" x14ac:dyDescent="0.3">
      <c r="C29" s="40">
        <v>44982</v>
      </c>
      <c r="D29" s="35" t="s">
        <v>15</v>
      </c>
      <c r="E29" s="35" t="s">
        <v>26</v>
      </c>
      <c r="F29" s="36">
        <v>250</v>
      </c>
      <c r="G29" s="16"/>
      <c r="H29" s="38">
        <f>SUMPRODUCT(Tracking[Amount], --(Tracking[Date]&lt;=Tracking[[#This Row],[Date]]), (Tracking[Type]&lt;&gt;"Income")*(-1)+(Tracking[Type]="Income"))</f>
        <v>4100</v>
      </c>
      <c r="I29" s="41">
        <f>IF(AND(Tracking[[#This Row],[Type]]="Income", shift_late_income_status="Active", DAY(Tracking[[#This Row],[Date]])&gt;=shift_late_income_starting_date), DATE(YEAR(Tracking[[#This Row],[Date]]), MONTH(Tracking[[#This Row],[Date]])+1, 1), Tracking[[#This Row],[Date]])</f>
        <v>44982</v>
      </c>
    </row>
    <row r="30" spans="3:9" x14ac:dyDescent="0.3">
      <c r="C30" s="40">
        <v>44985</v>
      </c>
      <c r="D30" s="35" t="s">
        <v>15</v>
      </c>
      <c r="E30" s="35" t="s">
        <v>16</v>
      </c>
      <c r="F30" s="36">
        <v>500</v>
      </c>
      <c r="G30" s="16"/>
      <c r="H30" s="38">
        <f>SUMPRODUCT(Tracking[Amount], --(Tracking[Date]&lt;=Tracking[[#This Row],[Date]]), (Tracking[Type]&lt;&gt;"Income")*(-1)+(Tracking[Type]="Income"))</f>
        <v>3600</v>
      </c>
      <c r="I30" s="41">
        <f>IF(AND(Tracking[[#This Row],[Type]]="Income", shift_late_income_status="Active", DAY(Tracking[[#This Row],[Date]])&gt;=shift_late_income_starting_date), DATE(YEAR(Tracking[[#This Row],[Date]]), MONTH(Tracking[[#This Row],[Date]])+1, 1), Tracking[[#This Row],[Date]])</f>
        <v>44985</v>
      </c>
    </row>
    <row r="31" spans="3:9" x14ac:dyDescent="0.3">
      <c r="C31" s="40">
        <v>44987</v>
      </c>
      <c r="D31" s="35" t="s">
        <v>5</v>
      </c>
      <c r="E31" s="35" t="s">
        <v>8</v>
      </c>
      <c r="F31" s="36">
        <v>3500</v>
      </c>
      <c r="G31" s="16"/>
      <c r="H31" s="38">
        <f>SUMPRODUCT(Tracking[Amount], --(Tracking[Date]&lt;=Tracking[[#This Row],[Date]]), (Tracking[Type]&lt;&gt;"Income")*(-1)+(Tracking[Type]="Income"))</f>
        <v>7100</v>
      </c>
      <c r="I31" s="41">
        <f>IF(AND(Tracking[[#This Row],[Type]]="Income", shift_late_income_status="Active", DAY(Tracking[[#This Row],[Date]])&gt;=shift_late_income_starting_date), DATE(YEAR(Tracking[[#This Row],[Date]]), MONTH(Tracking[[#This Row],[Date]])+1, 1), Tracking[[#This Row],[Date]])</f>
        <v>44987</v>
      </c>
    </row>
    <row r="32" spans="3:9" x14ac:dyDescent="0.3">
      <c r="C32" s="40">
        <v>44990</v>
      </c>
      <c r="D32" s="35" t="s">
        <v>15</v>
      </c>
      <c r="E32" s="35" t="s">
        <v>17</v>
      </c>
      <c r="F32" s="36">
        <v>1000</v>
      </c>
      <c r="G32" s="16"/>
      <c r="H32" s="38">
        <f>SUMPRODUCT(Tracking[Amount], --(Tracking[Date]&lt;=Tracking[[#This Row],[Date]]), (Tracking[Type]&lt;&gt;"Income")*(-1)+(Tracking[Type]="Income"))</f>
        <v>6100</v>
      </c>
      <c r="I32" s="41">
        <f>IF(AND(Tracking[[#This Row],[Type]]="Income", shift_late_income_status="Active", DAY(Tracking[[#This Row],[Date]])&gt;=shift_late_income_starting_date), DATE(YEAR(Tracking[[#This Row],[Date]]), MONTH(Tracking[[#This Row],[Date]])+1, 1), Tracking[[#This Row],[Date]])</f>
        <v>44990</v>
      </c>
    </row>
    <row r="33" spans="3:9" x14ac:dyDescent="0.3">
      <c r="C33" s="40">
        <v>44995</v>
      </c>
      <c r="D33" s="35" t="s">
        <v>11</v>
      </c>
      <c r="E33" s="35" t="s">
        <v>13</v>
      </c>
      <c r="F33" s="36">
        <v>350</v>
      </c>
      <c r="G33" s="16"/>
      <c r="H33" s="38">
        <f>SUMPRODUCT(Tracking[Amount], --(Tracking[Date]&lt;=Tracking[[#This Row],[Date]]), (Tracking[Type]&lt;&gt;"Income")*(-1)+(Tracking[Type]="Income"))</f>
        <v>5750</v>
      </c>
      <c r="I33" s="41">
        <f>IF(AND(Tracking[[#This Row],[Type]]="Income", shift_late_income_status="Active", DAY(Tracking[[#This Row],[Date]])&gt;=shift_late_income_starting_date), DATE(YEAR(Tracking[[#This Row],[Date]]), MONTH(Tracking[[#This Row],[Date]])+1, 1), Tracking[[#This Row],[Date]])</f>
        <v>44995</v>
      </c>
    </row>
    <row r="34" spans="3:9" x14ac:dyDescent="0.3">
      <c r="C34" s="40">
        <v>45000</v>
      </c>
      <c r="D34" s="35" t="s">
        <v>11</v>
      </c>
      <c r="E34" s="35" t="s">
        <v>23</v>
      </c>
      <c r="F34" s="36">
        <v>2500</v>
      </c>
      <c r="G34" s="16"/>
      <c r="H34" s="38">
        <f>SUMPRODUCT(Tracking[Amount], --(Tracking[Date]&lt;=Tracking[[#This Row],[Date]]), (Tracking[Type]&lt;&gt;"Income")*(-1)+(Tracking[Type]="Income"))</f>
        <v>3250</v>
      </c>
      <c r="I34" s="41">
        <f>IF(AND(Tracking[[#This Row],[Type]]="Income", shift_late_income_status="Active", DAY(Tracking[[#This Row],[Date]])&gt;=shift_late_income_starting_date), DATE(YEAR(Tracking[[#This Row],[Date]]), MONTH(Tracking[[#This Row],[Date]])+1, 1), Tracking[[#This Row],[Date]])</f>
        <v>45000</v>
      </c>
    </row>
  </sheetData>
  <conditionalFormatting sqref="E12:E34">
    <cfRule type="expression" dxfId="27" priority="4">
      <formula>ISNA(MATCH(E12,INDIRECT(D12),0))</formula>
    </cfRule>
  </conditionalFormatting>
  <conditionalFormatting sqref="F12:F34">
    <cfRule type="expression" dxfId="26" priority="3">
      <formula>D12="Income"</formula>
    </cfRule>
  </conditionalFormatting>
  <conditionalFormatting sqref="I12:I34">
    <cfRule type="expression" dxfId="25" priority="1">
      <formula>AND(D12="Income", shift_late_income_status="Active", DAY(C12)&gt;=shift_late_income_starting_date)</formula>
    </cfRule>
  </conditionalFormatting>
  <dataValidations count="4">
    <dataValidation type="date" operator="greaterThan" allowBlank="1" showInputMessage="1" showErrorMessage="1" errorTitle="Invalid date" error="Please enter a valid date " sqref="C12:C34" xr:uid="{31AE045D-B45B-43DB-A763-C830A547F83A}">
      <formula1>1</formula1>
    </dataValidation>
    <dataValidation type="list" allowBlank="1" showInputMessage="1" showErrorMessage="1" errorTitle="Invalid Type" error="Please select a valid type from the dropdown list" sqref="D12:D34" xr:uid="{528CA154-7DA8-4F4F-AA58-1199B09DA1B2}">
      <formula1>"Income, Expenses, Savings"</formula1>
    </dataValidation>
    <dataValidation type="list" allowBlank="1" showInputMessage="1" showErrorMessage="1" errorTitle="Invalid Category" error="Please select a valid category from the dropdown list" sqref="E12:E34" xr:uid="{3E12ECC0-AFA0-4FB2-B482-341AF2A36BDC}">
      <formula1>INDIRECT(D12)</formula1>
    </dataValidation>
    <dataValidation type="custom" allowBlank="1" showInputMessage="1" showErrorMessage="1" errorTitle="Invalid amount" error="Please enter a valid number" sqref="F12:F34" xr:uid="{9860028F-A991-410A-95B2-A3B5420D27B4}">
      <formula1>ISNUMBER(F12)</formula1>
    </dataValidation>
  </dataValidation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C0677-F0F5-462F-85A6-2A8DF5D2640E}">
  <sheetPr>
    <tabColor rgb="FF00B050"/>
  </sheetPr>
  <dimension ref="C1:AR63"/>
  <sheetViews>
    <sheetView showGridLines="0" tabSelected="1" topLeftCell="A4" zoomScale="90" zoomScaleNormal="90" workbookViewId="0">
      <selection activeCell="AQ9" sqref="AQ9:AR9"/>
    </sheetView>
  </sheetViews>
  <sheetFormatPr defaultRowHeight="14.4" x14ac:dyDescent="0.3"/>
  <cols>
    <col min="1" max="1" width="4.21875" customWidth="1"/>
    <col min="2" max="2" width="4" customWidth="1"/>
    <col min="3" max="3" width="8.88671875" hidden="1" customWidth="1"/>
    <col min="4" max="4" width="11" hidden="1" customWidth="1"/>
    <col min="5" max="9" width="8.88671875" hidden="1" customWidth="1"/>
    <col min="10" max="10" width="22.33203125" hidden="1" customWidth="1"/>
    <col min="11" max="12" width="8.88671875" hidden="1" customWidth="1"/>
    <col min="13" max="14" width="12" hidden="1" customWidth="1"/>
    <col min="15" max="15" width="12.6640625" style="65" hidden="1" customWidth="1"/>
    <col min="16" max="16" width="12.6640625" hidden="1" customWidth="1"/>
    <col min="17" max="17" width="12.6640625" style="65" hidden="1" customWidth="1"/>
    <col min="18" max="18" width="12.6640625" hidden="1" customWidth="1"/>
    <col min="19" max="19" width="11.33203125" style="29" hidden="1" customWidth="1"/>
    <col min="20" max="20" width="14.6640625" style="65" hidden="1" customWidth="1"/>
    <col min="21" max="21" width="14.5546875" hidden="1" customWidth="1"/>
    <col min="22" max="22" width="20.6640625" style="65" hidden="1" customWidth="1"/>
    <col min="23" max="23" width="16.109375" style="30" hidden="1" customWidth="1"/>
    <col min="24" max="24" width="18" hidden="1" customWidth="1"/>
    <col min="25" max="25" width="27.33203125" bestFit="1" customWidth="1"/>
    <col min="26" max="27" width="11.77734375" customWidth="1"/>
    <col min="28" max="28" width="9.5546875" customWidth="1"/>
    <col min="29" max="29" width="10.33203125" bestFit="1" customWidth="1"/>
    <col min="30" max="30" width="11" customWidth="1"/>
    <col min="31" max="31" width="7.6640625" customWidth="1"/>
    <col min="32" max="33" width="13.6640625" customWidth="1"/>
    <col min="34" max="34" width="2.109375" customWidth="1"/>
    <col min="35" max="35" width="17.33203125" customWidth="1"/>
    <col min="36" max="36" width="10" bestFit="1" customWidth="1"/>
    <col min="37" max="37" width="5.21875" customWidth="1"/>
    <col min="38" max="38" width="5.33203125" customWidth="1"/>
    <col min="39" max="40" width="13.6640625" customWidth="1"/>
    <col min="41" max="41" width="1.88671875" customWidth="1"/>
    <col min="42" max="42" width="17.33203125" customWidth="1"/>
    <col min="44" max="44" width="5.21875" customWidth="1"/>
  </cols>
  <sheetData>
    <row r="1" spans="3:44" s="1" customFormat="1" x14ac:dyDescent="0.3">
      <c r="O1" s="64"/>
      <c r="Q1" s="64"/>
      <c r="T1" s="64"/>
      <c r="V1" s="64"/>
    </row>
    <row r="2" spans="3:44" s="1" customFormat="1" ht="23.4" x14ac:dyDescent="0.45">
      <c r="C2" s="2" t="s">
        <v>51</v>
      </c>
      <c r="O2" s="64"/>
      <c r="Q2" s="64"/>
      <c r="T2" s="64"/>
      <c r="V2" s="64"/>
      <c r="Y2" s="2" t="s">
        <v>51</v>
      </c>
    </row>
    <row r="3" spans="3:44" s="1" customFormat="1" x14ac:dyDescent="0.3">
      <c r="O3" s="64"/>
      <c r="Q3" s="64"/>
      <c r="T3" s="64"/>
      <c r="V3" s="64"/>
    </row>
    <row r="4" spans="3:44" x14ac:dyDescent="0.3">
      <c r="S4"/>
      <c r="W4"/>
    </row>
    <row r="5" spans="3:44" x14ac:dyDescent="0.3">
      <c r="S5"/>
      <c r="W5"/>
      <c r="AQ5" s="131" t="s">
        <v>52</v>
      </c>
      <c r="AR5" s="132"/>
    </row>
    <row r="6" spans="3:44" x14ac:dyDescent="0.3">
      <c r="S6"/>
      <c r="W6"/>
      <c r="AN6" s="134" t="s">
        <v>53</v>
      </c>
      <c r="AO6" s="134"/>
      <c r="AP6" s="134"/>
      <c r="AQ6" s="133" t="s">
        <v>58</v>
      </c>
      <c r="AR6" s="133"/>
    </row>
    <row r="7" spans="3:44" x14ac:dyDescent="0.3">
      <c r="S7"/>
      <c r="W7"/>
    </row>
    <row r="8" spans="3:44" x14ac:dyDescent="0.3">
      <c r="S8"/>
      <c r="W8"/>
      <c r="AQ8" s="131" t="s">
        <v>55</v>
      </c>
      <c r="AR8" s="132"/>
    </row>
    <row r="9" spans="3:44" x14ac:dyDescent="0.3">
      <c r="S9"/>
      <c r="W9"/>
      <c r="AN9" s="134" t="s">
        <v>54</v>
      </c>
      <c r="AO9" s="134"/>
      <c r="AP9" s="134"/>
      <c r="AQ9" s="135">
        <v>36557</v>
      </c>
      <c r="AR9" s="135"/>
    </row>
    <row r="10" spans="3:44" x14ac:dyDescent="0.3">
      <c r="S10"/>
      <c r="W10"/>
    </row>
    <row r="11" spans="3:44" x14ac:dyDescent="0.3">
      <c r="C11" s="1"/>
      <c r="D11" s="1"/>
      <c r="E11" s="1"/>
      <c r="F11" s="1"/>
      <c r="G11" s="1"/>
      <c r="H11" s="1"/>
      <c r="I11" s="1"/>
      <c r="J11" s="1"/>
      <c r="K11" s="1"/>
      <c r="L11" s="1"/>
      <c r="M11" s="1"/>
      <c r="N11" s="1"/>
      <c r="O11" s="64"/>
      <c r="P11" s="1"/>
      <c r="Q11" s="64"/>
      <c r="R11" s="1"/>
      <c r="S11" s="1"/>
      <c r="T11" s="64"/>
      <c r="U11" s="1"/>
      <c r="V11" s="64"/>
      <c r="W11" s="1"/>
      <c r="X11" s="1"/>
      <c r="Y11" s="129" t="str">
        <f ca="1">"Breakdown - "&amp;IF(selected_period="Total Year",selected_year&amp;" (Total Year)",selected_period_display &amp; " " &amp; selected_year)</f>
        <v>Breakdown - Febrero 2023</v>
      </c>
      <c r="Z11" s="130"/>
      <c r="AA11" s="130"/>
      <c r="AB11" s="130"/>
      <c r="AC11" s="130"/>
      <c r="AD11" s="130"/>
      <c r="AF11" s="129" t="str">
        <f ca="1">"Summary - "&amp;IF(selected_period="Total Year",selected_year&amp;" (Total Year)",selected_period_display &amp; " " &amp; selected_year)</f>
        <v>Summary - Febrero 2023</v>
      </c>
      <c r="AG11" s="129"/>
      <c r="AH11" s="129"/>
      <c r="AI11" s="129"/>
      <c r="AJ11" s="129"/>
      <c r="AK11" s="129"/>
      <c r="AL11" s="129"/>
      <c r="AM11" s="129"/>
      <c r="AN11" s="129"/>
      <c r="AO11" s="129"/>
      <c r="AP11" s="129"/>
      <c r="AQ11" s="129"/>
      <c r="AR11" s="129"/>
    </row>
    <row r="12" spans="3:44" x14ac:dyDescent="0.3">
      <c r="C12" s="58" t="s">
        <v>66</v>
      </c>
      <c r="D12" s="59" t="s">
        <v>67</v>
      </c>
      <c r="E12" s="58" t="s">
        <v>68</v>
      </c>
      <c r="F12" s="57" t="s">
        <v>69</v>
      </c>
      <c r="G12" s="57" t="s">
        <v>70</v>
      </c>
      <c r="H12" s="59" t="s">
        <v>71</v>
      </c>
      <c r="I12" s="58" t="s">
        <v>72</v>
      </c>
      <c r="J12" s="57" t="s">
        <v>73</v>
      </c>
      <c r="K12" s="57" t="s">
        <v>75</v>
      </c>
      <c r="L12" s="59" t="s">
        <v>74</v>
      </c>
      <c r="M12" s="58" t="s">
        <v>77</v>
      </c>
      <c r="N12" s="57" t="s">
        <v>78</v>
      </c>
      <c r="O12" s="58" t="s">
        <v>79</v>
      </c>
      <c r="P12" s="57" t="s">
        <v>80</v>
      </c>
      <c r="Q12" s="57" t="s">
        <v>81</v>
      </c>
      <c r="R12" s="57" t="s">
        <v>82</v>
      </c>
      <c r="S12" s="58" t="s">
        <v>83</v>
      </c>
      <c r="T12" s="57" t="s">
        <v>84</v>
      </c>
      <c r="U12" s="57" t="s">
        <v>85</v>
      </c>
      <c r="V12" s="57" t="s">
        <v>86</v>
      </c>
      <c r="W12" s="67" t="s">
        <v>87</v>
      </c>
      <c r="X12" s="67" t="s">
        <v>88</v>
      </c>
      <c r="Z12" s="55"/>
      <c r="AA12" s="55"/>
      <c r="AB12" s="55"/>
    </row>
    <row r="13" spans="3:44" x14ac:dyDescent="0.3">
      <c r="C13" s="29">
        <f>income_header_row</f>
        <v>9</v>
      </c>
      <c r="D13" s="30">
        <f t="shared" ref="D13:D44" si="0">IF(is_header,row_id,
     IF(NOT(is_empty),D12,-1))</f>
        <v>9</v>
      </c>
      <c r="E13" s="29">
        <f>1*OR(row_id=income_header_row,row_id=expenses_header_row,row_id=savings_header_row)</f>
        <v>1</v>
      </c>
      <c r="F13">
        <f t="shared" ref="F13:F44" si="1">1*NOT(OR(is_header,is_total,is_empty))</f>
        <v>0</v>
      </c>
      <c r="G13">
        <f>1*OR(row_id=income_total_row,row_id=expenses_total_row,row_id=savings_total_row)</f>
        <v>0</v>
      </c>
      <c r="H13" s="30">
        <f t="shared" ref="H13:H44" si="2">1*OR(row_id="/1",row_id="/2",row_id=-1)</f>
        <v>0</v>
      </c>
      <c r="I13" s="29" t="str">
        <f>IFERROR(INDEX('Budget Planning'!$C:$C,header_row_id),"")</f>
        <v>Income</v>
      </c>
      <c r="J13" t="str">
        <f>IFERROR(INDEX('Budget Planning'!$C:$C,row_id),"")</f>
        <v>Income</v>
      </c>
      <c r="K13"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13" s="63" t="str">
        <f>IF(OR(is_header,is_empty),"",
INDEX('Budget Planning'!$E:$EM,row_id,
MATCH(IF(selected_period="Total Year",selected_year,DATE(selected_year,selected_period,1)),'Budget Planning'!$E$9:$AS$9,0) ))</f>
        <v/>
      </c>
      <c r="M13" s="29" t="str">
        <f>IF(is_cat,
      IF(header_row_id=income_header_row, MATCH(income_min_row,$C:$C,0),
          IF(header_row_id=expenses_header_row, MATCH(expenses_min_row,$C:$C,0),
              IF(header_row_id=savings_header_row, MATCH(savings_min_row,$C:$C,0),""))),"")</f>
        <v/>
      </c>
      <c r="N13" t="str">
        <f>IF(is_cat,
      IF(header_row_id=income_header_row, MATCH(income_max_row,$C:$C,0),
          IF(header_row_id=expenses_header_row, MATCH(expenses_max_row,$C:$C,0),
              IF(header_row_id=savings_header_row, MATCH(savings_max_row,$C:$C,0),""))),"")</f>
        <v/>
      </c>
      <c r="O13" s="66" t="str">
        <f t="shared" ref="O13:O44" si="3">IF(is_cat, ADDRESS(sort_min_row,COLUMN(tracked)) &amp; ":" &amp; ADDRESS(sort_max_row,COLUMN(tracked)),"")</f>
        <v/>
      </c>
      <c r="P13" t="str">
        <f t="shared" ref="P13:P44" ca="1" si="4">IF(is_cat,RANK(tracked,INDIRECT(tracked_range),0),"")</f>
        <v/>
      </c>
      <c r="Q13" s="65" t="str">
        <f t="shared" ref="Q13:Q44" si="5">IF(is_cat, ADDRESS(sort_min_row,COLUMN(budget)) &amp; ":" &amp; ADDRESS(sort_max_row,COLUMN(budget)),"")</f>
        <v/>
      </c>
      <c r="R13" t="str">
        <f t="shared" ref="R13:R44" ca="1" si="6">IF(is_cat,RANK(budget,INDIRECT(budget_range),0),"")</f>
        <v/>
      </c>
      <c r="S13" s="29" t="str">
        <f t="shared" ref="S13:S44" si="7">IF(is_cat, _xlfn.NUMBERVALUE(tracked_rank &amp; budget_rank),"")</f>
        <v/>
      </c>
      <c r="T13" s="65" t="str">
        <f t="shared" ref="T13:T44" si="8">IF(is_cat, ADDRESS(sort_min_row,COLUMN(comb_rank)) &amp; ":" &amp; ADDRESS(sort_max_row,COLUMN(comb_rank)),"")</f>
        <v/>
      </c>
      <c r="U13" t="str">
        <f t="shared" ref="U13:U44" ca="1" si="9">IF(is_cat,RANK(comb_rank,INDIRECT(comb_rank_range),1),"")</f>
        <v/>
      </c>
      <c r="V13" s="65" t="str">
        <f t="shared" ref="V13:V44" si="10">IF(is_cat,ADDRESS(sort_min_row,COLUMN(comb_rank_norm))&amp;":"&amp;ADDRESS(ROW(),COLUMN(comb_rank_norm)),"")</f>
        <v/>
      </c>
      <c r="W13" s="68" t="str">
        <f t="shared" ref="W13:W44" ca="1" si="11">IF(is_cat,comb_rank_norm + COUNTIF(INDIRECT(comb_rank_norm_run_range),comb_rank_norm)-1,"")</f>
        <v/>
      </c>
      <c r="X13" s="68">
        <f t="shared" ref="X13:X44" si="12">IF(is_cat,header_row_id + comb_rank_unique,row_id)</f>
        <v>9</v>
      </c>
      <c r="Y13" s="73" t="str">
        <f t="shared" ref="Y13:Y44" si="13">IF(is_empty,"",INDEX($J:$J,MATCH(row_id,$X:$X,0)))</f>
        <v>Income</v>
      </c>
      <c r="Z13" s="72" t="str">
        <f t="shared" ref="Z13:Z44" si="14">IF(is_empty,"",IF(is_header,"Tracked",INDEX($K:$K,MATCH(row_id,$X:$X,0))))</f>
        <v>Tracked</v>
      </c>
      <c r="AA13" s="72" t="str">
        <f t="shared" ref="AA13:AA44" si="15">IF(is_empty,"",IF(is_header,"Budget",INDEX($L:$L,MATCH(row_id,$X:$X,0))))</f>
        <v>Budget</v>
      </c>
      <c r="AB13" s="71" t="str">
        <f t="shared" ref="AB13:AB44" si="16">IF(is_empty,"",IF(is_header,"% Compl.", IFERROR(output_tracked/output_budget,"-")))</f>
        <v>% Compl.</v>
      </c>
      <c r="AC13" s="72" t="str">
        <f t="shared" ref="AC13:AC44" si="17">IF(is_empty,"",IF(is_header,"Remaining",IF(output_budget - output_tracked &gt; 0, output_budget - output_tracked,0)))</f>
        <v>Remaining</v>
      </c>
      <c r="AD13" s="72" t="str">
        <f t="shared" ref="AD13:AD44" si="18">IF(is_empty,"",IF(is_header,"Excess",IF(output_budget - output_tracked &lt; 0, output_tracked - output_budget,0)))</f>
        <v>Excess</v>
      </c>
      <c r="AF13" s="74"/>
      <c r="AG13" s="75"/>
      <c r="AH13" s="75"/>
      <c r="AI13" s="75"/>
      <c r="AJ13" s="75"/>
      <c r="AK13" s="76"/>
      <c r="AM13" s="74"/>
      <c r="AN13" s="75"/>
      <c r="AO13" s="75"/>
      <c r="AP13" s="75"/>
      <c r="AQ13" s="75"/>
      <c r="AR13" s="76"/>
    </row>
    <row r="14" spans="3:44" x14ac:dyDescent="0.3">
      <c r="C14" s="29">
        <f>IF(C13=-1,-1,
      IF(C13&lt;income_max_row,C13+1,
          IF(C13=income_max_row,income_total_row,
              IF(C13=income_total_row,"/1",
                  IF(C13="/1",expenses_header_row,
                       IF(C13&lt;expenses_max_row,C13+1,
                            IF(C13=expenses_max_row,expenses_total_row,
                                IF(C13=expenses_max_row,expenses_total_row,
                                    IF(C13=expenses_total_row,"/2",
                                        IF(C13="/2",savings_header_row,
                                            IF(C13&lt;savings_max_row,C13+1,
                                                 IF(C13=savings_max_row,savings_total_row,-1))))))))))))</f>
        <v>10</v>
      </c>
      <c r="D14" s="30">
        <f t="shared" si="0"/>
        <v>9</v>
      </c>
      <c r="E14" s="29">
        <f>1*OR(row_id=income_header_row,row_id=expenses_header_row,row_id=savings_header_row)</f>
        <v>0</v>
      </c>
      <c r="F14">
        <f t="shared" si="1"/>
        <v>1</v>
      </c>
      <c r="G14">
        <f>1*OR(row_id=income_total_row,row_id=expenses_total_row,row_id=savings_total_row)</f>
        <v>0</v>
      </c>
      <c r="H14" s="30">
        <f t="shared" si="2"/>
        <v>0</v>
      </c>
      <c r="I14" s="29" t="str">
        <f>IFERROR(INDEX('Budget Planning'!$C:$C,header_row_id),"")</f>
        <v>Income</v>
      </c>
      <c r="J14" t="str">
        <f>IFERROR(INDEX('Budget Planning'!$C:$C,row_id),"")</f>
        <v>Employment (Net)</v>
      </c>
      <c r="K14"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3500</v>
      </c>
      <c r="L14" s="63">
        <f ca="1">IF(OR(is_header,is_empty),"",
      INDEX('Budget Planning'!$E:$EM,row_id,
                   MATCH(IF(selected_period="Total Year",selected_year,DATE(selected_year,selected_period,1)),'Budget Planning'!$E$9:$AS$9,0) ))</f>
        <v>3500</v>
      </c>
      <c r="M14" s="29">
        <f>IF(is_cat,
      IF(header_row_id=income_header_row, MATCH(income_min_row,$C:$C,0),
          IF(header_row_id=expenses_header_row, MATCH(expenses_min_row,$C:$C,0),
              IF(header_row_id=savings_header_row, MATCH(savings_min_row,$C:$C,0),""))),"")</f>
        <v>14</v>
      </c>
      <c r="N14">
        <f>IF(is_cat,
      IF(header_row_id=income_header_row, MATCH(income_max_row,$C:$C,0),
          IF(header_row_id=expenses_header_row, MATCH(expenses_max_row,$C:$C,0),
              IF(header_row_id=savings_header_row, MATCH(savings_max_row,$C:$C,0),""))),"")</f>
        <v>17</v>
      </c>
      <c r="O14" s="66" t="str">
        <f t="shared" si="3"/>
        <v>$K$14:$K$17</v>
      </c>
      <c r="P14">
        <f t="shared" ca="1" si="4"/>
        <v>1</v>
      </c>
      <c r="Q14" s="65" t="str">
        <f t="shared" si="5"/>
        <v>$L$14:$L$17</v>
      </c>
      <c r="R14">
        <f t="shared" ca="1" si="6"/>
        <v>1</v>
      </c>
      <c r="S14" s="29">
        <f t="shared" ca="1" si="7"/>
        <v>11</v>
      </c>
      <c r="T14" s="65" t="str">
        <f t="shared" si="8"/>
        <v>$S$14:$S$17</v>
      </c>
      <c r="U14">
        <f t="shared" ca="1" si="9"/>
        <v>1</v>
      </c>
      <c r="V14" s="65" t="str">
        <f t="shared" si="10"/>
        <v>$U$14:$U$14</v>
      </c>
      <c r="W14" s="68">
        <f t="shared" ca="1" si="11"/>
        <v>1</v>
      </c>
      <c r="X14" s="68">
        <f t="shared" ca="1" si="12"/>
        <v>10</v>
      </c>
      <c r="Y14" s="73" t="str">
        <f t="shared" ca="1" si="13"/>
        <v>Employment (Net)</v>
      </c>
      <c r="Z14" s="72">
        <f t="shared" ca="1" si="14"/>
        <v>3500</v>
      </c>
      <c r="AA14" s="72">
        <f t="shared" ca="1" si="15"/>
        <v>3500</v>
      </c>
      <c r="AB14" s="71">
        <f t="shared" ca="1" si="16"/>
        <v>1</v>
      </c>
      <c r="AC14" s="72">
        <f t="shared" ca="1" si="17"/>
        <v>0</v>
      </c>
      <c r="AD14" s="72">
        <f t="shared" ca="1" si="18"/>
        <v>0</v>
      </c>
      <c r="AF14" s="77"/>
      <c r="AG14" s="82"/>
      <c r="AK14" s="78"/>
      <c r="AM14" s="77"/>
      <c r="AR14" s="78"/>
    </row>
    <row r="15" spans="3:44" x14ac:dyDescent="0.3">
      <c r="C15" s="29">
        <f>IF(C14=-1,-1,
      IF(C14&lt;income_max_row,C14+1,
          IF(C14=income_max_row,income_total_row,
              IF(C14=income_total_row,"/1",
                  IF(C14="/1",expenses_header_row,
                       IF(C14&lt;expenses_max_row,C14+1,
                            IF(C14=expenses_max_row,expenses_total_row,
                                IF(C14=expenses_max_row,expenses_total_row,
                                    IF(C14=expenses_total_row,"/2",
                                        IF(C14="/2",savings_header_row,
                                            IF(C14&lt;savings_max_row,C14+1,
                                                 IF(C14=savings_max_row,savings_total_row,-1))))))))))))</f>
        <v>11</v>
      </c>
      <c r="D15" s="30">
        <f t="shared" si="0"/>
        <v>9</v>
      </c>
      <c r="E15" s="29">
        <f>1*OR(row_id=income_header_row,row_id=expenses_header_row,row_id=savings_header_row)</f>
        <v>0</v>
      </c>
      <c r="F15">
        <f t="shared" si="1"/>
        <v>1</v>
      </c>
      <c r="G15">
        <f>1*OR(row_id=income_total_row,row_id=expenses_total_row,row_id=savings_total_row)</f>
        <v>0</v>
      </c>
      <c r="H15" s="30">
        <f t="shared" si="2"/>
        <v>0</v>
      </c>
      <c r="I15" s="29" t="str">
        <f>IFERROR(INDEX('Budget Planning'!$C:$C,header_row_id),"")</f>
        <v>Income</v>
      </c>
      <c r="J15" t="str">
        <f>IFERROR(INDEX('Budget Planning'!$C:$C,row_id),"")</f>
        <v>Side Hustle (Net)</v>
      </c>
      <c r="K15"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1000</v>
      </c>
      <c r="L15" s="63">
        <f ca="1">IF(OR(is_header,is_empty),"",
INDEX('Budget Planning'!$E:$EM,row_id,
MATCH(IF(selected_period="Total Year",selected_year,DATE(selected_year,selected_period,1)),'Budget Planning'!$E$9:$AS$9,0) ))</f>
        <v>1000</v>
      </c>
      <c r="M15" s="29">
        <f>IF(is_cat,
      IF(header_row_id=income_header_row, MATCH(income_min_row,$C:$C,0),
          IF(header_row_id=expenses_header_row, MATCH(expenses_min_row,$C:$C,0),
              IF(header_row_id=savings_header_row, MATCH(savings_min_row,$C:$C,0),""))),"")</f>
        <v>14</v>
      </c>
      <c r="N15">
        <f>IF(is_cat,
      IF(header_row_id=income_header_row, MATCH(income_max_row,$C:$C,0),
          IF(header_row_id=expenses_header_row, MATCH(expenses_max_row,$C:$C,0),
              IF(header_row_id=savings_header_row, MATCH(savings_max_row,$C:$C,0),""))),"")</f>
        <v>17</v>
      </c>
      <c r="O15" s="66" t="str">
        <f t="shared" si="3"/>
        <v>$K$14:$K$17</v>
      </c>
      <c r="P15">
        <f t="shared" ca="1" si="4"/>
        <v>2</v>
      </c>
      <c r="Q15" s="65" t="str">
        <f t="shared" si="5"/>
        <v>$L$14:$L$17</v>
      </c>
      <c r="R15">
        <f t="shared" ca="1" si="6"/>
        <v>2</v>
      </c>
      <c r="S15" s="29">
        <f t="shared" ca="1" si="7"/>
        <v>22</v>
      </c>
      <c r="T15" s="65" t="str">
        <f t="shared" si="8"/>
        <v>$S$14:$S$17</v>
      </c>
      <c r="U15">
        <f t="shared" ca="1" si="9"/>
        <v>2</v>
      </c>
      <c r="V15" s="65" t="str">
        <f t="shared" si="10"/>
        <v>$U$14:$U$15</v>
      </c>
      <c r="W15" s="68">
        <f t="shared" ca="1" si="11"/>
        <v>2</v>
      </c>
      <c r="X15" s="68">
        <f t="shared" ca="1" si="12"/>
        <v>11</v>
      </c>
      <c r="Y15" s="73" t="str">
        <f t="shared" ca="1" si="13"/>
        <v>Side Hustle (Net)</v>
      </c>
      <c r="Z15" s="72">
        <f t="shared" ca="1" si="14"/>
        <v>1000</v>
      </c>
      <c r="AA15" s="72">
        <f t="shared" ca="1" si="15"/>
        <v>1000</v>
      </c>
      <c r="AB15" s="71">
        <f t="shared" ca="1" si="16"/>
        <v>1</v>
      </c>
      <c r="AC15" s="72">
        <f t="shared" ca="1" si="17"/>
        <v>0</v>
      </c>
      <c r="AD15" s="72">
        <f t="shared" ca="1" si="18"/>
        <v>0</v>
      </c>
      <c r="AF15" s="77"/>
      <c r="AG15" s="82"/>
      <c r="AK15" s="78"/>
      <c r="AM15" s="77"/>
      <c r="AR15" s="78"/>
    </row>
    <row r="16" spans="3:44" x14ac:dyDescent="0.3">
      <c r="C16" s="29">
        <f>IF(C15=-1,-1,
      IF(C15&lt;income_max_row,C15+1,
          IF(C15=income_max_row,income_total_row,
              IF(C15=income_total_row,"/1",
                  IF(C15="/1",expenses_header_row,
                       IF(C15&lt;expenses_max_row,C15+1,
                            IF(C15=expenses_max_row,expenses_total_row,
                                IF(C15=expenses_max_row,expenses_total_row,
                                    IF(C15=expenses_total_row,"/2",
                                        IF(C15="/2",savings_header_row,
                                            IF(C15&lt;savings_max_row,C15+1,
                                                 IF(C15=savings_max_row,savings_total_row,-1))))))))))))</f>
        <v>12</v>
      </c>
      <c r="D16" s="30">
        <f t="shared" si="0"/>
        <v>9</v>
      </c>
      <c r="E16" s="29">
        <f>1*OR(row_id=income_header_row,row_id=expenses_header_row,row_id=savings_header_row)</f>
        <v>0</v>
      </c>
      <c r="F16">
        <f t="shared" si="1"/>
        <v>1</v>
      </c>
      <c r="G16">
        <f>1*OR(row_id=income_total_row,row_id=expenses_total_row,row_id=savings_total_row)</f>
        <v>0</v>
      </c>
      <c r="H16" s="30">
        <f t="shared" si="2"/>
        <v>0</v>
      </c>
      <c r="I16" s="29" t="str">
        <f>IFERROR(INDEX('Budget Planning'!$C:$C,header_row_id),"")</f>
        <v>Income</v>
      </c>
      <c r="J16" t="str">
        <f>IFERROR(INDEX('Budget Planning'!$C:$C,row_id),"")</f>
        <v>Dividens Stocks</v>
      </c>
      <c r="K16"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400</v>
      </c>
      <c r="L16" s="63">
        <f ca="1">IF(OR(is_header,is_empty),"",
INDEX('Budget Planning'!$E:$EM,row_id,
MATCH(IF(selected_period="Total Year",selected_year,DATE(selected_year,selected_period,1)),'Budget Planning'!$E$9:$AS$9,0) ))</f>
        <v>50</v>
      </c>
      <c r="M16" s="29">
        <f>IF(is_cat,
      IF(header_row_id=income_header_row, MATCH(income_min_row,$C:$C,0),
          IF(header_row_id=expenses_header_row, MATCH(expenses_min_row,$C:$C,0),
              IF(header_row_id=savings_header_row, MATCH(savings_min_row,$C:$C,0),""))),"")</f>
        <v>14</v>
      </c>
      <c r="N16">
        <f>IF(is_cat,
      IF(header_row_id=income_header_row, MATCH(income_max_row,$C:$C,0),
          IF(header_row_id=expenses_header_row, MATCH(expenses_max_row,$C:$C,0),
              IF(header_row_id=savings_header_row, MATCH(savings_max_row,$C:$C,0),""))),"")</f>
        <v>17</v>
      </c>
      <c r="O16" s="66" t="str">
        <f t="shared" si="3"/>
        <v>$K$14:$K$17</v>
      </c>
      <c r="P16">
        <f t="shared" ca="1" si="4"/>
        <v>3</v>
      </c>
      <c r="Q16" s="65" t="str">
        <f t="shared" si="5"/>
        <v>$L$14:$L$17</v>
      </c>
      <c r="R16">
        <f t="shared" ca="1" si="6"/>
        <v>3</v>
      </c>
      <c r="S16" s="29">
        <f t="shared" ca="1" si="7"/>
        <v>33</v>
      </c>
      <c r="T16" s="65" t="str">
        <f t="shared" si="8"/>
        <v>$S$14:$S$17</v>
      </c>
      <c r="U16">
        <f t="shared" ca="1" si="9"/>
        <v>3</v>
      </c>
      <c r="V16" s="65" t="str">
        <f t="shared" si="10"/>
        <v>$U$14:$U$16</v>
      </c>
      <c r="W16" s="68">
        <f t="shared" ca="1" si="11"/>
        <v>3</v>
      </c>
      <c r="X16" s="68">
        <f t="shared" ca="1" si="12"/>
        <v>12</v>
      </c>
      <c r="Y16" s="73" t="str">
        <f t="shared" ca="1" si="13"/>
        <v>Dividens Stocks</v>
      </c>
      <c r="Z16" s="72">
        <f t="shared" ca="1" si="14"/>
        <v>400</v>
      </c>
      <c r="AA16" s="72">
        <f t="shared" ca="1" si="15"/>
        <v>50</v>
      </c>
      <c r="AB16" s="71">
        <f t="shared" ca="1" si="16"/>
        <v>8</v>
      </c>
      <c r="AC16" s="72">
        <f t="shared" ca="1" si="17"/>
        <v>0</v>
      </c>
      <c r="AD16" s="72">
        <f t="shared" ca="1" si="18"/>
        <v>350</v>
      </c>
      <c r="AF16" s="77"/>
      <c r="AH16" s="82"/>
      <c r="AI16" s="91" t="str">
        <f ca="1">Calculations!E33</f>
        <v>Employment (Net)</v>
      </c>
      <c r="AJ16" s="92">
        <f ca="1">Calculations!F33</f>
        <v>3500</v>
      </c>
      <c r="AK16" s="78"/>
      <c r="AM16" s="77"/>
      <c r="AR16" s="78"/>
    </row>
    <row r="17" spans="3:44" x14ac:dyDescent="0.3">
      <c r="C17" s="29">
        <f>IF(C16=-1,-1,
      IF(C16&lt;income_max_row,C16+1,
          IF(C16=income_max_row,income_total_row,
              IF(C16=income_total_row,"/1",
                  IF(C16="/1",expenses_header_row,
                       IF(C16&lt;expenses_max_row,C16+1,
                            IF(C16=expenses_max_row,expenses_total_row,
                                IF(C16=expenses_max_row,expenses_total_row,
                                    IF(C16=expenses_total_row,"/2",
                                        IF(C16="/2",savings_header_row,
                                            IF(C16&lt;savings_max_row,C16+1,
                                                 IF(C16=savings_max_row,savings_total_row,-1))))))))))))</f>
        <v>13</v>
      </c>
      <c r="D17" s="30">
        <f t="shared" si="0"/>
        <v>9</v>
      </c>
      <c r="E17" s="29">
        <f>1*OR(row_id=income_header_row,row_id=expenses_header_row,row_id=savings_header_row)</f>
        <v>0</v>
      </c>
      <c r="F17">
        <f t="shared" si="1"/>
        <v>1</v>
      </c>
      <c r="G17">
        <f>1*OR(row_id=income_total_row,row_id=expenses_total_row,row_id=savings_total_row)</f>
        <v>0</v>
      </c>
      <c r="H17" s="30">
        <f t="shared" si="2"/>
        <v>0</v>
      </c>
      <c r="I17" s="29" t="str">
        <f>IFERROR(INDEX('Budget Planning'!$C:$C,header_row_id),"")</f>
        <v>Income</v>
      </c>
      <c r="J17" t="str">
        <f>IFERROR(INDEX('Budget Planning'!$C:$C,row_id),"")</f>
        <v>Other income</v>
      </c>
      <c r="K17"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200</v>
      </c>
      <c r="L17" s="63">
        <f ca="1">IF(OR(is_header,is_empty),"",
INDEX('Budget Planning'!$E:$EM,row_id,
MATCH(IF(selected_period="Total Year",selected_year,DATE(selected_year,selected_period,1)),'Budget Planning'!$E$9:$AS$9,0) ))</f>
        <v>0</v>
      </c>
      <c r="M17" s="29">
        <f>IF(is_cat,
      IF(header_row_id=income_header_row, MATCH(income_min_row,$C:$C,0),
          IF(header_row_id=expenses_header_row, MATCH(expenses_min_row,$C:$C,0),
              IF(header_row_id=savings_header_row, MATCH(savings_min_row,$C:$C,0),""))),"")</f>
        <v>14</v>
      </c>
      <c r="N17">
        <f>IF(is_cat,
      IF(header_row_id=income_header_row, MATCH(income_max_row,$C:$C,0),
          IF(header_row_id=expenses_header_row, MATCH(expenses_max_row,$C:$C,0),
              IF(header_row_id=savings_header_row, MATCH(savings_max_row,$C:$C,0),""))),"")</f>
        <v>17</v>
      </c>
      <c r="O17" s="66" t="str">
        <f t="shared" si="3"/>
        <v>$K$14:$K$17</v>
      </c>
      <c r="P17">
        <f t="shared" ca="1" si="4"/>
        <v>4</v>
      </c>
      <c r="Q17" s="65" t="str">
        <f t="shared" si="5"/>
        <v>$L$14:$L$17</v>
      </c>
      <c r="R17">
        <f t="shared" ca="1" si="6"/>
        <v>4</v>
      </c>
      <c r="S17" s="29">
        <f t="shared" ca="1" si="7"/>
        <v>44</v>
      </c>
      <c r="T17" s="65" t="str">
        <f t="shared" si="8"/>
        <v>$S$14:$S$17</v>
      </c>
      <c r="U17">
        <f t="shared" ca="1" si="9"/>
        <v>4</v>
      </c>
      <c r="V17" s="65" t="str">
        <f t="shared" si="10"/>
        <v>$U$14:$U$17</v>
      </c>
      <c r="W17" s="68">
        <f t="shared" ca="1" si="11"/>
        <v>4</v>
      </c>
      <c r="X17" s="68">
        <f t="shared" ca="1" si="12"/>
        <v>13</v>
      </c>
      <c r="Y17" s="73" t="str">
        <f t="shared" ca="1" si="13"/>
        <v>Other income</v>
      </c>
      <c r="Z17" s="72">
        <f t="shared" ca="1" si="14"/>
        <v>200</v>
      </c>
      <c r="AA17" s="72">
        <f t="shared" ca="1" si="15"/>
        <v>0</v>
      </c>
      <c r="AB17" s="71" t="str">
        <f t="shared" ca="1" si="16"/>
        <v>-</v>
      </c>
      <c r="AC17" s="72">
        <f t="shared" ca="1" si="17"/>
        <v>0</v>
      </c>
      <c r="AD17" s="72">
        <f t="shared" ca="1" si="18"/>
        <v>200</v>
      </c>
      <c r="AF17" s="77"/>
      <c r="AI17" s="91" t="str">
        <f ca="1">Calculations!E34</f>
        <v>Side Hustle (Net)</v>
      </c>
      <c r="AJ17" s="92">
        <f ca="1">Calculations!F34</f>
        <v>1000</v>
      </c>
      <c r="AK17" s="78"/>
      <c r="AM17" s="77"/>
      <c r="AR17" s="78"/>
    </row>
    <row r="18" spans="3:44" x14ac:dyDescent="0.3">
      <c r="C18" s="29">
        <f>IF(C17=-1,-1,
      IF(C17&lt;income_max_row,C17+1,
          IF(C17=income_max_row,income_total_row,
              IF(C17=income_total_row,"/1",
                  IF(C17="/1",expenses_header_row,
                       IF(C17&lt;expenses_max_row,C17+1,
                            IF(C17=expenses_max_row,expenses_total_row,
                                IF(C17=expenses_max_row,expenses_total_row,
                                    IF(C17=expenses_total_row,"/2",
                                        IF(C17="/2",savings_header_row,
                                            IF(C17&lt;savings_max_row,C17+1,
                                                 IF(C17=savings_max_row,savings_total_row,-1))))))))))))</f>
        <v>20</v>
      </c>
      <c r="D18" s="30">
        <f t="shared" si="0"/>
        <v>9</v>
      </c>
      <c r="E18" s="29">
        <f>1*OR(row_id=income_header_row,row_id=expenses_header_row,row_id=savings_header_row)</f>
        <v>0</v>
      </c>
      <c r="F18">
        <f t="shared" si="1"/>
        <v>0</v>
      </c>
      <c r="G18">
        <f>1*OR(row_id=income_total_row,row_id=expenses_total_row,row_id=savings_total_row)</f>
        <v>1</v>
      </c>
      <c r="H18" s="30">
        <f t="shared" si="2"/>
        <v>0</v>
      </c>
      <c r="I18" s="29" t="str">
        <f>IFERROR(INDEX('Budget Planning'!$C:$C,header_row_id),"")</f>
        <v>Income</v>
      </c>
      <c r="J18" t="str">
        <f>IFERROR(INDEX('Budget Planning'!$C:$C,row_id),"")</f>
        <v>Total</v>
      </c>
      <c r="K18"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5100</v>
      </c>
      <c r="L18" s="63">
        <f ca="1">IF(OR(is_header,is_empty),"",
INDEX('Budget Planning'!$E:$EM,row_id,
MATCH(IF(selected_period="Total Year",selected_year,DATE(selected_year,selected_period,1)),'Budget Planning'!$E$9:$AS$9,0) ))</f>
        <v>4550</v>
      </c>
      <c r="M18" s="29" t="str">
        <f>IF(is_cat,
      IF(header_row_id=income_header_row, MATCH(income_min_row,$C:$C,0),
          IF(header_row_id=expenses_header_row, MATCH(expenses_min_row,$C:$C,0),
              IF(header_row_id=savings_header_row, MATCH(savings_min_row,$C:$C,0),""))),"")</f>
        <v/>
      </c>
      <c r="N18" t="str">
        <f>IF(is_cat,
      IF(header_row_id=income_header_row, MATCH(income_max_row,$C:$C,0),
          IF(header_row_id=expenses_header_row, MATCH(expenses_max_row,$C:$C,0),
              IF(header_row_id=savings_header_row, MATCH(savings_max_row,$C:$C,0),""))),"")</f>
        <v/>
      </c>
      <c r="O18" s="66" t="str">
        <f t="shared" si="3"/>
        <v/>
      </c>
      <c r="P18" t="str">
        <f t="shared" ca="1" si="4"/>
        <v/>
      </c>
      <c r="Q18" s="65" t="str">
        <f t="shared" si="5"/>
        <v/>
      </c>
      <c r="R18" t="str">
        <f t="shared" ca="1" si="6"/>
        <v/>
      </c>
      <c r="S18" s="29" t="str">
        <f t="shared" si="7"/>
        <v/>
      </c>
      <c r="T18" s="65" t="str">
        <f t="shared" si="8"/>
        <v/>
      </c>
      <c r="U18" t="str">
        <f t="shared" ca="1" si="9"/>
        <v/>
      </c>
      <c r="V18" s="65" t="str">
        <f t="shared" si="10"/>
        <v/>
      </c>
      <c r="W18" s="68" t="str">
        <f t="shared" ca="1" si="11"/>
        <v/>
      </c>
      <c r="X18" s="68">
        <f t="shared" si="12"/>
        <v>20</v>
      </c>
      <c r="Y18" s="73" t="str">
        <f t="shared" ca="1" si="13"/>
        <v>Total</v>
      </c>
      <c r="Z18" s="72">
        <f t="shared" ca="1" si="14"/>
        <v>5100</v>
      </c>
      <c r="AA18" s="72">
        <f t="shared" ca="1" si="15"/>
        <v>4550</v>
      </c>
      <c r="AB18" s="71">
        <f t="shared" ca="1" si="16"/>
        <v>1.1208791208791209</v>
      </c>
      <c r="AC18" s="72">
        <f t="shared" ca="1" si="17"/>
        <v>0</v>
      </c>
      <c r="AD18" s="72">
        <f t="shared" ca="1" si="18"/>
        <v>550</v>
      </c>
      <c r="AF18" s="77"/>
      <c r="AI18" s="91" t="str">
        <f ca="1">Calculations!E35</f>
        <v>Dividens Stocks</v>
      </c>
      <c r="AJ18" s="92">
        <f ca="1">Calculations!F35</f>
        <v>400</v>
      </c>
      <c r="AK18" s="78"/>
      <c r="AM18" s="77"/>
      <c r="AR18" s="78"/>
    </row>
    <row r="19" spans="3:44" x14ac:dyDescent="0.3">
      <c r="C19" s="29" t="str">
        <f>IF(C18=-1,-1,
      IF(C18&lt;income_max_row,C18+1,
          IF(C18=income_max_row,income_total_row,
              IF(C18=income_total_row,"/1",
                  IF(C18="/1",expenses_header_row,
                       IF(C18&lt;expenses_max_row,C18+1,
                            IF(C18=expenses_max_row,expenses_total_row,
                                IF(C18=expenses_max_row,expenses_total_row,
                                    IF(C18=expenses_total_row,"/2",
                                        IF(C18="/2",savings_header_row,
                                            IF(C18&lt;savings_max_row,C18+1,
                                                 IF(C18=savings_max_row,savings_total_row,-1))))))))))))</f>
        <v>/1</v>
      </c>
      <c r="D19" s="30">
        <f t="shared" si="0"/>
        <v>-1</v>
      </c>
      <c r="E19" s="29">
        <f>1*OR(row_id=income_header_row,row_id=expenses_header_row,row_id=savings_header_row)</f>
        <v>0</v>
      </c>
      <c r="F19">
        <f t="shared" si="1"/>
        <v>0</v>
      </c>
      <c r="G19">
        <f>1*OR(row_id=income_total_row,row_id=expenses_total_row,row_id=savings_total_row)</f>
        <v>0</v>
      </c>
      <c r="H19" s="30">
        <f t="shared" si="2"/>
        <v>1</v>
      </c>
      <c r="I19" s="29" t="str">
        <f>IFERROR(INDEX('Budget Planning'!$C:$C,header_row_id),"")</f>
        <v/>
      </c>
      <c r="J19" t="str">
        <f>IFERROR(INDEX('Budget Planning'!$C:$C,row_id),"")</f>
        <v/>
      </c>
      <c r="K19"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19" s="63" t="str">
        <f>IF(OR(is_header,is_empty),"",
INDEX('Budget Planning'!$E:$EM,row_id,
MATCH(IF(selected_period="Total Year",selected_year,DATE(selected_year,selected_period,1)),'Budget Planning'!$E$9:$AS$9,0) ))</f>
        <v/>
      </c>
      <c r="M19" s="29" t="str">
        <f>IF(is_cat,
      IF(header_row_id=income_header_row, MATCH(income_min_row,$C:$C,0),
          IF(header_row_id=expenses_header_row, MATCH(expenses_min_row,$C:$C,0),
              IF(header_row_id=savings_header_row, MATCH(savings_min_row,$C:$C,0),""))),"")</f>
        <v/>
      </c>
      <c r="N19" t="str">
        <f>IF(is_cat,
      IF(header_row_id=income_header_row, MATCH(income_max_row,$C:$C,0),
          IF(header_row_id=expenses_header_row, MATCH(expenses_max_row,$C:$C,0),
              IF(header_row_id=savings_header_row, MATCH(savings_max_row,$C:$C,0),""))),"")</f>
        <v/>
      </c>
      <c r="O19" s="66" t="str">
        <f t="shared" si="3"/>
        <v/>
      </c>
      <c r="P19" t="str">
        <f t="shared" ca="1" si="4"/>
        <v/>
      </c>
      <c r="Q19" s="65" t="str">
        <f t="shared" si="5"/>
        <v/>
      </c>
      <c r="R19" t="str">
        <f t="shared" ca="1" si="6"/>
        <v/>
      </c>
      <c r="S19" s="29" t="str">
        <f t="shared" si="7"/>
        <v/>
      </c>
      <c r="T19" s="65" t="str">
        <f t="shared" si="8"/>
        <v/>
      </c>
      <c r="U19" t="str">
        <f t="shared" ca="1" si="9"/>
        <v/>
      </c>
      <c r="V19" s="65" t="str">
        <f t="shared" si="10"/>
        <v/>
      </c>
      <c r="W19" s="68" t="str">
        <f t="shared" ca="1" si="11"/>
        <v/>
      </c>
      <c r="X19" s="68" t="str">
        <f t="shared" si="12"/>
        <v>/1</v>
      </c>
      <c r="Y19" s="73" t="str">
        <f t="shared" si="13"/>
        <v/>
      </c>
      <c r="Z19" s="72" t="str">
        <f t="shared" si="14"/>
        <v/>
      </c>
      <c r="AA19" s="72" t="str">
        <f t="shared" si="15"/>
        <v/>
      </c>
      <c r="AB19" s="71" t="str">
        <f t="shared" si="16"/>
        <v/>
      </c>
      <c r="AC19" s="72" t="str">
        <f t="shared" si="17"/>
        <v/>
      </c>
      <c r="AD19" s="72" t="str">
        <f t="shared" si="18"/>
        <v/>
      </c>
      <c r="AF19" s="77"/>
      <c r="AI19" s="91" t="str">
        <f ca="1">Calculations!E36</f>
        <v>Other income</v>
      </c>
      <c r="AJ19" s="92">
        <f ca="1">Calculations!F36</f>
        <v>200</v>
      </c>
      <c r="AK19" s="78"/>
      <c r="AM19" s="77"/>
      <c r="AR19" s="78"/>
    </row>
    <row r="20" spans="3:44" x14ac:dyDescent="0.3">
      <c r="C20" s="29">
        <f>IF(C19=-1,-1,
      IF(C19&lt;income_max_row,C19+1,
          IF(C19=income_max_row,income_total_row,
              IF(C19=income_total_row,"/1",
                  IF(C19="/1",expenses_header_row,
                       IF(C19&lt;expenses_max_row,C19+1,
                            IF(C19=expenses_max_row,expenses_total_row,
                                IF(C19=expenses_max_row,expenses_total_row,
                                    IF(C19=expenses_total_row,"/2",
                                        IF(C19="/2",savings_header_row,
                                            IF(C19&lt;savings_max_row,C19+1,
                                                 IF(C19=savings_max_row,savings_total_row,-1))))))))))))</f>
        <v>22</v>
      </c>
      <c r="D20" s="30">
        <f t="shared" si="0"/>
        <v>22</v>
      </c>
      <c r="E20" s="29">
        <f>1*OR(row_id=income_header_row,row_id=expenses_header_row,row_id=savings_header_row)</f>
        <v>1</v>
      </c>
      <c r="F20">
        <f t="shared" si="1"/>
        <v>0</v>
      </c>
      <c r="G20">
        <f>1*OR(row_id=income_total_row,row_id=expenses_total_row,row_id=savings_total_row)</f>
        <v>0</v>
      </c>
      <c r="H20" s="30">
        <f t="shared" si="2"/>
        <v>0</v>
      </c>
      <c r="I20" s="29" t="str">
        <f>IFERROR(INDEX('Budget Planning'!$C:$C,header_row_id),"")</f>
        <v>Expenses</v>
      </c>
      <c r="J20" t="str">
        <f>IFERROR(INDEX('Budget Planning'!$C:$C,row_id),"")</f>
        <v>Expenses</v>
      </c>
      <c r="K20"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20" s="63" t="str">
        <f>IF(OR(is_header,is_empty),"",
INDEX('Budget Planning'!$E:$EM,row_id,
MATCH(IF(selected_period="Total Year",selected_year,DATE(selected_year,selected_period,1)),'Budget Planning'!$E$9:$AS$9,0) ))</f>
        <v/>
      </c>
      <c r="M20" s="29" t="str">
        <f>IF(is_cat,
      IF(header_row_id=income_header_row, MATCH(income_min_row,$C:$C,0),
          IF(header_row_id=expenses_header_row, MATCH(expenses_min_row,$C:$C,0),
              IF(header_row_id=savings_header_row, MATCH(savings_min_row,$C:$C,0),""))),"")</f>
        <v/>
      </c>
      <c r="N20" t="str">
        <f>IF(is_cat,
      IF(header_row_id=income_header_row, MATCH(income_max_row,$C:$C,0),
          IF(header_row_id=expenses_header_row, MATCH(expenses_max_row,$C:$C,0),
              IF(header_row_id=savings_header_row, MATCH(savings_max_row,$C:$C,0),""))),"")</f>
        <v/>
      </c>
      <c r="O20" s="66" t="str">
        <f t="shared" si="3"/>
        <v/>
      </c>
      <c r="P20" t="str">
        <f t="shared" ca="1" si="4"/>
        <v/>
      </c>
      <c r="Q20" s="65" t="str">
        <f t="shared" si="5"/>
        <v/>
      </c>
      <c r="R20" t="str">
        <f t="shared" ca="1" si="6"/>
        <v/>
      </c>
      <c r="S20" s="29" t="str">
        <f t="shared" si="7"/>
        <v/>
      </c>
      <c r="T20" s="65" t="str">
        <f t="shared" si="8"/>
        <v/>
      </c>
      <c r="U20" t="str">
        <f t="shared" ca="1" si="9"/>
        <v/>
      </c>
      <c r="V20" s="65" t="str">
        <f t="shared" si="10"/>
        <v/>
      </c>
      <c r="W20" s="68" t="str">
        <f t="shared" ca="1" si="11"/>
        <v/>
      </c>
      <c r="X20" s="68">
        <f t="shared" si="12"/>
        <v>22</v>
      </c>
      <c r="Y20" s="73" t="str">
        <f t="shared" ca="1" si="13"/>
        <v>Expenses</v>
      </c>
      <c r="Z20" s="72" t="str">
        <f t="shared" si="14"/>
        <v>Tracked</v>
      </c>
      <c r="AA20" s="72" t="str">
        <f t="shared" si="15"/>
        <v>Budget</v>
      </c>
      <c r="AB20" s="71" t="str">
        <f t="shared" si="16"/>
        <v>% Compl.</v>
      </c>
      <c r="AC20" s="72" t="str">
        <f t="shared" si="17"/>
        <v>Remaining</v>
      </c>
      <c r="AD20" s="72" t="str">
        <f t="shared" si="18"/>
        <v>Excess</v>
      </c>
      <c r="AF20" s="77"/>
      <c r="AI20" s="91" t="str">
        <f>Calculations!E37</f>
        <v/>
      </c>
      <c r="AJ20" s="92" t="str">
        <f>Calculations!F37</f>
        <v/>
      </c>
      <c r="AK20" s="78"/>
      <c r="AM20" s="77"/>
      <c r="AR20" s="78"/>
    </row>
    <row r="21" spans="3:44" x14ac:dyDescent="0.3">
      <c r="C21" s="29">
        <f>IF(C20=-1,-1,
      IF(C20&lt;income_max_row,C20+1,
          IF(C20=income_max_row,income_total_row,
              IF(C20=income_total_row,"/1",
                  IF(C20="/1",expenses_header_row,
                       IF(C20&lt;expenses_max_row,C20+1,
                            IF(C20=expenses_max_row,expenses_total_row,
                                IF(C20=expenses_max_row,expenses_total_row,
                                    IF(C20=expenses_total_row,"/2",
                                        IF(C20="/2",savings_header_row,
                                            IF(C20&lt;savings_max_row,C20+1,
                                                 IF(C20=savings_max_row,savings_total_row,-1))))))))))))</f>
        <v>23</v>
      </c>
      <c r="D21" s="30">
        <f t="shared" si="0"/>
        <v>22</v>
      </c>
      <c r="E21" s="29">
        <f>1*OR(row_id=income_header_row,row_id=expenses_header_row,row_id=savings_header_row)</f>
        <v>0</v>
      </c>
      <c r="F21">
        <f t="shared" si="1"/>
        <v>1</v>
      </c>
      <c r="G21">
        <f>1*OR(row_id=income_total_row,row_id=expenses_total_row,row_id=savings_total_row)</f>
        <v>0</v>
      </c>
      <c r="H21" s="30">
        <f t="shared" si="2"/>
        <v>0</v>
      </c>
      <c r="I21" s="29" t="str">
        <f>IFERROR(INDEX('Budget Planning'!$C:$C,header_row_id),"")</f>
        <v>Expenses</v>
      </c>
      <c r="J21" t="str">
        <f>IFERROR(INDEX('Budget Planning'!$C:$C,row_id),"")</f>
        <v>Housing</v>
      </c>
      <c r="K21"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1000</v>
      </c>
      <c r="L21" s="63">
        <f ca="1">IF(OR(is_header,is_empty),"",
INDEX('Budget Planning'!$E:$EM,row_id,
MATCH(IF(selected_period="Total Year",selected_year,DATE(selected_year,selected_period,1)),'Budget Planning'!$E$9:$AS$9,0) ))</f>
        <v>1200</v>
      </c>
      <c r="M21" s="29">
        <f>IF(is_cat,
      IF(header_row_id=income_header_row, MATCH(income_min_row,$C:$C,0),
          IF(header_row_id=expenses_header_row, MATCH(expenses_min_row,$C:$C,0),
              IF(header_row_id=savings_header_row, MATCH(savings_min_row,$C:$C,0),""))),"")</f>
        <v>21</v>
      </c>
      <c r="N21">
        <f>IF(is_cat,
      IF(header_row_id=income_header_row, MATCH(income_max_row,$C:$C,0),
          IF(header_row_id=expenses_header_row, MATCH(expenses_max_row,$C:$C,0),
              IF(header_row_id=savings_header_row, MATCH(savings_max_row,$C:$C,0),""))),"")</f>
        <v>27</v>
      </c>
      <c r="O21" s="66" t="str">
        <f t="shared" si="3"/>
        <v>$K$21:$K$27</v>
      </c>
      <c r="P21">
        <f t="shared" ca="1" si="4"/>
        <v>1</v>
      </c>
      <c r="Q21" s="65" t="str">
        <f t="shared" si="5"/>
        <v>$L$21:$L$27</v>
      </c>
      <c r="R21">
        <f t="shared" ca="1" si="6"/>
        <v>1</v>
      </c>
      <c r="S21" s="29">
        <f t="shared" ca="1" si="7"/>
        <v>11</v>
      </c>
      <c r="T21" s="65" t="str">
        <f t="shared" si="8"/>
        <v>$S$21:$S$27</v>
      </c>
      <c r="U21">
        <f t="shared" ca="1" si="9"/>
        <v>1</v>
      </c>
      <c r="V21" s="65" t="str">
        <f t="shared" si="10"/>
        <v>$U$21:$U$21</v>
      </c>
      <c r="W21" s="68">
        <f t="shared" ca="1" si="11"/>
        <v>1</v>
      </c>
      <c r="X21" s="68">
        <f t="shared" ca="1" si="12"/>
        <v>23</v>
      </c>
      <c r="Y21" s="73" t="str">
        <f t="shared" ca="1" si="13"/>
        <v>Housing</v>
      </c>
      <c r="Z21" s="72">
        <f t="shared" ca="1" si="14"/>
        <v>1000</v>
      </c>
      <c r="AA21" s="72">
        <f t="shared" ca="1" si="15"/>
        <v>1200</v>
      </c>
      <c r="AB21" s="71">
        <f t="shared" ca="1" si="16"/>
        <v>0.83333333333333337</v>
      </c>
      <c r="AC21" s="72">
        <f t="shared" ca="1" si="17"/>
        <v>200</v>
      </c>
      <c r="AD21" s="72">
        <f t="shared" ca="1" si="18"/>
        <v>0</v>
      </c>
      <c r="AF21" s="77"/>
      <c r="AI21" s="91" t="str">
        <f ca="1">Calculations!E38</f>
        <v/>
      </c>
      <c r="AJ21" s="92" t="str">
        <f ca="1">Calculations!F38</f>
        <v/>
      </c>
      <c r="AK21" s="78"/>
      <c r="AM21" s="77"/>
      <c r="AR21" s="78"/>
    </row>
    <row r="22" spans="3:44" x14ac:dyDescent="0.3">
      <c r="C22" s="29">
        <f>IF(C21=-1,-1,
      IF(C21&lt;income_max_row,C21+1,
          IF(C21=income_max_row,income_total_row,
              IF(C21=income_total_row,"/1",
                  IF(C21="/1",expenses_header_row,
                       IF(C21&lt;expenses_max_row,C21+1,
                            IF(C21=expenses_max_row,expenses_total_row,
                                IF(C21=expenses_max_row,expenses_total_row,
                                    IF(C21=expenses_total_row,"/2",
                                        IF(C21="/2",savings_header_row,
                                            IF(C21&lt;savings_max_row,C21+1,
                                                 IF(C21=savings_max_row,savings_total_row,-1))))))))))))</f>
        <v>24</v>
      </c>
      <c r="D22" s="30">
        <f t="shared" si="0"/>
        <v>22</v>
      </c>
      <c r="E22" s="29">
        <f>1*OR(row_id=income_header_row,row_id=expenses_header_row,row_id=savings_header_row)</f>
        <v>0</v>
      </c>
      <c r="F22">
        <f t="shared" si="1"/>
        <v>1</v>
      </c>
      <c r="G22">
        <f>1*OR(row_id=income_total_row,row_id=expenses_total_row,row_id=savings_total_row)</f>
        <v>0</v>
      </c>
      <c r="H22" s="30">
        <f t="shared" si="2"/>
        <v>0</v>
      </c>
      <c r="I22" s="29" t="str">
        <f>IFERROR(INDEX('Budget Planning'!$C:$C,header_row_id),"")</f>
        <v>Expenses</v>
      </c>
      <c r="J22" t="str">
        <f>IFERROR(INDEX('Budget Planning'!$C:$C,row_id),"")</f>
        <v>Groceries</v>
      </c>
      <c r="K22"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200</v>
      </c>
      <c r="L22" s="63">
        <f ca="1">IF(OR(is_header,is_empty),"",
INDEX('Budget Planning'!$E:$EM,row_id,
MATCH(IF(selected_period="Total Year",selected_year,DATE(selected_year,selected_period,1)),'Budget Planning'!$E$9:$AS$9,0) ))</f>
        <v>300</v>
      </c>
      <c r="M22" s="29">
        <f>IF(is_cat,
      IF(header_row_id=income_header_row, MATCH(income_min_row,$C:$C,0),
          IF(header_row_id=expenses_header_row, MATCH(expenses_min_row,$C:$C,0),
              IF(header_row_id=savings_header_row, MATCH(savings_min_row,$C:$C,0),""))),"")</f>
        <v>21</v>
      </c>
      <c r="N22">
        <f>IF(is_cat,
      IF(header_row_id=income_header_row, MATCH(income_max_row,$C:$C,0),
          IF(header_row_id=expenses_header_row, MATCH(expenses_max_row,$C:$C,0),
              IF(header_row_id=savings_header_row, MATCH(savings_max_row,$C:$C,0),""))),"")</f>
        <v>27</v>
      </c>
      <c r="O22" s="66" t="str">
        <f t="shared" si="3"/>
        <v>$K$21:$K$27</v>
      </c>
      <c r="P22">
        <f t="shared" ca="1" si="4"/>
        <v>2</v>
      </c>
      <c r="Q22" s="65" t="str">
        <f t="shared" si="5"/>
        <v>$L$21:$L$27</v>
      </c>
      <c r="R22">
        <f t="shared" ca="1" si="6"/>
        <v>3</v>
      </c>
      <c r="S22" s="29">
        <f t="shared" ca="1" si="7"/>
        <v>23</v>
      </c>
      <c r="T22" s="65" t="str">
        <f t="shared" si="8"/>
        <v>$S$21:$S$27</v>
      </c>
      <c r="U22">
        <f t="shared" ca="1" si="9"/>
        <v>2</v>
      </c>
      <c r="V22" s="65" t="str">
        <f t="shared" si="10"/>
        <v>$U$21:$U$22</v>
      </c>
      <c r="W22" s="68">
        <f t="shared" ca="1" si="11"/>
        <v>2</v>
      </c>
      <c r="X22" s="68">
        <f t="shared" ca="1" si="12"/>
        <v>24</v>
      </c>
      <c r="Y22" s="73" t="str">
        <f t="shared" ca="1" si="13"/>
        <v>Groceries</v>
      </c>
      <c r="Z22" s="72">
        <f t="shared" ca="1" si="14"/>
        <v>200</v>
      </c>
      <c r="AA22" s="72">
        <f t="shared" ca="1" si="15"/>
        <v>300</v>
      </c>
      <c r="AB22" s="71">
        <f t="shared" ca="1" si="16"/>
        <v>0.66666666666666663</v>
      </c>
      <c r="AC22" s="72">
        <f t="shared" ca="1" si="17"/>
        <v>100</v>
      </c>
      <c r="AD22" s="72">
        <f t="shared" ca="1" si="18"/>
        <v>0</v>
      </c>
      <c r="AF22" s="77"/>
      <c r="AI22" s="93" t="str">
        <f>Calculations!E39</f>
        <v>Total</v>
      </c>
      <c r="AJ22" s="94">
        <f ca="1">Calculations!F39</f>
        <v>5100</v>
      </c>
      <c r="AK22" s="78"/>
      <c r="AM22" s="77"/>
      <c r="AR22" s="78"/>
    </row>
    <row r="23" spans="3:44" x14ac:dyDescent="0.3">
      <c r="C23" s="29">
        <f>IF(C22=-1,-1,
      IF(C22&lt;income_max_row,C22+1,
          IF(C22=income_max_row,income_total_row,
              IF(C22=income_total_row,"/1",
                  IF(C22="/1",expenses_header_row,
                       IF(C22&lt;expenses_max_row,C22+1,
                            IF(C22=expenses_max_row,expenses_total_row,
                                IF(C22=expenses_max_row,expenses_total_row,
                                    IF(C22=expenses_total_row,"/2",
                                        IF(C22="/2",savings_header_row,
                                            IF(C22&lt;savings_max_row,C22+1,
                                                 IF(C22=savings_max_row,savings_total_row,-1))))))))))))</f>
        <v>25</v>
      </c>
      <c r="D23" s="30">
        <f t="shared" si="0"/>
        <v>22</v>
      </c>
      <c r="E23" s="29">
        <f>1*OR(row_id=income_header_row,row_id=expenses_header_row,row_id=savings_header_row)</f>
        <v>0</v>
      </c>
      <c r="F23">
        <f t="shared" si="1"/>
        <v>1</v>
      </c>
      <c r="G23">
        <f>1*OR(row_id=income_total_row,row_id=expenses_total_row,row_id=savings_total_row)</f>
        <v>0</v>
      </c>
      <c r="H23" s="30">
        <f t="shared" si="2"/>
        <v>0</v>
      </c>
      <c r="I23" s="29" t="str">
        <f>IFERROR(INDEX('Budget Planning'!$C:$C,header_row_id),"")</f>
        <v>Expenses</v>
      </c>
      <c r="J23" t="str">
        <f>IFERROR(INDEX('Budget Planning'!$C:$C,row_id),"")</f>
        <v>Utilities</v>
      </c>
      <c r="K23"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0</v>
      </c>
      <c r="L23" s="63">
        <f ca="1">IF(OR(is_header,is_empty),"",
INDEX('Budget Planning'!$E:$EM,row_id,
MATCH(IF(selected_period="Total Year",selected_year,DATE(selected_year,selected_period,1)),'Budget Planning'!$E$9:$AS$9,0) ))</f>
        <v>350</v>
      </c>
      <c r="M23" s="29">
        <f>IF(is_cat,
      IF(header_row_id=income_header_row, MATCH(income_min_row,$C:$C,0),
          IF(header_row_id=expenses_header_row, MATCH(expenses_min_row,$C:$C,0),
              IF(header_row_id=savings_header_row, MATCH(savings_min_row,$C:$C,0),""))),"")</f>
        <v>21</v>
      </c>
      <c r="N23">
        <f>IF(is_cat,
      IF(header_row_id=income_header_row, MATCH(income_max_row,$C:$C,0),
          IF(header_row_id=expenses_header_row, MATCH(expenses_max_row,$C:$C,0),
              IF(header_row_id=savings_header_row, MATCH(savings_max_row,$C:$C,0),""))),"")</f>
        <v>27</v>
      </c>
      <c r="O23" s="66" t="str">
        <f t="shared" si="3"/>
        <v>$K$21:$K$27</v>
      </c>
      <c r="P23">
        <f t="shared" ca="1" si="4"/>
        <v>7</v>
      </c>
      <c r="Q23" s="65" t="str">
        <f t="shared" si="5"/>
        <v>$L$21:$L$27</v>
      </c>
      <c r="R23">
        <f t="shared" ca="1" si="6"/>
        <v>2</v>
      </c>
      <c r="S23" s="29">
        <f t="shared" ca="1" si="7"/>
        <v>72</v>
      </c>
      <c r="T23" s="65" t="str">
        <f t="shared" si="8"/>
        <v>$S$21:$S$27</v>
      </c>
      <c r="U23">
        <f t="shared" ca="1" si="9"/>
        <v>7</v>
      </c>
      <c r="V23" s="65" t="str">
        <f t="shared" si="10"/>
        <v>$U$21:$U$23</v>
      </c>
      <c r="W23" s="68">
        <f t="shared" ca="1" si="11"/>
        <v>7</v>
      </c>
      <c r="X23" s="68">
        <f t="shared" ca="1" si="12"/>
        <v>29</v>
      </c>
      <c r="Y23" s="73" t="str">
        <f t="shared" ca="1" si="13"/>
        <v>Amusement &amp; Vacation</v>
      </c>
      <c r="Z23" s="72">
        <f t="shared" ca="1" si="14"/>
        <v>200</v>
      </c>
      <c r="AA23" s="72">
        <f t="shared" ca="1" si="15"/>
        <v>300</v>
      </c>
      <c r="AB23" s="71">
        <f t="shared" ca="1" si="16"/>
        <v>0.66666666666666663</v>
      </c>
      <c r="AC23" s="72">
        <f t="shared" ca="1" si="17"/>
        <v>100</v>
      </c>
      <c r="AD23" s="72">
        <f t="shared" ca="1" si="18"/>
        <v>0</v>
      </c>
      <c r="AF23" s="77"/>
      <c r="AK23" s="78"/>
      <c r="AM23" s="79"/>
      <c r="AN23" s="80"/>
      <c r="AO23" s="80"/>
      <c r="AP23" s="80"/>
      <c r="AQ23" s="80"/>
      <c r="AR23" s="81"/>
    </row>
    <row r="24" spans="3:44" x14ac:dyDescent="0.3">
      <c r="C24" s="29">
        <f>IF(C23=-1,-1,
      IF(C23&lt;income_max_row,C23+1,
          IF(C23=income_max_row,income_total_row,
              IF(C23=income_total_row,"/1",
                  IF(C23="/1",expenses_header_row,
                       IF(C23&lt;expenses_max_row,C23+1,
                            IF(C23=expenses_max_row,expenses_total_row,
                                IF(C23=expenses_max_row,expenses_total_row,
                                    IF(C23=expenses_total_row,"/2",
                                        IF(C23="/2",savings_header_row,
                                            IF(C23&lt;savings_max_row,C23+1,
                                                 IF(C23=savings_max_row,savings_total_row,-1))))))))))))</f>
        <v>26</v>
      </c>
      <c r="D24" s="30">
        <f t="shared" si="0"/>
        <v>22</v>
      </c>
      <c r="E24" s="29">
        <f>1*OR(row_id=income_header_row,row_id=expenses_header_row,row_id=savings_header_row)</f>
        <v>0</v>
      </c>
      <c r="F24">
        <f t="shared" si="1"/>
        <v>1</v>
      </c>
      <c r="G24">
        <f>1*OR(row_id=income_total_row,row_id=expenses_total_row,row_id=savings_total_row)</f>
        <v>0</v>
      </c>
      <c r="H24" s="30">
        <f t="shared" si="2"/>
        <v>0</v>
      </c>
      <c r="I24" s="29" t="str">
        <f>IFERROR(INDEX('Budget Planning'!$C:$C,header_row_id),"")</f>
        <v>Expenses</v>
      </c>
      <c r="J24" t="str">
        <f>IFERROR(INDEX('Budget Planning'!$C:$C,row_id),"")</f>
        <v>Transport</v>
      </c>
      <c r="K24"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100</v>
      </c>
      <c r="L24" s="63">
        <f ca="1">IF(OR(is_header,is_empty),"",
INDEX('Budget Planning'!$E:$EM,row_id,
MATCH(IF(selected_period="Total Year",selected_year,DATE(selected_year,selected_period,1)),'Budget Planning'!$E$9:$AS$9,0) ))</f>
        <v>300</v>
      </c>
      <c r="M24" s="29">
        <f>IF(is_cat,
      IF(header_row_id=income_header_row, MATCH(income_min_row,$C:$C,0),
          IF(header_row_id=expenses_header_row, MATCH(expenses_min_row,$C:$C,0),
              IF(header_row_id=savings_header_row, MATCH(savings_min_row,$C:$C,0),""))),"")</f>
        <v>21</v>
      </c>
      <c r="N24">
        <f>IF(is_cat,
      IF(header_row_id=income_header_row, MATCH(income_max_row,$C:$C,0),
          IF(header_row_id=expenses_header_row, MATCH(expenses_max_row,$C:$C,0),
              IF(header_row_id=savings_header_row, MATCH(savings_max_row,$C:$C,0),""))),"")</f>
        <v>27</v>
      </c>
      <c r="O24" s="66" t="str">
        <f t="shared" si="3"/>
        <v>$K$21:$K$27</v>
      </c>
      <c r="P24">
        <f t="shared" ca="1" si="4"/>
        <v>4</v>
      </c>
      <c r="Q24" s="65" t="str">
        <f t="shared" si="5"/>
        <v>$L$21:$L$27</v>
      </c>
      <c r="R24">
        <f t="shared" ca="1" si="6"/>
        <v>3</v>
      </c>
      <c r="S24" s="29">
        <f t="shared" ca="1" si="7"/>
        <v>43</v>
      </c>
      <c r="T24" s="65" t="str">
        <f t="shared" si="8"/>
        <v>$S$21:$S$27</v>
      </c>
      <c r="U24">
        <f t="shared" ca="1" si="9"/>
        <v>4</v>
      </c>
      <c r="V24" s="65" t="str">
        <f t="shared" si="10"/>
        <v>$U$21:$U$24</v>
      </c>
      <c r="W24" s="68">
        <f t="shared" ca="1" si="11"/>
        <v>4</v>
      </c>
      <c r="X24" s="68">
        <f t="shared" ca="1" si="12"/>
        <v>26</v>
      </c>
      <c r="Y24" s="73" t="str">
        <f t="shared" ca="1" si="13"/>
        <v>Transport</v>
      </c>
      <c r="Z24" s="72">
        <f t="shared" ca="1" si="14"/>
        <v>100</v>
      </c>
      <c r="AA24" s="72">
        <f t="shared" ca="1" si="15"/>
        <v>300</v>
      </c>
      <c r="AB24" s="71">
        <f t="shared" ca="1" si="16"/>
        <v>0.33333333333333331</v>
      </c>
      <c r="AC24" s="72">
        <f t="shared" ca="1" si="17"/>
        <v>200</v>
      </c>
      <c r="AD24" s="72">
        <f t="shared" ca="1" si="18"/>
        <v>0</v>
      </c>
      <c r="AF24" s="75"/>
      <c r="AG24" s="75"/>
      <c r="AH24" s="75"/>
      <c r="AI24" s="75"/>
      <c r="AJ24" s="75"/>
      <c r="AK24" s="75"/>
    </row>
    <row r="25" spans="3:44" x14ac:dyDescent="0.3">
      <c r="C25" s="29">
        <f>IF(C24=-1,-1,
      IF(C24&lt;income_max_row,C24+1,
          IF(C24=income_max_row,income_total_row,
              IF(C24=income_total_row,"/1",
                  IF(C24="/1",expenses_header_row,
                       IF(C24&lt;expenses_max_row,C24+1,
                            IF(C24=expenses_max_row,expenses_total_row,
                                IF(C24=expenses_max_row,expenses_total_row,
                                    IF(C24=expenses_total_row,"/2",
                                        IF(C24="/2",savings_header_row,
                                            IF(C24&lt;savings_max_row,C24+1,
                                                 IF(C24=savings_max_row,savings_total_row,-1))))))))))))</f>
        <v>27</v>
      </c>
      <c r="D25" s="30">
        <f t="shared" si="0"/>
        <v>22</v>
      </c>
      <c r="E25" s="29">
        <f>1*OR(row_id=income_header_row,row_id=expenses_header_row,row_id=savings_header_row)</f>
        <v>0</v>
      </c>
      <c r="F25">
        <f t="shared" si="1"/>
        <v>1</v>
      </c>
      <c r="G25">
        <f>1*OR(row_id=income_total_row,row_id=expenses_total_row,row_id=savings_total_row)</f>
        <v>0</v>
      </c>
      <c r="H25" s="30">
        <f t="shared" si="2"/>
        <v>0</v>
      </c>
      <c r="I25" s="29" t="str">
        <f>IFERROR(INDEX('Budget Planning'!$C:$C,header_row_id),"")</f>
        <v>Expenses</v>
      </c>
      <c r="J25" t="str">
        <f>IFERROR(INDEX('Budget Planning'!$C:$C,row_id),"")</f>
        <v>Insurances</v>
      </c>
      <c r="K25"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50</v>
      </c>
      <c r="L25" s="63">
        <f ca="1">IF(OR(is_header,is_empty),"",
INDEX('Budget Planning'!$E:$EM,row_id,
MATCH(IF(selected_period="Total Year",selected_year,DATE(selected_year,selected_period,1)),'Budget Planning'!$E$9:$AS$9,0) ))</f>
        <v>50</v>
      </c>
      <c r="M25" s="29">
        <f>IF(is_cat,
      IF(header_row_id=income_header_row, MATCH(income_min_row,$C:$C,0),
          IF(header_row_id=expenses_header_row, MATCH(expenses_min_row,$C:$C,0),
              IF(header_row_id=savings_header_row, MATCH(savings_min_row,$C:$C,0),""))),"")</f>
        <v>21</v>
      </c>
      <c r="N25">
        <f>IF(is_cat,
      IF(header_row_id=income_header_row, MATCH(income_max_row,$C:$C,0),
          IF(header_row_id=expenses_header_row, MATCH(expenses_max_row,$C:$C,0),
              IF(header_row_id=savings_header_row, MATCH(savings_max_row,$C:$C,0),""))),"")</f>
        <v>27</v>
      </c>
      <c r="O25" s="66" t="str">
        <f t="shared" si="3"/>
        <v>$K$21:$K$27</v>
      </c>
      <c r="P25">
        <f t="shared" ca="1" si="4"/>
        <v>6</v>
      </c>
      <c r="Q25" s="65" t="str">
        <f t="shared" si="5"/>
        <v>$L$21:$L$27</v>
      </c>
      <c r="R25">
        <f t="shared" ca="1" si="6"/>
        <v>7</v>
      </c>
      <c r="S25" s="29">
        <f t="shared" ca="1" si="7"/>
        <v>67</v>
      </c>
      <c r="T25" s="65" t="str">
        <f t="shared" si="8"/>
        <v>$S$21:$S$27</v>
      </c>
      <c r="U25">
        <f t="shared" ca="1" si="9"/>
        <v>6</v>
      </c>
      <c r="V25" s="65" t="str">
        <f t="shared" si="10"/>
        <v>$U$21:$U$25</v>
      </c>
      <c r="W25" s="68">
        <f t="shared" ca="1" si="11"/>
        <v>6</v>
      </c>
      <c r="X25" s="68">
        <f t="shared" ca="1" si="12"/>
        <v>28</v>
      </c>
      <c r="Y25" s="73" t="str">
        <f t="shared" ca="1" si="13"/>
        <v>Media</v>
      </c>
      <c r="Z25" s="72">
        <f t="shared" ca="1" si="14"/>
        <v>100</v>
      </c>
      <c r="AA25" s="72">
        <f t="shared" ca="1" si="15"/>
        <v>100</v>
      </c>
      <c r="AB25" s="71">
        <f t="shared" ca="1" si="16"/>
        <v>1</v>
      </c>
      <c r="AC25" s="72">
        <f t="shared" ca="1" si="17"/>
        <v>0</v>
      </c>
      <c r="AD25" s="72">
        <f t="shared" ca="1" si="18"/>
        <v>0</v>
      </c>
      <c r="AF25" s="74"/>
      <c r="AG25" s="75"/>
      <c r="AH25" s="75"/>
      <c r="AI25" s="75"/>
      <c r="AJ25" s="75"/>
      <c r="AK25" s="76"/>
      <c r="AM25" s="74"/>
      <c r="AN25" s="75"/>
      <c r="AO25" s="75"/>
      <c r="AP25" s="75"/>
      <c r="AQ25" s="75"/>
      <c r="AR25" s="76"/>
    </row>
    <row r="26" spans="3:44" x14ac:dyDescent="0.3">
      <c r="C26" s="29">
        <f>IF(C25=-1,-1,
      IF(C25&lt;income_max_row,C25+1,
          IF(C25=income_max_row,income_total_row,
              IF(C25=income_total_row,"/1",
                  IF(C25="/1",expenses_header_row,
                       IF(C25&lt;expenses_max_row,C25+1,
                            IF(C25=expenses_max_row,expenses_total_row,
                                IF(C25=expenses_max_row,expenses_total_row,
                                    IF(C25=expenses_total_row,"/2",
                                        IF(C25="/2",savings_header_row,
                                            IF(C25&lt;savings_max_row,C25+1,
                                                 IF(C25=savings_max_row,savings_total_row,-1))))))))))))</f>
        <v>28</v>
      </c>
      <c r="D26" s="30">
        <f t="shared" si="0"/>
        <v>22</v>
      </c>
      <c r="E26" s="29">
        <f>1*OR(row_id=income_header_row,row_id=expenses_header_row,row_id=savings_header_row)</f>
        <v>0</v>
      </c>
      <c r="F26">
        <f t="shared" si="1"/>
        <v>1</v>
      </c>
      <c r="G26">
        <f>1*OR(row_id=income_total_row,row_id=expenses_total_row,row_id=savings_total_row)</f>
        <v>0</v>
      </c>
      <c r="H26" s="30">
        <f t="shared" si="2"/>
        <v>0</v>
      </c>
      <c r="I26" s="29" t="str">
        <f>IFERROR(INDEX('Budget Planning'!$C:$C,header_row_id),"")</f>
        <v>Expenses</v>
      </c>
      <c r="J26" t="str">
        <f>IFERROR(INDEX('Budget Planning'!$C:$C,row_id),"")</f>
        <v>Media</v>
      </c>
      <c r="K26"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100</v>
      </c>
      <c r="L26" s="63">
        <f ca="1">IF(OR(is_header,is_empty),"",
INDEX('Budget Planning'!$E:$EM,row_id,
MATCH(IF(selected_period="Total Year",selected_year,DATE(selected_year,selected_period,1)),'Budget Planning'!$E$9:$AS$9,0) ))</f>
        <v>100</v>
      </c>
      <c r="M26" s="29">
        <f>IF(is_cat,
      IF(header_row_id=income_header_row, MATCH(income_min_row,$C:$C,0),
          IF(header_row_id=expenses_header_row, MATCH(expenses_min_row,$C:$C,0),
              IF(header_row_id=savings_header_row, MATCH(savings_min_row,$C:$C,0),""))),"")</f>
        <v>21</v>
      </c>
      <c r="N26">
        <f>IF(is_cat,
      IF(header_row_id=income_header_row, MATCH(income_max_row,$C:$C,0),
          IF(header_row_id=expenses_header_row, MATCH(expenses_max_row,$C:$C,0),
              IF(header_row_id=savings_header_row, MATCH(savings_max_row,$C:$C,0),""))),"")</f>
        <v>27</v>
      </c>
      <c r="O26" s="66" t="str">
        <f t="shared" si="3"/>
        <v>$K$21:$K$27</v>
      </c>
      <c r="P26">
        <f t="shared" ca="1" si="4"/>
        <v>4</v>
      </c>
      <c r="Q26" s="65" t="str">
        <f t="shared" si="5"/>
        <v>$L$21:$L$27</v>
      </c>
      <c r="R26">
        <f t="shared" ca="1" si="6"/>
        <v>6</v>
      </c>
      <c r="S26" s="29">
        <f t="shared" ca="1" si="7"/>
        <v>46</v>
      </c>
      <c r="T26" s="65" t="str">
        <f t="shared" si="8"/>
        <v>$S$21:$S$27</v>
      </c>
      <c r="U26">
        <f t="shared" ca="1" si="9"/>
        <v>5</v>
      </c>
      <c r="V26" s="65" t="str">
        <f t="shared" si="10"/>
        <v>$U$21:$U$26</v>
      </c>
      <c r="W26" s="68">
        <f t="shared" ca="1" si="11"/>
        <v>5</v>
      </c>
      <c r="X26" s="68">
        <f t="shared" ca="1" si="12"/>
        <v>27</v>
      </c>
      <c r="Y26" s="73" t="str">
        <f t="shared" ca="1" si="13"/>
        <v>Insurances</v>
      </c>
      <c r="Z26" s="72">
        <f t="shared" ca="1" si="14"/>
        <v>50</v>
      </c>
      <c r="AA26" s="72">
        <f t="shared" ca="1" si="15"/>
        <v>50</v>
      </c>
      <c r="AB26" s="71">
        <f t="shared" ca="1" si="16"/>
        <v>1</v>
      </c>
      <c r="AC26" s="72">
        <f t="shared" ca="1" si="17"/>
        <v>0</v>
      </c>
      <c r="AD26" s="72">
        <f t="shared" ca="1" si="18"/>
        <v>0</v>
      </c>
      <c r="AF26" s="77"/>
      <c r="AG26" s="82"/>
      <c r="AK26" s="78"/>
      <c r="AM26" s="77"/>
      <c r="AN26" s="82"/>
      <c r="AR26" s="78"/>
    </row>
    <row r="27" spans="3:44" x14ac:dyDescent="0.3">
      <c r="C27" s="29">
        <f>IF(C26=-1,-1,
      IF(C26&lt;income_max_row,C26+1,
          IF(C26=income_max_row,income_total_row,
              IF(C26=income_total_row,"/1",
                  IF(C26="/1",expenses_header_row,
                       IF(C26&lt;expenses_max_row,C26+1,
                            IF(C26=expenses_max_row,expenses_total_row,
                                IF(C26=expenses_max_row,expenses_total_row,
                                    IF(C26=expenses_total_row,"/2",
                                        IF(C26="/2",savings_header_row,
                                            IF(C26&lt;savings_max_row,C26+1,
                                                 IF(C26=savings_max_row,savings_total_row,-1))))))))))))</f>
        <v>29</v>
      </c>
      <c r="D27" s="30">
        <f t="shared" si="0"/>
        <v>22</v>
      </c>
      <c r="E27" s="29">
        <f>1*OR(row_id=income_header_row,row_id=expenses_header_row,row_id=savings_header_row)</f>
        <v>0</v>
      </c>
      <c r="F27">
        <f t="shared" si="1"/>
        <v>1</v>
      </c>
      <c r="G27">
        <f>1*OR(row_id=income_total_row,row_id=expenses_total_row,row_id=savings_total_row)</f>
        <v>0</v>
      </c>
      <c r="H27" s="30">
        <f t="shared" si="2"/>
        <v>0</v>
      </c>
      <c r="I27" s="29" t="str">
        <f>IFERROR(INDEX('Budget Planning'!$C:$C,header_row_id),"")</f>
        <v>Expenses</v>
      </c>
      <c r="J27" t="str">
        <f>IFERROR(INDEX('Budget Planning'!$C:$C,row_id),"")</f>
        <v>Amusement &amp; Vacation</v>
      </c>
      <c r="K27"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200</v>
      </c>
      <c r="L27" s="63">
        <f ca="1">IF(OR(is_header,is_empty),"",
INDEX('Budget Planning'!$E:$EM,row_id,
MATCH(IF(selected_period="Total Year",selected_year,DATE(selected_year,selected_period,1)),'Budget Planning'!$E$9:$AS$9,0) ))</f>
        <v>300</v>
      </c>
      <c r="M27" s="29">
        <f>IF(is_cat,
      IF(header_row_id=income_header_row, MATCH(income_min_row,$C:$C,0),
          IF(header_row_id=expenses_header_row, MATCH(expenses_min_row,$C:$C,0),
              IF(header_row_id=savings_header_row, MATCH(savings_min_row,$C:$C,0),""))),"")</f>
        <v>21</v>
      </c>
      <c r="N27">
        <f>IF(is_cat,
      IF(header_row_id=income_header_row, MATCH(income_max_row,$C:$C,0),
          IF(header_row_id=expenses_header_row, MATCH(expenses_max_row,$C:$C,0),
              IF(header_row_id=savings_header_row, MATCH(savings_max_row,$C:$C,0),""))),"")</f>
        <v>27</v>
      </c>
      <c r="O27" s="66" t="str">
        <f t="shared" si="3"/>
        <v>$K$21:$K$27</v>
      </c>
      <c r="P27">
        <f t="shared" ca="1" si="4"/>
        <v>2</v>
      </c>
      <c r="Q27" s="65" t="str">
        <f t="shared" si="5"/>
        <v>$L$21:$L$27</v>
      </c>
      <c r="R27">
        <f t="shared" ca="1" si="6"/>
        <v>3</v>
      </c>
      <c r="S27" s="29">
        <f t="shared" ca="1" si="7"/>
        <v>23</v>
      </c>
      <c r="T27" s="65" t="str">
        <f t="shared" si="8"/>
        <v>$S$21:$S$27</v>
      </c>
      <c r="U27">
        <f t="shared" ca="1" si="9"/>
        <v>2</v>
      </c>
      <c r="V27" s="65" t="str">
        <f t="shared" si="10"/>
        <v>$U$21:$U$27</v>
      </c>
      <c r="W27" s="68">
        <f t="shared" ca="1" si="11"/>
        <v>3</v>
      </c>
      <c r="X27" s="68">
        <f t="shared" ca="1" si="12"/>
        <v>25</v>
      </c>
      <c r="Y27" s="73" t="str">
        <f t="shared" ca="1" si="13"/>
        <v>Utilities</v>
      </c>
      <c r="Z27" s="72">
        <f t="shared" ca="1" si="14"/>
        <v>0</v>
      </c>
      <c r="AA27" s="72">
        <f t="shared" ca="1" si="15"/>
        <v>350</v>
      </c>
      <c r="AB27" s="71">
        <f t="shared" ca="1" si="16"/>
        <v>0</v>
      </c>
      <c r="AC27" s="72">
        <f t="shared" ca="1" si="17"/>
        <v>350</v>
      </c>
      <c r="AD27" s="72">
        <f t="shared" ca="1" si="18"/>
        <v>0</v>
      </c>
      <c r="AF27" s="77"/>
      <c r="AG27" s="82"/>
      <c r="AK27" s="78"/>
      <c r="AM27" s="77"/>
      <c r="AN27" s="82"/>
      <c r="AR27" s="78"/>
    </row>
    <row r="28" spans="3:44" x14ac:dyDescent="0.3">
      <c r="C28" s="29">
        <f>IF(C27=-1,-1,
      IF(C27&lt;income_max_row,C27+1,
          IF(C27=income_max_row,income_total_row,
              IF(C27=income_total_row,"/1",
                  IF(C27="/1",expenses_header_row,
                       IF(C27&lt;expenses_max_row,C27+1,
                            IF(C27=expenses_max_row,expenses_total_row,
                                IF(C27=expenses_max_row,expenses_total_row,
                                    IF(C27=expenses_total_row,"/2",
                                        IF(C27="/2",savings_header_row,
                                            IF(C27&lt;savings_max_row,C27+1,
                                                 IF(C27=savings_max_row,savings_total_row,-1))))))))))))</f>
        <v>36</v>
      </c>
      <c r="D28" s="30">
        <f t="shared" si="0"/>
        <v>22</v>
      </c>
      <c r="E28" s="29">
        <f>1*OR(row_id=income_header_row,row_id=expenses_header_row,row_id=savings_header_row)</f>
        <v>0</v>
      </c>
      <c r="F28">
        <f t="shared" si="1"/>
        <v>0</v>
      </c>
      <c r="G28">
        <f>1*OR(row_id=income_total_row,row_id=expenses_total_row,row_id=savings_total_row)</f>
        <v>1</v>
      </c>
      <c r="H28" s="30">
        <f t="shared" si="2"/>
        <v>0</v>
      </c>
      <c r="I28" s="29" t="str">
        <f>IFERROR(INDEX('Budget Planning'!$C:$C,header_row_id),"")</f>
        <v>Expenses</v>
      </c>
      <c r="J28" t="str">
        <f>IFERROR(INDEX('Budget Planning'!$C:$C,row_id),"")</f>
        <v>Total</v>
      </c>
      <c r="K28"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1650</v>
      </c>
      <c r="L28" s="63">
        <f ca="1">IF(OR(is_header,is_empty),"",
INDEX('Budget Planning'!$E:$EM,row_id,
MATCH(IF(selected_period="Total Year",selected_year,DATE(selected_year,selected_period,1)),'Budget Planning'!$E$9:$AS$9,0) ))</f>
        <v>2600</v>
      </c>
      <c r="M28" s="29" t="str">
        <f>IF(is_cat,
      IF(header_row_id=income_header_row, MATCH(income_min_row,$C:$C,0),
          IF(header_row_id=expenses_header_row, MATCH(expenses_min_row,$C:$C,0),
              IF(header_row_id=savings_header_row, MATCH(savings_min_row,$C:$C,0),""))),"")</f>
        <v/>
      </c>
      <c r="N28" t="str">
        <f>IF(is_cat,
      IF(header_row_id=income_header_row, MATCH(income_max_row,$C:$C,0),
          IF(header_row_id=expenses_header_row, MATCH(expenses_max_row,$C:$C,0),
              IF(header_row_id=savings_header_row, MATCH(savings_max_row,$C:$C,0),""))),"")</f>
        <v/>
      </c>
      <c r="O28" s="66" t="str">
        <f t="shared" si="3"/>
        <v/>
      </c>
      <c r="P28" t="str">
        <f t="shared" ca="1" si="4"/>
        <v/>
      </c>
      <c r="Q28" s="65" t="str">
        <f t="shared" si="5"/>
        <v/>
      </c>
      <c r="R28" t="str">
        <f t="shared" ca="1" si="6"/>
        <v/>
      </c>
      <c r="S28" s="29" t="str">
        <f t="shared" si="7"/>
        <v/>
      </c>
      <c r="T28" s="65" t="str">
        <f t="shared" si="8"/>
        <v/>
      </c>
      <c r="U28" t="str">
        <f t="shared" ca="1" si="9"/>
        <v/>
      </c>
      <c r="V28" s="65" t="str">
        <f t="shared" si="10"/>
        <v/>
      </c>
      <c r="W28" s="68" t="str">
        <f t="shared" ca="1" si="11"/>
        <v/>
      </c>
      <c r="X28" s="68">
        <f t="shared" si="12"/>
        <v>36</v>
      </c>
      <c r="Y28" s="73" t="str">
        <f t="shared" ca="1" si="13"/>
        <v>Total</v>
      </c>
      <c r="Z28" s="72">
        <f t="shared" ca="1" si="14"/>
        <v>1650</v>
      </c>
      <c r="AA28" s="72">
        <f t="shared" ca="1" si="15"/>
        <v>2600</v>
      </c>
      <c r="AB28" s="71">
        <f t="shared" ca="1" si="16"/>
        <v>0.63461538461538458</v>
      </c>
      <c r="AC28" s="72">
        <f t="shared" ca="1" si="17"/>
        <v>950</v>
      </c>
      <c r="AD28" s="72">
        <f t="shared" ca="1" si="18"/>
        <v>0</v>
      </c>
      <c r="AF28" s="77"/>
      <c r="AH28" s="82"/>
      <c r="AI28" s="91" t="str">
        <f ca="1">Calculations!I33</f>
        <v>Housing</v>
      </c>
      <c r="AJ28" s="92">
        <f ca="1">Calculations!J33</f>
        <v>1000</v>
      </c>
      <c r="AK28" s="78"/>
      <c r="AM28" s="77"/>
      <c r="AO28" s="82"/>
      <c r="AP28" s="91" t="str">
        <f ca="1">Calculations!M33</f>
        <v>Retirement Account</v>
      </c>
      <c r="AQ28" s="92">
        <f ca="1">Calculations!N33</f>
        <v>500</v>
      </c>
      <c r="AR28" s="78"/>
    </row>
    <row r="29" spans="3:44" x14ac:dyDescent="0.3">
      <c r="C29" s="29" t="str">
        <f>IF(C28=-1,-1,
      IF(C28&lt;income_max_row,C28+1,
          IF(C28=income_max_row,income_total_row,
              IF(C28=income_total_row,"/1",
                  IF(C28="/1",expenses_header_row,
                       IF(C28&lt;expenses_max_row,C28+1,
                            IF(C28=expenses_max_row,expenses_total_row,
                                IF(C28=expenses_max_row,expenses_total_row,
                                    IF(C28=expenses_total_row,"/2",
                                        IF(C28="/2",savings_header_row,
                                            IF(C28&lt;savings_max_row,C28+1,
                                                 IF(C28=savings_max_row,savings_total_row,-1))))))))))))</f>
        <v>/2</v>
      </c>
      <c r="D29" s="30">
        <f t="shared" si="0"/>
        <v>-1</v>
      </c>
      <c r="E29" s="29">
        <f>1*OR(row_id=income_header_row,row_id=expenses_header_row,row_id=savings_header_row)</f>
        <v>0</v>
      </c>
      <c r="F29">
        <f t="shared" si="1"/>
        <v>0</v>
      </c>
      <c r="G29">
        <f>1*OR(row_id=income_total_row,row_id=expenses_total_row,row_id=savings_total_row)</f>
        <v>0</v>
      </c>
      <c r="H29" s="30">
        <f t="shared" si="2"/>
        <v>1</v>
      </c>
      <c r="I29" s="29" t="str">
        <f>IFERROR(INDEX('Budget Planning'!$C:$C,header_row_id),"")</f>
        <v/>
      </c>
      <c r="J29" t="str">
        <f>IFERROR(INDEX('Budget Planning'!$C:$C,row_id),"")</f>
        <v/>
      </c>
      <c r="K29"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29" s="63" t="str">
        <f>IF(OR(is_header,is_empty),"",
INDEX('Budget Planning'!$E:$EM,row_id,
MATCH(IF(selected_period="Total Year",selected_year,DATE(selected_year,selected_period,1)),'Budget Planning'!$E$9:$AS$9,0) ))</f>
        <v/>
      </c>
      <c r="M29" s="29" t="str">
        <f>IF(is_cat,
      IF(header_row_id=income_header_row, MATCH(income_min_row,$C:$C,0),
          IF(header_row_id=expenses_header_row, MATCH(expenses_min_row,$C:$C,0),
              IF(header_row_id=savings_header_row, MATCH(savings_min_row,$C:$C,0),""))),"")</f>
        <v/>
      </c>
      <c r="N29" t="str">
        <f>IF(is_cat,
      IF(header_row_id=income_header_row, MATCH(income_max_row,$C:$C,0),
          IF(header_row_id=expenses_header_row, MATCH(expenses_max_row,$C:$C,0),
              IF(header_row_id=savings_header_row, MATCH(savings_max_row,$C:$C,0),""))),"")</f>
        <v/>
      </c>
      <c r="O29" s="66" t="str">
        <f t="shared" si="3"/>
        <v/>
      </c>
      <c r="P29" t="str">
        <f t="shared" ca="1" si="4"/>
        <v/>
      </c>
      <c r="Q29" s="65" t="str">
        <f t="shared" si="5"/>
        <v/>
      </c>
      <c r="R29" t="str">
        <f t="shared" ca="1" si="6"/>
        <v/>
      </c>
      <c r="S29" s="29" t="str">
        <f t="shared" si="7"/>
        <v/>
      </c>
      <c r="T29" s="65" t="str">
        <f t="shared" si="8"/>
        <v/>
      </c>
      <c r="U29" t="str">
        <f t="shared" ca="1" si="9"/>
        <v/>
      </c>
      <c r="V29" s="65" t="str">
        <f t="shared" si="10"/>
        <v/>
      </c>
      <c r="W29" s="68" t="str">
        <f t="shared" ca="1" si="11"/>
        <v/>
      </c>
      <c r="X29" s="68" t="str">
        <f t="shared" si="12"/>
        <v>/2</v>
      </c>
      <c r="Y29" s="73" t="str">
        <f t="shared" si="13"/>
        <v/>
      </c>
      <c r="Z29" s="72" t="str">
        <f t="shared" si="14"/>
        <v/>
      </c>
      <c r="AA29" s="72" t="str">
        <f t="shared" si="15"/>
        <v/>
      </c>
      <c r="AB29" s="71" t="str">
        <f t="shared" si="16"/>
        <v/>
      </c>
      <c r="AC29" s="72" t="str">
        <f t="shared" si="17"/>
        <v/>
      </c>
      <c r="AD29" s="72" t="str">
        <f t="shared" si="18"/>
        <v/>
      </c>
      <c r="AF29" s="77"/>
      <c r="AI29" s="91" t="str">
        <f ca="1">Calculations!I34</f>
        <v>Groceries</v>
      </c>
      <c r="AJ29" s="92">
        <f ca="1">Calculations!J34</f>
        <v>200</v>
      </c>
      <c r="AK29" s="78"/>
      <c r="AM29" s="77"/>
      <c r="AP29" s="91" t="str">
        <f ca="1">Calculations!M34</f>
        <v>Stocks Investments</v>
      </c>
      <c r="AQ29" s="92">
        <f ca="1">Calculations!N34</f>
        <v>250</v>
      </c>
      <c r="AR29" s="78"/>
    </row>
    <row r="30" spans="3:44" x14ac:dyDescent="0.3">
      <c r="C30" s="29">
        <f>IF(C29=-1,-1,
      IF(C29&lt;income_max_row,C29+1,
          IF(C29=income_max_row,income_total_row,
              IF(C29=income_total_row,"/1",
                  IF(C29="/1",expenses_header_row,
                       IF(C29&lt;expenses_max_row,C29+1,
                            IF(C29=expenses_max_row,expenses_total_row,
                                IF(C29=expenses_max_row,expenses_total_row,
                                    IF(C29=expenses_total_row,"/2",
                                        IF(C29="/2",savings_header_row,
                                            IF(C29&lt;savings_max_row,C29+1,
                                                 IF(C29=savings_max_row,savings_total_row,-1))))))))))))</f>
        <v>38</v>
      </c>
      <c r="D30" s="30">
        <f t="shared" si="0"/>
        <v>38</v>
      </c>
      <c r="E30" s="29">
        <f>1*OR(row_id=income_header_row,row_id=expenses_header_row,row_id=savings_header_row)</f>
        <v>1</v>
      </c>
      <c r="F30">
        <f t="shared" si="1"/>
        <v>0</v>
      </c>
      <c r="G30">
        <f>1*OR(row_id=income_total_row,row_id=expenses_total_row,row_id=savings_total_row)</f>
        <v>0</v>
      </c>
      <c r="H30" s="30">
        <f t="shared" si="2"/>
        <v>0</v>
      </c>
      <c r="I30" s="29" t="str">
        <f>IFERROR(INDEX('Budget Planning'!$C:$C,header_row_id),"")</f>
        <v>Savings</v>
      </c>
      <c r="J30" t="str">
        <f>IFERROR(INDEX('Budget Planning'!$C:$C,row_id),"")</f>
        <v>Savings</v>
      </c>
      <c r="K30"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30" s="63" t="str">
        <f>IF(OR(is_header,is_empty),"",
INDEX('Budget Planning'!$E:$EM,row_id,
MATCH(IF(selected_period="Total Year",selected_year,DATE(selected_year,selected_period,1)),'Budget Planning'!$E$9:$AS$9,0) ))</f>
        <v/>
      </c>
      <c r="M30" s="29" t="str">
        <f>IF(is_cat,
      IF(header_row_id=income_header_row, MATCH(income_min_row,$C:$C,0),
          IF(header_row_id=expenses_header_row, MATCH(expenses_min_row,$C:$C,0),
              IF(header_row_id=savings_header_row, MATCH(savings_min_row,$C:$C,0),""))),"")</f>
        <v/>
      </c>
      <c r="N30" t="str">
        <f>IF(is_cat,
      IF(header_row_id=income_header_row, MATCH(income_max_row,$C:$C,0),
          IF(header_row_id=expenses_header_row, MATCH(expenses_max_row,$C:$C,0),
              IF(header_row_id=savings_header_row, MATCH(savings_max_row,$C:$C,0),""))),"")</f>
        <v/>
      </c>
      <c r="O30" s="66" t="str">
        <f t="shared" si="3"/>
        <v/>
      </c>
      <c r="P30" t="str">
        <f t="shared" ca="1" si="4"/>
        <v/>
      </c>
      <c r="Q30" s="65" t="str">
        <f t="shared" si="5"/>
        <v/>
      </c>
      <c r="R30" t="str">
        <f t="shared" ca="1" si="6"/>
        <v/>
      </c>
      <c r="S30" s="29" t="str">
        <f t="shared" si="7"/>
        <v/>
      </c>
      <c r="T30" s="65" t="str">
        <f t="shared" si="8"/>
        <v/>
      </c>
      <c r="U30" t="str">
        <f t="shared" ca="1" si="9"/>
        <v/>
      </c>
      <c r="V30" s="65" t="str">
        <f t="shared" si="10"/>
        <v/>
      </c>
      <c r="W30" s="68" t="str">
        <f t="shared" ca="1" si="11"/>
        <v/>
      </c>
      <c r="X30" s="68">
        <f t="shared" si="12"/>
        <v>38</v>
      </c>
      <c r="Y30" s="73" t="str">
        <f t="shared" ca="1" si="13"/>
        <v>Savings</v>
      </c>
      <c r="Z30" s="72" t="str">
        <f t="shared" si="14"/>
        <v>Tracked</v>
      </c>
      <c r="AA30" s="72" t="str">
        <f t="shared" si="15"/>
        <v>Budget</v>
      </c>
      <c r="AB30" s="71" t="str">
        <f t="shared" si="16"/>
        <v>% Compl.</v>
      </c>
      <c r="AC30" s="72" t="str">
        <f t="shared" si="17"/>
        <v>Remaining</v>
      </c>
      <c r="AD30" s="72" t="str">
        <f t="shared" si="18"/>
        <v>Excess</v>
      </c>
      <c r="AF30" s="77"/>
      <c r="AI30" s="91" t="str">
        <f ca="1">Calculations!I35</f>
        <v>Amusement &amp; Vacation</v>
      </c>
      <c r="AJ30" s="92">
        <f ca="1">Calculations!J35</f>
        <v>200</v>
      </c>
      <c r="AK30" s="78"/>
      <c r="AM30" s="77"/>
      <c r="AP30" s="91" t="str">
        <f ca="1">Calculations!M35</f>
        <v>Stock Portfolio</v>
      </c>
      <c r="AQ30" s="92">
        <f ca="1">Calculations!N35</f>
        <v>250</v>
      </c>
      <c r="AR30" s="78"/>
    </row>
    <row r="31" spans="3:44" x14ac:dyDescent="0.3">
      <c r="C31" s="29">
        <f>IF(C30=-1,-1,
      IF(C30&lt;income_max_row,C30+1,
          IF(C30=income_max_row,income_total_row,
              IF(C30=income_total_row,"/1",
                  IF(C30="/1",expenses_header_row,
                       IF(C30&lt;expenses_max_row,C30+1,
                            IF(C30=expenses_max_row,expenses_total_row,
                                IF(C30=expenses_max_row,expenses_total_row,
                                    IF(C30=expenses_total_row,"/2",
                                        IF(C30="/2",savings_header_row,
                                            IF(C30&lt;savings_max_row,C30+1,
                                                 IF(C30=savings_max_row,savings_total_row,-1))))))))))))</f>
        <v>39</v>
      </c>
      <c r="D31" s="30">
        <f t="shared" si="0"/>
        <v>38</v>
      </c>
      <c r="E31" s="29">
        <f>1*OR(row_id=income_header_row,row_id=expenses_header_row,row_id=savings_header_row)</f>
        <v>0</v>
      </c>
      <c r="F31">
        <f t="shared" si="1"/>
        <v>1</v>
      </c>
      <c r="G31">
        <f>1*OR(row_id=income_total_row,row_id=expenses_total_row,row_id=savings_total_row)</f>
        <v>0</v>
      </c>
      <c r="H31" s="30">
        <f t="shared" si="2"/>
        <v>0</v>
      </c>
      <c r="I31" s="29" t="str">
        <f>IFERROR(INDEX('Budget Planning'!$C:$C,header_row_id),"")</f>
        <v>Savings</v>
      </c>
      <c r="J31" t="str">
        <f>IFERROR(INDEX('Budget Planning'!$C:$C,row_id),"")</f>
        <v>Emergency Fund</v>
      </c>
      <c r="K31"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0</v>
      </c>
      <c r="L31" s="63">
        <f ca="1">IF(OR(is_header,is_empty),"",
INDEX('Budget Planning'!$E:$EM,row_id,
MATCH(IF(selected_period="Total Year",selected_year,DATE(selected_year,selected_period,1)),'Budget Planning'!$E$9:$AS$9,0) ))</f>
        <v>1000</v>
      </c>
      <c r="M31" s="29">
        <f>IF(is_cat,
      IF(header_row_id=income_header_row, MATCH(income_min_row,$C:$C,0),
          IF(header_row_id=expenses_header_row, MATCH(expenses_min_row,$C:$C,0),
              IF(header_row_id=savings_header_row, MATCH(savings_min_row,$C:$C,0),""))),"")</f>
        <v>31</v>
      </c>
      <c r="N31">
        <f>IF(is_cat,
      IF(header_row_id=income_header_row, MATCH(income_max_row,$C:$C,0),
          IF(header_row_id=expenses_header_row, MATCH(expenses_max_row,$C:$C,0),
              IF(header_row_id=savings_header_row, MATCH(savings_max_row,$C:$C,0),""))),"")</f>
        <v>34</v>
      </c>
      <c r="O31" s="66" t="str">
        <f t="shared" si="3"/>
        <v>$K$31:$K$34</v>
      </c>
      <c r="P31">
        <f t="shared" ca="1" si="4"/>
        <v>4</v>
      </c>
      <c r="Q31" s="65" t="str">
        <f t="shared" si="5"/>
        <v>$L$31:$L$34</v>
      </c>
      <c r="R31">
        <f t="shared" ca="1" si="6"/>
        <v>1</v>
      </c>
      <c r="S31" s="29">
        <f t="shared" ca="1" si="7"/>
        <v>41</v>
      </c>
      <c r="T31" s="65" t="str">
        <f t="shared" si="8"/>
        <v>$S$31:$S$34</v>
      </c>
      <c r="U31">
        <f t="shared" ca="1" si="9"/>
        <v>4</v>
      </c>
      <c r="V31" s="65" t="str">
        <f t="shared" si="10"/>
        <v>$U$31:$U$31</v>
      </c>
      <c r="W31" s="68">
        <f t="shared" ca="1" si="11"/>
        <v>4</v>
      </c>
      <c r="X31" s="68">
        <f t="shared" ca="1" si="12"/>
        <v>42</v>
      </c>
      <c r="Y31" s="73" t="str">
        <f t="shared" ca="1" si="13"/>
        <v>Retirement Account</v>
      </c>
      <c r="Z31" s="72">
        <f t="shared" ca="1" si="14"/>
        <v>500</v>
      </c>
      <c r="AA31" s="72">
        <f t="shared" ca="1" si="15"/>
        <v>400</v>
      </c>
      <c r="AB31" s="71">
        <f t="shared" ca="1" si="16"/>
        <v>1.25</v>
      </c>
      <c r="AC31" s="72">
        <f t="shared" ca="1" si="17"/>
        <v>0</v>
      </c>
      <c r="AD31" s="72">
        <f t="shared" ca="1" si="18"/>
        <v>100</v>
      </c>
      <c r="AF31" s="77"/>
      <c r="AI31" s="91" t="str">
        <f ca="1">Calculations!I36</f>
        <v>Transport</v>
      </c>
      <c r="AJ31" s="92">
        <f ca="1">Calculations!J36</f>
        <v>100</v>
      </c>
      <c r="AK31" s="78"/>
      <c r="AM31" s="77"/>
      <c r="AP31" s="91" t="str">
        <f ca="1">Calculations!M36</f>
        <v/>
      </c>
      <c r="AQ31" s="92" t="str">
        <f ca="1">Calculations!N36</f>
        <v/>
      </c>
      <c r="AR31" s="78"/>
    </row>
    <row r="32" spans="3:44" x14ac:dyDescent="0.3">
      <c r="C32" s="29">
        <f>IF(C31=-1,-1,
      IF(C31&lt;income_max_row,C31+1,
          IF(C31=income_max_row,income_total_row,
              IF(C31=income_total_row,"/1",
                  IF(C31="/1",expenses_header_row,
                       IF(C31&lt;expenses_max_row,C31+1,
                            IF(C31=expenses_max_row,expenses_total_row,
                                IF(C31=expenses_max_row,expenses_total_row,
                                    IF(C31=expenses_total_row,"/2",
                                        IF(C31="/2",savings_header_row,
                                            IF(C31&lt;savings_max_row,C31+1,
                                                 IF(C31=savings_max_row,savings_total_row,-1))))))))))))</f>
        <v>40</v>
      </c>
      <c r="D32" s="30">
        <f t="shared" si="0"/>
        <v>38</v>
      </c>
      <c r="E32" s="29">
        <f>1*OR(row_id=income_header_row,row_id=expenses_header_row,row_id=savings_header_row)</f>
        <v>0</v>
      </c>
      <c r="F32">
        <f t="shared" si="1"/>
        <v>1</v>
      </c>
      <c r="G32">
        <f>1*OR(row_id=income_total_row,row_id=expenses_total_row,row_id=savings_total_row)</f>
        <v>0</v>
      </c>
      <c r="H32" s="30">
        <f t="shared" si="2"/>
        <v>0</v>
      </c>
      <c r="I32" s="29" t="str">
        <f>IFERROR(INDEX('Budget Planning'!$C:$C,header_row_id),"")</f>
        <v>Savings</v>
      </c>
      <c r="J32" t="str">
        <f>IFERROR(INDEX('Budget Planning'!$C:$C,row_id),"")</f>
        <v>Retirement Account</v>
      </c>
      <c r="K32"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500</v>
      </c>
      <c r="L32" s="63">
        <f ca="1">IF(OR(is_header,is_empty),"",
INDEX('Budget Planning'!$E:$EM,row_id,
MATCH(IF(selected_period="Total Year",selected_year,DATE(selected_year,selected_period,1)),'Budget Planning'!$E$9:$AS$9,0) ))</f>
        <v>400</v>
      </c>
      <c r="M32" s="29">
        <f>IF(is_cat,
      IF(header_row_id=income_header_row, MATCH(income_min_row,$C:$C,0),
          IF(header_row_id=expenses_header_row, MATCH(expenses_min_row,$C:$C,0),
              IF(header_row_id=savings_header_row, MATCH(savings_min_row,$C:$C,0),""))),"")</f>
        <v>31</v>
      </c>
      <c r="N32">
        <f>IF(is_cat,
      IF(header_row_id=income_header_row, MATCH(income_max_row,$C:$C,0),
          IF(header_row_id=expenses_header_row, MATCH(expenses_max_row,$C:$C,0),
              IF(header_row_id=savings_header_row, MATCH(savings_max_row,$C:$C,0),""))),"")</f>
        <v>34</v>
      </c>
      <c r="O32" s="66" t="str">
        <f t="shared" si="3"/>
        <v>$K$31:$K$34</v>
      </c>
      <c r="P32">
        <f t="shared" ca="1" si="4"/>
        <v>1</v>
      </c>
      <c r="Q32" s="65" t="str">
        <f t="shared" si="5"/>
        <v>$L$31:$L$34</v>
      </c>
      <c r="R32">
        <f t="shared" ca="1" si="6"/>
        <v>2</v>
      </c>
      <c r="S32" s="29">
        <f t="shared" ca="1" si="7"/>
        <v>12</v>
      </c>
      <c r="T32" s="65" t="str">
        <f t="shared" si="8"/>
        <v>$S$31:$S$34</v>
      </c>
      <c r="U32">
        <f t="shared" ca="1" si="9"/>
        <v>1</v>
      </c>
      <c r="V32" s="65" t="str">
        <f t="shared" si="10"/>
        <v>$U$31:$U$32</v>
      </c>
      <c r="W32" s="68">
        <f t="shared" ca="1" si="11"/>
        <v>1</v>
      </c>
      <c r="X32" s="68">
        <f t="shared" ca="1" si="12"/>
        <v>39</v>
      </c>
      <c r="Y32" s="73" t="str">
        <f t="shared" ca="1" si="13"/>
        <v>Stocks Investments</v>
      </c>
      <c r="Z32" s="72">
        <f t="shared" ca="1" si="14"/>
        <v>250</v>
      </c>
      <c r="AA32" s="72">
        <f t="shared" ca="1" si="15"/>
        <v>400</v>
      </c>
      <c r="AB32" s="71">
        <f t="shared" ca="1" si="16"/>
        <v>0.625</v>
      </c>
      <c r="AC32" s="72">
        <f t="shared" ca="1" si="17"/>
        <v>150</v>
      </c>
      <c r="AD32" s="72">
        <f t="shared" ca="1" si="18"/>
        <v>0</v>
      </c>
      <c r="AF32" s="77"/>
      <c r="AI32" s="91" t="str">
        <f ca="1">Calculations!I37</f>
        <v>Media</v>
      </c>
      <c r="AJ32" s="92">
        <f ca="1">Calculations!J37</f>
        <v>100</v>
      </c>
      <c r="AK32" s="78"/>
      <c r="AM32" s="77"/>
      <c r="AP32" s="91" t="str">
        <f>Calculations!M37</f>
        <v/>
      </c>
      <c r="AQ32" s="92" t="str">
        <f>Calculations!N37</f>
        <v/>
      </c>
      <c r="AR32" s="78"/>
    </row>
    <row r="33" spans="3:44" x14ac:dyDescent="0.3">
      <c r="C33" s="29">
        <f>IF(C32=-1,-1,
      IF(C32&lt;income_max_row,C32+1,
          IF(C32=income_max_row,income_total_row,
              IF(C32=income_total_row,"/1",
                  IF(C32="/1",expenses_header_row,
                       IF(C32&lt;expenses_max_row,C32+1,
                            IF(C32=expenses_max_row,expenses_total_row,
                                IF(C32=expenses_max_row,expenses_total_row,
                                    IF(C32=expenses_total_row,"/2",
                                        IF(C32="/2",savings_header_row,
                                            IF(C32&lt;savings_max_row,C32+1,
                                                 IF(C32=savings_max_row,savings_total_row,-1))))))))))))</f>
        <v>41</v>
      </c>
      <c r="D33" s="30">
        <f t="shared" si="0"/>
        <v>38</v>
      </c>
      <c r="E33" s="29">
        <f>1*OR(row_id=income_header_row,row_id=expenses_header_row,row_id=savings_header_row)</f>
        <v>0</v>
      </c>
      <c r="F33">
        <f t="shared" si="1"/>
        <v>1</v>
      </c>
      <c r="G33">
        <f>1*OR(row_id=income_total_row,row_id=expenses_total_row,row_id=savings_total_row)</f>
        <v>0</v>
      </c>
      <c r="H33" s="30">
        <f t="shared" si="2"/>
        <v>0</v>
      </c>
      <c r="I33" s="29" t="str">
        <f>IFERROR(INDEX('Budget Planning'!$C:$C,header_row_id),"")</f>
        <v>Savings</v>
      </c>
      <c r="J33" t="str">
        <f>IFERROR(INDEX('Budget Planning'!$C:$C,row_id),"")</f>
        <v>Stock Portfolio</v>
      </c>
      <c r="K33"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250</v>
      </c>
      <c r="L33" s="63">
        <f ca="1">IF(OR(is_header,is_empty),"",
INDEX('Budget Planning'!$E:$EM,row_id,
MATCH(IF(selected_period="Total Year",selected_year,DATE(selected_year,selected_period,1)),'Budget Planning'!$E$9:$AS$9,0) ))</f>
        <v>200</v>
      </c>
      <c r="M33" s="29">
        <f>IF(is_cat,
      IF(header_row_id=income_header_row, MATCH(income_min_row,$C:$C,0),
          IF(header_row_id=expenses_header_row, MATCH(expenses_min_row,$C:$C,0),
              IF(header_row_id=savings_header_row, MATCH(savings_min_row,$C:$C,0),""))),"")</f>
        <v>31</v>
      </c>
      <c r="N33">
        <f>IF(is_cat,
      IF(header_row_id=income_header_row, MATCH(income_max_row,$C:$C,0),
          IF(header_row_id=expenses_header_row, MATCH(expenses_max_row,$C:$C,0),
              IF(header_row_id=savings_header_row, MATCH(savings_max_row,$C:$C,0),""))),"")</f>
        <v>34</v>
      </c>
      <c r="O33" s="66" t="str">
        <f t="shared" si="3"/>
        <v>$K$31:$K$34</v>
      </c>
      <c r="P33">
        <f t="shared" ca="1" si="4"/>
        <v>2</v>
      </c>
      <c r="Q33" s="65" t="str">
        <f t="shared" si="5"/>
        <v>$L$31:$L$34</v>
      </c>
      <c r="R33">
        <f t="shared" ca="1" si="6"/>
        <v>4</v>
      </c>
      <c r="S33" s="29">
        <f t="shared" ca="1" si="7"/>
        <v>24</v>
      </c>
      <c r="T33" s="65" t="str">
        <f t="shared" si="8"/>
        <v>$S$31:$S$34</v>
      </c>
      <c r="U33">
        <f t="shared" ca="1" si="9"/>
        <v>3</v>
      </c>
      <c r="V33" s="65" t="str">
        <f t="shared" si="10"/>
        <v>$U$31:$U$33</v>
      </c>
      <c r="W33" s="68">
        <f t="shared" ca="1" si="11"/>
        <v>3</v>
      </c>
      <c r="X33" s="68">
        <f t="shared" ca="1" si="12"/>
        <v>41</v>
      </c>
      <c r="Y33" s="73" t="str">
        <f t="shared" ca="1" si="13"/>
        <v>Stock Portfolio</v>
      </c>
      <c r="Z33" s="72">
        <f t="shared" ca="1" si="14"/>
        <v>250</v>
      </c>
      <c r="AA33" s="72">
        <f t="shared" ca="1" si="15"/>
        <v>200</v>
      </c>
      <c r="AB33" s="71">
        <f t="shared" ca="1" si="16"/>
        <v>1.25</v>
      </c>
      <c r="AC33" s="72">
        <f t="shared" ca="1" si="17"/>
        <v>0</v>
      </c>
      <c r="AD33" s="72">
        <f t="shared" ca="1" si="18"/>
        <v>50</v>
      </c>
      <c r="AF33" s="77"/>
      <c r="AI33" s="91" t="str">
        <f ca="1">Calculations!I38</f>
        <v>Others</v>
      </c>
      <c r="AJ33" s="92">
        <f ca="1">Calculations!J38</f>
        <v>50</v>
      </c>
      <c r="AK33" s="78"/>
      <c r="AM33" s="77"/>
      <c r="AP33" s="91" t="str">
        <f ca="1">Calculations!M38</f>
        <v/>
      </c>
      <c r="AQ33" s="92" t="str">
        <f ca="1">Calculations!N38</f>
        <v/>
      </c>
      <c r="AR33" s="78"/>
    </row>
    <row r="34" spans="3:44" x14ac:dyDescent="0.3">
      <c r="C34" s="29">
        <f>IF(C33=-1,-1,
      IF(C33&lt;income_max_row,C33+1,
          IF(C33=income_max_row,income_total_row,
              IF(C33=income_total_row,"/1",
                  IF(C33="/1",expenses_header_row,
                       IF(C33&lt;expenses_max_row,C33+1,
                            IF(C33=expenses_max_row,expenses_total_row,
                                IF(C33=expenses_max_row,expenses_total_row,
                                    IF(C33=expenses_total_row,"/2",
                                        IF(C33="/2",savings_header_row,
                                            IF(C33&lt;savings_max_row,C33+1,
                                                 IF(C33=savings_max_row,savings_total_row,-1))))))))))))</f>
        <v>42</v>
      </c>
      <c r="D34" s="30">
        <f t="shared" si="0"/>
        <v>38</v>
      </c>
      <c r="E34" s="29">
        <f>1*OR(row_id=income_header_row,row_id=expenses_header_row,row_id=savings_header_row)</f>
        <v>0</v>
      </c>
      <c r="F34">
        <f t="shared" si="1"/>
        <v>1</v>
      </c>
      <c r="G34">
        <f>1*OR(row_id=income_total_row,row_id=expenses_total_row,row_id=savings_total_row)</f>
        <v>0</v>
      </c>
      <c r="H34" s="30">
        <f t="shared" si="2"/>
        <v>0</v>
      </c>
      <c r="I34" s="29" t="str">
        <f>IFERROR(INDEX('Budget Planning'!$C:$C,header_row_id),"")</f>
        <v>Savings</v>
      </c>
      <c r="J34" t="str">
        <f>IFERROR(INDEX('Budget Planning'!$C:$C,row_id),"")</f>
        <v>Stocks Investments</v>
      </c>
      <c r="K34"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250</v>
      </c>
      <c r="L34" s="63">
        <f ca="1">IF(OR(is_header,is_empty),"",
INDEX('Budget Planning'!$E:$EM,row_id,
MATCH(IF(selected_period="Total Year",selected_year,DATE(selected_year,selected_period,1)),'Budget Planning'!$E$9:$AS$9,0) ))</f>
        <v>400</v>
      </c>
      <c r="M34" s="29">
        <f>IF(is_cat,
      IF(header_row_id=income_header_row, MATCH(income_min_row,$C:$C,0),
          IF(header_row_id=expenses_header_row, MATCH(expenses_min_row,$C:$C,0),
              IF(header_row_id=savings_header_row, MATCH(savings_min_row,$C:$C,0),""))),"")</f>
        <v>31</v>
      </c>
      <c r="N34">
        <f>IF(is_cat,
      IF(header_row_id=income_header_row, MATCH(income_max_row,$C:$C,0),
          IF(header_row_id=expenses_header_row, MATCH(expenses_max_row,$C:$C,0),
              IF(header_row_id=savings_header_row, MATCH(savings_max_row,$C:$C,0),""))),"")</f>
        <v>34</v>
      </c>
      <c r="O34" s="66" t="str">
        <f t="shared" si="3"/>
        <v>$K$31:$K$34</v>
      </c>
      <c r="P34">
        <f t="shared" ca="1" si="4"/>
        <v>2</v>
      </c>
      <c r="Q34" s="65" t="str">
        <f t="shared" si="5"/>
        <v>$L$31:$L$34</v>
      </c>
      <c r="R34">
        <f t="shared" ca="1" si="6"/>
        <v>2</v>
      </c>
      <c r="S34" s="29">
        <f t="shared" ca="1" si="7"/>
        <v>22</v>
      </c>
      <c r="T34" s="65" t="str">
        <f t="shared" si="8"/>
        <v>$S$31:$S$34</v>
      </c>
      <c r="U34">
        <f t="shared" ca="1" si="9"/>
        <v>2</v>
      </c>
      <c r="V34" s="65" t="str">
        <f t="shared" si="10"/>
        <v>$U$31:$U$34</v>
      </c>
      <c r="W34" s="68">
        <f t="shared" ca="1" si="11"/>
        <v>2</v>
      </c>
      <c r="X34" s="68">
        <f t="shared" ca="1" si="12"/>
        <v>40</v>
      </c>
      <c r="Y34" s="73" t="str">
        <f t="shared" ca="1" si="13"/>
        <v>Emergency Fund</v>
      </c>
      <c r="Z34" s="72">
        <f t="shared" ca="1" si="14"/>
        <v>0</v>
      </c>
      <c r="AA34" s="72">
        <f t="shared" ca="1" si="15"/>
        <v>1000</v>
      </c>
      <c r="AB34" s="71">
        <f t="shared" ca="1" si="16"/>
        <v>0</v>
      </c>
      <c r="AC34" s="72">
        <f t="shared" ca="1" si="17"/>
        <v>1000</v>
      </c>
      <c r="AD34" s="72">
        <f t="shared" ca="1" si="18"/>
        <v>0</v>
      </c>
      <c r="AF34" s="77"/>
      <c r="AI34" s="93" t="str">
        <f>Calculations!I39</f>
        <v>Total</v>
      </c>
      <c r="AJ34" s="94">
        <f ca="1">Calculations!J39</f>
        <v>1650</v>
      </c>
      <c r="AK34" s="78"/>
      <c r="AM34" s="77"/>
      <c r="AP34" s="93" t="str">
        <f>Calculations!M39</f>
        <v>Total</v>
      </c>
      <c r="AQ34" s="94">
        <f ca="1">Calculations!N39</f>
        <v>1000</v>
      </c>
      <c r="AR34" s="78"/>
    </row>
    <row r="35" spans="3:44" x14ac:dyDescent="0.3">
      <c r="C35" s="29">
        <f>IF(C34=-1,-1,
      IF(C34&lt;income_max_row,C34+1,
          IF(C34=income_max_row,income_total_row,
              IF(C34=income_total_row,"/1",
                  IF(C34="/1",expenses_header_row,
                       IF(C34&lt;expenses_max_row,C34+1,
                            IF(C34=expenses_max_row,expenses_total_row,
                                IF(C34=expenses_max_row,expenses_total_row,
                                    IF(C34=expenses_total_row,"/2",
                                        IF(C34="/2",savings_header_row,
                                            IF(C34&lt;savings_max_row,C34+1,
                                                 IF(C34=savings_max_row,savings_total_row,-1))))))))))))</f>
        <v>49</v>
      </c>
      <c r="D35" s="30">
        <f t="shared" si="0"/>
        <v>38</v>
      </c>
      <c r="E35" s="29">
        <f>1*OR(row_id=income_header_row,row_id=expenses_header_row,row_id=savings_header_row)</f>
        <v>0</v>
      </c>
      <c r="F35">
        <f t="shared" si="1"/>
        <v>0</v>
      </c>
      <c r="G35">
        <f>1*OR(row_id=income_total_row,row_id=expenses_total_row,row_id=savings_total_row)</f>
        <v>1</v>
      </c>
      <c r="H35" s="30">
        <f t="shared" si="2"/>
        <v>0</v>
      </c>
      <c r="I35" s="29" t="str">
        <f>IFERROR(INDEX('Budget Planning'!$C:$C,header_row_id),"")</f>
        <v>Savings</v>
      </c>
      <c r="J35" t="str">
        <f>IFERROR(INDEX('Budget Planning'!$C:$C,row_id),"")</f>
        <v>Total</v>
      </c>
      <c r="K35" s="62">
        <f ca="1">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1000</v>
      </c>
      <c r="L35" s="63">
        <f ca="1">IF(OR(is_header,is_empty),"",
INDEX('Budget Planning'!$E:$EM,row_id,
MATCH(IF(selected_period="Total Year",selected_year,DATE(selected_year,selected_period,1)),'Budget Planning'!$E$9:$AS$9,0) ))</f>
        <v>2000</v>
      </c>
      <c r="M35" s="29" t="str">
        <f>IF(is_cat,
      IF(header_row_id=income_header_row, MATCH(income_min_row,$C:$C,0),
          IF(header_row_id=expenses_header_row, MATCH(expenses_min_row,$C:$C,0),
              IF(header_row_id=savings_header_row, MATCH(savings_min_row,$C:$C,0),""))),"")</f>
        <v/>
      </c>
      <c r="N35" t="str">
        <f>IF(is_cat,
      IF(header_row_id=income_header_row, MATCH(income_max_row,$C:$C,0),
          IF(header_row_id=expenses_header_row, MATCH(expenses_max_row,$C:$C,0),
              IF(header_row_id=savings_header_row, MATCH(savings_max_row,$C:$C,0),""))),"")</f>
        <v/>
      </c>
      <c r="O35" s="66" t="str">
        <f t="shared" si="3"/>
        <v/>
      </c>
      <c r="P35" t="str">
        <f t="shared" ca="1" si="4"/>
        <v/>
      </c>
      <c r="Q35" s="65" t="str">
        <f t="shared" si="5"/>
        <v/>
      </c>
      <c r="R35" t="str">
        <f t="shared" ca="1" si="6"/>
        <v/>
      </c>
      <c r="S35" s="29" t="str">
        <f t="shared" si="7"/>
        <v/>
      </c>
      <c r="T35" s="65" t="str">
        <f t="shared" si="8"/>
        <v/>
      </c>
      <c r="U35" t="str">
        <f t="shared" ca="1" si="9"/>
        <v/>
      </c>
      <c r="V35" s="65" t="str">
        <f t="shared" si="10"/>
        <v/>
      </c>
      <c r="W35" s="68" t="str">
        <f t="shared" ca="1" si="11"/>
        <v/>
      </c>
      <c r="X35" s="68">
        <f t="shared" si="12"/>
        <v>49</v>
      </c>
      <c r="Y35" s="73" t="str">
        <f t="shared" ca="1" si="13"/>
        <v>Total</v>
      </c>
      <c r="Z35" s="72">
        <f t="shared" ca="1" si="14"/>
        <v>1000</v>
      </c>
      <c r="AA35" s="72">
        <f t="shared" ca="1" si="15"/>
        <v>2000</v>
      </c>
      <c r="AB35" s="71">
        <f t="shared" ca="1" si="16"/>
        <v>0.5</v>
      </c>
      <c r="AC35" s="72">
        <f t="shared" ca="1" si="17"/>
        <v>1000</v>
      </c>
      <c r="AD35" s="72">
        <f t="shared" ca="1" si="18"/>
        <v>0</v>
      </c>
      <c r="AF35" s="79"/>
      <c r="AG35" s="80"/>
      <c r="AH35" s="80"/>
      <c r="AI35" s="80"/>
      <c r="AJ35" s="80"/>
      <c r="AK35" s="81"/>
      <c r="AM35" s="79"/>
      <c r="AN35" s="80"/>
      <c r="AO35" s="80"/>
      <c r="AP35" s="80"/>
      <c r="AQ35" s="80"/>
      <c r="AR35" s="81"/>
    </row>
    <row r="36" spans="3:44" x14ac:dyDescent="0.3">
      <c r="C36" s="29">
        <f>IF(C35=-1,-1,
      IF(C35&lt;income_max_row,C35+1,
          IF(C35=income_max_row,income_total_row,
              IF(C35=income_total_row,"/1",
                  IF(C35="/1",expenses_header_row,
                       IF(C35&lt;expenses_max_row,C35+1,
                            IF(C35=expenses_max_row,expenses_total_row,
                                IF(C35=expenses_max_row,expenses_total_row,
                                    IF(C35=expenses_total_row,"/2",
                                        IF(C35="/2",savings_header_row,
                                            IF(C35&lt;savings_max_row,C35+1,
                                                 IF(C35=savings_max_row,savings_total_row,-1))))))))))))</f>
        <v>-1</v>
      </c>
      <c r="D36" s="30">
        <f t="shared" si="0"/>
        <v>-1</v>
      </c>
      <c r="E36" s="29">
        <f>1*OR(row_id=income_header_row,row_id=expenses_header_row,row_id=savings_header_row)</f>
        <v>0</v>
      </c>
      <c r="F36">
        <f t="shared" si="1"/>
        <v>0</v>
      </c>
      <c r="G36">
        <f>1*OR(row_id=income_total_row,row_id=expenses_total_row,row_id=savings_total_row)</f>
        <v>0</v>
      </c>
      <c r="H36" s="30">
        <f t="shared" si="2"/>
        <v>1</v>
      </c>
      <c r="I36" s="29" t="str">
        <f>IFERROR(INDEX('Budget Planning'!$C:$C,header_row_id),"")</f>
        <v/>
      </c>
      <c r="J36" t="str">
        <f>IFERROR(INDEX('Budget Planning'!$C:$C,row_id),"")</f>
        <v/>
      </c>
      <c r="K36"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36" s="63" t="str">
        <f>IF(OR(is_header,is_empty),"",
INDEX('Budget Planning'!$E:$EM,row_id,
MATCH(IF(selected_period="Total Year",selected_year,DATE(selected_year,selected_period,1)),'Budget Planning'!$E$9:$AS$9,0) ))</f>
        <v/>
      </c>
      <c r="M36" s="29" t="str">
        <f>IF(is_cat,
      IF(header_row_id=income_header_row, MATCH(income_min_row,$C:$C,0),
          IF(header_row_id=expenses_header_row, MATCH(expenses_min_row,$C:$C,0),
              IF(header_row_id=savings_header_row, MATCH(savings_min_row,$C:$C,0),""))),"")</f>
        <v/>
      </c>
      <c r="N36" t="str">
        <f>IF(is_cat,
      IF(header_row_id=income_header_row, MATCH(income_max_row,$C:$C,0),
          IF(header_row_id=expenses_header_row, MATCH(expenses_max_row,$C:$C,0),
              IF(header_row_id=savings_header_row, MATCH(savings_max_row,$C:$C,0),""))),"")</f>
        <v/>
      </c>
      <c r="O36" s="66" t="str">
        <f t="shared" si="3"/>
        <v/>
      </c>
      <c r="P36" t="str">
        <f t="shared" ca="1" si="4"/>
        <v/>
      </c>
      <c r="Q36" s="65" t="str">
        <f t="shared" si="5"/>
        <v/>
      </c>
      <c r="R36" t="str">
        <f t="shared" ca="1" si="6"/>
        <v/>
      </c>
      <c r="S36" s="29" t="str">
        <f t="shared" si="7"/>
        <v/>
      </c>
      <c r="T36" s="65" t="str">
        <f t="shared" si="8"/>
        <v/>
      </c>
      <c r="U36" t="str">
        <f t="shared" ca="1" si="9"/>
        <v/>
      </c>
      <c r="V36" s="65" t="str">
        <f t="shared" si="10"/>
        <v/>
      </c>
      <c r="W36" s="68" t="str">
        <f t="shared" ca="1" si="11"/>
        <v/>
      </c>
      <c r="X36" s="68">
        <f t="shared" si="12"/>
        <v>-1</v>
      </c>
      <c r="Y36" s="70" t="str">
        <f t="shared" si="13"/>
        <v/>
      </c>
      <c r="Z36" s="72" t="str">
        <f t="shared" si="14"/>
        <v/>
      </c>
      <c r="AA36" s="72" t="str">
        <f t="shared" si="15"/>
        <v/>
      </c>
      <c r="AB36" s="70" t="str">
        <f t="shared" si="16"/>
        <v/>
      </c>
      <c r="AC36" s="72" t="str">
        <f t="shared" si="17"/>
        <v/>
      </c>
      <c r="AD36" s="72" t="str">
        <f t="shared" si="18"/>
        <v/>
      </c>
    </row>
    <row r="37" spans="3:44" x14ac:dyDescent="0.3">
      <c r="C37" s="29">
        <f>IF(C36=-1,-1,
      IF(C36&lt;income_max_row,C36+1,
          IF(C36=income_max_row,income_total_row,
              IF(C36=income_total_row,"/1",
                  IF(C36="/1",expenses_header_row,
                       IF(C36&lt;expenses_max_row,C36+1,
                            IF(C36=expenses_max_row,expenses_total_row,
                                IF(C36=expenses_max_row,expenses_total_row,
                                    IF(C36=expenses_total_row,"/2",
                                        IF(C36="/2",savings_header_row,
                                            IF(C36&lt;savings_max_row,C36+1,
                                                 IF(C36=savings_max_row,savings_total_row,-1))))))))))))</f>
        <v>-1</v>
      </c>
      <c r="D37" s="30">
        <f t="shared" si="0"/>
        <v>-1</v>
      </c>
      <c r="E37" s="29">
        <f>1*OR(row_id=income_header_row,row_id=expenses_header_row,row_id=savings_header_row)</f>
        <v>0</v>
      </c>
      <c r="F37">
        <f t="shared" si="1"/>
        <v>0</v>
      </c>
      <c r="G37">
        <f>1*OR(row_id=income_total_row,row_id=expenses_total_row,row_id=savings_total_row)</f>
        <v>0</v>
      </c>
      <c r="H37" s="30">
        <f t="shared" si="2"/>
        <v>1</v>
      </c>
      <c r="I37" s="29" t="str">
        <f>IFERROR(INDEX('Budget Planning'!$C:$C,header_row_id),"")</f>
        <v/>
      </c>
      <c r="J37" t="str">
        <f>IFERROR(INDEX('Budget Planning'!$C:$C,row_id),"")</f>
        <v/>
      </c>
      <c r="K37"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37" s="63" t="str">
        <f>IF(OR(is_header,is_empty),"",
INDEX('Budget Planning'!$E:$EM,row_id,
MATCH(IF(selected_period="Total Year",selected_year,DATE(selected_year,selected_period,1)),'Budget Planning'!$E$9:$AS$9,0) ))</f>
        <v/>
      </c>
      <c r="M37" s="29" t="str">
        <f>IF(is_cat,
      IF(header_row_id=income_header_row, MATCH(income_min_row,$C:$C,0),
          IF(header_row_id=expenses_header_row, MATCH(expenses_min_row,$C:$C,0),
              IF(header_row_id=savings_header_row, MATCH(savings_min_row,$C:$C,0),""))),"")</f>
        <v/>
      </c>
      <c r="N37" t="str">
        <f>IF(is_cat,
      IF(header_row_id=income_header_row, MATCH(income_max_row,$C:$C,0),
          IF(header_row_id=expenses_header_row, MATCH(expenses_max_row,$C:$C,0),
              IF(header_row_id=savings_header_row, MATCH(savings_max_row,$C:$C,0),""))),"")</f>
        <v/>
      </c>
      <c r="O37" s="66" t="str">
        <f t="shared" si="3"/>
        <v/>
      </c>
      <c r="P37" t="str">
        <f t="shared" ca="1" si="4"/>
        <v/>
      </c>
      <c r="Q37" s="65" t="str">
        <f t="shared" si="5"/>
        <v/>
      </c>
      <c r="R37" t="str">
        <f t="shared" ca="1" si="6"/>
        <v/>
      </c>
      <c r="S37" s="29" t="str">
        <f t="shared" si="7"/>
        <v/>
      </c>
      <c r="T37" s="65" t="str">
        <f t="shared" si="8"/>
        <v/>
      </c>
      <c r="U37" t="str">
        <f t="shared" ca="1" si="9"/>
        <v/>
      </c>
      <c r="V37" s="65" t="str">
        <f t="shared" si="10"/>
        <v/>
      </c>
      <c r="W37" s="68" t="str">
        <f t="shared" ca="1" si="11"/>
        <v/>
      </c>
      <c r="X37" s="68">
        <f t="shared" si="12"/>
        <v>-1</v>
      </c>
      <c r="Y37" s="70" t="str">
        <f t="shared" si="13"/>
        <v/>
      </c>
      <c r="Z37" s="72" t="str">
        <f t="shared" si="14"/>
        <v/>
      </c>
      <c r="AA37" s="72" t="str">
        <f t="shared" si="15"/>
        <v/>
      </c>
      <c r="AB37" s="70" t="str">
        <f t="shared" si="16"/>
        <v/>
      </c>
      <c r="AC37" s="72" t="str">
        <f t="shared" si="17"/>
        <v/>
      </c>
      <c r="AD37" s="72" t="str">
        <f t="shared" si="18"/>
        <v/>
      </c>
    </row>
    <row r="38" spans="3:44" x14ac:dyDescent="0.3">
      <c r="C38" s="29">
        <f>IF(C37=-1,-1,
      IF(C37&lt;income_max_row,C37+1,
          IF(C37=income_max_row,income_total_row,
              IF(C37=income_total_row,"/1",
                  IF(C37="/1",expenses_header_row,
                       IF(C37&lt;expenses_max_row,C37+1,
                            IF(C37=expenses_max_row,expenses_total_row,
                                IF(C37=expenses_max_row,expenses_total_row,
                                    IF(C37=expenses_total_row,"/2",
                                        IF(C37="/2",savings_header_row,
                                            IF(C37&lt;savings_max_row,C37+1,
                                                 IF(C37=savings_max_row,savings_total_row,-1))))))))))))</f>
        <v>-1</v>
      </c>
      <c r="D38" s="30">
        <f t="shared" si="0"/>
        <v>-1</v>
      </c>
      <c r="E38" s="29">
        <f>1*OR(row_id=income_header_row,row_id=expenses_header_row,row_id=savings_header_row)</f>
        <v>0</v>
      </c>
      <c r="F38">
        <f t="shared" si="1"/>
        <v>0</v>
      </c>
      <c r="G38">
        <f>1*OR(row_id=income_total_row,row_id=expenses_total_row,row_id=savings_total_row)</f>
        <v>0</v>
      </c>
      <c r="H38" s="30">
        <f t="shared" si="2"/>
        <v>1</v>
      </c>
      <c r="I38" s="29" t="str">
        <f>IFERROR(INDEX('Budget Planning'!$C:$C,header_row_id),"")</f>
        <v/>
      </c>
      <c r="J38" t="str">
        <f>IFERROR(INDEX('Budget Planning'!$C:$C,row_id),"")</f>
        <v/>
      </c>
      <c r="K38"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38" s="63" t="str">
        <f>IF(OR(is_header,is_empty),"",
INDEX('Budget Planning'!$E:$EM,row_id,
MATCH(IF(selected_period="Total Year",selected_year,DATE(selected_year,selected_period,1)),'Budget Planning'!$E$9:$AS$9,0) ))</f>
        <v/>
      </c>
      <c r="M38" s="29" t="str">
        <f>IF(is_cat,
      IF(header_row_id=income_header_row, MATCH(income_min_row,$C:$C,0),
          IF(header_row_id=expenses_header_row, MATCH(expenses_min_row,$C:$C,0),
              IF(header_row_id=savings_header_row, MATCH(savings_min_row,$C:$C,0),""))),"")</f>
        <v/>
      </c>
      <c r="N38" t="str">
        <f>IF(is_cat,
      IF(header_row_id=income_header_row, MATCH(income_max_row,$C:$C,0),
          IF(header_row_id=expenses_header_row, MATCH(expenses_max_row,$C:$C,0),
              IF(header_row_id=savings_header_row, MATCH(savings_max_row,$C:$C,0),""))),"")</f>
        <v/>
      </c>
      <c r="O38" s="66" t="str">
        <f t="shared" si="3"/>
        <v/>
      </c>
      <c r="P38" t="str">
        <f t="shared" ca="1" si="4"/>
        <v/>
      </c>
      <c r="Q38" s="65" t="str">
        <f t="shared" si="5"/>
        <v/>
      </c>
      <c r="R38" t="str">
        <f t="shared" ca="1" si="6"/>
        <v/>
      </c>
      <c r="S38" s="29" t="str">
        <f t="shared" si="7"/>
        <v/>
      </c>
      <c r="T38" s="65" t="str">
        <f t="shared" si="8"/>
        <v/>
      </c>
      <c r="U38" t="str">
        <f t="shared" ca="1" si="9"/>
        <v/>
      </c>
      <c r="V38" s="65" t="str">
        <f t="shared" si="10"/>
        <v/>
      </c>
      <c r="W38" s="68" t="str">
        <f t="shared" ca="1" si="11"/>
        <v/>
      </c>
      <c r="X38" s="68">
        <f t="shared" si="12"/>
        <v>-1</v>
      </c>
      <c r="Y38" s="70" t="str">
        <f t="shared" si="13"/>
        <v/>
      </c>
      <c r="Z38" s="72" t="str">
        <f t="shared" si="14"/>
        <v/>
      </c>
      <c r="AA38" s="72" t="str">
        <f t="shared" si="15"/>
        <v/>
      </c>
      <c r="AB38" s="70" t="str">
        <f t="shared" si="16"/>
        <v/>
      </c>
      <c r="AC38" s="72" t="str">
        <f t="shared" si="17"/>
        <v/>
      </c>
      <c r="AD38" s="72" t="str">
        <f t="shared" si="18"/>
        <v/>
      </c>
    </row>
    <row r="39" spans="3:44" x14ac:dyDescent="0.3">
      <c r="C39" s="29">
        <f>IF(C38=-1,-1,
      IF(C38&lt;income_max_row,C38+1,
          IF(C38=income_max_row,income_total_row,
              IF(C38=income_total_row,"/1",
                  IF(C38="/1",expenses_header_row,
                       IF(C38&lt;expenses_max_row,C38+1,
                            IF(C38=expenses_max_row,expenses_total_row,
                                IF(C38=expenses_max_row,expenses_total_row,
                                    IF(C38=expenses_total_row,"/2",
                                        IF(C38="/2",savings_header_row,
                                            IF(C38&lt;savings_max_row,C38+1,
                                                 IF(C38=savings_max_row,savings_total_row,-1))))))))))))</f>
        <v>-1</v>
      </c>
      <c r="D39" s="30">
        <f t="shared" si="0"/>
        <v>-1</v>
      </c>
      <c r="E39" s="29">
        <f>1*OR(row_id=income_header_row,row_id=expenses_header_row,row_id=savings_header_row)</f>
        <v>0</v>
      </c>
      <c r="F39">
        <f t="shared" si="1"/>
        <v>0</v>
      </c>
      <c r="G39">
        <f>1*OR(row_id=income_total_row,row_id=expenses_total_row,row_id=savings_total_row)</f>
        <v>0</v>
      </c>
      <c r="H39" s="30">
        <f t="shared" si="2"/>
        <v>1</v>
      </c>
      <c r="I39" s="29" t="str">
        <f>IFERROR(INDEX('Budget Planning'!$C:$C,header_row_id),"")</f>
        <v/>
      </c>
      <c r="J39" t="str">
        <f>IFERROR(INDEX('Budget Planning'!$C:$C,row_id),"")</f>
        <v/>
      </c>
      <c r="K39"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39" s="63" t="str">
        <f>IF(OR(is_header,is_empty),"",
INDEX('Budget Planning'!$E:$EM,row_id,
MATCH(IF(selected_period="Total Year",selected_year,DATE(selected_year,selected_period,1)),'Budget Planning'!$E$9:$AS$9,0) ))</f>
        <v/>
      </c>
      <c r="M39" s="29" t="str">
        <f>IF(is_cat,
      IF(header_row_id=income_header_row, MATCH(income_min_row,$C:$C,0),
          IF(header_row_id=expenses_header_row, MATCH(expenses_min_row,$C:$C,0),
              IF(header_row_id=savings_header_row, MATCH(savings_min_row,$C:$C,0),""))),"")</f>
        <v/>
      </c>
      <c r="N39" t="str">
        <f>IF(is_cat,
      IF(header_row_id=income_header_row, MATCH(income_max_row,$C:$C,0),
          IF(header_row_id=expenses_header_row, MATCH(expenses_max_row,$C:$C,0),
              IF(header_row_id=savings_header_row, MATCH(savings_max_row,$C:$C,0),""))),"")</f>
        <v/>
      </c>
      <c r="O39" s="66" t="str">
        <f t="shared" si="3"/>
        <v/>
      </c>
      <c r="P39" t="str">
        <f t="shared" ca="1" si="4"/>
        <v/>
      </c>
      <c r="Q39" s="65" t="str">
        <f t="shared" si="5"/>
        <v/>
      </c>
      <c r="R39" t="str">
        <f t="shared" ca="1" si="6"/>
        <v/>
      </c>
      <c r="S39" s="29" t="str">
        <f t="shared" si="7"/>
        <v/>
      </c>
      <c r="T39" s="65" t="str">
        <f t="shared" si="8"/>
        <v/>
      </c>
      <c r="U39" t="str">
        <f t="shared" ca="1" si="9"/>
        <v/>
      </c>
      <c r="V39" s="65" t="str">
        <f t="shared" si="10"/>
        <v/>
      </c>
      <c r="W39" s="68" t="str">
        <f t="shared" ca="1" si="11"/>
        <v/>
      </c>
      <c r="X39" s="68">
        <f t="shared" si="12"/>
        <v>-1</v>
      </c>
      <c r="Y39" s="70" t="str">
        <f t="shared" si="13"/>
        <v/>
      </c>
      <c r="Z39" s="72" t="str">
        <f t="shared" si="14"/>
        <v/>
      </c>
      <c r="AA39" s="72" t="str">
        <f t="shared" si="15"/>
        <v/>
      </c>
      <c r="AB39" s="70" t="str">
        <f t="shared" si="16"/>
        <v/>
      </c>
      <c r="AC39" s="72" t="str">
        <f t="shared" si="17"/>
        <v/>
      </c>
      <c r="AD39" s="72" t="str">
        <f t="shared" si="18"/>
        <v/>
      </c>
    </row>
    <row r="40" spans="3:44" x14ac:dyDescent="0.3">
      <c r="C40" s="29">
        <f>IF(C39=-1,-1,
      IF(C39&lt;income_max_row,C39+1,
          IF(C39=income_max_row,income_total_row,
              IF(C39=income_total_row,"/1",
                  IF(C39="/1",expenses_header_row,
                       IF(C39&lt;expenses_max_row,C39+1,
                            IF(C39=expenses_max_row,expenses_total_row,
                                IF(C39=expenses_max_row,expenses_total_row,
                                    IF(C39=expenses_total_row,"/2",
                                        IF(C39="/2",savings_header_row,
                                            IF(C39&lt;savings_max_row,C39+1,
                                                 IF(C39=savings_max_row,savings_total_row,-1))))))))))))</f>
        <v>-1</v>
      </c>
      <c r="D40" s="30">
        <f t="shared" si="0"/>
        <v>-1</v>
      </c>
      <c r="E40" s="29">
        <f>1*OR(row_id=income_header_row,row_id=expenses_header_row,row_id=savings_header_row)</f>
        <v>0</v>
      </c>
      <c r="F40">
        <f t="shared" si="1"/>
        <v>0</v>
      </c>
      <c r="G40">
        <f>1*OR(row_id=income_total_row,row_id=expenses_total_row,row_id=savings_total_row)</f>
        <v>0</v>
      </c>
      <c r="H40" s="30">
        <f t="shared" si="2"/>
        <v>1</v>
      </c>
      <c r="I40" s="29" t="str">
        <f>IFERROR(INDEX('Budget Planning'!$C:$C,header_row_id),"")</f>
        <v/>
      </c>
      <c r="J40" t="str">
        <f>IFERROR(INDEX('Budget Planning'!$C:$C,row_id),"")</f>
        <v/>
      </c>
      <c r="K40"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0" s="63" t="str">
        <f>IF(OR(is_header,is_empty),"",
INDEX('Budget Planning'!$E:$EM,row_id,
MATCH(IF(selected_period="Total Year",selected_year,DATE(selected_year,selected_period,1)),'Budget Planning'!$E$9:$AS$9,0) ))</f>
        <v/>
      </c>
      <c r="M40" s="29" t="str">
        <f>IF(is_cat,
      IF(header_row_id=income_header_row, MATCH(income_min_row,$C:$C,0),
          IF(header_row_id=expenses_header_row, MATCH(expenses_min_row,$C:$C,0),
              IF(header_row_id=savings_header_row, MATCH(savings_min_row,$C:$C,0),""))),"")</f>
        <v/>
      </c>
      <c r="N40" t="str">
        <f>IF(is_cat,
      IF(header_row_id=income_header_row, MATCH(income_max_row,$C:$C,0),
          IF(header_row_id=expenses_header_row, MATCH(expenses_max_row,$C:$C,0),
              IF(header_row_id=savings_header_row, MATCH(savings_max_row,$C:$C,0),""))),"")</f>
        <v/>
      </c>
      <c r="O40" s="66" t="str">
        <f t="shared" si="3"/>
        <v/>
      </c>
      <c r="P40" t="str">
        <f t="shared" ca="1" si="4"/>
        <v/>
      </c>
      <c r="Q40" s="65" t="str">
        <f t="shared" si="5"/>
        <v/>
      </c>
      <c r="R40" t="str">
        <f t="shared" ca="1" si="6"/>
        <v/>
      </c>
      <c r="S40" s="29" t="str">
        <f t="shared" si="7"/>
        <v/>
      </c>
      <c r="T40" s="65" t="str">
        <f t="shared" si="8"/>
        <v/>
      </c>
      <c r="U40" t="str">
        <f t="shared" ca="1" si="9"/>
        <v/>
      </c>
      <c r="V40" s="65" t="str">
        <f t="shared" si="10"/>
        <v/>
      </c>
      <c r="W40" s="68" t="str">
        <f t="shared" ca="1" si="11"/>
        <v/>
      </c>
      <c r="X40" s="68">
        <f t="shared" si="12"/>
        <v>-1</v>
      </c>
      <c r="Y40" s="70" t="str">
        <f t="shared" si="13"/>
        <v/>
      </c>
      <c r="Z40" s="72" t="str">
        <f t="shared" si="14"/>
        <v/>
      </c>
      <c r="AA40" s="72" t="str">
        <f t="shared" si="15"/>
        <v/>
      </c>
      <c r="AB40" s="70" t="str">
        <f t="shared" si="16"/>
        <v/>
      </c>
      <c r="AC40" s="72" t="str">
        <f t="shared" si="17"/>
        <v/>
      </c>
      <c r="AD40" s="72" t="str">
        <f t="shared" si="18"/>
        <v/>
      </c>
    </row>
    <row r="41" spans="3:44" x14ac:dyDescent="0.3">
      <c r="C41" s="29">
        <f>IF(C40=-1,-1,
      IF(C40&lt;income_max_row,C40+1,
          IF(C40=income_max_row,income_total_row,
              IF(C40=income_total_row,"/1",
                  IF(C40="/1",expenses_header_row,
                       IF(C40&lt;expenses_max_row,C40+1,
                            IF(C40=expenses_max_row,expenses_total_row,
                                IF(C40=expenses_max_row,expenses_total_row,
                                    IF(C40=expenses_total_row,"/2",
                                        IF(C40="/2",savings_header_row,
                                            IF(C40&lt;savings_max_row,C40+1,
                                                 IF(C40=savings_max_row,savings_total_row,-1))))))))))))</f>
        <v>-1</v>
      </c>
      <c r="D41" s="30">
        <f t="shared" si="0"/>
        <v>-1</v>
      </c>
      <c r="E41" s="29">
        <f>1*OR(row_id=income_header_row,row_id=expenses_header_row,row_id=savings_header_row)</f>
        <v>0</v>
      </c>
      <c r="F41">
        <f t="shared" si="1"/>
        <v>0</v>
      </c>
      <c r="G41">
        <f>1*OR(row_id=income_total_row,row_id=expenses_total_row,row_id=savings_total_row)</f>
        <v>0</v>
      </c>
      <c r="H41" s="30">
        <f t="shared" si="2"/>
        <v>1</v>
      </c>
      <c r="I41" s="29" t="str">
        <f>IFERROR(INDEX('Budget Planning'!$C:$C,header_row_id),"")</f>
        <v/>
      </c>
      <c r="J41" t="str">
        <f>IFERROR(INDEX('Budget Planning'!$C:$C,row_id),"")</f>
        <v/>
      </c>
      <c r="K41"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1" s="63" t="str">
        <f>IF(OR(is_header,is_empty),"",
INDEX('Budget Planning'!$E:$EM,row_id,
MATCH(IF(selected_period="Total Year",selected_year,DATE(selected_year,selected_period,1)),'Budget Planning'!$E$9:$AS$9,0) ))</f>
        <v/>
      </c>
      <c r="M41" s="29" t="str">
        <f>IF(is_cat,
      IF(header_row_id=income_header_row, MATCH(income_min_row,$C:$C,0),
          IF(header_row_id=expenses_header_row, MATCH(expenses_min_row,$C:$C,0),
              IF(header_row_id=savings_header_row, MATCH(savings_min_row,$C:$C,0),""))),"")</f>
        <v/>
      </c>
      <c r="N41" t="str">
        <f>IF(is_cat,
      IF(header_row_id=income_header_row, MATCH(income_max_row,$C:$C,0),
          IF(header_row_id=expenses_header_row, MATCH(expenses_max_row,$C:$C,0),
              IF(header_row_id=savings_header_row, MATCH(savings_max_row,$C:$C,0),""))),"")</f>
        <v/>
      </c>
      <c r="O41" s="66" t="str">
        <f t="shared" si="3"/>
        <v/>
      </c>
      <c r="P41" t="str">
        <f t="shared" ca="1" si="4"/>
        <v/>
      </c>
      <c r="Q41" s="65" t="str">
        <f t="shared" si="5"/>
        <v/>
      </c>
      <c r="R41" t="str">
        <f t="shared" ca="1" si="6"/>
        <v/>
      </c>
      <c r="S41" s="29" t="str">
        <f t="shared" si="7"/>
        <v/>
      </c>
      <c r="T41" s="65" t="str">
        <f t="shared" si="8"/>
        <v/>
      </c>
      <c r="U41" t="str">
        <f t="shared" ca="1" si="9"/>
        <v/>
      </c>
      <c r="V41" s="65" t="str">
        <f t="shared" si="10"/>
        <v/>
      </c>
      <c r="W41" s="68" t="str">
        <f t="shared" ca="1" si="11"/>
        <v/>
      </c>
      <c r="X41" s="68">
        <f t="shared" si="12"/>
        <v>-1</v>
      </c>
      <c r="Y41" s="70" t="str">
        <f t="shared" si="13"/>
        <v/>
      </c>
      <c r="Z41" s="72" t="str">
        <f t="shared" si="14"/>
        <v/>
      </c>
      <c r="AA41" s="72" t="str">
        <f t="shared" si="15"/>
        <v/>
      </c>
      <c r="AB41" s="70" t="str">
        <f t="shared" si="16"/>
        <v/>
      </c>
      <c r="AC41" s="72" t="str">
        <f t="shared" si="17"/>
        <v/>
      </c>
      <c r="AD41" s="72" t="str">
        <f t="shared" si="18"/>
        <v/>
      </c>
    </row>
    <row r="42" spans="3:44" x14ac:dyDescent="0.3">
      <c r="C42" s="29">
        <f>IF(C41=-1,-1,
      IF(C41&lt;income_max_row,C41+1,
          IF(C41=income_max_row,income_total_row,
              IF(C41=income_total_row,"/1",
                  IF(C41="/1",expenses_header_row,
                       IF(C41&lt;expenses_max_row,C41+1,
                            IF(C41=expenses_max_row,expenses_total_row,
                                IF(C41=expenses_max_row,expenses_total_row,
                                    IF(C41=expenses_total_row,"/2",
                                        IF(C41="/2",savings_header_row,
                                            IF(C41&lt;savings_max_row,C41+1,
                                                 IF(C41=savings_max_row,savings_total_row,-1))))))))))))</f>
        <v>-1</v>
      </c>
      <c r="D42" s="30">
        <f t="shared" si="0"/>
        <v>-1</v>
      </c>
      <c r="E42" s="29">
        <f>1*OR(row_id=income_header_row,row_id=expenses_header_row,row_id=savings_header_row)</f>
        <v>0</v>
      </c>
      <c r="F42">
        <f t="shared" si="1"/>
        <v>0</v>
      </c>
      <c r="G42">
        <f>1*OR(row_id=income_total_row,row_id=expenses_total_row,row_id=savings_total_row)</f>
        <v>0</v>
      </c>
      <c r="H42" s="30">
        <f t="shared" si="2"/>
        <v>1</v>
      </c>
      <c r="I42" s="29" t="str">
        <f>IFERROR(INDEX('Budget Planning'!$C:$C,header_row_id),"")</f>
        <v/>
      </c>
      <c r="J42" t="str">
        <f>IFERROR(INDEX('Budget Planning'!$C:$C,row_id),"")</f>
        <v/>
      </c>
      <c r="K42"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2" s="63" t="str">
        <f>IF(OR(is_header,is_empty),"",
INDEX('Budget Planning'!$E:$EM,row_id,
MATCH(IF(selected_period="Total Year",selected_year,DATE(selected_year,selected_period,1)),'Budget Planning'!$E$9:$AS$9,0) ))</f>
        <v/>
      </c>
      <c r="M42" s="29" t="str">
        <f>IF(is_cat,
      IF(header_row_id=income_header_row, MATCH(income_min_row,$C:$C,0),
          IF(header_row_id=expenses_header_row, MATCH(expenses_min_row,$C:$C,0),
              IF(header_row_id=savings_header_row, MATCH(savings_min_row,$C:$C,0),""))),"")</f>
        <v/>
      </c>
      <c r="N42" t="str">
        <f>IF(is_cat,
      IF(header_row_id=income_header_row, MATCH(income_max_row,$C:$C,0),
          IF(header_row_id=expenses_header_row, MATCH(expenses_max_row,$C:$C,0),
              IF(header_row_id=savings_header_row, MATCH(savings_max_row,$C:$C,0),""))),"")</f>
        <v/>
      </c>
      <c r="O42" s="66" t="str">
        <f t="shared" si="3"/>
        <v/>
      </c>
      <c r="P42" t="str">
        <f t="shared" ca="1" si="4"/>
        <v/>
      </c>
      <c r="Q42" s="65" t="str">
        <f t="shared" si="5"/>
        <v/>
      </c>
      <c r="R42" t="str">
        <f t="shared" ca="1" si="6"/>
        <v/>
      </c>
      <c r="S42" s="29" t="str">
        <f t="shared" si="7"/>
        <v/>
      </c>
      <c r="T42" s="65" t="str">
        <f t="shared" si="8"/>
        <v/>
      </c>
      <c r="U42" t="str">
        <f t="shared" ca="1" si="9"/>
        <v/>
      </c>
      <c r="V42" s="65" t="str">
        <f t="shared" si="10"/>
        <v/>
      </c>
      <c r="W42" s="68" t="str">
        <f t="shared" ca="1" si="11"/>
        <v/>
      </c>
      <c r="X42" s="68">
        <f t="shared" si="12"/>
        <v>-1</v>
      </c>
      <c r="Y42" s="70" t="str">
        <f t="shared" si="13"/>
        <v/>
      </c>
      <c r="Z42" s="72" t="str">
        <f t="shared" si="14"/>
        <v/>
      </c>
      <c r="AA42" s="72" t="str">
        <f t="shared" si="15"/>
        <v/>
      </c>
      <c r="AB42" s="70" t="str">
        <f t="shared" si="16"/>
        <v/>
      </c>
      <c r="AC42" s="72" t="str">
        <f t="shared" si="17"/>
        <v/>
      </c>
      <c r="AD42" s="72" t="str">
        <f t="shared" si="18"/>
        <v/>
      </c>
    </row>
    <row r="43" spans="3:44" x14ac:dyDescent="0.3">
      <c r="C43" s="29">
        <f>IF(C42=-1,-1,
      IF(C42&lt;income_max_row,C42+1,
          IF(C42=income_max_row,income_total_row,
              IF(C42=income_total_row,"/1",
                  IF(C42="/1",expenses_header_row,
                       IF(C42&lt;expenses_max_row,C42+1,
                            IF(C42=expenses_max_row,expenses_total_row,
                                IF(C42=expenses_max_row,expenses_total_row,
                                    IF(C42=expenses_total_row,"/2",
                                        IF(C42="/2",savings_header_row,
                                            IF(C42&lt;savings_max_row,C42+1,
                                                 IF(C42=savings_max_row,savings_total_row,-1))))))))))))</f>
        <v>-1</v>
      </c>
      <c r="D43" s="30">
        <f t="shared" si="0"/>
        <v>-1</v>
      </c>
      <c r="E43" s="29">
        <f>1*OR(row_id=income_header_row,row_id=expenses_header_row,row_id=savings_header_row)</f>
        <v>0</v>
      </c>
      <c r="F43">
        <f t="shared" si="1"/>
        <v>0</v>
      </c>
      <c r="G43">
        <f>1*OR(row_id=income_total_row,row_id=expenses_total_row,row_id=savings_total_row)</f>
        <v>0</v>
      </c>
      <c r="H43" s="30">
        <f t="shared" si="2"/>
        <v>1</v>
      </c>
      <c r="I43" s="29" t="str">
        <f>IFERROR(INDEX('Budget Planning'!$C:$C,header_row_id),"")</f>
        <v/>
      </c>
      <c r="J43" t="str">
        <f>IFERROR(INDEX('Budget Planning'!$C:$C,row_id),"")</f>
        <v/>
      </c>
      <c r="K43"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3" s="63" t="str">
        <f>IF(OR(is_header,is_empty),"",
INDEX('Budget Planning'!$E:$EM,row_id,
MATCH(IF(selected_period="Total Year",selected_year,DATE(selected_year,selected_period,1)),'Budget Planning'!$E$9:$AS$9,0) ))</f>
        <v/>
      </c>
      <c r="M43" s="29" t="str">
        <f>IF(is_cat,
      IF(header_row_id=income_header_row, MATCH(income_min_row,$C:$C,0),
          IF(header_row_id=expenses_header_row, MATCH(expenses_min_row,$C:$C,0),
              IF(header_row_id=savings_header_row, MATCH(savings_min_row,$C:$C,0),""))),"")</f>
        <v/>
      </c>
      <c r="N43" t="str">
        <f>IF(is_cat,
      IF(header_row_id=income_header_row, MATCH(income_max_row,$C:$C,0),
          IF(header_row_id=expenses_header_row, MATCH(expenses_max_row,$C:$C,0),
              IF(header_row_id=savings_header_row, MATCH(savings_max_row,$C:$C,0),""))),"")</f>
        <v/>
      </c>
      <c r="O43" s="66" t="str">
        <f t="shared" si="3"/>
        <v/>
      </c>
      <c r="P43" t="str">
        <f t="shared" ca="1" si="4"/>
        <v/>
      </c>
      <c r="Q43" s="65" t="str">
        <f t="shared" si="5"/>
        <v/>
      </c>
      <c r="R43" t="str">
        <f t="shared" ca="1" si="6"/>
        <v/>
      </c>
      <c r="S43" s="29" t="str">
        <f t="shared" si="7"/>
        <v/>
      </c>
      <c r="T43" s="65" t="str">
        <f t="shared" si="8"/>
        <v/>
      </c>
      <c r="U43" t="str">
        <f t="shared" ca="1" si="9"/>
        <v/>
      </c>
      <c r="V43" s="65" t="str">
        <f t="shared" si="10"/>
        <v/>
      </c>
      <c r="W43" s="68" t="str">
        <f t="shared" ca="1" si="11"/>
        <v/>
      </c>
      <c r="X43" s="68">
        <f t="shared" si="12"/>
        <v>-1</v>
      </c>
      <c r="Y43" s="70" t="str">
        <f t="shared" si="13"/>
        <v/>
      </c>
      <c r="Z43" s="72" t="str">
        <f t="shared" si="14"/>
        <v/>
      </c>
      <c r="AA43" s="72" t="str">
        <f t="shared" si="15"/>
        <v/>
      </c>
      <c r="AB43" s="70" t="str">
        <f t="shared" si="16"/>
        <v/>
      </c>
      <c r="AC43" s="72" t="str">
        <f t="shared" si="17"/>
        <v/>
      </c>
      <c r="AD43" s="72" t="str">
        <f t="shared" si="18"/>
        <v/>
      </c>
    </row>
    <row r="44" spans="3:44" x14ac:dyDescent="0.3">
      <c r="C44" s="29">
        <f>IF(C43=-1,-1,
      IF(C43&lt;income_max_row,C43+1,
          IF(C43=income_max_row,income_total_row,
              IF(C43=income_total_row,"/1",
                  IF(C43="/1",expenses_header_row,
                       IF(C43&lt;expenses_max_row,C43+1,
                            IF(C43=expenses_max_row,expenses_total_row,
                                IF(C43=expenses_max_row,expenses_total_row,
                                    IF(C43=expenses_total_row,"/2",
                                        IF(C43="/2",savings_header_row,
                                            IF(C43&lt;savings_max_row,C43+1,
                                                 IF(C43=savings_max_row,savings_total_row,-1))))))))))))</f>
        <v>-1</v>
      </c>
      <c r="D44" s="30">
        <f t="shared" si="0"/>
        <v>-1</v>
      </c>
      <c r="E44" s="29">
        <f>1*OR(row_id=income_header_row,row_id=expenses_header_row,row_id=savings_header_row)</f>
        <v>0</v>
      </c>
      <c r="F44">
        <f t="shared" si="1"/>
        <v>0</v>
      </c>
      <c r="G44">
        <f>1*OR(row_id=income_total_row,row_id=expenses_total_row,row_id=savings_total_row)</f>
        <v>0</v>
      </c>
      <c r="H44" s="30">
        <f t="shared" si="2"/>
        <v>1</v>
      </c>
      <c r="I44" s="29" t="str">
        <f>IFERROR(INDEX('Budget Planning'!$C:$C,header_row_id),"")</f>
        <v/>
      </c>
      <c r="J44" t="str">
        <f>IFERROR(INDEX('Budget Planning'!$C:$C,row_id),"")</f>
        <v/>
      </c>
      <c r="K44"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4" s="63" t="str">
        <f>IF(OR(is_header,is_empty),"",
INDEX('Budget Planning'!$E:$EM,row_id,
MATCH(IF(selected_period="Total Year",selected_year,DATE(selected_year,selected_period,1)),'Budget Planning'!$E$9:$AS$9,0) ))</f>
        <v/>
      </c>
      <c r="M44" s="29" t="str">
        <f>IF(is_cat,
      IF(header_row_id=income_header_row, MATCH(income_min_row,$C:$C,0),
          IF(header_row_id=expenses_header_row, MATCH(expenses_min_row,$C:$C,0),
              IF(header_row_id=savings_header_row, MATCH(savings_min_row,$C:$C,0),""))),"")</f>
        <v/>
      </c>
      <c r="N44" t="str">
        <f>IF(is_cat,
      IF(header_row_id=income_header_row, MATCH(income_max_row,$C:$C,0),
          IF(header_row_id=expenses_header_row, MATCH(expenses_max_row,$C:$C,0),
              IF(header_row_id=savings_header_row, MATCH(savings_max_row,$C:$C,0),""))),"")</f>
        <v/>
      </c>
      <c r="O44" s="66" t="str">
        <f t="shared" si="3"/>
        <v/>
      </c>
      <c r="P44" t="str">
        <f t="shared" ca="1" si="4"/>
        <v/>
      </c>
      <c r="Q44" s="65" t="str">
        <f t="shared" si="5"/>
        <v/>
      </c>
      <c r="R44" t="str">
        <f t="shared" ca="1" si="6"/>
        <v/>
      </c>
      <c r="S44" s="29" t="str">
        <f t="shared" si="7"/>
        <v/>
      </c>
      <c r="T44" s="65" t="str">
        <f t="shared" si="8"/>
        <v/>
      </c>
      <c r="U44" t="str">
        <f t="shared" ca="1" si="9"/>
        <v/>
      </c>
      <c r="V44" s="65" t="str">
        <f t="shared" si="10"/>
        <v/>
      </c>
      <c r="W44" s="68" t="str">
        <f t="shared" ca="1" si="11"/>
        <v/>
      </c>
      <c r="X44" s="68">
        <f t="shared" si="12"/>
        <v>-1</v>
      </c>
      <c r="Y44" s="70" t="str">
        <f t="shared" si="13"/>
        <v/>
      </c>
      <c r="Z44" s="72" t="str">
        <f t="shared" si="14"/>
        <v/>
      </c>
      <c r="AA44" s="72" t="str">
        <f t="shared" si="15"/>
        <v/>
      </c>
      <c r="AB44" s="70" t="str">
        <f t="shared" si="16"/>
        <v/>
      </c>
      <c r="AC44" s="72" t="str">
        <f t="shared" si="17"/>
        <v/>
      </c>
      <c r="AD44" s="72" t="str">
        <f t="shared" si="18"/>
        <v/>
      </c>
    </row>
    <row r="45" spans="3:44" x14ac:dyDescent="0.3">
      <c r="C45" s="29">
        <f>IF(C44=-1,-1,
      IF(C44&lt;income_max_row,C44+1,
          IF(C44=income_max_row,income_total_row,
              IF(C44=income_total_row,"/1",
                  IF(C44="/1",expenses_header_row,
                       IF(C44&lt;expenses_max_row,C44+1,
                            IF(C44=expenses_max_row,expenses_total_row,
                                IF(C44=expenses_max_row,expenses_total_row,
                                    IF(C44=expenses_total_row,"/2",
                                        IF(C44="/2",savings_header_row,
                                            IF(C44&lt;savings_max_row,C44+1,
                                                 IF(C44=savings_max_row,savings_total_row,-1))))))))))))</f>
        <v>-1</v>
      </c>
      <c r="D45" s="30">
        <f t="shared" ref="D45:D62" si="19">IF(is_header,row_id,
     IF(NOT(is_empty),D44,-1))</f>
        <v>-1</v>
      </c>
      <c r="E45" s="29">
        <f>1*OR(row_id=income_header_row,row_id=expenses_header_row,row_id=savings_header_row)</f>
        <v>0</v>
      </c>
      <c r="F45">
        <f t="shared" ref="F45:F62" si="20">1*NOT(OR(is_header,is_total,is_empty))</f>
        <v>0</v>
      </c>
      <c r="G45">
        <f>1*OR(row_id=income_total_row,row_id=expenses_total_row,row_id=savings_total_row)</f>
        <v>0</v>
      </c>
      <c r="H45" s="30">
        <f t="shared" ref="H45:H62" si="21">1*OR(row_id="/1",row_id="/2",row_id=-1)</f>
        <v>1</v>
      </c>
      <c r="I45" s="29" t="str">
        <f>IFERROR(INDEX('Budget Planning'!$C:$C,header_row_id),"")</f>
        <v/>
      </c>
      <c r="J45" t="str">
        <f>IFERROR(INDEX('Budget Planning'!$C:$C,row_id),"")</f>
        <v/>
      </c>
      <c r="K45"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5" s="63" t="str">
        <f>IF(OR(is_header,is_empty),"",
INDEX('Budget Planning'!$E:$EM,row_id,
MATCH(IF(selected_period="Total Year",selected_year,DATE(selected_year,selected_period,1)),'Budget Planning'!$E$9:$AS$9,0) ))</f>
        <v/>
      </c>
      <c r="M45" s="29" t="str">
        <f>IF(is_cat,
      IF(header_row_id=income_header_row, MATCH(income_min_row,$C:$C,0),
          IF(header_row_id=expenses_header_row, MATCH(expenses_min_row,$C:$C,0),
              IF(header_row_id=savings_header_row, MATCH(savings_min_row,$C:$C,0),""))),"")</f>
        <v/>
      </c>
      <c r="N45" t="str">
        <f>IF(is_cat,
      IF(header_row_id=income_header_row, MATCH(income_max_row,$C:$C,0),
          IF(header_row_id=expenses_header_row, MATCH(expenses_max_row,$C:$C,0),
              IF(header_row_id=savings_header_row, MATCH(savings_max_row,$C:$C,0),""))),"")</f>
        <v/>
      </c>
      <c r="O45" s="66" t="str">
        <f t="shared" ref="O45:O62" si="22">IF(is_cat, ADDRESS(sort_min_row,COLUMN(tracked)) &amp; ":" &amp; ADDRESS(sort_max_row,COLUMN(tracked)),"")</f>
        <v/>
      </c>
      <c r="P45" t="str">
        <f t="shared" ref="P45:P62" ca="1" si="23">IF(is_cat,RANK(tracked,INDIRECT(tracked_range),0),"")</f>
        <v/>
      </c>
      <c r="Q45" s="65" t="str">
        <f t="shared" ref="Q45:Q62" si="24">IF(is_cat, ADDRESS(sort_min_row,COLUMN(budget)) &amp; ":" &amp; ADDRESS(sort_max_row,COLUMN(budget)),"")</f>
        <v/>
      </c>
      <c r="R45" t="str">
        <f t="shared" ref="R45:R62" ca="1" si="25">IF(is_cat,RANK(budget,INDIRECT(budget_range),0),"")</f>
        <v/>
      </c>
      <c r="S45" s="29" t="str">
        <f t="shared" ref="S45:S62" si="26">IF(is_cat, _xlfn.NUMBERVALUE(tracked_rank &amp; budget_rank),"")</f>
        <v/>
      </c>
      <c r="T45" s="65" t="str">
        <f t="shared" ref="T45:T62" si="27">IF(is_cat, ADDRESS(sort_min_row,COLUMN(comb_rank)) &amp; ":" &amp; ADDRESS(sort_max_row,COLUMN(comb_rank)),"")</f>
        <v/>
      </c>
      <c r="U45" t="str">
        <f t="shared" ref="U45:U62" ca="1" si="28">IF(is_cat,RANK(comb_rank,INDIRECT(comb_rank_range),1),"")</f>
        <v/>
      </c>
      <c r="V45" s="65" t="str">
        <f t="shared" ref="V45:V62" si="29">IF(is_cat,ADDRESS(sort_min_row,COLUMN(comb_rank_norm))&amp;":"&amp;ADDRESS(ROW(),COLUMN(comb_rank_norm)),"")</f>
        <v/>
      </c>
      <c r="W45" s="68" t="str">
        <f t="shared" ref="W45:W62" ca="1" si="30">IF(is_cat,comb_rank_norm + COUNTIF(INDIRECT(comb_rank_norm_run_range),comb_rank_norm)-1,"")</f>
        <v/>
      </c>
      <c r="X45" s="68">
        <f t="shared" ref="X45:X62" si="31">IF(is_cat,header_row_id + comb_rank_unique,row_id)</f>
        <v>-1</v>
      </c>
      <c r="Y45" s="70" t="str">
        <f t="shared" ref="Y45:Y62" si="32">IF(is_empty,"",INDEX($J:$J,MATCH(row_id,$X:$X,0)))</f>
        <v/>
      </c>
      <c r="Z45" s="72" t="str">
        <f t="shared" ref="Z45:Z62" si="33">IF(is_empty,"",IF(is_header,"Tracked",INDEX($K:$K,MATCH(row_id,$X:$X,0))))</f>
        <v/>
      </c>
      <c r="AA45" s="72" t="str">
        <f t="shared" ref="AA45:AA62" si="34">IF(is_empty,"",IF(is_header,"Budget",INDEX($L:$L,MATCH(row_id,$X:$X,0))))</f>
        <v/>
      </c>
      <c r="AB45" s="70" t="str">
        <f t="shared" ref="AB45:AB62" si="35">IF(is_empty,"",IF(is_header,"% Compl.", IFERROR(output_tracked/output_budget,"-")))</f>
        <v/>
      </c>
      <c r="AC45" s="72" t="str">
        <f t="shared" ref="AC45:AC62" si="36">IF(is_empty,"",IF(is_header,"Remaining",IF(output_budget - output_tracked &gt; 0, output_budget - output_tracked,0)))</f>
        <v/>
      </c>
      <c r="AD45" s="72" t="str">
        <f t="shared" ref="AD45:AD62" si="37">IF(is_empty,"",IF(is_header,"Excess",IF(output_budget - output_tracked &lt; 0, output_tracked - output_budget,0)))</f>
        <v/>
      </c>
    </row>
    <row r="46" spans="3:44" x14ac:dyDescent="0.3">
      <c r="C46" s="29">
        <f>IF(C45=-1,-1,
      IF(C45&lt;income_max_row,C45+1,
          IF(C45=income_max_row,income_total_row,
              IF(C45=income_total_row,"/1",
                  IF(C45="/1",expenses_header_row,
                       IF(C45&lt;expenses_max_row,C45+1,
                            IF(C45=expenses_max_row,expenses_total_row,
                                IF(C45=expenses_max_row,expenses_total_row,
                                    IF(C45=expenses_total_row,"/2",
                                        IF(C45="/2",savings_header_row,
                                            IF(C45&lt;savings_max_row,C45+1,
                                                 IF(C45=savings_max_row,savings_total_row,-1))))))))))))</f>
        <v>-1</v>
      </c>
      <c r="D46" s="30">
        <f t="shared" si="19"/>
        <v>-1</v>
      </c>
      <c r="E46" s="29">
        <f>1*OR(row_id=income_header_row,row_id=expenses_header_row,row_id=savings_header_row)</f>
        <v>0</v>
      </c>
      <c r="F46">
        <f t="shared" si="20"/>
        <v>0</v>
      </c>
      <c r="G46">
        <f>1*OR(row_id=income_total_row,row_id=expenses_total_row,row_id=savings_total_row)</f>
        <v>0</v>
      </c>
      <c r="H46" s="30">
        <f t="shared" si="21"/>
        <v>1</v>
      </c>
      <c r="I46" s="29" t="str">
        <f>IFERROR(INDEX('Budget Planning'!$C:$C,header_row_id),"")</f>
        <v/>
      </c>
      <c r="J46" t="str">
        <f>IFERROR(INDEX('Budget Planning'!$C:$C,row_id),"")</f>
        <v/>
      </c>
      <c r="K46"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6" s="63" t="str">
        <f>IF(OR(is_header,is_empty),"",
INDEX('Budget Planning'!$E:$EM,row_id,
MATCH(IF(selected_period="Total Year",selected_year,DATE(selected_year,selected_period,1)),'Budget Planning'!$E$9:$AS$9,0) ))</f>
        <v/>
      </c>
      <c r="M46" s="29" t="str">
        <f>IF(is_cat,
      IF(header_row_id=income_header_row, MATCH(income_min_row,$C:$C,0),
          IF(header_row_id=expenses_header_row, MATCH(expenses_min_row,$C:$C,0),
              IF(header_row_id=savings_header_row, MATCH(savings_min_row,$C:$C,0),""))),"")</f>
        <v/>
      </c>
      <c r="N46" t="str">
        <f>IF(is_cat,
      IF(header_row_id=income_header_row, MATCH(income_max_row,$C:$C,0),
          IF(header_row_id=expenses_header_row, MATCH(expenses_max_row,$C:$C,0),
              IF(header_row_id=savings_header_row, MATCH(savings_max_row,$C:$C,0),""))),"")</f>
        <v/>
      </c>
      <c r="O46" s="66" t="str">
        <f t="shared" si="22"/>
        <v/>
      </c>
      <c r="P46" t="str">
        <f t="shared" ca="1" si="23"/>
        <v/>
      </c>
      <c r="Q46" s="65" t="str">
        <f t="shared" si="24"/>
        <v/>
      </c>
      <c r="R46" t="str">
        <f t="shared" ca="1" si="25"/>
        <v/>
      </c>
      <c r="S46" s="29" t="str">
        <f t="shared" si="26"/>
        <v/>
      </c>
      <c r="T46" s="65" t="str">
        <f t="shared" si="27"/>
        <v/>
      </c>
      <c r="U46" t="str">
        <f t="shared" ca="1" si="28"/>
        <v/>
      </c>
      <c r="V46" s="65" t="str">
        <f t="shared" si="29"/>
        <v/>
      </c>
      <c r="W46" s="68" t="str">
        <f t="shared" ca="1" si="30"/>
        <v/>
      </c>
      <c r="X46" s="68">
        <f t="shared" si="31"/>
        <v>-1</v>
      </c>
      <c r="Y46" s="70" t="str">
        <f t="shared" si="32"/>
        <v/>
      </c>
      <c r="Z46" s="72" t="str">
        <f t="shared" si="33"/>
        <v/>
      </c>
      <c r="AA46" s="72" t="str">
        <f t="shared" si="34"/>
        <v/>
      </c>
      <c r="AB46" s="70" t="str">
        <f t="shared" si="35"/>
        <v/>
      </c>
      <c r="AC46" s="72" t="str">
        <f t="shared" si="36"/>
        <v/>
      </c>
      <c r="AD46" s="72" t="str">
        <f t="shared" si="37"/>
        <v/>
      </c>
    </row>
    <row r="47" spans="3:44" x14ac:dyDescent="0.3">
      <c r="C47" s="29">
        <f>IF(C46=-1,-1,
      IF(C46&lt;income_max_row,C46+1,
          IF(C46=income_max_row,income_total_row,
              IF(C46=income_total_row,"/1",
                  IF(C46="/1",expenses_header_row,
                       IF(C46&lt;expenses_max_row,C46+1,
                            IF(C46=expenses_max_row,expenses_total_row,
                                IF(C46=expenses_max_row,expenses_total_row,
                                    IF(C46=expenses_total_row,"/2",
                                        IF(C46="/2",savings_header_row,
                                            IF(C46&lt;savings_max_row,C46+1,
                                                 IF(C46=savings_max_row,savings_total_row,-1))))))))))))</f>
        <v>-1</v>
      </c>
      <c r="D47" s="30">
        <f t="shared" si="19"/>
        <v>-1</v>
      </c>
      <c r="E47" s="29">
        <f>1*OR(row_id=income_header_row,row_id=expenses_header_row,row_id=savings_header_row)</f>
        <v>0</v>
      </c>
      <c r="F47">
        <f t="shared" si="20"/>
        <v>0</v>
      </c>
      <c r="G47">
        <f>1*OR(row_id=income_total_row,row_id=expenses_total_row,row_id=savings_total_row)</f>
        <v>0</v>
      </c>
      <c r="H47" s="30">
        <f t="shared" si="21"/>
        <v>1</v>
      </c>
      <c r="I47" s="29" t="str">
        <f>IFERROR(INDEX('Budget Planning'!$C:$C,header_row_id),"")</f>
        <v/>
      </c>
      <c r="J47" t="str">
        <f>IFERROR(INDEX('Budget Planning'!$C:$C,row_id),"")</f>
        <v/>
      </c>
      <c r="K47"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7" s="63" t="str">
        <f>IF(OR(is_header,is_empty),"",
INDEX('Budget Planning'!$E:$EM,row_id,
MATCH(IF(selected_period="Total Year",selected_year,DATE(selected_year,selected_period,1)),'Budget Planning'!$E$9:$AS$9,0) ))</f>
        <v/>
      </c>
      <c r="M47" s="29" t="str">
        <f>IF(is_cat,
      IF(header_row_id=income_header_row, MATCH(income_min_row,$C:$C,0),
          IF(header_row_id=expenses_header_row, MATCH(expenses_min_row,$C:$C,0),
              IF(header_row_id=savings_header_row, MATCH(savings_min_row,$C:$C,0),""))),"")</f>
        <v/>
      </c>
      <c r="N47" t="str">
        <f>IF(is_cat,
      IF(header_row_id=income_header_row, MATCH(income_max_row,$C:$C,0),
          IF(header_row_id=expenses_header_row, MATCH(expenses_max_row,$C:$C,0),
              IF(header_row_id=savings_header_row, MATCH(savings_max_row,$C:$C,0),""))),"")</f>
        <v/>
      </c>
      <c r="O47" s="66" t="str">
        <f t="shared" si="22"/>
        <v/>
      </c>
      <c r="P47" t="str">
        <f t="shared" ca="1" si="23"/>
        <v/>
      </c>
      <c r="Q47" s="65" t="str">
        <f t="shared" si="24"/>
        <v/>
      </c>
      <c r="R47" t="str">
        <f t="shared" ca="1" si="25"/>
        <v/>
      </c>
      <c r="S47" s="29" t="str">
        <f t="shared" si="26"/>
        <v/>
      </c>
      <c r="T47" s="65" t="str">
        <f t="shared" si="27"/>
        <v/>
      </c>
      <c r="U47" t="str">
        <f t="shared" ca="1" si="28"/>
        <v/>
      </c>
      <c r="V47" s="65" t="str">
        <f t="shared" si="29"/>
        <v/>
      </c>
      <c r="W47" s="68" t="str">
        <f t="shared" ca="1" si="30"/>
        <v/>
      </c>
      <c r="X47" s="68">
        <f t="shared" si="31"/>
        <v>-1</v>
      </c>
      <c r="Y47" s="70" t="str">
        <f t="shared" si="32"/>
        <v/>
      </c>
      <c r="Z47" s="72" t="str">
        <f t="shared" si="33"/>
        <v/>
      </c>
      <c r="AA47" s="72" t="str">
        <f t="shared" si="34"/>
        <v/>
      </c>
      <c r="AB47" s="70" t="str">
        <f t="shared" si="35"/>
        <v/>
      </c>
      <c r="AC47" s="72" t="str">
        <f t="shared" si="36"/>
        <v/>
      </c>
      <c r="AD47" s="72" t="str">
        <f t="shared" si="37"/>
        <v/>
      </c>
    </row>
    <row r="48" spans="3:44" x14ac:dyDescent="0.3">
      <c r="C48" s="29">
        <f>IF(C47=-1,-1,
      IF(C47&lt;income_max_row,C47+1,
          IF(C47=income_max_row,income_total_row,
              IF(C47=income_total_row,"/1",
                  IF(C47="/1",expenses_header_row,
                       IF(C47&lt;expenses_max_row,C47+1,
                            IF(C47=expenses_max_row,expenses_total_row,
                                IF(C47=expenses_max_row,expenses_total_row,
                                    IF(C47=expenses_total_row,"/2",
                                        IF(C47="/2",savings_header_row,
                                            IF(C47&lt;savings_max_row,C47+1,
                                                 IF(C47=savings_max_row,savings_total_row,-1))))))))))))</f>
        <v>-1</v>
      </c>
      <c r="D48" s="30">
        <f t="shared" si="19"/>
        <v>-1</v>
      </c>
      <c r="E48" s="29">
        <f>1*OR(row_id=income_header_row,row_id=expenses_header_row,row_id=savings_header_row)</f>
        <v>0</v>
      </c>
      <c r="F48">
        <f t="shared" si="20"/>
        <v>0</v>
      </c>
      <c r="G48">
        <f>1*OR(row_id=income_total_row,row_id=expenses_total_row,row_id=savings_total_row)</f>
        <v>0</v>
      </c>
      <c r="H48" s="30">
        <f t="shared" si="21"/>
        <v>1</v>
      </c>
      <c r="I48" s="29" t="str">
        <f>IFERROR(INDEX('Budget Planning'!$C:$C,header_row_id),"")</f>
        <v/>
      </c>
      <c r="J48" t="str">
        <f>IFERROR(INDEX('Budget Planning'!$C:$C,row_id),"")</f>
        <v/>
      </c>
      <c r="K48"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8" s="63" t="str">
        <f>IF(OR(is_header,is_empty),"",
INDEX('Budget Planning'!$E:$EM,row_id,
MATCH(IF(selected_period="Total Year",selected_year,DATE(selected_year,selected_period,1)),'Budget Planning'!$E$9:$AS$9,0) ))</f>
        <v/>
      </c>
      <c r="M48" s="29" t="str">
        <f>IF(is_cat,
      IF(header_row_id=income_header_row, MATCH(income_min_row,$C:$C,0),
          IF(header_row_id=expenses_header_row, MATCH(expenses_min_row,$C:$C,0),
              IF(header_row_id=savings_header_row, MATCH(savings_min_row,$C:$C,0),""))),"")</f>
        <v/>
      </c>
      <c r="N48" t="str">
        <f>IF(is_cat,
      IF(header_row_id=income_header_row, MATCH(income_max_row,$C:$C,0),
          IF(header_row_id=expenses_header_row, MATCH(expenses_max_row,$C:$C,0),
              IF(header_row_id=savings_header_row, MATCH(savings_max_row,$C:$C,0),""))),"")</f>
        <v/>
      </c>
      <c r="O48" s="66" t="str">
        <f t="shared" si="22"/>
        <v/>
      </c>
      <c r="P48" t="str">
        <f t="shared" ca="1" si="23"/>
        <v/>
      </c>
      <c r="Q48" s="65" t="str">
        <f t="shared" si="24"/>
        <v/>
      </c>
      <c r="R48" t="str">
        <f t="shared" ca="1" si="25"/>
        <v/>
      </c>
      <c r="S48" s="29" t="str">
        <f t="shared" si="26"/>
        <v/>
      </c>
      <c r="T48" s="65" t="str">
        <f t="shared" si="27"/>
        <v/>
      </c>
      <c r="U48" t="str">
        <f t="shared" ca="1" si="28"/>
        <v/>
      </c>
      <c r="V48" s="65" t="str">
        <f t="shared" si="29"/>
        <v/>
      </c>
      <c r="W48" s="68" t="str">
        <f t="shared" ca="1" si="30"/>
        <v/>
      </c>
      <c r="X48" s="68">
        <f t="shared" si="31"/>
        <v>-1</v>
      </c>
      <c r="Y48" s="70" t="str">
        <f t="shared" si="32"/>
        <v/>
      </c>
      <c r="Z48" s="72" t="str">
        <f t="shared" si="33"/>
        <v/>
      </c>
      <c r="AA48" s="72" t="str">
        <f t="shared" si="34"/>
        <v/>
      </c>
      <c r="AB48" s="70" t="str">
        <f t="shared" si="35"/>
        <v/>
      </c>
      <c r="AC48" s="72" t="str">
        <f t="shared" si="36"/>
        <v/>
      </c>
      <c r="AD48" s="72" t="str">
        <f t="shared" si="37"/>
        <v/>
      </c>
    </row>
    <row r="49" spans="3:30" x14ac:dyDescent="0.3">
      <c r="C49" s="29">
        <f>IF(C48=-1,-1,
      IF(C48&lt;income_max_row,C48+1,
          IF(C48=income_max_row,income_total_row,
              IF(C48=income_total_row,"/1",
                  IF(C48="/1",expenses_header_row,
                       IF(C48&lt;expenses_max_row,C48+1,
                            IF(C48=expenses_max_row,expenses_total_row,
                                IF(C48=expenses_max_row,expenses_total_row,
                                    IF(C48=expenses_total_row,"/2",
                                        IF(C48="/2",savings_header_row,
                                            IF(C48&lt;savings_max_row,C48+1,
                                                 IF(C48=savings_max_row,savings_total_row,-1))))))))))))</f>
        <v>-1</v>
      </c>
      <c r="D49" s="30">
        <f t="shared" si="19"/>
        <v>-1</v>
      </c>
      <c r="E49" s="29">
        <f>1*OR(row_id=income_header_row,row_id=expenses_header_row,row_id=savings_header_row)</f>
        <v>0</v>
      </c>
      <c r="F49">
        <f t="shared" si="20"/>
        <v>0</v>
      </c>
      <c r="G49">
        <f>1*OR(row_id=income_total_row,row_id=expenses_total_row,row_id=savings_total_row)</f>
        <v>0</v>
      </c>
      <c r="H49" s="30">
        <f t="shared" si="21"/>
        <v>1</v>
      </c>
      <c r="I49" s="29" t="str">
        <f>IFERROR(INDEX('Budget Planning'!$C:$C,header_row_id),"")</f>
        <v/>
      </c>
      <c r="J49" t="str">
        <f>IFERROR(INDEX('Budget Planning'!$C:$C,row_id),"")</f>
        <v/>
      </c>
      <c r="K49"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49" s="63" t="str">
        <f>IF(OR(is_header,is_empty),"",
INDEX('Budget Planning'!$E:$EM,row_id,
MATCH(IF(selected_period="Total Year",selected_year,DATE(selected_year,selected_period,1)),'Budget Planning'!$E$9:$AS$9,0) ))</f>
        <v/>
      </c>
      <c r="M49" s="29" t="str">
        <f>IF(is_cat,
      IF(header_row_id=income_header_row, MATCH(income_min_row,$C:$C,0),
          IF(header_row_id=expenses_header_row, MATCH(expenses_min_row,$C:$C,0),
              IF(header_row_id=savings_header_row, MATCH(savings_min_row,$C:$C,0),""))),"")</f>
        <v/>
      </c>
      <c r="N49" t="str">
        <f>IF(is_cat,
      IF(header_row_id=income_header_row, MATCH(income_max_row,$C:$C,0),
          IF(header_row_id=expenses_header_row, MATCH(expenses_max_row,$C:$C,0),
              IF(header_row_id=savings_header_row, MATCH(savings_max_row,$C:$C,0),""))),"")</f>
        <v/>
      </c>
      <c r="O49" s="66" t="str">
        <f t="shared" si="22"/>
        <v/>
      </c>
      <c r="P49" t="str">
        <f t="shared" ca="1" si="23"/>
        <v/>
      </c>
      <c r="Q49" s="65" t="str">
        <f t="shared" si="24"/>
        <v/>
      </c>
      <c r="R49" t="str">
        <f t="shared" ca="1" si="25"/>
        <v/>
      </c>
      <c r="S49" s="29" t="str">
        <f t="shared" si="26"/>
        <v/>
      </c>
      <c r="T49" s="65" t="str">
        <f t="shared" si="27"/>
        <v/>
      </c>
      <c r="U49" t="str">
        <f t="shared" ca="1" si="28"/>
        <v/>
      </c>
      <c r="V49" s="65" t="str">
        <f t="shared" si="29"/>
        <v/>
      </c>
      <c r="W49" s="68" t="str">
        <f t="shared" ca="1" si="30"/>
        <v/>
      </c>
      <c r="X49" s="68">
        <f t="shared" si="31"/>
        <v>-1</v>
      </c>
      <c r="Y49" s="70" t="str">
        <f t="shared" si="32"/>
        <v/>
      </c>
      <c r="Z49" s="72" t="str">
        <f t="shared" si="33"/>
        <v/>
      </c>
      <c r="AA49" s="72" t="str">
        <f t="shared" si="34"/>
        <v/>
      </c>
      <c r="AB49" s="70" t="str">
        <f t="shared" si="35"/>
        <v/>
      </c>
      <c r="AC49" s="72" t="str">
        <f t="shared" si="36"/>
        <v/>
      </c>
      <c r="AD49" s="72" t="str">
        <f t="shared" si="37"/>
        <v/>
      </c>
    </row>
    <row r="50" spans="3:30" x14ac:dyDescent="0.3">
      <c r="C50" s="29">
        <f>IF(C49=-1,-1,
      IF(C49&lt;income_max_row,C49+1,
          IF(C49=income_max_row,income_total_row,
              IF(C49=income_total_row,"/1",
                  IF(C49="/1",expenses_header_row,
                       IF(C49&lt;expenses_max_row,C49+1,
                            IF(C49=expenses_max_row,expenses_total_row,
                                IF(C49=expenses_max_row,expenses_total_row,
                                    IF(C49=expenses_total_row,"/2",
                                        IF(C49="/2",savings_header_row,
                                            IF(C49&lt;savings_max_row,C49+1,
                                                 IF(C49=savings_max_row,savings_total_row,-1))))))))))))</f>
        <v>-1</v>
      </c>
      <c r="D50" s="30">
        <f t="shared" si="19"/>
        <v>-1</v>
      </c>
      <c r="E50" s="29" t="b">
        <v>1</v>
      </c>
      <c r="F50">
        <f t="shared" si="20"/>
        <v>0</v>
      </c>
      <c r="G50">
        <f>1*OR(row_id=income_total_row,row_id=expenses_total_row,row_id=savings_total_row)</f>
        <v>0</v>
      </c>
      <c r="H50" s="30">
        <f t="shared" si="21"/>
        <v>1</v>
      </c>
      <c r="I50" s="29" t="str">
        <f>IFERROR(INDEX('Budget Planning'!$C:$C,header_row_id),"")</f>
        <v/>
      </c>
      <c r="J50" t="str">
        <f>IFERROR(INDEX('Budget Planning'!$C:$C,row_id),"")</f>
        <v/>
      </c>
      <c r="K50"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0" s="63" t="str">
        <f>IF(OR(is_header,is_empty),"",
INDEX('Budget Planning'!$E:$EM,row_id,
MATCH(IF(selected_period="Total Year",selected_year,DATE(selected_year,selected_period,1)),'Budget Planning'!$E$9:$AS$9,0) ))</f>
        <v/>
      </c>
      <c r="M50" s="29" t="str">
        <f>IF(is_cat,
      IF(header_row_id=income_header_row, MATCH(income_min_row,$C:$C,0),
          IF(header_row_id=expenses_header_row, MATCH(expenses_min_row,$C:$C,0),
              IF(header_row_id=savings_header_row, MATCH(savings_min_row,$C:$C,0),""))),"")</f>
        <v/>
      </c>
      <c r="N50" t="str">
        <f>IF(is_cat,
      IF(header_row_id=income_header_row, MATCH(income_max_row,$C:$C,0),
          IF(header_row_id=expenses_header_row, MATCH(expenses_max_row,$C:$C,0),
              IF(header_row_id=savings_header_row, MATCH(savings_max_row,$C:$C,0),""))),"")</f>
        <v/>
      </c>
      <c r="O50" s="66" t="str">
        <f t="shared" si="22"/>
        <v/>
      </c>
      <c r="P50" t="str">
        <f t="shared" ca="1" si="23"/>
        <v/>
      </c>
      <c r="Q50" s="65" t="str">
        <f t="shared" si="24"/>
        <v/>
      </c>
      <c r="R50" t="str">
        <f t="shared" ca="1" si="25"/>
        <v/>
      </c>
      <c r="S50" s="29" t="str">
        <f t="shared" si="26"/>
        <v/>
      </c>
      <c r="T50" s="65" t="str">
        <f t="shared" si="27"/>
        <v/>
      </c>
      <c r="U50" t="str">
        <f t="shared" ca="1" si="28"/>
        <v/>
      </c>
      <c r="V50" s="65" t="str">
        <f t="shared" si="29"/>
        <v/>
      </c>
      <c r="W50" s="68" t="str">
        <f t="shared" ca="1" si="30"/>
        <v/>
      </c>
      <c r="X50" s="68">
        <f t="shared" si="31"/>
        <v>-1</v>
      </c>
      <c r="Y50" s="70" t="str">
        <f t="shared" si="32"/>
        <v/>
      </c>
      <c r="Z50" s="72" t="str">
        <f t="shared" si="33"/>
        <v/>
      </c>
      <c r="AA50" s="72" t="str">
        <f t="shared" si="34"/>
        <v/>
      </c>
      <c r="AB50" s="70" t="str">
        <f t="shared" si="35"/>
        <v/>
      </c>
      <c r="AC50" s="72" t="str">
        <f t="shared" si="36"/>
        <v/>
      </c>
      <c r="AD50" s="72" t="str">
        <f t="shared" si="37"/>
        <v/>
      </c>
    </row>
    <row r="51" spans="3:30" x14ac:dyDescent="0.3">
      <c r="C51" s="29">
        <f>IF(C50=-1,-1,
      IF(C50&lt;income_max_row,C50+1,
          IF(C50=income_max_row,income_total_row,
              IF(C50=income_total_row,"/1",
                  IF(C50="/1",expenses_header_row,
                       IF(C50&lt;expenses_max_row,C50+1,
                            IF(C50=expenses_max_row,expenses_total_row,
                                IF(C50=expenses_max_row,expenses_total_row,
                                    IF(C50=expenses_total_row,"/2",
                                        IF(C50="/2",savings_header_row,
                                            IF(C50&lt;savings_max_row,C50+1,
                                                 IF(C50=savings_max_row,savings_total_row,-1))))))))))))</f>
        <v>-1</v>
      </c>
      <c r="D51" s="30">
        <f t="shared" si="19"/>
        <v>-1</v>
      </c>
      <c r="E51" s="29" t="b">
        <v>0</v>
      </c>
      <c r="F51">
        <f t="shared" si="20"/>
        <v>0</v>
      </c>
      <c r="G51">
        <f>1*OR(row_id=income_total_row,row_id=expenses_total_row,row_id=savings_total_row)</f>
        <v>0</v>
      </c>
      <c r="H51" s="30">
        <f t="shared" si="21"/>
        <v>1</v>
      </c>
      <c r="I51" s="29" t="str">
        <f>IFERROR(INDEX('Budget Planning'!$C:$C,header_row_id),"")</f>
        <v/>
      </c>
      <c r="J51" t="str">
        <f>IFERROR(INDEX('Budget Planning'!$C:$C,row_id),"")</f>
        <v/>
      </c>
      <c r="K51"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1" s="63" t="str">
        <f>IF(OR(is_header,is_empty),"",
INDEX('Budget Planning'!$E:$EM,row_id,
MATCH(IF(selected_period="Total Year",selected_year,DATE(selected_year,selected_period,1)),'Budget Planning'!$E$9:$AS$9,0) ))</f>
        <v/>
      </c>
      <c r="M51" s="29" t="str">
        <f>IF(is_cat,
      IF(header_row_id=income_header_row, MATCH(income_min_row,$C:$C,0),
          IF(header_row_id=expenses_header_row, MATCH(expenses_min_row,$C:$C,0),
              IF(header_row_id=savings_header_row, MATCH(savings_min_row,$C:$C,0),""))),"")</f>
        <v/>
      </c>
      <c r="N51" t="str">
        <f>IF(is_cat,
      IF(header_row_id=income_header_row, MATCH(income_max_row,$C:$C,0),
          IF(header_row_id=expenses_header_row, MATCH(expenses_max_row,$C:$C,0),
              IF(header_row_id=savings_header_row, MATCH(savings_max_row,$C:$C,0),""))),"")</f>
        <v/>
      </c>
      <c r="O51" s="66" t="str">
        <f t="shared" si="22"/>
        <v/>
      </c>
      <c r="P51" t="str">
        <f t="shared" ca="1" si="23"/>
        <v/>
      </c>
      <c r="Q51" s="65" t="str">
        <f t="shared" si="24"/>
        <v/>
      </c>
      <c r="R51" t="str">
        <f t="shared" ca="1" si="25"/>
        <v/>
      </c>
      <c r="S51" s="29" t="str">
        <f t="shared" si="26"/>
        <v/>
      </c>
      <c r="T51" s="65" t="str">
        <f t="shared" si="27"/>
        <v/>
      </c>
      <c r="U51" t="str">
        <f t="shared" ca="1" si="28"/>
        <v/>
      </c>
      <c r="V51" s="65" t="str">
        <f t="shared" si="29"/>
        <v/>
      </c>
      <c r="W51" s="68" t="str">
        <f t="shared" ca="1" si="30"/>
        <v/>
      </c>
      <c r="X51" s="68">
        <f t="shared" si="31"/>
        <v>-1</v>
      </c>
      <c r="Y51" s="70" t="str">
        <f t="shared" si="32"/>
        <v/>
      </c>
      <c r="Z51" s="72" t="str">
        <f t="shared" si="33"/>
        <v/>
      </c>
      <c r="AA51" s="72" t="str">
        <f t="shared" si="34"/>
        <v/>
      </c>
      <c r="AB51" s="70" t="str">
        <f t="shared" si="35"/>
        <v/>
      </c>
      <c r="AC51" s="72" t="str">
        <f t="shared" si="36"/>
        <v/>
      </c>
      <c r="AD51" s="72" t="str">
        <f t="shared" si="37"/>
        <v/>
      </c>
    </row>
    <row r="52" spans="3:30" x14ac:dyDescent="0.3">
      <c r="C52" s="29">
        <f>IF(C51=-1,-1,
      IF(C51&lt;income_max_row,C51+1,
          IF(C51=income_max_row,income_total_row,
              IF(C51=income_total_row,"/1",
                  IF(C51="/1",expenses_header_row,
                       IF(C51&lt;expenses_max_row,C51+1,
                            IF(C51=expenses_max_row,expenses_total_row,
                                IF(C51=expenses_max_row,expenses_total_row,
                                    IF(C51=expenses_total_row,"/2",
                                        IF(C51="/2",savings_header_row,
                                            IF(C51&lt;savings_max_row,C51+1,
                                                 IF(C51=savings_max_row,savings_total_row,-1))))))))))))</f>
        <v>-1</v>
      </c>
      <c r="D52" s="30">
        <f t="shared" si="19"/>
        <v>-1</v>
      </c>
      <c r="E52" s="29" t="b">
        <v>1</v>
      </c>
      <c r="F52">
        <f t="shared" si="20"/>
        <v>0</v>
      </c>
      <c r="G52">
        <f>1*OR(row_id=income_total_row,row_id=expenses_total_row,row_id=savings_total_row)</f>
        <v>0</v>
      </c>
      <c r="H52" s="30">
        <f t="shared" si="21"/>
        <v>1</v>
      </c>
      <c r="I52" s="29" t="str">
        <f>IFERROR(INDEX('Budget Planning'!$C:$C,header_row_id),"")</f>
        <v/>
      </c>
      <c r="J52" t="str">
        <f>IFERROR(INDEX('Budget Planning'!$C:$C,row_id),"")</f>
        <v/>
      </c>
      <c r="K52"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2" s="63" t="str">
        <f>IF(OR(is_header,is_empty),"",
INDEX('Budget Planning'!$E:$EM,row_id,
MATCH(IF(selected_period="Total Year",selected_year,DATE(selected_year,selected_period,1)),'Budget Planning'!$E$9:$AS$9,0) ))</f>
        <v/>
      </c>
      <c r="M52" s="29" t="str">
        <f>IF(is_cat,
      IF(header_row_id=income_header_row, MATCH(income_min_row,$C:$C,0),
          IF(header_row_id=expenses_header_row, MATCH(expenses_min_row,$C:$C,0),
              IF(header_row_id=savings_header_row, MATCH(savings_min_row,$C:$C,0),""))),"")</f>
        <v/>
      </c>
      <c r="N52" t="str">
        <f>IF(is_cat,
      IF(header_row_id=income_header_row, MATCH(income_max_row,$C:$C,0),
          IF(header_row_id=expenses_header_row, MATCH(expenses_max_row,$C:$C,0),
              IF(header_row_id=savings_header_row, MATCH(savings_max_row,$C:$C,0),""))),"")</f>
        <v/>
      </c>
      <c r="O52" s="66" t="str">
        <f t="shared" si="22"/>
        <v/>
      </c>
      <c r="P52" t="str">
        <f t="shared" ca="1" si="23"/>
        <v/>
      </c>
      <c r="Q52" s="65" t="str">
        <f t="shared" si="24"/>
        <v/>
      </c>
      <c r="R52" t="str">
        <f t="shared" ca="1" si="25"/>
        <v/>
      </c>
      <c r="S52" s="29" t="str">
        <f t="shared" si="26"/>
        <v/>
      </c>
      <c r="T52" s="65" t="str">
        <f t="shared" si="27"/>
        <v/>
      </c>
      <c r="U52" t="str">
        <f t="shared" ca="1" si="28"/>
        <v/>
      </c>
      <c r="V52" s="65" t="str">
        <f t="shared" si="29"/>
        <v/>
      </c>
      <c r="W52" s="68" t="str">
        <f t="shared" ca="1" si="30"/>
        <v/>
      </c>
      <c r="X52" s="68">
        <f t="shared" si="31"/>
        <v>-1</v>
      </c>
      <c r="Y52" s="70" t="str">
        <f t="shared" si="32"/>
        <v/>
      </c>
      <c r="Z52" s="72" t="str">
        <f t="shared" si="33"/>
        <v/>
      </c>
      <c r="AA52" s="72" t="str">
        <f t="shared" si="34"/>
        <v/>
      </c>
      <c r="AB52" s="70" t="str">
        <f t="shared" si="35"/>
        <v/>
      </c>
      <c r="AC52" s="72" t="str">
        <f t="shared" si="36"/>
        <v/>
      </c>
      <c r="AD52" s="72" t="str">
        <f t="shared" si="37"/>
        <v/>
      </c>
    </row>
    <row r="53" spans="3:30" x14ac:dyDescent="0.3">
      <c r="C53" s="29">
        <f>IF(C52=-1,-1,
      IF(C52&lt;income_max_row,C52+1,
          IF(C52=income_max_row,income_total_row,
              IF(C52=income_total_row,"/1",
                  IF(C52="/1",expenses_header_row,
                       IF(C52&lt;expenses_max_row,C52+1,
                            IF(C52=expenses_max_row,expenses_total_row,
                                IF(C52=expenses_max_row,expenses_total_row,
                                    IF(C52=expenses_total_row,"/2",
                                        IF(C52="/2",savings_header_row,
                                            IF(C52&lt;savings_max_row,C52+1,
                                                 IF(C52=savings_max_row,savings_total_row,-1))))))))))))</f>
        <v>-1</v>
      </c>
      <c r="D53" s="30">
        <f t="shared" si="19"/>
        <v>-1</v>
      </c>
      <c r="E53" s="29" t="b">
        <v>1</v>
      </c>
      <c r="F53">
        <f t="shared" si="20"/>
        <v>0</v>
      </c>
      <c r="G53">
        <f>1*OR(row_id=income_total_row,row_id=expenses_total_row,row_id=savings_total_row)</f>
        <v>0</v>
      </c>
      <c r="H53" s="30">
        <f t="shared" si="21"/>
        <v>1</v>
      </c>
      <c r="I53" s="29" t="str">
        <f>IFERROR(INDEX('Budget Planning'!$C:$C,header_row_id),"")</f>
        <v/>
      </c>
      <c r="J53" t="str">
        <f>IFERROR(INDEX('Budget Planning'!$C:$C,row_id),"")</f>
        <v/>
      </c>
      <c r="K53"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3" s="63" t="str">
        <f>IF(OR(is_header,is_empty),"",
INDEX('Budget Planning'!$E:$EM,row_id,
MATCH(IF(selected_period="Total Year",selected_year,DATE(selected_year,selected_period,1)),'Budget Planning'!$E$9:$AS$9,0) ))</f>
        <v/>
      </c>
      <c r="M53" s="29" t="str">
        <f>IF(is_cat,
      IF(header_row_id=income_header_row, MATCH(income_min_row,$C:$C,0),
          IF(header_row_id=expenses_header_row, MATCH(expenses_min_row,$C:$C,0),
              IF(header_row_id=savings_header_row, MATCH(savings_min_row,$C:$C,0),""))),"")</f>
        <v/>
      </c>
      <c r="N53" t="str">
        <f>IF(is_cat,
      IF(header_row_id=income_header_row, MATCH(income_max_row,$C:$C,0),
          IF(header_row_id=expenses_header_row, MATCH(expenses_max_row,$C:$C,0),
              IF(header_row_id=savings_header_row, MATCH(savings_max_row,$C:$C,0),""))),"")</f>
        <v/>
      </c>
      <c r="O53" s="66" t="str">
        <f t="shared" si="22"/>
        <v/>
      </c>
      <c r="P53" t="str">
        <f t="shared" ca="1" si="23"/>
        <v/>
      </c>
      <c r="Q53" s="65" t="str">
        <f t="shared" si="24"/>
        <v/>
      </c>
      <c r="R53" t="str">
        <f t="shared" ca="1" si="25"/>
        <v/>
      </c>
      <c r="S53" s="29" t="str">
        <f t="shared" si="26"/>
        <v/>
      </c>
      <c r="T53" s="65" t="str">
        <f t="shared" si="27"/>
        <v/>
      </c>
      <c r="U53" t="str">
        <f t="shared" ca="1" si="28"/>
        <v/>
      </c>
      <c r="V53" s="65" t="str">
        <f t="shared" si="29"/>
        <v/>
      </c>
      <c r="W53" s="68" t="str">
        <f t="shared" ca="1" si="30"/>
        <v/>
      </c>
      <c r="X53" s="68">
        <f t="shared" si="31"/>
        <v>-1</v>
      </c>
      <c r="Y53" s="70" t="str">
        <f t="shared" si="32"/>
        <v/>
      </c>
      <c r="Z53" s="72" t="str">
        <f t="shared" si="33"/>
        <v/>
      </c>
      <c r="AA53" s="72" t="str">
        <f t="shared" si="34"/>
        <v/>
      </c>
      <c r="AB53" s="70" t="str">
        <f t="shared" si="35"/>
        <v/>
      </c>
      <c r="AC53" s="72" t="str">
        <f t="shared" si="36"/>
        <v/>
      </c>
      <c r="AD53" s="72" t="str">
        <f t="shared" si="37"/>
        <v/>
      </c>
    </row>
    <row r="54" spans="3:30" x14ac:dyDescent="0.3">
      <c r="C54" s="29">
        <f>IF(C53=-1,-1,
      IF(C53&lt;income_max_row,C53+1,
          IF(C53=income_max_row,income_total_row,
              IF(C53=income_total_row,"/1",
                  IF(C53="/1",expenses_header_row,
                       IF(C53&lt;expenses_max_row,C53+1,
                            IF(C53=expenses_max_row,expenses_total_row,
                                IF(C53=expenses_max_row,expenses_total_row,
                                    IF(C53=expenses_total_row,"/2",
                                        IF(C53="/2",savings_header_row,
                                            IF(C53&lt;savings_max_row,C53+1,
                                                 IF(C53=savings_max_row,savings_total_row,-1))))))))))))</f>
        <v>-1</v>
      </c>
      <c r="D54" s="30">
        <f t="shared" si="19"/>
        <v>-1</v>
      </c>
      <c r="E54" s="29">
        <f>1*OR(row_id=income_header_row,row_id=expenses_header_row,row_id=savings_header_row)</f>
        <v>0</v>
      </c>
      <c r="F54">
        <f t="shared" si="20"/>
        <v>0</v>
      </c>
      <c r="G54">
        <f>1*OR(row_id=income_total_row,row_id=expenses_total_row,row_id=savings_total_row)</f>
        <v>0</v>
      </c>
      <c r="H54" s="30">
        <f t="shared" si="21"/>
        <v>1</v>
      </c>
      <c r="I54" s="29" t="str">
        <f>IFERROR(INDEX('Budget Planning'!$C:$C,header_row_id),"")</f>
        <v/>
      </c>
      <c r="J54" t="str">
        <f>IFERROR(INDEX('Budget Planning'!$C:$C,row_id),"")</f>
        <v/>
      </c>
      <c r="K54"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4" s="63" t="str">
        <f>IF(OR(is_header,is_empty),"",
INDEX('Budget Planning'!$E:$EM,row_id,
MATCH(IF(selected_period="Total Year",selected_year,DATE(selected_year,selected_period,1)),'Budget Planning'!$E$9:$AS$9,0) ))</f>
        <v/>
      </c>
      <c r="M54" s="29" t="str">
        <f>IF(is_cat,
      IF(header_row_id=income_header_row, MATCH(income_min_row,$C:$C,0),
          IF(header_row_id=expenses_header_row, MATCH(expenses_min_row,$C:$C,0),
              IF(header_row_id=savings_header_row, MATCH(savings_min_row,$C:$C,0),""))),"")</f>
        <v/>
      </c>
      <c r="N54" t="str">
        <f>IF(is_cat,
      IF(header_row_id=income_header_row, MATCH(income_max_row,$C:$C,0),
          IF(header_row_id=expenses_header_row, MATCH(expenses_max_row,$C:$C,0),
              IF(header_row_id=savings_header_row, MATCH(savings_max_row,$C:$C,0),""))),"")</f>
        <v/>
      </c>
      <c r="O54" s="66" t="str">
        <f t="shared" si="22"/>
        <v/>
      </c>
      <c r="P54" t="str">
        <f t="shared" ca="1" si="23"/>
        <v/>
      </c>
      <c r="Q54" s="65" t="str">
        <f t="shared" si="24"/>
        <v/>
      </c>
      <c r="R54" t="str">
        <f t="shared" ca="1" si="25"/>
        <v/>
      </c>
      <c r="S54" s="29" t="str">
        <f t="shared" si="26"/>
        <v/>
      </c>
      <c r="T54" s="65" t="str">
        <f t="shared" si="27"/>
        <v/>
      </c>
      <c r="U54" t="str">
        <f t="shared" ca="1" si="28"/>
        <v/>
      </c>
      <c r="V54" s="65" t="str">
        <f t="shared" si="29"/>
        <v/>
      </c>
      <c r="W54" s="68" t="str">
        <f t="shared" ca="1" si="30"/>
        <v/>
      </c>
      <c r="X54" s="68">
        <f t="shared" si="31"/>
        <v>-1</v>
      </c>
      <c r="Y54" s="70" t="str">
        <f t="shared" si="32"/>
        <v/>
      </c>
      <c r="Z54" s="72" t="str">
        <f t="shared" si="33"/>
        <v/>
      </c>
      <c r="AA54" s="72" t="str">
        <f t="shared" si="34"/>
        <v/>
      </c>
      <c r="AB54" s="70" t="str">
        <f t="shared" si="35"/>
        <v/>
      </c>
      <c r="AC54" s="72" t="str">
        <f t="shared" si="36"/>
        <v/>
      </c>
      <c r="AD54" s="72" t="str">
        <f t="shared" si="37"/>
        <v/>
      </c>
    </row>
    <row r="55" spans="3:30" x14ac:dyDescent="0.3">
      <c r="C55" s="29">
        <f>IF(C54=-1,-1,
      IF(C54&lt;income_max_row,C54+1,
          IF(C54=income_max_row,income_total_row,
              IF(C54=income_total_row,"/1",
                  IF(C54="/1",expenses_header_row,
                       IF(C54&lt;expenses_max_row,C54+1,
                            IF(C54=expenses_max_row,expenses_total_row,
                                IF(C54=expenses_max_row,expenses_total_row,
                                    IF(C54=expenses_total_row,"/2",
                                        IF(C54="/2",savings_header_row,
                                            IF(C54&lt;savings_max_row,C54+1,
                                                 IF(C54=savings_max_row,savings_total_row,-1))))))))))))</f>
        <v>-1</v>
      </c>
      <c r="D55" s="30">
        <f t="shared" si="19"/>
        <v>-1</v>
      </c>
      <c r="E55" s="29">
        <f>1*OR(row_id=income_header_row,row_id=expenses_header_row,row_id=savings_header_row)</f>
        <v>0</v>
      </c>
      <c r="F55">
        <f t="shared" si="20"/>
        <v>0</v>
      </c>
      <c r="G55">
        <f>1*OR(row_id=income_total_row,row_id=expenses_total_row,row_id=savings_total_row)</f>
        <v>0</v>
      </c>
      <c r="H55" s="30">
        <f t="shared" si="21"/>
        <v>1</v>
      </c>
      <c r="I55" s="29" t="str">
        <f>IFERROR(INDEX('Budget Planning'!$C:$C,header_row_id),"")</f>
        <v/>
      </c>
      <c r="J55" t="str">
        <f>IFERROR(INDEX('Budget Planning'!$C:$C,row_id),"")</f>
        <v/>
      </c>
      <c r="K55"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5" s="63" t="str">
        <f>IF(OR(is_header,is_empty),"",
INDEX('Budget Planning'!$E:$EM,row_id,
MATCH(IF(selected_period="Total Year",selected_year,DATE(selected_year,selected_period,1)),'Budget Planning'!$E$9:$AS$9,0) ))</f>
        <v/>
      </c>
      <c r="M55" s="29" t="str">
        <f>IF(is_cat,
      IF(header_row_id=income_header_row, MATCH(income_min_row,$C:$C,0),
          IF(header_row_id=expenses_header_row, MATCH(expenses_min_row,$C:$C,0),
              IF(header_row_id=savings_header_row, MATCH(savings_min_row,$C:$C,0),""))),"")</f>
        <v/>
      </c>
      <c r="N55" t="str">
        <f>IF(is_cat,
      IF(header_row_id=income_header_row, MATCH(income_max_row,$C:$C,0),
          IF(header_row_id=expenses_header_row, MATCH(expenses_max_row,$C:$C,0),
              IF(header_row_id=savings_header_row, MATCH(savings_max_row,$C:$C,0),""))),"")</f>
        <v/>
      </c>
      <c r="O55" s="66" t="str">
        <f t="shared" si="22"/>
        <v/>
      </c>
      <c r="P55" t="str">
        <f t="shared" ca="1" si="23"/>
        <v/>
      </c>
      <c r="Q55" s="65" t="str">
        <f t="shared" si="24"/>
        <v/>
      </c>
      <c r="R55" t="str">
        <f t="shared" ca="1" si="25"/>
        <v/>
      </c>
      <c r="S55" s="29" t="str">
        <f t="shared" si="26"/>
        <v/>
      </c>
      <c r="T55" s="65" t="str">
        <f t="shared" si="27"/>
        <v/>
      </c>
      <c r="U55" t="str">
        <f t="shared" ca="1" si="28"/>
        <v/>
      </c>
      <c r="V55" s="65" t="str">
        <f t="shared" si="29"/>
        <v/>
      </c>
      <c r="W55" s="68" t="str">
        <f t="shared" ca="1" si="30"/>
        <v/>
      </c>
      <c r="X55" s="68">
        <f t="shared" si="31"/>
        <v>-1</v>
      </c>
      <c r="Y55" s="70" t="str">
        <f t="shared" si="32"/>
        <v/>
      </c>
      <c r="Z55" s="72" t="str">
        <f t="shared" si="33"/>
        <v/>
      </c>
      <c r="AA55" s="72" t="str">
        <f t="shared" si="34"/>
        <v/>
      </c>
      <c r="AB55" s="70" t="str">
        <f t="shared" si="35"/>
        <v/>
      </c>
      <c r="AC55" s="72" t="str">
        <f t="shared" si="36"/>
        <v/>
      </c>
      <c r="AD55" s="72" t="str">
        <f t="shared" si="37"/>
        <v/>
      </c>
    </row>
    <row r="56" spans="3:30" x14ac:dyDescent="0.3">
      <c r="C56" s="29">
        <f>IF(C55=-1,-1,
      IF(C55&lt;income_max_row,C55+1,
          IF(C55=income_max_row,income_total_row,
              IF(C55=income_total_row,"/1",
                  IF(C55="/1",expenses_header_row,
                       IF(C55&lt;expenses_max_row,C55+1,
                            IF(C55=expenses_max_row,expenses_total_row,
                                IF(C55=expenses_max_row,expenses_total_row,
                                    IF(C55=expenses_total_row,"/2",
                                        IF(C55="/2",savings_header_row,
                                            IF(C55&lt;savings_max_row,C55+1,
                                                 IF(C55=savings_max_row,savings_total_row,-1))))))))))))</f>
        <v>-1</v>
      </c>
      <c r="D56" s="30">
        <f t="shared" si="19"/>
        <v>-1</v>
      </c>
      <c r="E56" s="29">
        <f>1*OR(row_id=income_header_row,row_id=expenses_header_row,row_id=savings_header_row)</f>
        <v>0</v>
      </c>
      <c r="F56">
        <f t="shared" si="20"/>
        <v>0</v>
      </c>
      <c r="G56">
        <f>1*OR(row_id=income_total_row,row_id=expenses_total_row,row_id=savings_total_row)</f>
        <v>0</v>
      </c>
      <c r="H56" s="30">
        <f t="shared" si="21"/>
        <v>1</v>
      </c>
      <c r="I56" s="29" t="str">
        <f>IFERROR(INDEX('Budget Planning'!$C:$C,header_row_id),"")</f>
        <v/>
      </c>
      <c r="J56" t="str">
        <f>IFERROR(INDEX('Budget Planning'!$C:$C,row_id),"")</f>
        <v/>
      </c>
      <c r="K56"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6" s="63" t="str">
        <f>IF(OR(is_header,is_empty),"",
INDEX('Budget Planning'!$E:$EM,row_id,
MATCH(IF(selected_period="Total Year",selected_year,DATE(selected_year,selected_period,1)),'Budget Planning'!$E$9:$AS$9,0) ))</f>
        <v/>
      </c>
      <c r="M56" s="29" t="str">
        <f>IF(is_cat,
      IF(header_row_id=income_header_row, MATCH(income_min_row,$C:$C,0),
          IF(header_row_id=expenses_header_row, MATCH(expenses_min_row,$C:$C,0),
              IF(header_row_id=savings_header_row, MATCH(savings_min_row,$C:$C,0),""))),"")</f>
        <v/>
      </c>
      <c r="N56" t="str">
        <f>IF(is_cat,
      IF(header_row_id=income_header_row, MATCH(income_max_row,$C:$C,0),
          IF(header_row_id=expenses_header_row, MATCH(expenses_max_row,$C:$C,0),
              IF(header_row_id=savings_header_row, MATCH(savings_max_row,$C:$C,0),""))),"")</f>
        <v/>
      </c>
      <c r="O56" s="66" t="str">
        <f t="shared" si="22"/>
        <v/>
      </c>
      <c r="P56" t="str">
        <f t="shared" ca="1" si="23"/>
        <v/>
      </c>
      <c r="Q56" s="65" t="str">
        <f t="shared" si="24"/>
        <v/>
      </c>
      <c r="R56" t="str">
        <f t="shared" ca="1" si="25"/>
        <v/>
      </c>
      <c r="S56" s="29" t="str">
        <f t="shared" si="26"/>
        <v/>
      </c>
      <c r="T56" s="65" t="str">
        <f t="shared" si="27"/>
        <v/>
      </c>
      <c r="U56" t="str">
        <f t="shared" ca="1" si="28"/>
        <v/>
      </c>
      <c r="V56" s="65" t="str">
        <f t="shared" si="29"/>
        <v/>
      </c>
      <c r="W56" s="68" t="str">
        <f t="shared" ca="1" si="30"/>
        <v/>
      </c>
      <c r="X56" s="68">
        <f t="shared" si="31"/>
        <v>-1</v>
      </c>
      <c r="Y56" s="70" t="str">
        <f t="shared" si="32"/>
        <v/>
      </c>
      <c r="Z56" s="72" t="str">
        <f t="shared" si="33"/>
        <v/>
      </c>
      <c r="AA56" s="72" t="str">
        <f t="shared" si="34"/>
        <v/>
      </c>
      <c r="AB56" s="70" t="str">
        <f t="shared" si="35"/>
        <v/>
      </c>
      <c r="AC56" s="72" t="str">
        <f t="shared" si="36"/>
        <v/>
      </c>
      <c r="AD56" s="72" t="str">
        <f t="shared" si="37"/>
        <v/>
      </c>
    </row>
    <row r="57" spans="3:30" x14ac:dyDescent="0.3">
      <c r="C57" s="29">
        <f>IF(C56=-1,-1,
      IF(C56&lt;income_max_row,C56+1,
          IF(C56=income_max_row,income_total_row,
              IF(C56=income_total_row,"/1",
                  IF(C56="/1",expenses_header_row,
                       IF(C56&lt;expenses_max_row,C56+1,
                            IF(C56=expenses_max_row,expenses_total_row,
                                IF(C56=expenses_max_row,expenses_total_row,
                                    IF(C56=expenses_total_row,"/2",
                                        IF(C56="/2",savings_header_row,
                                            IF(C56&lt;savings_max_row,C56+1,
                                                 IF(C56=savings_max_row,savings_total_row,-1))))))))))))</f>
        <v>-1</v>
      </c>
      <c r="D57" s="30">
        <f t="shared" si="19"/>
        <v>-1</v>
      </c>
      <c r="E57" s="29">
        <f>1*OR(row_id=income_header_row,row_id=expenses_header_row,row_id=savings_header_row)</f>
        <v>0</v>
      </c>
      <c r="F57">
        <f t="shared" si="20"/>
        <v>0</v>
      </c>
      <c r="G57">
        <f>1*OR(row_id=income_total_row,row_id=expenses_total_row,row_id=savings_total_row)</f>
        <v>0</v>
      </c>
      <c r="H57" s="30">
        <f t="shared" si="21"/>
        <v>1</v>
      </c>
      <c r="I57" s="29" t="str">
        <f>IFERROR(INDEX('Budget Planning'!$C:$C,header_row_id),"")</f>
        <v/>
      </c>
      <c r="J57" t="str">
        <f>IFERROR(INDEX('Budget Planning'!$C:$C,row_id),"")</f>
        <v/>
      </c>
      <c r="K57"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7" s="63" t="str">
        <f>IF(OR(is_header,is_empty),"",
INDEX('Budget Planning'!$E:$EM,row_id,
MATCH(IF(selected_period="Total Year",selected_year,DATE(selected_year,selected_period,1)),'Budget Planning'!$E$9:$AS$9,0) ))</f>
        <v/>
      </c>
      <c r="M57" s="29" t="str">
        <f>IF(is_cat,
      IF(header_row_id=income_header_row, MATCH(income_min_row,$C:$C,0),
          IF(header_row_id=expenses_header_row, MATCH(expenses_min_row,$C:$C,0),
              IF(header_row_id=savings_header_row, MATCH(savings_min_row,$C:$C,0),""))),"")</f>
        <v/>
      </c>
      <c r="N57" t="str">
        <f>IF(is_cat,
      IF(header_row_id=income_header_row, MATCH(income_max_row,$C:$C,0),
          IF(header_row_id=expenses_header_row, MATCH(expenses_max_row,$C:$C,0),
              IF(header_row_id=savings_header_row, MATCH(savings_max_row,$C:$C,0),""))),"")</f>
        <v/>
      </c>
      <c r="O57" s="66" t="str">
        <f t="shared" si="22"/>
        <v/>
      </c>
      <c r="P57" t="str">
        <f t="shared" ca="1" si="23"/>
        <v/>
      </c>
      <c r="Q57" s="65" t="str">
        <f t="shared" si="24"/>
        <v/>
      </c>
      <c r="R57" t="str">
        <f t="shared" ca="1" si="25"/>
        <v/>
      </c>
      <c r="S57" s="29" t="str">
        <f t="shared" si="26"/>
        <v/>
      </c>
      <c r="T57" s="65" t="str">
        <f t="shared" si="27"/>
        <v/>
      </c>
      <c r="U57" t="str">
        <f t="shared" ca="1" si="28"/>
        <v/>
      </c>
      <c r="V57" s="65" t="str">
        <f t="shared" si="29"/>
        <v/>
      </c>
      <c r="W57" s="68" t="str">
        <f t="shared" ca="1" si="30"/>
        <v/>
      </c>
      <c r="X57" s="68">
        <f t="shared" si="31"/>
        <v>-1</v>
      </c>
      <c r="Y57" s="70" t="str">
        <f t="shared" si="32"/>
        <v/>
      </c>
      <c r="Z57" s="72" t="str">
        <f t="shared" si="33"/>
        <v/>
      </c>
      <c r="AA57" s="72" t="str">
        <f t="shared" si="34"/>
        <v/>
      </c>
      <c r="AB57" s="70" t="str">
        <f t="shared" si="35"/>
        <v/>
      </c>
      <c r="AC57" s="72" t="str">
        <f t="shared" si="36"/>
        <v/>
      </c>
      <c r="AD57" s="72" t="str">
        <f t="shared" si="37"/>
        <v/>
      </c>
    </row>
    <row r="58" spans="3:30" x14ac:dyDescent="0.3">
      <c r="C58" s="29">
        <f>IF(C57=-1,-1,
      IF(C57&lt;income_max_row,C57+1,
          IF(C57=income_max_row,income_total_row,
              IF(C57=income_total_row,"/1",
                  IF(C57="/1",expenses_header_row,
                       IF(C57&lt;expenses_max_row,C57+1,
                            IF(C57=expenses_max_row,expenses_total_row,
                                IF(C57=expenses_max_row,expenses_total_row,
                                    IF(C57=expenses_total_row,"/2",
                                        IF(C57="/2",savings_header_row,
                                            IF(C57&lt;savings_max_row,C57+1,
                                                 IF(C57=savings_max_row,savings_total_row,-1))))))))))))</f>
        <v>-1</v>
      </c>
      <c r="D58" s="30">
        <f t="shared" si="19"/>
        <v>-1</v>
      </c>
      <c r="E58" s="29">
        <f>1*OR(row_id=income_header_row,row_id=expenses_header_row,row_id=savings_header_row)</f>
        <v>0</v>
      </c>
      <c r="F58">
        <f t="shared" si="20"/>
        <v>0</v>
      </c>
      <c r="G58">
        <f>1*OR(row_id=income_total_row,row_id=expenses_total_row,row_id=savings_total_row)</f>
        <v>0</v>
      </c>
      <c r="H58" s="30">
        <f t="shared" si="21"/>
        <v>1</v>
      </c>
      <c r="I58" s="29" t="str">
        <f>IFERROR(INDEX('Budget Planning'!$C:$C,header_row_id),"")</f>
        <v/>
      </c>
      <c r="J58" t="str">
        <f>IFERROR(INDEX('Budget Planning'!$C:$C,row_id),"")</f>
        <v/>
      </c>
      <c r="K58"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8" s="63" t="str">
        <f>IF(OR(is_header,is_empty),"",
INDEX('Budget Planning'!$E:$EM,row_id,
MATCH(IF(selected_period="Total Year",selected_year,DATE(selected_year,selected_period,1)),'Budget Planning'!$E$9:$AS$9,0) ))</f>
        <v/>
      </c>
      <c r="M58" s="29" t="str">
        <f>IF(is_cat,
      IF(header_row_id=income_header_row, MATCH(income_min_row,$C:$C,0),
          IF(header_row_id=expenses_header_row, MATCH(expenses_min_row,$C:$C,0),
              IF(header_row_id=savings_header_row, MATCH(savings_min_row,$C:$C,0),""))),"")</f>
        <v/>
      </c>
      <c r="N58" t="str">
        <f>IF(is_cat,
      IF(header_row_id=income_header_row, MATCH(income_max_row,$C:$C,0),
          IF(header_row_id=expenses_header_row, MATCH(expenses_max_row,$C:$C,0),
              IF(header_row_id=savings_header_row, MATCH(savings_max_row,$C:$C,0),""))),"")</f>
        <v/>
      </c>
      <c r="O58" s="66" t="str">
        <f t="shared" si="22"/>
        <v/>
      </c>
      <c r="P58" t="str">
        <f t="shared" ca="1" si="23"/>
        <v/>
      </c>
      <c r="Q58" s="65" t="str">
        <f t="shared" si="24"/>
        <v/>
      </c>
      <c r="R58" t="str">
        <f t="shared" ca="1" si="25"/>
        <v/>
      </c>
      <c r="S58" s="29" t="str">
        <f t="shared" si="26"/>
        <v/>
      </c>
      <c r="T58" s="65" t="str">
        <f t="shared" si="27"/>
        <v/>
      </c>
      <c r="U58" t="str">
        <f t="shared" ca="1" si="28"/>
        <v/>
      </c>
      <c r="V58" s="65" t="str">
        <f t="shared" si="29"/>
        <v/>
      </c>
      <c r="W58" s="68" t="str">
        <f t="shared" ca="1" si="30"/>
        <v/>
      </c>
      <c r="X58" s="68">
        <f t="shared" si="31"/>
        <v>-1</v>
      </c>
      <c r="Y58" s="70" t="str">
        <f t="shared" si="32"/>
        <v/>
      </c>
      <c r="Z58" s="72" t="str">
        <f t="shared" si="33"/>
        <v/>
      </c>
      <c r="AA58" s="72" t="str">
        <f t="shared" si="34"/>
        <v/>
      </c>
      <c r="AB58" s="70" t="str">
        <f t="shared" si="35"/>
        <v/>
      </c>
      <c r="AC58" s="72" t="str">
        <f t="shared" si="36"/>
        <v/>
      </c>
      <c r="AD58" s="72" t="str">
        <f t="shared" si="37"/>
        <v/>
      </c>
    </row>
    <row r="59" spans="3:30" x14ac:dyDescent="0.3">
      <c r="C59" s="29">
        <f>IF(C58=-1,-1,
      IF(C58&lt;income_max_row,C58+1,
          IF(C58=income_max_row,income_total_row,
              IF(C58=income_total_row,"/1",
                  IF(C58="/1",expenses_header_row,
                       IF(C58&lt;expenses_max_row,C58+1,
                            IF(C58=expenses_max_row,expenses_total_row,
                                IF(C58=expenses_max_row,expenses_total_row,
                                    IF(C58=expenses_total_row,"/2",
                                        IF(C58="/2",savings_header_row,
                                            IF(C58&lt;savings_max_row,C58+1,
                                                 IF(C58=savings_max_row,savings_total_row,-1))))))))))))</f>
        <v>-1</v>
      </c>
      <c r="D59" s="30">
        <f t="shared" si="19"/>
        <v>-1</v>
      </c>
      <c r="E59" s="29">
        <f>1*OR(row_id=income_header_row,row_id=expenses_header_row,row_id=savings_header_row)</f>
        <v>0</v>
      </c>
      <c r="F59">
        <f t="shared" si="20"/>
        <v>0</v>
      </c>
      <c r="G59">
        <f>1*OR(row_id=income_total_row,row_id=expenses_total_row,row_id=savings_total_row)</f>
        <v>0</v>
      </c>
      <c r="H59" s="30">
        <f t="shared" si="21"/>
        <v>1</v>
      </c>
      <c r="I59" s="29" t="str">
        <f>IFERROR(INDEX('Budget Planning'!$C:$C,header_row_id),"")</f>
        <v/>
      </c>
      <c r="J59" t="str">
        <f>IFERROR(INDEX('Budget Planning'!$C:$C,row_id),"")</f>
        <v/>
      </c>
      <c r="K59"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59" s="63" t="str">
        <f>IF(OR(is_header,is_empty),"",
INDEX('Budget Planning'!$E:$EM,row_id,
MATCH(IF(selected_period="Total Year",selected_year,DATE(selected_year,selected_period,1)),'Budget Planning'!$E$9:$AS$9,0) ))</f>
        <v/>
      </c>
      <c r="M59" s="29" t="str">
        <f>IF(is_cat,
      IF(header_row_id=income_header_row, MATCH(income_min_row,$C:$C,0),
          IF(header_row_id=expenses_header_row, MATCH(expenses_min_row,$C:$C,0),
              IF(header_row_id=savings_header_row, MATCH(savings_min_row,$C:$C,0),""))),"")</f>
        <v/>
      </c>
      <c r="N59" t="str">
        <f>IF(is_cat,
      IF(header_row_id=income_header_row, MATCH(income_max_row,$C:$C,0),
          IF(header_row_id=expenses_header_row, MATCH(expenses_max_row,$C:$C,0),
              IF(header_row_id=savings_header_row, MATCH(savings_max_row,$C:$C,0),""))),"")</f>
        <v/>
      </c>
      <c r="O59" s="66" t="str">
        <f t="shared" si="22"/>
        <v/>
      </c>
      <c r="P59" t="str">
        <f t="shared" ca="1" si="23"/>
        <v/>
      </c>
      <c r="Q59" s="65" t="str">
        <f t="shared" si="24"/>
        <v/>
      </c>
      <c r="R59" t="str">
        <f t="shared" ca="1" si="25"/>
        <v/>
      </c>
      <c r="S59" s="29" t="str">
        <f t="shared" si="26"/>
        <v/>
      </c>
      <c r="T59" s="65" t="str">
        <f t="shared" si="27"/>
        <v/>
      </c>
      <c r="U59" t="str">
        <f t="shared" ca="1" si="28"/>
        <v/>
      </c>
      <c r="V59" s="65" t="str">
        <f t="shared" si="29"/>
        <v/>
      </c>
      <c r="W59" s="68" t="str">
        <f t="shared" ca="1" si="30"/>
        <v/>
      </c>
      <c r="X59" s="68">
        <f t="shared" si="31"/>
        <v>-1</v>
      </c>
      <c r="Y59" s="70" t="str">
        <f t="shared" si="32"/>
        <v/>
      </c>
      <c r="Z59" s="72" t="str">
        <f t="shared" si="33"/>
        <v/>
      </c>
      <c r="AA59" s="72" t="str">
        <f t="shared" si="34"/>
        <v/>
      </c>
      <c r="AB59" s="70" t="str">
        <f t="shared" si="35"/>
        <v/>
      </c>
      <c r="AC59" s="72" t="str">
        <f t="shared" si="36"/>
        <v/>
      </c>
      <c r="AD59" s="72" t="str">
        <f t="shared" si="37"/>
        <v/>
      </c>
    </row>
    <row r="60" spans="3:30" x14ac:dyDescent="0.3">
      <c r="C60" s="29">
        <f>IF(C59=-1,-1,
      IF(C59&lt;income_max_row,C59+1,
          IF(C59=income_max_row,income_total_row,
              IF(C59=income_total_row,"/1",
                  IF(C59="/1",expenses_header_row,
                       IF(C59&lt;expenses_max_row,C59+1,
                            IF(C59=expenses_max_row,expenses_total_row,
                                IF(C59=expenses_max_row,expenses_total_row,
                                    IF(C59=expenses_total_row,"/2",
                                        IF(C59="/2",savings_header_row,
                                            IF(C59&lt;savings_max_row,C59+1,
                                                 IF(C59=savings_max_row,savings_total_row,-1))))))))))))</f>
        <v>-1</v>
      </c>
      <c r="D60" s="30">
        <f t="shared" si="19"/>
        <v>-1</v>
      </c>
      <c r="E60" s="29">
        <f>1*OR(row_id=income_header_row,row_id=expenses_header_row,row_id=savings_header_row)</f>
        <v>0</v>
      </c>
      <c r="F60">
        <f t="shared" si="20"/>
        <v>0</v>
      </c>
      <c r="G60">
        <f>1*OR(row_id=income_total_row,row_id=expenses_total_row,row_id=savings_total_row)</f>
        <v>0</v>
      </c>
      <c r="H60" s="30">
        <f t="shared" si="21"/>
        <v>1</v>
      </c>
      <c r="I60" s="29" t="str">
        <f>IFERROR(INDEX('Budget Planning'!$C:$C,header_row_id),"")</f>
        <v/>
      </c>
      <c r="J60" t="str">
        <f>IFERROR(INDEX('Budget Planning'!$C:$C,row_id),"")</f>
        <v/>
      </c>
      <c r="K60"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60" s="63" t="str">
        <f>IF(OR(is_header,is_empty),"",
INDEX('Budget Planning'!$E:$EM,row_id,
MATCH(IF(selected_period="Total Year",selected_year,DATE(selected_year,selected_period,1)),'Budget Planning'!$E$9:$AS$9,0) ))</f>
        <v/>
      </c>
      <c r="M60" s="29" t="str">
        <f>IF(is_cat,
      IF(header_row_id=income_header_row, MATCH(income_min_row,$C:$C,0),
          IF(header_row_id=expenses_header_row, MATCH(expenses_min_row,$C:$C,0),
              IF(header_row_id=savings_header_row, MATCH(savings_min_row,$C:$C,0),""))),"")</f>
        <v/>
      </c>
      <c r="N60" t="str">
        <f>IF(is_cat,
      IF(header_row_id=income_header_row, MATCH(income_max_row,$C:$C,0),
          IF(header_row_id=expenses_header_row, MATCH(expenses_max_row,$C:$C,0),
              IF(header_row_id=savings_header_row, MATCH(savings_max_row,$C:$C,0),""))),"")</f>
        <v/>
      </c>
      <c r="O60" s="66" t="str">
        <f t="shared" si="22"/>
        <v/>
      </c>
      <c r="P60" t="str">
        <f t="shared" ca="1" si="23"/>
        <v/>
      </c>
      <c r="Q60" s="65" t="str">
        <f t="shared" si="24"/>
        <v/>
      </c>
      <c r="R60" t="str">
        <f t="shared" ca="1" si="25"/>
        <v/>
      </c>
      <c r="S60" s="29" t="str">
        <f t="shared" si="26"/>
        <v/>
      </c>
      <c r="T60" s="65" t="str">
        <f t="shared" si="27"/>
        <v/>
      </c>
      <c r="U60" t="str">
        <f t="shared" ca="1" si="28"/>
        <v/>
      </c>
      <c r="V60" s="65" t="str">
        <f t="shared" si="29"/>
        <v/>
      </c>
      <c r="W60" s="68" t="str">
        <f t="shared" ca="1" si="30"/>
        <v/>
      </c>
      <c r="X60" s="68">
        <f t="shared" si="31"/>
        <v>-1</v>
      </c>
      <c r="Y60" s="70" t="str">
        <f t="shared" si="32"/>
        <v/>
      </c>
      <c r="Z60" s="72" t="str">
        <f t="shared" si="33"/>
        <v/>
      </c>
      <c r="AA60" s="72" t="str">
        <f t="shared" si="34"/>
        <v/>
      </c>
      <c r="AB60" s="70" t="str">
        <f t="shared" si="35"/>
        <v/>
      </c>
      <c r="AC60" s="72" t="str">
        <f t="shared" si="36"/>
        <v/>
      </c>
      <c r="AD60" s="72" t="str">
        <f t="shared" si="37"/>
        <v/>
      </c>
    </row>
    <row r="61" spans="3:30" x14ac:dyDescent="0.3">
      <c r="C61" s="29">
        <f>IF(C60=-1,-1,
      IF(C60&lt;income_max_row,C60+1,
          IF(C60=income_max_row,income_total_row,
              IF(C60=income_total_row,"/1",
                  IF(C60="/1",expenses_header_row,
                       IF(C60&lt;expenses_max_row,C60+1,
                            IF(C60=expenses_max_row,expenses_total_row,
                                IF(C60=expenses_max_row,expenses_total_row,
                                    IF(C60=expenses_total_row,"/2",
                                        IF(C60="/2",savings_header_row,
                                            IF(C60&lt;savings_max_row,C60+1,
                                                 IF(C60=savings_max_row,savings_total_row,-1))))))))))))</f>
        <v>-1</v>
      </c>
      <c r="D61" s="30">
        <f t="shared" si="19"/>
        <v>-1</v>
      </c>
      <c r="E61" s="29">
        <f>1*OR(row_id=income_header_row,row_id=expenses_header_row,row_id=savings_header_row)</f>
        <v>0</v>
      </c>
      <c r="F61">
        <f t="shared" si="20"/>
        <v>0</v>
      </c>
      <c r="G61">
        <f>1*OR(row_id=income_total_row,row_id=expenses_total_row,row_id=savings_total_row)</f>
        <v>0</v>
      </c>
      <c r="H61" s="30">
        <f t="shared" si="21"/>
        <v>1</v>
      </c>
      <c r="I61" s="29" t="str">
        <f>IFERROR(INDEX('Budget Planning'!$C:$C,header_row_id),"")</f>
        <v/>
      </c>
      <c r="J61" t="str">
        <f>IFERROR(INDEX('Budget Planning'!$C:$C,row_id),"")</f>
        <v/>
      </c>
      <c r="K61"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61" s="63" t="str">
        <f>IF(OR(is_header,is_empty),"",
INDEX('Budget Planning'!$E:$EM,row_id,
MATCH(IF(selected_period="Total Year",selected_year,DATE(selected_year,selected_period,1)),'Budget Planning'!$E$9:$AS$9,0) ))</f>
        <v/>
      </c>
      <c r="M61" s="29" t="str">
        <f>IF(is_cat,
      IF(header_row_id=income_header_row, MATCH(income_min_row,$C:$C,0),
          IF(header_row_id=expenses_header_row, MATCH(expenses_min_row,$C:$C,0),
              IF(header_row_id=savings_header_row, MATCH(savings_min_row,$C:$C,0),""))),"")</f>
        <v/>
      </c>
      <c r="N61" t="str">
        <f>IF(is_cat,
      IF(header_row_id=income_header_row, MATCH(income_max_row,$C:$C,0),
          IF(header_row_id=expenses_header_row, MATCH(expenses_max_row,$C:$C,0),
              IF(header_row_id=savings_header_row, MATCH(savings_max_row,$C:$C,0),""))),"")</f>
        <v/>
      </c>
      <c r="O61" s="66" t="str">
        <f t="shared" si="22"/>
        <v/>
      </c>
      <c r="P61" t="str">
        <f t="shared" ca="1" si="23"/>
        <v/>
      </c>
      <c r="Q61" s="65" t="str">
        <f t="shared" si="24"/>
        <v/>
      </c>
      <c r="R61" t="str">
        <f t="shared" ca="1" si="25"/>
        <v/>
      </c>
      <c r="S61" s="29" t="str">
        <f t="shared" si="26"/>
        <v/>
      </c>
      <c r="T61" s="65" t="str">
        <f t="shared" si="27"/>
        <v/>
      </c>
      <c r="U61" t="str">
        <f t="shared" ca="1" si="28"/>
        <v/>
      </c>
      <c r="V61" s="65" t="str">
        <f t="shared" si="29"/>
        <v/>
      </c>
      <c r="W61" s="68" t="str">
        <f t="shared" ca="1" si="30"/>
        <v/>
      </c>
      <c r="X61" s="68">
        <f t="shared" si="31"/>
        <v>-1</v>
      </c>
      <c r="Y61" s="70" t="str">
        <f t="shared" si="32"/>
        <v/>
      </c>
      <c r="Z61" s="72" t="str">
        <f t="shared" si="33"/>
        <v/>
      </c>
      <c r="AA61" s="72" t="str">
        <f t="shared" si="34"/>
        <v/>
      </c>
      <c r="AB61" s="70" t="str">
        <f t="shared" si="35"/>
        <v/>
      </c>
      <c r="AC61" s="72" t="str">
        <f t="shared" si="36"/>
        <v/>
      </c>
      <c r="AD61" s="72" t="str">
        <f t="shared" si="37"/>
        <v/>
      </c>
    </row>
    <row r="62" spans="3:30" x14ac:dyDescent="0.3">
      <c r="C62" s="29">
        <f>IF(C61=-1,-1,
      IF(C61&lt;income_max_row,C61+1,
          IF(C61=income_max_row,income_total_row,
              IF(C61=income_total_row,"/1",
                  IF(C61="/1",expenses_header_row,
                       IF(C61&lt;expenses_max_row,C61+1,
                            IF(C61=expenses_max_row,expenses_total_row,
                                IF(C61=expenses_max_row,expenses_total_row,
                                    IF(C61=expenses_total_row,"/2",
                                        IF(C61="/2",savings_header_row,
                                            IF(C61&lt;savings_max_row,C61+1,
                                                 IF(C61=savings_max_row,savings_total_row,-1))))))))))))</f>
        <v>-1</v>
      </c>
      <c r="D62" s="30">
        <f t="shared" si="19"/>
        <v>-1</v>
      </c>
      <c r="E62" s="29">
        <f>1*OR(row_id=income_header_row,row_id=expenses_header_row,row_id=savings_header_row)</f>
        <v>0</v>
      </c>
      <c r="F62">
        <f t="shared" si="20"/>
        <v>0</v>
      </c>
      <c r="G62">
        <f>1*OR(row_id=income_total_row,row_id=expenses_total_row,row_id=savings_total_row)</f>
        <v>0</v>
      </c>
      <c r="H62" s="30">
        <f t="shared" si="21"/>
        <v>1</v>
      </c>
      <c r="I62" s="29" t="str">
        <f>IFERROR(INDEX('Budget Planning'!$C:$C,header_row_id),"")</f>
        <v/>
      </c>
      <c r="J62" t="str">
        <f>IFERROR(INDEX('Budget Planning'!$C:$C,row_id),"")</f>
        <v/>
      </c>
      <c r="K62" s="62" t="str">
        <f>IF(OR(is_header,is_empty),"",
      IF(is_total,
          IF(selected_period="Total Year",
               SUMPRODUCT(Tracking[Amount]*(Tracking[Type]=type)*(YEAR(Tracking[Effective Date])=selected_year)),
               SUMPRODUCT(Tracking[Amount]*(Tracking[Type]=type)*(YEAR(Tracking[Effective Date])=selected_year)*(MONTH(Tracking[Effective Date])=selected_period))),
           IF(selected_period="Total Year",
              SUMPRODUCT(Tracking[Amount]*(Tracking[Type]=type)*(Tracking[Category]=item)*(YEAR(Tracking[Effective Date])=selected_year)),
              SUMPRODUCT(Tracking[Amount]*(Tracking[Type]=type)*(Tracking[Category]=item)*(YEAR(Tracking[Effective Date])=selected_year)*(MONTH(Tracking[Effective Date])=selected_period)))
     )
)</f>
        <v/>
      </c>
      <c r="L62" s="63" t="str">
        <f>IF(OR(is_header,is_empty),"",
INDEX('Budget Planning'!$E:$EM,row_id,
MATCH(IF(selected_period="Total Year",selected_year,DATE(selected_year,selected_period,1)),'Budget Planning'!$E$9:$AS$9,0) ))</f>
        <v/>
      </c>
      <c r="M62" s="29" t="str">
        <f>IF(is_cat,
      IF(header_row_id=income_header_row, MATCH(income_min_row,$C:$C,0),
          IF(header_row_id=expenses_header_row, MATCH(expenses_min_row,$C:$C,0),
              IF(header_row_id=savings_header_row, MATCH(savings_min_row,$C:$C,0),""))),"")</f>
        <v/>
      </c>
      <c r="N62" t="str">
        <f>IF(is_cat,
      IF(header_row_id=income_header_row, MATCH(income_max_row,$C:$C,0),
          IF(header_row_id=expenses_header_row, MATCH(expenses_max_row,$C:$C,0),
              IF(header_row_id=savings_header_row, MATCH(savings_max_row,$C:$C,0),""))),"")</f>
        <v/>
      </c>
      <c r="O62" s="66" t="str">
        <f t="shared" si="22"/>
        <v/>
      </c>
      <c r="P62" t="str">
        <f t="shared" ca="1" si="23"/>
        <v/>
      </c>
      <c r="Q62" s="65" t="str">
        <f t="shared" si="24"/>
        <v/>
      </c>
      <c r="R62" t="str">
        <f t="shared" ca="1" si="25"/>
        <v/>
      </c>
      <c r="S62" s="29" t="str">
        <f t="shared" si="26"/>
        <v/>
      </c>
      <c r="T62" s="65" t="str">
        <f t="shared" si="27"/>
        <v/>
      </c>
      <c r="U62" t="str">
        <f t="shared" ca="1" si="28"/>
        <v/>
      </c>
      <c r="V62" s="65" t="str">
        <f t="shared" si="29"/>
        <v/>
      </c>
      <c r="W62" s="68" t="str">
        <f t="shared" ca="1" si="30"/>
        <v/>
      </c>
      <c r="X62" s="68">
        <f t="shared" si="31"/>
        <v>-1</v>
      </c>
      <c r="Y62" s="70" t="str">
        <f t="shared" si="32"/>
        <v/>
      </c>
      <c r="Z62" s="72" t="str">
        <f t="shared" si="33"/>
        <v/>
      </c>
      <c r="AA62" s="72" t="str">
        <f t="shared" si="34"/>
        <v/>
      </c>
      <c r="AB62" s="70" t="str">
        <f t="shared" si="35"/>
        <v/>
      </c>
      <c r="AC62" s="72" t="str">
        <f t="shared" si="36"/>
        <v/>
      </c>
      <c r="AD62" s="72" t="str">
        <f t="shared" si="37"/>
        <v/>
      </c>
    </row>
    <row r="63" spans="3:30" x14ac:dyDescent="0.3">
      <c r="O63" s="66"/>
    </row>
  </sheetData>
  <mergeCells count="8">
    <mergeCell ref="Y11:AD11"/>
    <mergeCell ref="AF11:AR11"/>
    <mergeCell ref="AQ5:AR5"/>
    <mergeCell ref="AQ6:AR6"/>
    <mergeCell ref="AN6:AP6"/>
    <mergeCell ref="AQ8:AR8"/>
    <mergeCell ref="AQ9:AR9"/>
    <mergeCell ref="AN9:AP9"/>
  </mergeCells>
  <phoneticPr fontId="25" type="noConversion"/>
  <conditionalFormatting sqref="Y13:AD62">
    <cfRule type="expression" dxfId="24" priority="31" stopIfTrue="1">
      <formula>row_id=income_header_row</formula>
    </cfRule>
    <cfRule type="expression" dxfId="23" priority="32" stopIfTrue="1">
      <formula>row_id=expenses_header_row</formula>
    </cfRule>
    <cfRule type="expression" dxfId="22" priority="33" stopIfTrue="1">
      <formula>row_id=savings_header_row</formula>
    </cfRule>
    <cfRule type="expression" dxfId="21" priority="34" stopIfTrue="1">
      <formula>is_total</formula>
    </cfRule>
  </conditionalFormatting>
  <conditionalFormatting sqref="AB13:AB62">
    <cfRule type="expression" dxfId="20" priority="35" stopIfTrue="1">
      <formula>AND(OR(is_cat, is_total), output_budget&gt;0, output_percentage_completed&gt;=1, header_row_id=income_header_row)</formula>
    </cfRule>
    <cfRule type="expression" dxfId="19" priority="36" stopIfTrue="1">
      <formula>AND(OR(is_cat, is_total), output_budget&gt;0, output_percentage_completed&gt;=1, header_row_id=expenses_header_row)</formula>
    </cfRule>
    <cfRule type="expression" dxfId="18" priority="37" stopIfTrue="1">
      <formula>AND(OR(is_cat, is_total), output_budget&gt;0, output_percentage_completed&gt;=1, header_row_id=savings_header_row)</formula>
    </cfRule>
    <cfRule type="dataBar" priority="38">
      <dataBar>
        <cfvo type="num" val="0"/>
        <cfvo type="num" val="1"/>
        <color theme="0" tint="-0.249977111117893"/>
      </dataBar>
      <extLst>
        <ext xmlns:x14="http://schemas.microsoft.com/office/spreadsheetml/2009/9/main" uri="{B025F937-C7B1-47D3-B67F-A62EFF666E3E}">
          <x14:id>{A5E7FDB1-8742-409C-A0B7-3929D25FA425}</x14:id>
        </ext>
      </extLst>
    </cfRule>
  </conditionalFormatting>
  <conditionalFormatting sqref="AH16">
    <cfRule type="expression" dxfId="17" priority="25">
      <formula>AI16&lt;&gt;""</formula>
    </cfRule>
  </conditionalFormatting>
  <conditionalFormatting sqref="AH17">
    <cfRule type="expression" dxfId="16" priority="26">
      <formula>AI17&lt;&gt;""</formula>
    </cfRule>
  </conditionalFormatting>
  <conditionalFormatting sqref="AH18">
    <cfRule type="expression" dxfId="15" priority="27">
      <formula>AI18&lt;&gt;""</formula>
    </cfRule>
  </conditionalFormatting>
  <conditionalFormatting sqref="AH19">
    <cfRule type="expression" dxfId="14" priority="28">
      <formula>AI19&lt;&gt;""</formula>
    </cfRule>
  </conditionalFormatting>
  <conditionalFormatting sqref="AH20">
    <cfRule type="expression" dxfId="13" priority="29">
      <formula>AI20&lt;&gt;""</formula>
    </cfRule>
  </conditionalFormatting>
  <conditionalFormatting sqref="AH21">
    <cfRule type="expression" dxfId="12" priority="30">
      <formula>AI21&lt;&gt;""</formula>
    </cfRule>
  </conditionalFormatting>
  <conditionalFormatting sqref="AH28">
    <cfRule type="expression" dxfId="11" priority="7">
      <formula>AI28&lt;&gt;""</formula>
    </cfRule>
  </conditionalFormatting>
  <conditionalFormatting sqref="AH29">
    <cfRule type="expression" dxfId="10" priority="8">
      <formula>AI29&lt;&gt;""</formula>
    </cfRule>
  </conditionalFormatting>
  <conditionalFormatting sqref="AH30">
    <cfRule type="expression" dxfId="9" priority="9">
      <formula>AI30&lt;&gt;""</formula>
    </cfRule>
  </conditionalFormatting>
  <conditionalFormatting sqref="AH31">
    <cfRule type="expression" dxfId="8" priority="10">
      <formula>AI31&lt;&gt;""</formula>
    </cfRule>
  </conditionalFormatting>
  <conditionalFormatting sqref="AH32">
    <cfRule type="expression" dxfId="7" priority="11">
      <formula>AI32&lt;&gt;""</formula>
    </cfRule>
  </conditionalFormatting>
  <conditionalFormatting sqref="AH33">
    <cfRule type="expression" dxfId="6" priority="12">
      <formula>AI33&lt;&gt;""</formula>
    </cfRule>
  </conditionalFormatting>
  <conditionalFormatting sqref="AO28">
    <cfRule type="expression" dxfId="5" priority="1">
      <formula>AP28&lt;&gt;""</formula>
    </cfRule>
  </conditionalFormatting>
  <conditionalFormatting sqref="AO29">
    <cfRule type="expression" dxfId="4" priority="2">
      <formula>AP29&lt;&gt;""</formula>
    </cfRule>
  </conditionalFormatting>
  <conditionalFormatting sqref="AO30">
    <cfRule type="expression" dxfId="3" priority="3">
      <formula>AP30&lt;&gt;""</formula>
    </cfRule>
  </conditionalFormatting>
  <conditionalFormatting sqref="AO31">
    <cfRule type="expression" dxfId="2" priority="4">
      <formula>AP31&lt;&gt;""</formula>
    </cfRule>
  </conditionalFormatting>
  <conditionalFormatting sqref="AO32">
    <cfRule type="expression" dxfId="1" priority="5">
      <formula>AP32&lt;&gt;""</formula>
    </cfRule>
  </conditionalFormatting>
  <conditionalFormatting sqref="AO33">
    <cfRule type="expression" dxfId="0" priority="6">
      <formula>AP33&lt;&gt;""</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64" r:id="rId4" name="Check Box 16">
              <controlPr defaultSize="0" autoFill="0" autoLine="0" autoPict="0">
                <anchor moveWithCells="1">
                  <from>
                    <xdr:col>41</xdr:col>
                    <xdr:colOff>289560</xdr:colOff>
                    <xdr:row>12</xdr:row>
                    <xdr:rowOff>121920</xdr:rowOff>
                  </from>
                  <to>
                    <xdr:col>41</xdr:col>
                    <xdr:colOff>1043940</xdr:colOff>
                    <xdr:row>13</xdr:row>
                    <xdr:rowOff>144780</xdr:rowOff>
                  </to>
                </anchor>
              </controlPr>
            </control>
          </mc:Choice>
        </mc:AlternateContent>
        <mc:AlternateContent xmlns:mc="http://schemas.openxmlformats.org/markup-compatibility/2006">
          <mc:Choice Requires="x14">
            <control shapeId="2065" r:id="rId5" name="Check Box 17">
              <controlPr defaultSize="0" autoFill="0" autoLine="0" autoPict="0">
                <anchor moveWithCells="1">
                  <from>
                    <xdr:col>41</xdr:col>
                    <xdr:colOff>289560</xdr:colOff>
                    <xdr:row>13</xdr:row>
                    <xdr:rowOff>106680</xdr:rowOff>
                  </from>
                  <to>
                    <xdr:col>41</xdr:col>
                    <xdr:colOff>1043940</xdr:colOff>
                    <xdr:row>14</xdr:row>
                    <xdr:rowOff>129540</xdr:rowOff>
                  </to>
                </anchor>
              </controlPr>
            </control>
          </mc:Choice>
        </mc:AlternateContent>
        <mc:AlternateContent xmlns:mc="http://schemas.openxmlformats.org/markup-compatibility/2006">
          <mc:Choice Requires="x14">
            <control shapeId="2066" r:id="rId6" name="Check Box 18">
              <controlPr defaultSize="0" autoFill="0" autoLine="0" autoPict="0">
                <anchor moveWithCells="1">
                  <from>
                    <xdr:col>41</xdr:col>
                    <xdr:colOff>1089660</xdr:colOff>
                    <xdr:row>12</xdr:row>
                    <xdr:rowOff>106680</xdr:rowOff>
                  </from>
                  <to>
                    <xdr:col>43</xdr:col>
                    <xdr:colOff>45720</xdr:colOff>
                    <xdr:row>13</xdr:row>
                    <xdr:rowOff>137160</xdr:rowOff>
                  </to>
                </anchor>
              </controlPr>
            </control>
          </mc:Choice>
        </mc:AlternateContent>
        <mc:AlternateContent xmlns:mc="http://schemas.openxmlformats.org/markup-compatibility/2006">
          <mc:Choice Requires="x14">
            <control shapeId="2067" r:id="rId7" name="Check Box 19">
              <controlPr defaultSize="0" autoFill="0" autoLine="0" autoPict="0">
                <anchor moveWithCells="1">
                  <from>
                    <xdr:col>41</xdr:col>
                    <xdr:colOff>1089660</xdr:colOff>
                    <xdr:row>13</xdr:row>
                    <xdr:rowOff>99060</xdr:rowOff>
                  </from>
                  <to>
                    <xdr:col>43</xdr:col>
                    <xdr:colOff>45720</xdr:colOff>
                    <xdr:row>14</xdr:row>
                    <xdr:rowOff>129540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A5E7FDB1-8742-409C-A0B7-3929D25FA425}">
            <x14:dataBar minLength="0" maxLength="100" gradient="0">
              <x14:cfvo type="num">
                <xm:f>0</xm:f>
              </x14:cfvo>
              <x14:cfvo type="num">
                <xm:f>1</xm:f>
              </x14:cfvo>
              <x14:negativeFillColor rgb="FFFF0000"/>
              <x14:axisColor rgb="FF000000"/>
            </x14:dataBar>
          </x14:cfRule>
          <xm:sqref>AB13:AB62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11B14DD0-2D78-44F2-84EA-0BF06D8EAC90}">
          <x14:formula1>
            <xm:f>'Dropdown Data'!$C$7:$C$17</xm:f>
          </x14:formula1>
          <xm:sqref>AQ6:AR6</xm:sqref>
        </x14:dataValidation>
        <x14:dataValidation type="list" allowBlank="1" showInputMessage="1" showErrorMessage="1" xr:uid="{608488E2-2EA7-46D9-8806-B1D6CA095279}">
          <x14:formula1>
            <xm:f>'Dropdown Data'!$E$7:$E$20</xm:f>
          </x14:formula1>
          <xm:sqref>AQ9:AR9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C9185-C107-4D62-BDF0-2AD715AD57DD}">
  <sheetPr>
    <tabColor rgb="FF002060"/>
  </sheetPr>
  <dimension ref="A1:AZ103"/>
  <sheetViews>
    <sheetView showGridLines="0" topLeftCell="A13" zoomScale="80" zoomScaleNormal="80" workbookViewId="0">
      <selection activeCell="G24" sqref="G24"/>
    </sheetView>
  </sheetViews>
  <sheetFormatPr defaultRowHeight="14.4" x14ac:dyDescent="0.3"/>
  <cols>
    <col min="1" max="1" width="5.109375" customWidth="1"/>
    <col min="2" max="2" width="5.44140625" customWidth="1"/>
    <col min="3" max="3" width="3.21875" customWidth="1"/>
    <col min="4" max="4" width="22.21875" customWidth="1"/>
    <col min="5" max="5" width="32.21875" style="44" bestFit="1" customWidth="1"/>
    <col min="6" max="6" width="14.77734375" style="44" customWidth="1"/>
    <col min="7" max="7" width="8.88671875" style="44" customWidth="1"/>
    <col min="8" max="8" width="22.21875" style="44" customWidth="1"/>
    <col min="9" max="9" width="32.21875" style="44" customWidth="1"/>
    <col min="10" max="10" width="8.77734375" style="44" customWidth="1"/>
    <col min="11" max="11" width="8.88671875" style="44" customWidth="1"/>
    <col min="12" max="12" width="22.21875" style="112" customWidth="1"/>
    <col min="13" max="13" width="32.21875" customWidth="1"/>
    <col min="14" max="14" width="12.44140625" customWidth="1"/>
    <col min="15" max="15" width="11.33203125" customWidth="1"/>
    <col min="16" max="16" width="15.21875" customWidth="1"/>
    <col min="17" max="17" width="13.109375" customWidth="1"/>
    <col min="18" max="18" width="14.109375" customWidth="1"/>
  </cols>
  <sheetData>
    <row r="1" spans="1:52" x14ac:dyDescent="0.3">
      <c r="A1" s="42"/>
      <c r="B1" s="42"/>
      <c r="C1" s="42"/>
      <c r="D1" s="42"/>
      <c r="E1" s="103"/>
      <c r="F1" s="103"/>
      <c r="G1" s="103"/>
      <c r="H1" s="103"/>
      <c r="I1" s="103"/>
      <c r="J1" s="103"/>
      <c r="K1" s="103"/>
      <c r="L1" s="111"/>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row>
    <row r="2" spans="1:52" ht="23.4" x14ac:dyDescent="0.45">
      <c r="A2" s="42"/>
      <c r="B2" s="42"/>
      <c r="C2" s="43" t="s">
        <v>42</v>
      </c>
      <c r="D2" s="42"/>
      <c r="E2" s="103"/>
      <c r="F2" s="103"/>
      <c r="G2" s="103"/>
      <c r="H2" s="103"/>
      <c r="I2" s="103"/>
      <c r="J2" s="103"/>
      <c r="K2" s="103"/>
      <c r="L2" s="111"/>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row>
    <row r="3" spans="1:52" x14ac:dyDescent="0.3">
      <c r="A3" s="42"/>
      <c r="B3" s="42"/>
      <c r="C3" s="42"/>
      <c r="D3" s="42"/>
      <c r="E3" s="103"/>
      <c r="F3" s="103"/>
      <c r="G3" s="103"/>
      <c r="H3" s="103"/>
      <c r="I3" s="103"/>
      <c r="J3" s="103"/>
      <c r="K3" s="103"/>
      <c r="L3" s="111"/>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row>
    <row r="6" spans="1:52" x14ac:dyDescent="0.3">
      <c r="C6" s="136" t="s">
        <v>43</v>
      </c>
      <c r="D6" s="137"/>
      <c r="E6" s="137"/>
      <c r="F6" s="137"/>
    </row>
    <row r="8" spans="1:52" x14ac:dyDescent="0.3">
      <c r="D8" s="8" t="s">
        <v>44</v>
      </c>
      <c r="E8" s="121">
        <f ca="1">current_date</f>
        <v>45155</v>
      </c>
    </row>
    <row r="9" spans="1:52" x14ac:dyDescent="0.3">
      <c r="D9" s="8" t="s">
        <v>45</v>
      </c>
      <c r="E9" s="121">
        <f>MAX(Tracking[Date])</f>
        <v>45000</v>
      </c>
    </row>
    <row r="10" spans="1:52" x14ac:dyDescent="0.3">
      <c r="D10" s="8" t="s">
        <v>46</v>
      </c>
      <c r="E10" s="44" t="str">
        <f ca="1">IF(E9=0,"","("&amp;_xlfn.DAYS(E8,E9)&amp;" days ago)")</f>
        <v>(155 days ago)</v>
      </c>
    </row>
    <row r="11" spans="1:52" x14ac:dyDescent="0.3">
      <c r="D11" s="8" t="s">
        <v>47</v>
      </c>
      <c r="E11" s="119">
        <f>COUNT(Tracking[Date])</f>
        <v>23</v>
      </c>
    </row>
    <row r="12" spans="1:52" x14ac:dyDescent="0.3">
      <c r="D12" s="8" t="s">
        <v>48</v>
      </c>
      <c r="E12" s="44" t="str">
        <f ca="1">"(" &amp;SUMPRODUCT(--(YEAR(Tracking[Date])=YEAR(current_date)))&amp;  " this year)"</f>
        <v>(22 this year)</v>
      </c>
    </row>
    <row r="13" spans="1:52" x14ac:dyDescent="0.3">
      <c r="D13" s="8" t="s">
        <v>49</v>
      </c>
      <c r="E13" s="122">
        <f>_xlfn.IFNA(INDEX(Tracking[Balance],MATCH(Calculations!E9,Tracking[Date],0)),".")</f>
        <v>3250</v>
      </c>
    </row>
    <row r="14" spans="1:52" x14ac:dyDescent="0.3">
      <c r="D14" s="8" t="s">
        <v>50</v>
      </c>
      <c r="E14" s="44" t="str">
        <f>IF(E13&gt;=0, "of tracked income left to be allocated","allocated not covered by income")</f>
        <v>of tracked income left to be allocated</v>
      </c>
    </row>
    <row r="17" spans="3:14" x14ac:dyDescent="0.3">
      <c r="C17" s="136" t="s">
        <v>62</v>
      </c>
      <c r="D17" s="137"/>
      <c r="E17" s="137"/>
      <c r="F17" s="137"/>
    </row>
    <row r="19" spans="3:14" x14ac:dyDescent="0.3">
      <c r="D19" s="8" t="s">
        <v>63</v>
      </c>
      <c r="E19" s="119">
        <f ca="1">IF('Budget Dashboard'!AQ$6="Current Year", YEAR(current_date),'Budget Dashboard'!AQ$6)</f>
        <v>2023</v>
      </c>
    </row>
    <row r="20" spans="3:14" x14ac:dyDescent="0.3">
      <c r="D20" s="54" t="s">
        <v>64</v>
      </c>
      <c r="E20" s="120">
        <f>IF('Budget Dashboard'!AQ$9="Total Year","Total Year",IF('Budget Dashboard'!AQ$9="Current Month",MONTH(current_date),MONTH('Budget Dashboard'!AQ$9)))</f>
        <v>2</v>
      </c>
    </row>
    <row r="21" spans="3:14" x14ac:dyDescent="0.3">
      <c r="D21" s="56" t="s">
        <v>65</v>
      </c>
      <c r="E21" s="119" t="str">
        <f ca="1">IF(selected_period="Total Year","Total Year",PROPER((TEXT(DATE(selected_year,selected_period,1),"mmmm"))))</f>
        <v>Febrero</v>
      </c>
    </row>
    <row r="22" spans="3:14" x14ac:dyDescent="0.3">
      <c r="D22" s="8" t="s">
        <v>110</v>
      </c>
      <c r="E22" s="119">
        <f ca="1">IF(selected_period="Total Year",DATE(selected_year,12,31)-DATE(selected_year-1,12,31),DAY(EOMONTH(DATE(selected_year,selected_period,1),0)))</f>
        <v>28</v>
      </c>
    </row>
    <row r="23" spans="3:14" x14ac:dyDescent="0.3">
      <c r="D23" s="8" t="s">
        <v>108</v>
      </c>
      <c r="E23" s="119">
        <f ca="1">IF(selected_year=YEAR(current_date),
IF(selected_period="Total Year",current_date-DATE(selected_year-1,12,31),
IF(selected_period&lt;MONTH(current_date),E22,0)),
IF(selected_year&lt;YEAR(current_date),E22,0))</f>
        <v>28</v>
      </c>
    </row>
    <row r="24" spans="3:14" x14ac:dyDescent="0.3">
      <c r="D24" s="8" t="s">
        <v>109</v>
      </c>
      <c r="E24" s="123">
        <f ca="1">(E23/E22)</f>
        <v>1</v>
      </c>
    </row>
    <row r="25" spans="3:14" x14ac:dyDescent="0.3">
      <c r="D25" s="8" t="s">
        <v>111</v>
      </c>
      <c r="E25" s="126">
        <f ca="1">F39-J39-N39</f>
        <v>2450</v>
      </c>
    </row>
    <row r="26" spans="3:14" x14ac:dyDescent="0.3">
      <c r="D26" s="8" t="s">
        <v>50</v>
      </c>
      <c r="E26" s="44" t="str">
        <f ca="1">IF(E25&gt;=0, "of tracked income left to be allocated","allocated not covered by income")</f>
        <v>of tracked income left to be allocated</v>
      </c>
    </row>
    <row r="27" spans="3:14" x14ac:dyDescent="0.3">
      <c r="D27" s="8" t="s">
        <v>112</v>
      </c>
      <c r="E27" s="123">
        <f ca="1">IFERROR(IF(savings_rate_calculation_type="% allocated to Savings",N39/F39,(F39-J39)/F39),"-")</f>
        <v>0.19607843137254902</v>
      </c>
    </row>
    <row r="30" spans="3:14" x14ac:dyDescent="0.3">
      <c r="D30" s="84" t="s">
        <v>89</v>
      </c>
      <c r="E30" s="104"/>
      <c r="F30" s="104"/>
      <c r="G30" s="104"/>
      <c r="H30" s="104"/>
      <c r="I30" s="104"/>
      <c r="J30" s="104"/>
      <c r="K30" s="104"/>
      <c r="L30" s="113"/>
      <c r="M30" s="83"/>
      <c r="N30" s="83"/>
    </row>
    <row r="32" spans="3:14" x14ac:dyDescent="0.3">
      <c r="D32" s="85" t="s">
        <v>5</v>
      </c>
      <c r="E32" s="99" t="s">
        <v>30</v>
      </c>
      <c r="F32" s="99" t="s">
        <v>31</v>
      </c>
      <c r="H32" s="99" t="s">
        <v>11</v>
      </c>
      <c r="I32" s="99" t="s">
        <v>30</v>
      </c>
      <c r="J32" s="99" t="s">
        <v>31</v>
      </c>
      <c r="L32" s="114" t="s">
        <v>15</v>
      </c>
      <c r="M32" s="85" t="s">
        <v>30</v>
      </c>
      <c r="N32" s="85" t="s">
        <v>31</v>
      </c>
    </row>
    <row r="33" spans="4:14" x14ac:dyDescent="0.3">
      <c r="D33" s="65">
        <v>1</v>
      </c>
      <c r="E33" s="44" t="str">
        <f ca="1">IF(F33="","",INDEX('Budget Dashboard'!$J:$J, MATCH(income_header_row + Calculations!D33, 'Budget Dashboard'!$X:$X,0)))</f>
        <v>Employment (Net)</v>
      </c>
      <c r="F33" s="107">
        <f ca="1">IF(D33&gt;COUNTA(Income[]),"",
      IF(INDEX('Budget Dashboard'!$K:$K, MATCH(income_header_row + Calculations!D33, 'Budget Dashboard'!$X:$X,0))=0, "",
          INDEX('Budget Dashboard'!$K:$K, MATCH(income_header_row + Calculations!D33, 'Budget Dashboard'!$X:$X,0))))</f>
        <v>3500</v>
      </c>
      <c r="H33" s="44">
        <v>1</v>
      </c>
      <c r="I33" s="44" t="str">
        <f ca="1">IF(J33="","",INDEX('Budget Dashboard'!$J:$J, MATCH(expenses_header_row + Calculations!H33, 'Budget Dashboard'!$X:$X,0)))</f>
        <v>Housing</v>
      </c>
      <c r="J33" s="107">
        <f ca="1">IF(H33&gt;COUNTA(Expenses[]),"",
      IF(INDEX('Budget Dashboard'!$K:$K, MATCH(expenses_header_row + Calculations!H33, 'Budget Dashboard'!$X:$X,0))=0, "",
          INDEX('Budget Dashboard'!$K:$K, MATCH(expenses_header_row + Calculations!H33, 'Budget Dashboard'!$X:$X,0))))</f>
        <v>1000</v>
      </c>
      <c r="L33" s="112">
        <v>1</v>
      </c>
      <c r="M33" s="65" t="str">
        <f ca="1">IF(N33="","",INDEX('Budget Dashboard'!$J:$J, MATCH(savings_header_row + Calculations!L33, 'Budget Dashboard'!$X:$X,0)))</f>
        <v>Retirement Account</v>
      </c>
      <c r="N33" s="88">
        <f ca="1">IF(L33&gt;COUNTA(Savings[]),"",
      IF(INDEX('Budget Dashboard'!$K:$K, MATCH(savings_header_row + Calculations!L33, 'Budget Dashboard'!$X:$X,0))=0, "",
          INDEX('Budget Dashboard'!$K:$K, MATCH(savings_header_row + Calculations!L33, 'Budget Dashboard'!$X:$X,0))))</f>
        <v>500</v>
      </c>
    </row>
    <row r="34" spans="4:14" x14ac:dyDescent="0.3">
      <c r="D34" s="65">
        <v>2</v>
      </c>
      <c r="E34" s="44" t="str">
        <f ca="1">IF(F34="","",INDEX('Budget Dashboard'!$J:$J, MATCH(income_header_row + Calculations!D34, 'Budget Dashboard'!$X:$X,0)))</f>
        <v>Side Hustle (Net)</v>
      </c>
      <c r="F34" s="107">
        <f ca="1">IF(D34&gt;COUNTA(Income[]),"",
      IF(INDEX('Budget Dashboard'!$K:$K, MATCH(income_header_row + Calculations!D34, 'Budget Dashboard'!$X:$X,0))=0, "",
          INDEX('Budget Dashboard'!$K:$K, MATCH(income_header_row + Calculations!D34, 'Budget Dashboard'!$X:$X,0))))</f>
        <v>1000</v>
      </c>
      <c r="H34" s="44">
        <v>2</v>
      </c>
      <c r="I34" s="44" t="str">
        <f ca="1">IF(J34="","",INDEX('Budget Dashboard'!$J:$J, MATCH(expenses_header_row + Calculations!H34, 'Budget Dashboard'!$X:$X,0)))</f>
        <v>Groceries</v>
      </c>
      <c r="J34" s="107">
        <f ca="1">IF(H34&gt;COUNTA(Expenses[]),"",
      IF(INDEX('Budget Dashboard'!$K:$K, MATCH(expenses_header_row + Calculations!H34, 'Budget Dashboard'!$X:$X,0))=0, "",
          INDEX('Budget Dashboard'!$K:$K, MATCH(expenses_header_row + Calculations!H34, 'Budget Dashboard'!$X:$X,0))))</f>
        <v>200</v>
      </c>
      <c r="L34" s="112">
        <v>2</v>
      </c>
      <c r="M34" s="65" t="str">
        <f ca="1">IF(N34="","",INDEX('Budget Dashboard'!$J:$J, MATCH(savings_header_row + Calculations!L34, 'Budget Dashboard'!$X:$X,0)))</f>
        <v>Stocks Investments</v>
      </c>
      <c r="N34" s="88">
        <f ca="1">IF(L34&gt;COUNTA(Savings[]),"",
      IF(INDEX('Budget Dashboard'!$K:$K, MATCH(savings_header_row + Calculations!L34, 'Budget Dashboard'!$X:$X,0))=0, "",
          INDEX('Budget Dashboard'!$K:$K, MATCH(savings_header_row + Calculations!L34, 'Budget Dashboard'!$X:$X,0))))</f>
        <v>250</v>
      </c>
    </row>
    <row r="35" spans="4:14" x14ac:dyDescent="0.3">
      <c r="D35" s="65">
        <v>3</v>
      </c>
      <c r="E35" s="44" t="str">
        <f ca="1">IF(F35="","",INDEX('Budget Dashboard'!$J:$J, MATCH(income_header_row + Calculations!D35, 'Budget Dashboard'!$X:$X,0)))</f>
        <v>Dividens Stocks</v>
      </c>
      <c r="F35" s="107">
        <f ca="1">IF(D35&gt;COUNTA(Income[]),"",
      IF(INDEX('Budget Dashboard'!$K:$K, MATCH(income_header_row + Calculations!D35, 'Budget Dashboard'!$X:$X,0))=0, "",
          INDEX('Budget Dashboard'!$K:$K, MATCH(income_header_row + Calculations!D35, 'Budget Dashboard'!$X:$X,0))))</f>
        <v>400</v>
      </c>
      <c r="H35" s="44">
        <v>3</v>
      </c>
      <c r="I35" s="44" t="str">
        <f ca="1">IF(J35="","",INDEX('Budget Dashboard'!$J:$J, MATCH(expenses_header_row + Calculations!H35, 'Budget Dashboard'!$X:$X,0)))</f>
        <v>Amusement &amp; Vacation</v>
      </c>
      <c r="J35" s="107">
        <f ca="1">IF(H35&gt;COUNTA(Expenses[]),"",
      IF(INDEX('Budget Dashboard'!$K:$K, MATCH(expenses_header_row + Calculations!H35, 'Budget Dashboard'!$X:$X,0))=0, "",
          INDEX('Budget Dashboard'!$K:$K, MATCH(expenses_header_row + Calculations!H35, 'Budget Dashboard'!$X:$X,0))))</f>
        <v>200</v>
      </c>
      <c r="L35" s="112">
        <v>3</v>
      </c>
      <c r="M35" s="65" t="str">
        <f ca="1">IF(N35="","",INDEX('Budget Dashboard'!$J:$J, MATCH(savings_header_row + Calculations!L35, 'Budget Dashboard'!$X:$X,0)))</f>
        <v>Stock Portfolio</v>
      </c>
      <c r="N35" s="88">
        <f ca="1">IF(L35&gt;COUNTA(Savings[]),"",
      IF(INDEX('Budget Dashboard'!$K:$K, MATCH(savings_header_row + Calculations!L35, 'Budget Dashboard'!$X:$X,0))=0, "",
          INDEX('Budget Dashboard'!$K:$K, MATCH(savings_header_row + Calculations!L35, 'Budget Dashboard'!$X:$X,0))))</f>
        <v>250</v>
      </c>
    </row>
    <row r="36" spans="4:14" x14ac:dyDescent="0.3">
      <c r="D36" s="65">
        <v>4</v>
      </c>
      <c r="E36" s="44" t="str">
        <f ca="1">IF(F36="","",INDEX('Budget Dashboard'!$J:$J, MATCH(income_header_row + Calculations!D36, 'Budget Dashboard'!$X:$X,0)))</f>
        <v>Other income</v>
      </c>
      <c r="F36" s="107">
        <f ca="1">IF(D36&gt;COUNTA(Income[]),"",
      IF(INDEX('Budget Dashboard'!$K:$K, MATCH(income_header_row + Calculations!D36, 'Budget Dashboard'!$X:$X,0))=0, "",
          INDEX('Budget Dashboard'!$K:$K, MATCH(income_header_row + Calculations!D36, 'Budget Dashboard'!$X:$X,0))))</f>
        <v>200</v>
      </c>
      <c r="H36" s="44">
        <v>4</v>
      </c>
      <c r="I36" s="44" t="str">
        <f ca="1">IF(J36="","",INDEX('Budget Dashboard'!$J:$J, MATCH(expenses_header_row + Calculations!H36, 'Budget Dashboard'!$X:$X,0)))</f>
        <v>Transport</v>
      </c>
      <c r="J36" s="107">
        <f ca="1">IF(H36&gt;COUNTA(Expenses[]),"",
      IF(INDEX('Budget Dashboard'!$K:$K, MATCH(expenses_header_row + Calculations!H36, 'Budget Dashboard'!$X:$X,0))=0, "",
          INDEX('Budget Dashboard'!$K:$K, MATCH(expenses_header_row + Calculations!H36, 'Budget Dashboard'!$X:$X,0))))</f>
        <v>100</v>
      </c>
      <c r="L36" s="112">
        <v>4</v>
      </c>
      <c r="M36" s="65" t="str">
        <f ca="1">IF(N36="","",INDEX('Budget Dashboard'!$J:$J, MATCH(savings_header_row + Calculations!L36, 'Budget Dashboard'!$X:$X,0)))</f>
        <v/>
      </c>
      <c r="N36" s="88" t="str">
        <f ca="1">IF(L36&gt;COUNTA(Savings[]),"",
      IF(INDEX('Budget Dashboard'!$K:$K, MATCH(savings_header_row + Calculations!L36, 'Budget Dashboard'!$X:$X,0))=0, "",
          INDEX('Budget Dashboard'!$K:$K, MATCH(savings_header_row + Calculations!L36, 'Budget Dashboard'!$X:$X,0))))</f>
        <v/>
      </c>
    </row>
    <row r="37" spans="4:14" x14ac:dyDescent="0.3">
      <c r="D37" s="65">
        <v>5</v>
      </c>
      <c r="E37" s="44" t="str">
        <f>IF(F37="","",INDEX('Budget Dashboard'!$J:$J, MATCH(income_header_row + Calculations!D37, 'Budget Dashboard'!$X:$X,0)))</f>
        <v/>
      </c>
      <c r="F37" s="107" t="str">
        <f>IF(D37&gt;COUNTA(Income[]),"",
      IF(INDEX('Budget Dashboard'!$K:$K, MATCH(income_header_row + Calculations!D37, 'Budget Dashboard'!$X:$X,0))=0, "",
          INDEX('Budget Dashboard'!$K:$K, MATCH(income_header_row + Calculations!D37, 'Budget Dashboard'!$X:$X,0))))</f>
        <v/>
      </c>
      <c r="H37" s="44">
        <v>5</v>
      </c>
      <c r="I37" s="44" t="str">
        <f ca="1">IF(J37="","",INDEX('Budget Dashboard'!$J:$J, MATCH(expenses_header_row + Calculations!H37, 'Budget Dashboard'!$X:$X,0)))</f>
        <v>Media</v>
      </c>
      <c r="J37" s="107">
        <f ca="1">IF(H37&gt;COUNTA(Expenses[]),"",
      IF(INDEX('Budget Dashboard'!$K:$K, MATCH(expenses_header_row + Calculations!H37, 'Budget Dashboard'!$X:$X,0))=0, "",
          INDEX('Budget Dashboard'!$K:$K, MATCH(expenses_header_row + Calculations!H37, 'Budget Dashboard'!$X:$X,0))))</f>
        <v>100</v>
      </c>
      <c r="L37" s="112">
        <v>5</v>
      </c>
      <c r="M37" s="65" t="str">
        <f>IF(N37="","",INDEX('Budget Dashboard'!$J:$J, MATCH(savings_header_row + Calculations!L37, 'Budget Dashboard'!$X:$X,0)))</f>
        <v/>
      </c>
      <c r="N37" s="88" t="str">
        <f>IF(L37&gt;COUNTA(Savings[]),"",
      IF(INDEX('Budget Dashboard'!$K:$K, MATCH(savings_header_row + Calculations!L37, 'Budget Dashboard'!$X:$X,0))=0, "",
          INDEX('Budget Dashboard'!$K:$K, MATCH(savings_header_row + Calculations!L37, 'Budget Dashboard'!$X:$X,0))))</f>
        <v/>
      </c>
    </row>
    <row r="38" spans="4:14" ht="15" thickBot="1" x14ac:dyDescent="0.35">
      <c r="D38" s="86">
        <v>6</v>
      </c>
      <c r="E38" s="105" t="str">
        <f ca="1">IF(F38="","","Others")</f>
        <v/>
      </c>
      <c r="F38" s="108" t="str">
        <f ca="1">IF(F39-SUM(F33:F37)=0,"",F39-SUM(F33:F37))</f>
        <v/>
      </c>
      <c r="H38" s="105">
        <v>6</v>
      </c>
      <c r="I38" s="105" t="str">
        <f ca="1">IF(J38="","","Others")</f>
        <v>Others</v>
      </c>
      <c r="J38" s="108">
        <f ca="1">IF(J39-SUM(J33:J37)=0,"",J39-SUM(J33:J37))</f>
        <v>50</v>
      </c>
      <c r="L38" s="115">
        <v>6</v>
      </c>
      <c r="M38" s="86" t="str">
        <f ca="1">IF(N38="","","Others")</f>
        <v/>
      </c>
      <c r="N38" s="89" t="str">
        <f ca="1">IF(N39-SUM(N33:N37)=0,"",N39-SUM(N33:N37))</f>
        <v/>
      </c>
    </row>
    <row r="39" spans="4:14" ht="15" thickTop="1" x14ac:dyDescent="0.3">
      <c r="D39" s="65"/>
      <c r="E39" s="98" t="s">
        <v>7</v>
      </c>
      <c r="F39" s="109">
        <f ca="1">INDEX('Budget Dashboard'!$K:$K, MATCH(income_total_row, 'Budget Dashboard'!$X:$X,0))</f>
        <v>5100</v>
      </c>
      <c r="I39" s="98" t="s">
        <v>7</v>
      </c>
      <c r="J39" s="109">
        <f ca="1">INDEX('Budget Dashboard'!$K:$K, MATCH(expenses_total_row, 'Budget Dashboard'!$X:$X,0))</f>
        <v>1650</v>
      </c>
      <c r="M39" s="87" t="s">
        <v>7</v>
      </c>
      <c r="N39" s="90">
        <f ca="1">INDEX('Budget Dashboard'!$K:$K, MATCH(savings_total_row, 'Budget Dashboard'!$X:$X,0))</f>
        <v>1000</v>
      </c>
    </row>
    <row r="48" spans="4:14" x14ac:dyDescent="0.3">
      <c r="D48" s="84" t="s">
        <v>90</v>
      </c>
      <c r="E48" s="104"/>
      <c r="F48" s="104"/>
      <c r="G48" s="104"/>
      <c r="H48" s="104"/>
      <c r="I48" s="104"/>
      <c r="J48" s="104"/>
      <c r="K48" s="104"/>
      <c r="L48" s="113"/>
      <c r="M48" s="83"/>
      <c r="N48" s="83"/>
    </row>
    <row r="50" spans="4:18" x14ac:dyDescent="0.3">
      <c r="D50" s="69" t="s">
        <v>104</v>
      </c>
      <c r="E50" s="44" t="b">
        <v>1</v>
      </c>
    </row>
    <row r="51" spans="4:18" x14ac:dyDescent="0.3">
      <c r="D51" s="69" t="s">
        <v>105</v>
      </c>
      <c r="E51" s="44" t="b">
        <v>1</v>
      </c>
    </row>
    <row r="52" spans="4:18" x14ac:dyDescent="0.3">
      <c r="D52" s="69" t="s">
        <v>106</v>
      </c>
      <c r="E52" s="44" t="b">
        <v>1</v>
      </c>
    </row>
    <row r="53" spans="4:18" x14ac:dyDescent="0.3">
      <c r="D53" s="69" t="s">
        <v>107</v>
      </c>
      <c r="E53" s="44" t="b">
        <v>1</v>
      </c>
    </row>
    <row r="54" spans="4:18" x14ac:dyDescent="0.3">
      <c r="M54" s="127" t="s">
        <v>99</v>
      </c>
      <c r="N54" s="127"/>
      <c r="O54" s="127"/>
      <c r="P54" s="138" t="s">
        <v>103</v>
      </c>
      <c r="Q54" s="138"/>
      <c r="R54" s="138"/>
    </row>
    <row r="55" spans="4:18" s="98" customFormat="1" x14ac:dyDescent="0.3">
      <c r="D55" s="102" t="s">
        <v>91</v>
      </c>
      <c r="E55" s="102" t="s">
        <v>29</v>
      </c>
      <c r="F55" s="102" t="s">
        <v>92</v>
      </c>
      <c r="G55" s="102" t="s">
        <v>93</v>
      </c>
      <c r="H55" s="102" t="s">
        <v>94</v>
      </c>
      <c r="I55" s="102" t="s">
        <v>95</v>
      </c>
      <c r="J55" s="102" t="s">
        <v>96</v>
      </c>
      <c r="K55" s="102" t="s">
        <v>97</v>
      </c>
      <c r="L55" s="116" t="s">
        <v>98</v>
      </c>
      <c r="M55" s="102" t="s">
        <v>100</v>
      </c>
      <c r="N55" s="102" t="s">
        <v>101</v>
      </c>
      <c r="O55" s="102" t="s">
        <v>102</v>
      </c>
      <c r="P55" s="102" t="s">
        <v>100</v>
      </c>
      <c r="Q55" s="102" t="s">
        <v>101</v>
      </c>
      <c r="R55" s="102" t="s">
        <v>102</v>
      </c>
    </row>
    <row r="56" spans="4:18" x14ac:dyDescent="0.3">
      <c r="D56" s="139">
        <f ca="1">DATE(selected_year,1,1)</f>
        <v>44927</v>
      </c>
      <c r="E56" s="44" t="s">
        <v>5</v>
      </c>
      <c r="F56" s="44">
        <f ca="1">MONTH(D56)</f>
        <v>1</v>
      </c>
      <c r="G56" s="44">
        <f ca="1">IF(selected_period="Total Year",1,IF(selected_period=cc_month_number,1,0))</f>
        <v>0</v>
      </c>
      <c r="H56" s="44">
        <f>1*$E$50</f>
        <v>1</v>
      </c>
      <c r="I56" s="44">
        <f>1*$E$53</f>
        <v>1</v>
      </c>
      <c r="J56" s="100">
        <f ca="1">SUMPRODUCT(Tracking[Amount]*(Tracking[Type]=cc_type)*(YEAR(Tracking[Effective Date])=selected_year)*(MONTH(Tracking[Effective Date])=cc_month_number))</f>
        <v>3500</v>
      </c>
      <c r="K56" s="100">
        <f ca="1">INDEX('Budget Planning'!$E:$EM,income_total_row, MATCH((DATE(selected_year,cc_month_number,1)),'Budget Planning'!$E$9:$AS$9,0) )</f>
        <v>4650</v>
      </c>
      <c r="L56" s="117">
        <f ca="1">cc_budget - cc_tracked</f>
        <v>1150</v>
      </c>
      <c r="M56" s="100">
        <f ca="1">cc_in_focus*cc_show_type*MIN(cc_tracked,cc_budget)</f>
        <v>0</v>
      </c>
      <c r="N56" s="100">
        <f ca="1">cc_in_focus*cc_show_type*cc_show_remaining_budget*IF(cc_delta&gt;0,cc_delta,0)</f>
        <v>0</v>
      </c>
      <c r="O56" s="100">
        <f ca="1">cc_in_focus*cc_show_type*IF(cc_delta&lt;0,ABS(cc_delta),0)</f>
        <v>0</v>
      </c>
      <c r="P56" s="100">
        <f ca="1">NOT(cc_in_focus)*cc_show_type*MIN(cc_tracked,cc_budget)</f>
        <v>3500</v>
      </c>
      <c r="Q56" s="100">
        <f ca="1">NOT(cc_in_focus)*cc_show_type*cc_show_remaining_budget*IF(cc_delta&gt;0,cc_delta,0)</f>
        <v>1150</v>
      </c>
      <c r="R56" s="100">
        <f ca="1">NOT(cc_in_focus)*cc_show_type*IF(cc_delta&lt;0,ABS(cc_delta),0)</f>
        <v>0</v>
      </c>
    </row>
    <row r="57" spans="4:18" x14ac:dyDescent="0.3">
      <c r="D57" s="139"/>
      <c r="E57" s="44" t="s">
        <v>11</v>
      </c>
      <c r="F57" s="44">
        <f ca="1">MONTH(D56)</f>
        <v>1</v>
      </c>
      <c r="G57" s="44">
        <f ca="1">IF(selected_period="Total Year",1,IF(selected_period=cc_month_number,1,0))</f>
        <v>0</v>
      </c>
      <c r="H57" s="44">
        <f>1*$E$51</f>
        <v>1</v>
      </c>
      <c r="I57" s="44">
        <f t="shared" ref="I57:I58" si="0">1*$E$53</f>
        <v>1</v>
      </c>
      <c r="J57" s="100">
        <f ca="1">SUMPRODUCT(Tracking[Amount]*(Tracking[Type]=cc_type)*(YEAR(Tracking[Effective Date])=selected_year)*(MONTH(Tracking[Effective Date])=cc_month_number))</f>
        <v>1350</v>
      </c>
      <c r="K57" s="100">
        <f ca="1">INDEX('Budget Planning'!$E:$EM,expenses_total_row, MATCH((DATE(selected_year,cc_month_number,1)),'Budget Planning'!$E$9:$AS$9,0) )</f>
        <v>2600</v>
      </c>
      <c r="L57" s="117">
        <f ca="1">cc_budget - cc_tracked</f>
        <v>1250</v>
      </c>
      <c r="M57" s="100">
        <f ca="1">cc_in_focus*cc_show_type*MIN(cc_tracked,cc_budget)</f>
        <v>0</v>
      </c>
      <c r="N57" s="100">
        <f ca="1">cc_in_focus*cc_show_type*cc_show_remaining_budget*IF(cc_delta&gt;0,cc_delta,0)</f>
        <v>0</v>
      </c>
      <c r="O57" s="100">
        <f ca="1">cc_in_focus*cc_show_type*IF(cc_delta&lt;0,ABS(cc_delta),0)</f>
        <v>0</v>
      </c>
      <c r="P57" s="100">
        <f ca="1">NOT(cc_in_focus)*cc_show_type*MIN(cc_tracked,cc_budget)</f>
        <v>1350</v>
      </c>
      <c r="Q57" s="100">
        <f ca="1">NOT(cc_in_focus)*cc_show_type*cc_show_remaining_budget*IF(cc_delta&gt;0,cc_delta,0)</f>
        <v>1250</v>
      </c>
      <c r="R57" s="100">
        <f ca="1">NOT(cc_in_focus)*cc_show_type*IF(cc_delta&lt;0,ABS(cc_delta),0)</f>
        <v>0</v>
      </c>
    </row>
    <row r="58" spans="4:18" x14ac:dyDescent="0.3">
      <c r="D58" s="139"/>
      <c r="E58" s="44" t="s">
        <v>15</v>
      </c>
      <c r="F58" s="44">
        <f ca="1">MONTH(D56)</f>
        <v>1</v>
      </c>
      <c r="G58" s="44">
        <f ca="1">IF(selected_period="Total Year",1,IF(selected_period=cc_month_number,1,0))</f>
        <v>0</v>
      </c>
      <c r="H58" s="44">
        <f>1*$E$52</f>
        <v>1</v>
      </c>
      <c r="I58" s="44">
        <f t="shared" si="0"/>
        <v>1</v>
      </c>
      <c r="J58" s="100">
        <f ca="1">SUMPRODUCT(Tracking[Amount]*(Tracking[Type]=cc_type)*(YEAR(Tracking[Effective Date])=selected_year)*(MONTH(Tracking[Effective Date])=cc_month_number))</f>
        <v>1000</v>
      </c>
      <c r="K58" s="100">
        <f ca="1">INDEX('Budget Planning'!$E:$EM,savings_total_row, MATCH((DATE(selected_year,cc_month_number,1)),'Budget Planning'!$E$9:$AS$9,0) )</f>
        <v>2100</v>
      </c>
      <c r="L58" s="117">
        <f ca="1">cc_budget - cc_tracked</f>
        <v>1100</v>
      </c>
      <c r="M58" s="100">
        <f ca="1">cc_in_focus*cc_show_type*MIN(cc_tracked,cc_budget)</f>
        <v>0</v>
      </c>
      <c r="N58" s="100">
        <f ca="1">cc_in_focus*cc_show_type*cc_show_remaining_budget*IF(cc_delta&gt;0,cc_delta,0)</f>
        <v>0</v>
      </c>
      <c r="O58" s="100">
        <f ca="1">cc_in_focus*cc_show_type*IF(cc_delta&lt;0,ABS(cc_delta),0)</f>
        <v>0</v>
      </c>
      <c r="P58" s="100">
        <f ca="1">NOT(cc_in_focus)*cc_show_type*MIN(cc_tracked,cc_budget)</f>
        <v>1000</v>
      </c>
      <c r="Q58" s="100">
        <f ca="1">NOT(cc_in_focus)*cc_show_type*cc_show_remaining_budget*IF(cc_delta&gt;0,cc_delta,0)</f>
        <v>1100</v>
      </c>
      <c r="R58" s="100">
        <f ca="1">NOT(cc_in_focus)*cc_show_type*IF(cc_delta&lt;0,ABS(cc_delta),0)</f>
        <v>0</v>
      </c>
    </row>
    <row r="59" spans="4:18" x14ac:dyDescent="0.3">
      <c r="D59" s="140"/>
      <c r="E59" s="101"/>
      <c r="F59" s="101"/>
      <c r="G59" s="101"/>
      <c r="H59" s="101"/>
      <c r="I59" s="101"/>
      <c r="J59" s="110"/>
      <c r="K59" s="110"/>
      <c r="L59" s="118"/>
      <c r="M59" s="101"/>
      <c r="N59" s="101"/>
      <c r="O59" s="101"/>
      <c r="P59" s="101"/>
      <c r="Q59" s="101"/>
      <c r="R59" s="101"/>
    </row>
    <row r="60" spans="4:18" x14ac:dyDescent="0.3">
      <c r="D60" s="141">
        <f ca="1">DATE(selected_year,2,1)</f>
        <v>44958</v>
      </c>
      <c r="E60" s="106" t="s">
        <v>5</v>
      </c>
      <c r="F60" s="44">
        <f t="shared" ref="F60" ca="1" si="1">MONTH(D60)</f>
        <v>2</v>
      </c>
      <c r="G60" s="44">
        <f ca="1">IF(selected_period="Total Year",1,IF(selected_period=cc_month_number,1,0))</f>
        <v>1</v>
      </c>
      <c r="H60" s="44">
        <f t="shared" ref="H60" si="2">1*$E$50</f>
        <v>1</v>
      </c>
      <c r="I60" s="44">
        <f t="shared" ref="I60:I102" si="3">1*$E$53</f>
        <v>1</v>
      </c>
      <c r="J60" s="100">
        <f ca="1">SUMPRODUCT(Tracking[Amount]*(Tracking[Type]=cc_type)*(YEAR(Tracking[Effective Date])=selected_year)*(MONTH(Tracking[Effective Date])=cc_month_number))</f>
        <v>5100</v>
      </c>
      <c r="K60" s="100">
        <f ca="1">INDEX('Budget Planning'!$E:$EM,income_total_row, MATCH((DATE(selected_year,cc_month_number,1)),'Budget Planning'!$E$9:$AS$9,0) )</f>
        <v>4550</v>
      </c>
      <c r="L60" s="117">
        <f ca="1">cc_budget - cc_tracked</f>
        <v>-550</v>
      </c>
      <c r="M60" s="100">
        <f ca="1">cc_in_focus*cc_show_type*MIN(cc_tracked,cc_budget)</f>
        <v>4550</v>
      </c>
      <c r="N60" s="100">
        <f ca="1">cc_in_focus*cc_show_type*cc_show_remaining_budget*IF(cc_delta&gt;0,cc_delta,0)</f>
        <v>0</v>
      </c>
      <c r="O60" s="100">
        <f ca="1">cc_in_focus*cc_show_type*IF(cc_delta&lt;0,ABS(cc_delta),0)</f>
        <v>550</v>
      </c>
      <c r="P60" s="100">
        <f ca="1">NOT(cc_in_focus)*cc_show_type*MIN(cc_tracked,cc_budget)</f>
        <v>0</v>
      </c>
      <c r="Q60" s="100">
        <f ca="1">NOT(cc_in_focus)*cc_show_type*cc_show_remaining_budget*IF(cc_delta&gt;0,cc_delta,0)</f>
        <v>0</v>
      </c>
      <c r="R60" s="100">
        <f ca="1">NOT(cc_in_focus)*cc_show_type*IF(cc_delta&lt;0,ABS(cc_delta),0)</f>
        <v>0</v>
      </c>
    </row>
    <row r="61" spans="4:18" x14ac:dyDescent="0.3">
      <c r="D61" s="139"/>
      <c r="E61" s="44" t="s">
        <v>11</v>
      </c>
      <c r="F61" s="44">
        <f t="shared" ref="F61" ca="1" si="4">MONTH(D60)</f>
        <v>2</v>
      </c>
      <c r="G61" s="44">
        <f ca="1">IF(selected_period="Total Year",1,IF(selected_period=cc_month_number,1,0))</f>
        <v>1</v>
      </c>
      <c r="H61" s="44">
        <f t="shared" ref="H61" si="5">1*$E$51</f>
        <v>1</v>
      </c>
      <c r="I61" s="44">
        <f t="shared" si="3"/>
        <v>1</v>
      </c>
      <c r="J61" s="100">
        <f ca="1">SUMPRODUCT(Tracking[Amount]*(Tracking[Type]=cc_type)*(YEAR(Tracking[Effective Date])=selected_year)*(MONTH(Tracking[Effective Date])=cc_month_number))</f>
        <v>1650</v>
      </c>
      <c r="K61" s="100">
        <f ca="1">INDEX('Budget Planning'!$E:$EM,expenses_total_row, MATCH((DATE(selected_year,cc_month_number,1)),'Budget Planning'!$E$9:$AS$9,0) )</f>
        <v>2600</v>
      </c>
      <c r="L61" s="117">
        <f ca="1">cc_budget - cc_tracked</f>
        <v>950</v>
      </c>
      <c r="M61" s="100">
        <f ca="1">cc_in_focus*cc_show_type*MIN(cc_tracked,cc_budget)</f>
        <v>1650</v>
      </c>
      <c r="N61" s="100">
        <f ca="1">cc_in_focus*cc_show_type*cc_show_remaining_budget*IF(cc_delta&gt;0,cc_delta,0)</f>
        <v>950</v>
      </c>
      <c r="O61" s="100">
        <f ca="1">cc_in_focus*cc_show_type*IF(cc_delta&lt;0,ABS(cc_delta),0)</f>
        <v>0</v>
      </c>
      <c r="P61" s="100">
        <f ca="1">NOT(cc_in_focus)*cc_show_type*MIN(cc_tracked,cc_budget)</f>
        <v>0</v>
      </c>
      <c r="Q61" s="100">
        <f ca="1">NOT(cc_in_focus)*cc_show_type*cc_show_remaining_budget*IF(cc_delta&gt;0,cc_delta,0)</f>
        <v>0</v>
      </c>
      <c r="R61" s="100">
        <f ca="1">NOT(cc_in_focus)*cc_show_type*IF(cc_delta&lt;0,ABS(cc_delta),0)</f>
        <v>0</v>
      </c>
    </row>
    <row r="62" spans="4:18" x14ac:dyDescent="0.3">
      <c r="D62" s="139"/>
      <c r="E62" s="44" t="s">
        <v>15</v>
      </c>
      <c r="F62" s="44">
        <f t="shared" ref="F62" ca="1" si="6">MONTH(D60)</f>
        <v>2</v>
      </c>
      <c r="G62" s="44">
        <f ca="1">IF(selected_period="Total Year",1,IF(selected_period=cc_month_number,1,0))</f>
        <v>1</v>
      </c>
      <c r="H62" s="44">
        <f t="shared" ref="H62" si="7">1*$E$52</f>
        <v>1</v>
      </c>
      <c r="I62" s="44">
        <f t="shared" si="3"/>
        <v>1</v>
      </c>
      <c r="J62" s="100">
        <f ca="1">SUMPRODUCT(Tracking[Amount]*(Tracking[Type]=cc_type)*(YEAR(Tracking[Effective Date])=selected_year)*(MONTH(Tracking[Effective Date])=cc_month_number))</f>
        <v>1000</v>
      </c>
      <c r="K62" s="100">
        <f ca="1">INDEX('Budget Planning'!$E:$EM,savings_total_row, MATCH((DATE(selected_year,cc_month_number,1)),'Budget Planning'!$E$9:$AS$9,0) )</f>
        <v>2000</v>
      </c>
      <c r="L62" s="117">
        <f ca="1">cc_budget - cc_tracked</f>
        <v>1000</v>
      </c>
      <c r="M62" s="100">
        <f ca="1">cc_in_focus*cc_show_type*MIN(cc_tracked,cc_budget)</f>
        <v>1000</v>
      </c>
      <c r="N62" s="100">
        <f ca="1">cc_in_focus*cc_show_type*cc_show_remaining_budget*IF(cc_delta&gt;0,cc_delta,0)</f>
        <v>1000</v>
      </c>
      <c r="O62" s="100">
        <f ca="1">cc_in_focus*cc_show_type*IF(cc_delta&lt;0,ABS(cc_delta),0)</f>
        <v>0</v>
      </c>
      <c r="P62" s="100">
        <f ca="1">NOT(cc_in_focus)*cc_show_type*MIN(cc_tracked,cc_budget)</f>
        <v>0</v>
      </c>
      <c r="Q62" s="100">
        <f ca="1">NOT(cc_in_focus)*cc_show_type*cc_show_remaining_budget*IF(cc_delta&gt;0,cc_delta,0)</f>
        <v>0</v>
      </c>
      <c r="R62" s="100">
        <f ca="1">NOT(cc_in_focus)*cc_show_type*IF(cc_delta&lt;0,ABS(cc_delta),0)</f>
        <v>0</v>
      </c>
    </row>
    <row r="63" spans="4:18" x14ac:dyDescent="0.3">
      <c r="D63" s="140"/>
      <c r="E63" s="101"/>
      <c r="F63" s="101"/>
      <c r="G63" s="101"/>
      <c r="H63" s="101"/>
      <c r="I63" s="101"/>
      <c r="J63" s="110"/>
      <c r="K63" s="110"/>
      <c r="L63" s="118"/>
      <c r="M63" s="101"/>
      <c r="N63" s="101"/>
      <c r="O63" s="101"/>
      <c r="P63" s="101"/>
      <c r="Q63" s="101"/>
      <c r="R63" s="101"/>
    </row>
    <row r="64" spans="4:18" x14ac:dyDescent="0.3">
      <c r="D64" s="141">
        <f ca="1">DATE(selected_year,3,1)</f>
        <v>44986</v>
      </c>
      <c r="E64" s="106" t="s">
        <v>5</v>
      </c>
      <c r="F64" s="44">
        <f t="shared" ref="F64" ca="1" si="8">MONTH(D64)</f>
        <v>3</v>
      </c>
      <c r="G64" s="44">
        <f ca="1">IF(selected_period="Total Year",1,IF(selected_period=cc_month_number,1,0))</f>
        <v>0</v>
      </c>
      <c r="H64" s="44">
        <f t="shared" ref="H64" si="9">1*$E$50</f>
        <v>1</v>
      </c>
      <c r="I64" s="44">
        <f t="shared" ref="I64" si="10">1*$E$53</f>
        <v>1</v>
      </c>
      <c r="J64" s="100">
        <f ca="1">SUMPRODUCT(Tracking[Amount]*(Tracking[Type]=cc_type)*(YEAR(Tracking[Effective Date])=selected_year)*(MONTH(Tracking[Effective Date])=cc_month_number))</f>
        <v>3500</v>
      </c>
      <c r="K64" s="100">
        <f ca="1">INDEX('Budget Planning'!$E:$EM,income_total_row, MATCH((DATE(selected_year,cc_month_number,1)),'Budget Planning'!$E$9:$AS$9,0) )</f>
        <v>4600</v>
      </c>
      <c r="L64" s="117">
        <f ca="1">cc_budget - cc_tracked</f>
        <v>1100</v>
      </c>
      <c r="M64" s="100">
        <f ca="1">cc_in_focus*cc_show_type*MIN(cc_tracked,cc_budget)</f>
        <v>0</v>
      </c>
      <c r="N64" s="100">
        <f ca="1">cc_in_focus*cc_show_type*cc_show_remaining_budget*IF(cc_delta&gt;0,cc_delta,0)</f>
        <v>0</v>
      </c>
      <c r="O64" s="100">
        <f ca="1">cc_in_focus*cc_show_type*IF(cc_delta&lt;0,ABS(cc_delta),0)</f>
        <v>0</v>
      </c>
      <c r="P64" s="100">
        <f ca="1">NOT(cc_in_focus)*cc_show_type*MIN(cc_tracked,cc_budget)</f>
        <v>3500</v>
      </c>
      <c r="Q64" s="100">
        <f ca="1">NOT(cc_in_focus)*cc_show_type*cc_show_remaining_budget*IF(cc_delta&gt;0,cc_delta,0)</f>
        <v>1100</v>
      </c>
      <c r="R64" s="100">
        <f ca="1">NOT(cc_in_focus)*cc_show_type*IF(cc_delta&lt;0,ABS(cc_delta),0)</f>
        <v>0</v>
      </c>
    </row>
    <row r="65" spans="4:18" x14ac:dyDescent="0.3">
      <c r="D65" s="139"/>
      <c r="E65" s="44" t="s">
        <v>11</v>
      </c>
      <c r="F65" s="44">
        <f t="shared" ref="F65" ca="1" si="11">MONTH(D64)</f>
        <v>3</v>
      </c>
      <c r="G65" s="44">
        <f ca="1">IF(selected_period="Total Year",1,IF(selected_period=cc_month_number,1,0))</f>
        <v>0</v>
      </c>
      <c r="H65" s="44">
        <f t="shared" ref="H65" si="12">1*$E$51</f>
        <v>1</v>
      </c>
      <c r="I65" s="44">
        <f t="shared" si="3"/>
        <v>1</v>
      </c>
      <c r="J65" s="100">
        <f ca="1">SUMPRODUCT(Tracking[Amount]*(Tracking[Type]=cc_type)*(YEAR(Tracking[Effective Date])=selected_year)*(MONTH(Tracking[Effective Date])=cc_month_number))</f>
        <v>2850</v>
      </c>
      <c r="K65" s="100">
        <f ca="1">INDEX('Budget Planning'!$E:$EM,expenses_total_row, MATCH((DATE(selected_year,cc_month_number,1)),'Budget Planning'!$E$9:$AS$9,0) )</f>
        <v>2700</v>
      </c>
      <c r="L65" s="117">
        <f ca="1">cc_budget - cc_tracked</f>
        <v>-150</v>
      </c>
      <c r="M65" s="100">
        <f ca="1">cc_in_focus*cc_show_type*MIN(cc_tracked,cc_budget)</f>
        <v>0</v>
      </c>
      <c r="N65" s="100">
        <f ca="1">cc_in_focus*cc_show_type*cc_show_remaining_budget*IF(cc_delta&gt;0,cc_delta,0)</f>
        <v>0</v>
      </c>
      <c r="O65" s="100">
        <f ca="1">cc_in_focus*cc_show_type*IF(cc_delta&lt;0,ABS(cc_delta),0)</f>
        <v>0</v>
      </c>
      <c r="P65" s="100">
        <f ca="1">NOT(cc_in_focus)*cc_show_type*MIN(cc_tracked,cc_budget)</f>
        <v>2700</v>
      </c>
      <c r="Q65" s="100">
        <f ca="1">NOT(cc_in_focus)*cc_show_type*cc_show_remaining_budget*IF(cc_delta&gt;0,cc_delta,0)</f>
        <v>0</v>
      </c>
      <c r="R65" s="100">
        <f ca="1">NOT(cc_in_focus)*cc_show_type*IF(cc_delta&lt;0,ABS(cc_delta),0)</f>
        <v>150</v>
      </c>
    </row>
    <row r="66" spans="4:18" x14ac:dyDescent="0.3">
      <c r="D66" s="139"/>
      <c r="E66" s="44" t="s">
        <v>15</v>
      </c>
      <c r="F66" s="44">
        <f t="shared" ref="F66" ca="1" si="13">MONTH(D64)</f>
        <v>3</v>
      </c>
      <c r="G66" s="44">
        <f ca="1">IF(selected_period="Total Year",1,IF(selected_period=cc_month_number,1,0))</f>
        <v>0</v>
      </c>
      <c r="H66" s="44">
        <f t="shared" ref="H66" si="14">1*$E$52</f>
        <v>1</v>
      </c>
      <c r="I66" s="44">
        <f t="shared" si="3"/>
        <v>1</v>
      </c>
      <c r="J66" s="100">
        <f ca="1">SUMPRODUCT(Tracking[Amount]*(Tracking[Type]=cc_type)*(YEAR(Tracking[Effective Date])=selected_year)*(MONTH(Tracking[Effective Date])=cc_month_number))</f>
        <v>1000</v>
      </c>
      <c r="K66" s="100">
        <f ca="1">INDEX('Budget Planning'!$E:$EM,savings_total_row, MATCH((DATE(selected_year,cc_month_number,1)),'Budget Planning'!$E$9:$AS$9,0) )</f>
        <v>1900</v>
      </c>
      <c r="L66" s="117">
        <f ca="1">cc_budget - cc_tracked</f>
        <v>900</v>
      </c>
      <c r="M66" s="100">
        <f ca="1">cc_in_focus*cc_show_type*MIN(cc_tracked,cc_budget)</f>
        <v>0</v>
      </c>
      <c r="N66" s="100">
        <f ca="1">cc_in_focus*cc_show_type*cc_show_remaining_budget*IF(cc_delta&gt;0,cc_delta,0)</f>
        <v>0</v>
      </c>
      <c r="O66" s="100">
        <f ca="1">cc_in_focus*cc_show_type*IF(cc_delta&lt;0,ABS(cc_delta),0)</f>
        <v>0</v>
      </c>
      <c r="P66" s="100">
        <f ca="1">NOT(cc_in_focus)*cc_show_type*MIN(cc_tracked,cc_budget)</f>
        <v>1000</v>
      </c>
      <c r="Q66" s="100">
        <f ca="1">NOT(cc_in_focus)*cc_show_type*cc_show_remaining_budget*IF(cc_delta&gt;0,cc_delta,0)</f>
        <v>900</v>
      </c>
      <c r="R66" s="100">
        <f ca="1">NOT(cc_in_focus)*cc_show_type*IF(cc_delta&lt;0,ABS(cc_delta),0)</f>
        <v>0</v>
      </c>
    </row>
    <row r="67" spans="4:18" x14ac:dyDescent="0.3">
      <c r="D67" s="140"/>
      <c r="E67" s="101"/>
      <c r="F67" s="101"/>
      <c r="G67" s="101"/>
      <c r="H67" s="101"/>
      <c r="I67" s="101"/>
      <c r="J67" s="110"/>
      <c r="K67" s="110"/>
      <c r="L67" s="118"/>
      <c r="M67" s="101"/>
      <c r="N67" s="101"/>
      <c r="O67" s="101"/>
      <c r="P67" s="101"/>
      <c r="Q67" s="101"/>
      <c r="R67" s="101"/>
    </row>
    <row r="68" spans="4:18" x14ac:dyDescent="0.3">
      <c r="D68" s="141">
        <f ca="1">DATE(selected_year,4,1)</f>
        <v>45017</v>
      </c>
      <c r="E68" s="106" t="s">
        <v>5</v>
      </c>
      <c r="F68" s="44">
        <f t="shared" ref="F68" ca="1" si="15">MONTH(D68)</f>
        <v>4</v>
      </c>
      <c r="G68" s="44">
        <f ca="1">IF(selected_period="Total Year",1,IF(selected_period=cc_month_number,1,0))</f>
        <v>0</v>
      </c>
      <c r="H68" s="44">
        <f t="shared" ref="H68" si="16">1*$E$50</f>
        <v>1</v>
      </c>
      <c r="I68" s="44">
        <f t="shared" ref="I68" si="17">1*$E$53</f>
        <v>1</v>
      </c>
      <c r="J68" s="100">
        <f ca="1">SUMPRODUCT(Tracking[Amount]*(Tracking[Type]=cc_type)*(YEAR(Tracking[Effective Date])=selected_year)*(MONTH(Tracking[Effective Date])=cc_month_number))</f>
        <v>0</v>
      </c>
      <c r="K68" s="100">
        <f ca="1">INDEX('Budget Planning'!$E:$EM,income_total_row, MATCH((DATE(selected_year,cc_month_number,1)),'Budget Planning'!$E$9:$AS$9,0) )</f>
        <v>5650</v>
      </c>
      <c r="L68" s="117">
        <f ca="1">cc_budget - cc_tracked</f>
        <v>5650</v>
      </c>
      <c r="M68" s="100">
        <f ca="1">cc_in_focus*cc_show_type*MIN(cc_tracked,cc_budget)</f>
        <v>0</v>
      </c>
      <c r="N68" s="100">
        <f ca="1">cc_in_focus*cc_show_type*cc_show_remaining_budget*IF(cc_delta&gt;0,cc_delta,0)</f>
        <v>0</v>
      </c>
      <c r="O68" s="100">
        <f ca="1">cc_in_focus*cc_show_type*IF(cc_delta&lt;0,ABS(cc_delta),0)</f>
        <v>0</v>
      </c>
      <c r="P68" s="100">
        <f ca="1">NOT(cc_in_focus)*cc_show_type*MIN(cc_tracked,cc_budget)</f>
        <v>0</v>
      </c>
      <c r="Q68" s="100">
        <f ca="1">NOT(cc_in_focus)*cc_show_type*cc_show_remaining_budget*IF(cc_delta&gt;0,cc_delta,0)</f>
        <v>5650</v>
      </c>
      <c r="R68" s="100">
        <f ca="1">NOT(cc_in_focus)*cc_show_type*IF(cc_delta&lt;0,ABS(cc_delta),0)</f>
        <v>0</v>
      </c>
    </row>
    <row r="69" spans="4:18" x14ac:dyDescent="0.3">
      <c r="D69" s="139"/>
      <c r="E69" s="44" t="s">
        <v>11</v>
      </c>
      <c r="F69" s="44">
        <f t="shared" ref="F69" ca="1" si="18">MONTH(D68)</f>
        <v>4</v>
      </c>
      <c r="G69" s="44">
        <f ca="1">IF(selected_period="Total Year",1,IF(selected_period=cc_month_number,1,0))</f>
        <v>0</v>
      </c>
      <c r="H69" s="44">
        <f t="shared" ref="H69" si="19">1*$E$51</f>
        <v>1</v>
      </c>
      <c r="I69" s="44">
        <f t="shared" si="3"/>
        <v>1</v>
      </c>
      <c r="J69" s="100">
        <f ca="1">SUMPRODUCT(Tracking[Amount]*(Tracking[Type]=cc_type)*(YEAR(Tracking[Effective Date])=selected_year)*(MONTH(Tracking[Effective Date])=cc_month_number))</f>
        <v>0</v>
      </c>
      <c r="K69" s="100">
        <f ca="1">INDEX('Budget Planning'!$E:$EM,expenses_total_row, MATCH((DATE(selected_year,cc_month_number,1)),'Budget Planning'!$E$9:$AS$9,0) )</f>
        <v>3300</v>
      </c>
      <c r="L69" s="117">
        <f ca="1">cc_budget - cc_tracked</f>
        <v>3300</v>
      </c>
      <c r="M69" s="100">
        <f ca="1">cc_in_focus*cc_show_type*MIN(cc_tracked,cc_budget)</f>
        <v>0</v>
      </c>
      <c r="N69" s="100">
        <f ca="1">cc_in_focus*cc_show_type*cc_show_remaining_budget*IF(cc_delta&gt;0,cc_delta,0)</f>
        <v>0</v>
      </c>
      <c r="O69" s="100">
        <f ca="1">cc_in_focus*cc_show_type*IF(cc_delta&lt;0,ABS(cc_delta),0)</f>
        <v>0</v>
      </c>
      <c r="P69" s="100">
        <f ca="1">NOT(cc_in_focus)*cc_show_type*MIN(cc_tracked,cc_budget)</f>
        <v>0</v>
      </c>
      <c r="Q69" s="100">
        <f ca="1">NOT(cc_in_focus)*cc_show_type*cc_show_remaining_budget*IF(cc_delta&gt;0,cc_delta,0)</f>
        <v>3300</v>
      </c>
      <c r="R69" s="100">
        <f ca="1">NOT(cc_in_focus)*cc_show_type*IF(cc_delta&lt;0,ABS(cc_delta),0)</f>
        <v>0</v>
      </c>
    </row>
    <row r="70" spans="4:18" x14ac:dyDescent="0.3">
      <c r="D70" s="139"/>
      <c r="E70" s="44" t="s">
        <v>15</v>
      </c>
      <c r="F70" s="44">
        <f t="shared" ref="F70" ca="1" si="20">MONTH(D68)</f>
        <v>4</v>
      </c>
      <c r="G70" s="44">
        <f ca="1">IF(selected_period="Total Year",1,IF(selected_period=cc_month_number,1,0))</f>
        <v>0</v>
      </c>
      <c r="H70" s="44">
        <f t="shared" ref="H70" si="21">1*$E$52</f>
        <v>1</v>
      </c>
      <c r="I70" s="44">
        <f t="shared" si="3"/>
        <v>1</v>
      </c>
      <c r="J70" s="100">
        <f ca="1">SUMPRODUCT(Tracking[Amount]*(Tracking[Type]=cc_type)*(YEAR(Tracking[Effective Date])=selected_year)*(MONTH(Tracking[Effective Date])=cc_month_number))</f>
        <v>0</v>
      </c>
      <c r="K70" s="100">
        <f ca="1">INDEX('Budget Planning'!$E:$EM,savings_total_row, MATCH((DATE(selected_year,cc_month_number,1)),'Budget Planning'!$E$9:$AS$9,0) )</f>
        <v>2400</v>
      </c>
      <c r="L70" s="117">
        <f ca="1">cc_budget - cc_tracked</f>
        <v>2400</v>
      </c>
      <c r="M70" s="100">
        <f ca="1">cc_in_focus*cc_show_type*MIN(cc_tracked,cc_budget)</f>
        <v>0</v>
      </c>
      <c r="N70" s="100">
        <f ca="1">cc_in_focus*cc_show_type*cc_show_remaining_budget*IF(cc_delta&gt;0,cc_delta,0)</f>
        <v>0</v>
      </c>
      <c r="O70" s="100">
        <f ca="1">cc_in_focus*cc_show_type*IF(cc_delta&lt;0,ABS(cc_delta),0)</f>
        <v>0</v>
      </c>
      <c r="P70" s="100">
        <f ca="1">NOT(cc_in_focus)*cc_show_type*MIN(cc_tracked,cc_budget)</f>
        <v>0</v>
      </c>
      <c r="Q70" s="100">
        <f ca="1">NOT(cc_in_focus)*cc_show_type*cc_show_remaining_budget*IF(cc_delta&gt;0,cc_delta,0)</f>
        <v>2400</v>
      </c>
      <c r="R70" s="100">
        <f ca="1">NOT(cc_in_focus)*cc_show_type*IF(cc_delta&lt;0,ABS(cc_delta),0)</f>
        <v>0</v>
      </c>
    </row>
    <row r="71" spans="4:18" x14ac:dyDescent="0.3">
      <c r="D71" s="140"/>
      <c r="E71" s="101"/>
      <c r="F71" s="101"/>
      <c r="G71" s="101"/>
      <c r="H71" s="101"/>
      <c r="I71" s="101"/>
      <c r="J71" s="110"/>
      <c r="K71" s="110"/>
      <c r="L71" s="118"/>
      <c r="M71" s="101"/>
      <c r="N71" s="101"/>
      <c r="O71" s="101"/>
      <c r="P71" s="101"/>
      <c r="Q71" s="101"/>
      <c r="R71" s="101"/>
    </row>
    <row r="72" spans="4:18" x14ac:dyDescent="0.3">
      <c r="D72" s="141">
        <f ca="1">DATE(selected_year,5,1)</f>
        <v>45047</v>
      </c>
      <c r="E72" s="106" t="s">
        <v>5</v>
      </c>
      <c r="F72" s="44">
        <f t="shared" ref="F72" ca="1" si="22">MONTH(D72)</f>
        <v>5</v>
      </c>
      <c r="G72" s="44">
        <f ca="1">IF(selected_period="Total Year",1,IF(selected_period=cc_month_number,1,0))</f>
        <v>0</v>
      </c>
      <c r="H72" s="44">
        <f t="shared" ref="H72" si="23">1*$E$50</f>
        <v>1</v>
      </c>
      <c r="I72" s="44">
        <f t="shared" ref="I72" si="24">1*$E$53</f>
        <v>1</v>
      </c>
      <c r="J72" s="100">
        <f ca="1">SUMPRODUCT(Tracking[Amount]*(Tracking[Type]=cc_type)*(YEAR(Tracking[Effective Date])=selected_year)*(MONTH(Tracking[Effective Date])=cc_month_number))</f>
        <v>0</v>
      </c>
      <c r="K72" s="100">
        <f ca="1">INDEX('Budget Planning'!$E:$EM,income_total_row, MATCH((DATE(selected_year,cc_month_number,1)),'Budget Planning'!$E$9:$AS$9,0) )</f>
        <v>5550</v>
      </c>
      <c r="L72" s="117">
        <f ca="1">cc_budget - cc_tracked</f>
        <v>5550</v>
      </c>
      <c r="M72" s="100">
        <f ca="1">cc_in_focus*cc_show_type*MIN(cc_tracked,cc_budget)</f>
        <v>0</v>
      </c>
      <c r="N72" s="100">
        <f ca="1">cc_in_focus*cc_show_type*cc_show_remaining_budget*IF(cc_delta&gt;0,cc_delta,0)</f>
        <v>0</v>
      </c>
      <c r="O72" s="100">
        <f ca="1">cc_in_focus*cc_show_type*IF(cc_delta&lt;0,ABS(cc_delta),0)</f>
        <v>0</v>
      </c>
      <c r="P72" s="100">
        <f ca="1">NOT(cc_in_focus)*cc_show_type*MIN(cc_tracked,cc_budget)</f>
        <v>0</v>
      </c>
      <c r="Q72" s="100">
        <f ca="1">NOT(cc_in_focus)*cc_show_type*cc_show_remaining_budget*IF(cc_delta&gt;0,cc_delta,0)</f>
        <v>5550</v>
      </c>
      <c r="R72" s="100">
        <f ca="1">NOT(cc_in_focus)*cc_show_type*IF(cc_delta&lt;0,ABS(cc_delta),0)</f>
        <v>0</v>
      </c>
    </row>
    <row r="73" spans="4:18" x14ac:dyDescent="0.3">
      <c r="D73" s="139"/>
      <c r="E73" s="44" t="s">
        <v>11</v>
      </c>
      <c r="F73" s="44">
        <f t="shared" ref="F73" ca="1" si="25">MONTH(D72)</f>
        <v>5</v>
      </c>
      <c r="G73" s="44">
        <f ca="1">IF(selected_period="Total Year",1,IF(selected_period=cc_month_number,1,0))</f>
        <v>0</v>
      </c>
      <c r="H73" s="44">
        <f t="shared" ref="H73" si="26">1*$E$51</f>
        <v>1</v>
      </c>
      <c r="I73" s="44">
        <f t="shared" si="3"/>
        <v>1</v>
      </c>
      <c r="J73" s="100">
        <f ca="1">SUMPRODUCT(Tracking[Amount]*(Tracking[Type]=cc_type)*(YEAR(Tracking[Effective Date])=selected_year)*(MONTH(Tracking[Effective Date])=cc_month_number))</f>
        <v>0</v>
      </c>
      <c r="K73" s="100">
        <f ca="1">INDEX('Budget Planning'!$E:$EM,expenses_total_row, MATCH((DATE(selected_year,cc_month_number,1)),'Budget Planning'!$E$9:$AS$9,0) )</f>
        <v>2600</v>
      </c>
      <c r="L73" s="117">
        <f ca="1">cc_budget - cc_tracked</f>
        <v>2600</v>
      </c>
      <c r="M73" s="100">
        <f ca="1">cc_in_focus*cc_show_type*MIN(cc_tracked,cc_budget)</f>
        <v>0</v>
      </c>
      <c r="N73" s="100">
        <f ca="1">cc_in_focus*cc_show_type*cc_show_remaining_budget*IF(cc_delta&gt;0,cc_delta,0)</f>
        <v>0</v>
      </c>
      <c r="O73" s="100">
        <f ca="1">cc_in_focus*cc_show_type*IF(cc_delta&lt;0,ABS(cc_delta),0)</f>
        <v>0</v>
      </c>
      <c r="P73" s="100">
        <f ca="1">NOT(cc_in_focus)*cc_show_type*MIN(cc_tracked,cc_budget)</f>
        <v>0</v>
      </c>
      <c r="Q73" s="100">
        <f ca="1">NOT(cc_in_focus)*cc_show_type*cc_show_remaining_budget*IF(cc_delta&gt;0,cc_delta,0)</f>
        <v>2600</v>
      </c>
      <c r="R73" s="100">
        <f ca="1">NOT(cc_in_focus)*cc_show_type*IF(cc_delta&lt;0,ABS(cc_delta),0)</f>
        <v>0</v>
      </c>
    </row>
    <row r="74" spans="4:18" x14ac:dyDescent="0.3">
      <c r="D74" s="139"/>
      <c r="E74" s="44" t="s">
        <v>15</v>
      </c>
      <c r="F74" s="44">
        <f t="shared" ref="F74" ca="1" si="27">MONTH(D72)</f>
        <v>5</v>
      </c>
      <c r="G74" s="44">
        <f ca="1">IF(selected_period="Total Year",1,IF(selected_period=cc_month_number,1,0))</f>
        <v>0</v>
      </c>
      <c r="H74" s="44">
        <f t="shared" ref="H74" si="28">1*$E$52</f>
        <v>1</v>
      </c>
      <c r="I74" s="44">
        <f t="shared" si="3"/>
        <v>1</v>
      </c>
      <c r="J74" s="100">
        <f ca="1">SUMPRODUCT(Tracking[Amount]*(Tracking[Type]=cc_type)*(YEAR(Tracking[Effective Date])=selected_year)*(MONTH(Tracking[Effective Date])=cc_month_number))</f>
        <v>0</v>
      </c>
      <c r="K74" s="100">
        <f ca="1">INDEX('Budget Planning'!$E:$EM,savings_total_row, MATCH((DATE(selected_year,cc_month_number,1)),'Budget Planning'!$E$9:$AS$9,0) )</f>
        <v>3000</v>
      </c>
      <c r="L74" s="117">
        <f ca="1">cc_budget - cc_tracked</f>
        <v>3000</v>
      </c>
      <c r="M74" s="100">
        <f ca="1">cc_in_focus*cc_show_type*MIN(cc_tracked,cc_budget)</f>
        <v>0</v>
      </c>
      <c r="N74" s="100">
        <f ca="1">cc_in_focus*cc_show_type*cc_show_remaining_budget*IF(cc_delta&gt;0,cc_delta,0)</f>
        <v>0</v>
      </c>
      <c r="O74" s="100">
        <f ca="1">cc_in_focus*cc_show_type*IF(cc_delta&lt;0,ABS(cc_delta),0)</f>
        <v>0</v>
      </c>
      <c r="P74" s="100">
        <f ca="1">NOT(cc_in_focus)*cc_show_type*MIN(cc_tracked,cc_budget)</f>
        <v>0</v>
      </c>
      <c r="Q74" s="100">
        <f ca="1">NOT(cc_in_focus)*cc_show_type*cc_show_remaining_budget*IF(cc_delta&gt;0,cc_delta,0)</f>
        <v>3000</v>
      </c>
      <c r="R74" s="100">
        <f ca="1">NOT(cc_in_focus)*cc_show_type*IF(cc_delta&lt;0,ABS(cc_delta),0)</f>
        <v>0</v>
      </c>
    </row>
    <row r="75" spans="4:18" x14ac:dyDescent="0.3">
      <c r="D75" s="140"/>
      <c r="E75" s="101"/>
      <c r="F75" s="101"/>
      <c r="G75" s="101"/>
      <c r="H75" s="101"/>
      <c r="I75" s="101"/>
      <c r="J75" s="110"/>
      <c r="K75" s="110"/>
      <c r="L75" s="118"/>
      <c r="M75" s="101"/>
      <c r="N75" s="101"/>
      <c r="O75" s="101"/>
      <c r="P75" s="101"/>
      <c r="Q75" s="101"/>
      <c r="R75" s="101"/>
    </row>
    <row r="76" spans="4:18" x14ac:dyDescent="0.3">
      <c r="D76" s="141">
        <f ca="1">DATE(selected_year,6,1)</f>
        <v>45078</v>
      </c>
      <c r="E76" s="106" t="s">
        <v>5</v>
      </c>
      <c r="F76" s="44">
        <f t="shared" ref="F76" ca="1" si="29">MONTH(D76)</f>
        <v>6</v>
      </c>
      <c r="G76" s="44">
        <f ca="1">IF(selected_period="Total Year",1,IF(selected_period=cc_month_number,1,0))</f>
        <v>0</v>
      </c>
      <c r="H76" s="44">
        <f t="shared" ref="H76" si="30">1*$E$50</f>
        <v>1</v>
      </c>
      <c r="I76" s="44">
        <f t="shared" ref="I76" si="31">1*$E$53</f>
        <v>1</v>
      </c>
      <c r="J76" s="100">
        <f ca="1">SUMPRODUCT(Tracking[Amount]*(Tracking[Type]=cc_type)*(YEAR(Tracking[Effective Date])=selected_year)*(MONTH(Tracking[Effective Date])=cc_month_number))</f>
        <v>0</v>
      </c>
      <c r="K76" s="100">
        <f ca="1">INDEX('Budget Planning'!$E:$EM,income_total_row, MATCH((DATE(selected_year,cc_month_number,1)),'Budget Planning'!$E$9:$AS$9,0) )</f>
        <v>5600</v>
      </c>
      <c r="L76" s="117">
        <f ca="1">cc_budget - cc_tracked</f>
        <v>5600</v>
      </c>
      <c r="M76" s="100">
        <f ca="1">cc_in_focus*cc_show_type*MIN(cc_tracked,cc_budget)</f>
        <v>0</v>
      </c>
      <c r="N76" s="100">
        <f ca="1">cc_in_focus*cc_show_type*cc_show_remaining_budget*IF(cc_delta&gt;0,cc_delta,0)</f>
        <v>0</v>
      </c>
      <c r="O76" s="100">
        <f ca="1">cc_in_focus*cc_show_type*IF(cc_delta&lt;0,ABS(cc_delta),0)</f>
        <v>0</v>
      </c>
      <c r="P76" s="100">
        <f ca="1">NOT(cc_in_focus)*cc_show_type*MIN(cc_tracked,cc_budget)</f>
        <v>0</v>
      </c>
      <c r="Q76" s="100">
        <f ca="1">NOT(cc_in_focus)*cc_show_type*cc_show_remaining_budget*IF(cc_delta&gt;0,cc_delta,0)</f>
        <v>5600</v>
      </c>
      <c r="R76" s="100">
        <f ca="1">NOT(cc_in_focus)*cc_show_type*IF(cc_delta&lt;0,ABS(cc_delta),0)</f>
        <v>0</v>
      </c>
    </row>
    <row r="77" spans="4:18" x14ac:dyDescent="0.3">
      <c r="D77" s="139"/>
      <c r="E77" s="44" t="s">
        <v>11</v>
      </c>
      <c r="F77" s="44">
        <f t="shared" ref="F77" ca="1" si="32">MONTH(D76)</f>
        <v>6</v>
      </c>
      <c r="G77" s="44">
        <f ca="1">IF(selected_period="Total Year",1,IF(selected_period=cc_month_number,1,0))</f>
        <v>0</v>
      </c>
      <c r="H77" s="44">
        <f t="shared" ref="H77" si="33">1*$E$51</f>
        <v>1</v>
      </c>
      <c r="I77" s="44">
        <f t="shared" si="3"/>
        <v>1</v>
      </c>
      <c r="J77" s="100">
        <f ca="1">SUMPRODUCT(Tracking[Amount]*(Tracking[Type]=cc_type)*(YEAR(Tracking[Effective Date])=selected_year)*(MONTH(Tracking[Effective Date])=cc_month_number))</f>
        <v>0</v>
      </c>
      <c r="K77" s="100">
        <f ca="1">INDEX('Budget Planning'!$E:$EM,expenses_total_row, MATCH((DATE(selected_year,cc_month_number,1)),'Budget Planning'!$E$9:$AS$9,0) )</f>
        <v>2700</v>
      </c>
      <c r="L77" s="117">
        <f ca="1">cc_budget - cc_tracked</f>
        <v>2700</v>
      </c>
      <c r="M77" s="100">
        <f ca="1">cc_in_focus*cc_show_type*MIN(cc_tracked,cc_budget)</f>
        <v>0</v>
      </c>
      <c r="N77" s="100">
        <f ca="1">cc_in_focus*cc_show_type*cc_show_remaining_budget*IF(cc_delta&gt;0,cc_delta,0)</f>
        <v>0</v>
      </c>
      <c r="O77" s="100">
        <f ca="1">cc_in_focus*cc_show_type*IF(cc_delta&lt;0,ABS(cc_delta),0)</f>
        <v>0</v>
      </c>
      <c r="P77" s="100">
        <f ca="1">NOT(cc_in_focus)*cc_show_type*MIN(cc_tracked,cc_budget)</f>
        <v>0</v>
      </c>
      <c r="Q77" s="100">
        <f ca="1">NOT(cc_in_focus)*cc_show_type*cc_show_remaining_budget*IF(cc_delta&gt;0,cc_delta,0)</f>
        <v>2700</v>
      </c>
      <c r="R77" s="100">
        <f ca="1">NOT(cc_in_focus)*cc_show_type*IF(cc_delta&lt;0,ABS(cc_delta),0)</f>
        <v>0</v>
      </c>
    </row>
    <row r="78" spans="4:18" x14ac:dyDescent="0.3">
      <c r="D78" s="139"/>
      <c r="E78" s="44" t="s">
        <v>15</v>
      </c>
      <c r="F78" s="44">
        <f t="shared" ref="F78" ca="1" si="34">MONTH(D76)</f>
        <v>6</v>
      </c>
      <c r="G78" s="44">
        <f ca="1">IF(selected_period="Total Year",1,IF(selected_period=cc_month_number,1,0))</f>
        <v>0</v>
      </c>
      <c r="H78" s="44">
        <f t="shared" ref="H78" si="35">1*$E$52</f>
        <v>1</v>
      </c>
      <c r="I78" s="44">
        <f t="shared" si="3"/>
        <v>1</v>
      </c>
      <c r="J78" s="100">
        <f ca="1">SUMPRODUCT(Tracking[Amount]*(Tracking[Type]=cc_type)*(YEAR(Tracking[Effective Date])=selected_year)*(MONTH(Tracking[Effective Date])=cc_month_number))</f>
        <v>0</v>
      </c>
      <c r="K78" s="100">
        <f ca="1">INDEX('Budget Planning'!$E:$EM,savings_total_row, MATCH((DATE(selected_year,cc_month_number,1)),'Budget Planning'!$E$9:$AS$9,0) )</f>
        <v>2900</v>
      </c>
      <c r="L78" s="117">
        <f ca="1">cc_budget - cc_tracked</f>
        <v>2900</v>
      </c>
      <c r="M78" s="100">
        <f ca="1">cc_in_focus*cc_show_type*MIN(cc_tracked,cc_budget)</f>
        <v>0</v>
      </c>
      <c r="N78" s="100">
        <f ca="1">cc_in_focus*cc_show_type*cc_show_remaining_budget*IF(cc_delta&gt;0,cc_delta,0)</f>
        <v>0</v>
      </c>
      <c r="O78" s="100">
        <f ca="1">cc_in_focus*cc_show_type*IF(cc_delta&lt;0,ABS(cc_delta),0)</f>
        <v>0</v>
      </c>
      <c r="P78" s="100">
        <f ca="1">NOT(cc_in_focus)*cc_show_type*MIN(cc_tracked,cc_budget)</f>
        <v>0</v>
      </c>
      <c r="Q78" s="100">
        <f ca="1">NOT(cc_in_focus)*cc_show_type*cc_show_remaining_budget*IF(cc_delta&gt;0,cc_delta,0)</f>
        <v>2900</v>
      </c>
      <c r="R78" s="100">
        <f ca="1">NOT(cc_in_focus)*cc_show_type*IF(cc_delta&lt;0,ABS(cc_delta),0)</f>
        <v>0</v>
      </c>
    </row>
    <row r="79" spans="4:18" x14ac:dyDescent="0.3">
      <c r="D79" s="140"/>
      <c r="E79" s="101"/>
      <c r="F79" s="101"/>
      <c r="G79" s="101"/>
      <c r="H79" s="101"/>
      <c r="I79" s="101"/>
      <c r="J79" s="110"/>
      <c r="K79" s="110"/>
      <c r="L79" s="118"/>
      <c r="M79" s="101"/>
      <c r="N79" s="101"/>
      <c r="O79" s="101"/>
      <c r="P79" s="101"/>
      <c r="Q79" s="101"/>
      <c r="R79" s="101"/>
    </row>
    <row r="80" spans="4:18" x14ac:dyDescent="0.3">
      <c r="D80" s="141">
        <f ca="1">DATE(selected_year,7,1)</f>
        <v>45108</v>
      </c>
      <c r="E80" s="106" t="s">
        <v>5</v>
      </c>
      <c r="F80" s="44">
        <f t="shared" ref="F80" ca="1" si="36">MONTH(D80)</f>
        <v>7</v>
      </c>
      <c r="G80" s="44">
        <f ca="1">IF(selected_period="Total Year",1,IF(selected_period=cc_month_number,1,0))</f>
        <v>0</v>
      </c>
      <c r="H80" s="44">
        <f t="shared" ref="H80" si="37">1*$E$50</f>
        <v>1</v>
      </c>
      <c r="I80" s="44">
        <f t="shared" ref="I80" si="38">1*$E$53</f>
        <v>1</v>
      </c>
      <c r="J80" s="100">
        <f ca="1">SUMPRODUCT(Tracking[Amount]*(Tracking[Type]=cc_type)*(YEAR(Tracking[Effective Date])=selected_year)*(MONTH(Tracking[Effective Date])=cc_month_number))</f>
        <v>0</v>
      </c>
      <c r="K80" s="100">
        <f ca="1">INDEX('Budget Planning'!$E:$EM,income_total_row, MATCH((DATE(selected_year,cc_month_number,1)),'Budget Planning'!$E$9:$AS$9,0) )</f>
        <v>5650</v>
      </c>
      <c r="L80" s="117">
        <f ca="1">cc_budget - cc_tracked</f>
        <v>5650</v>
      </c>
      <c r="M80" s="100">
        <f ca="1">cc_in_focus*cc_show_type*MIN(cc_tracked,cc_budget)</f>
        <v>0</v>
      </c>
      <c r="N80" s="100">
        <f ca="1">cc_in_focus*cc_show_type*cc_show_remaining_budget*IF(cc_delta&gt;0,cc_delta,0)</f>
        <v>0</v>
      </c>
      <c r="O80" s="100">
        <f ca="1">cc_in_focus*cc_show_type*IF(cc_delta&lt;0,ABS(cc_delta),0)</f>
        <v>0</v>
      </c>
      <c r="P80" s="100">
        <f ca="1">NOT(cc_in_focus)*cc_show_type*MIN(cc_tracked,cc_budget)</f>
        <v>0</v>
      </c>
      <c r="Q80" s="100">
        <f ca="1">NOT(cc_in_focus)*cc_show_type*cc_show_remaining_budget*IF(cc_delta&gt;0,cc_delta,0)</f>
        <v>5650</v>
      </c>
      <c r="R80" s="100">
        <f ca="1">NOT(cc_in_focus)*cc_show_type*IF(cc_delta&lt;0,ABS(cc_delta),0)</f>
        <v>0</v>
      </c>
    </row>
    <row r="81" spans="4:18" x14ac:dyDescent="0.3">
      <c r="D81" s="139"/>
      <c r="E81" s="44" t="s">
        <v>11</v>
      </c>
      <c r="F81" s="44">
        <f t="shared" ref="F81" ca="1" si="39">MONTH(D80)</f>
        <v>7</v>
      </c>
      <c r="G81" s="44">
        <f ca="1">IF(selected_period="Total Year",1,IF(selected_period=cc_month_number,1,0))</f>
        <v>0</v>
      </c>
      <c r="H81" s="44">
        <f t="shared" ref="H81" si="40">1*$E$51</f>
        <v>1</v>
      </c>
      <c r="I81" s="44">
        <f t="shared" si="3"/>
        <v>1</v>
      </c>
      <c r="J81" s="100">
        <f ca="1">SUMPRODUCT(Tracking[Amount]*(Tracking[Type]=cc_type)*(YEAR(Tracking[Effective Date])=selected_year)*(MONTH(Tracking[Effective Date])=cc_month_number))</f>
        <v>0</v>
      </c>
      <c r="K81" s="100">
        <f ca="1">INDEX('Budget Planning'!$E:$EM,expenses_total_row, MATCH((DATE(selected_year,cc_month_number,1)),'Budget Planning'!$E$9:$AS$9,0) )</f>
        <v>3800</v>
      </c>
      <c r="L81" s="117">
        <f ca="1">cc_budget - cc_tracked</f>
        <v>3800</v>
      </c>
      <c r="M81" s="100">
        <f ca="1">cc_in_focus*cc_show_type*MIN(cc_tracked,cc_budget)</f>
        <v>0</v>
      </c>
      <c r="N81" s="100">
        <f ca="1">cc_in_focus*cc_show_type*cc_show_remaining_budget*IF(cc_delta&gt;0,cc_delta,0)</f>
        <v>0</v>
      </c>
      <c r="O81" s="100">
        <f ca="1">cc_in_focus*cc_show_type*IF(cc_delta&lt;0,ABS(cc_delta),0)</f>
        <v>0</v>
      </c>
      <c r="P81" s="100">
        <f ca="1">NOT(cc_in_focus)*cc_show_type*MIN(cc_tracked,cc_budget)</f>
        <v>0</v>
      </c>
      <c r="Q81" s="100">
        <f ca="1">NOT(cc_in_focus)*cc_show_type*cc_show_remaining_budget*IF(cc_delta&gt;0,cc_delta,0)</f>
        <v>3800</v>
      </c>
      <c r="R81" s="100">
        <f ca="1">NOT(cc_in_focus)*cc_show_type*IF(cc_delta&lt;0,ABS(cc_delta),0)</f>
        <v>0</v>
      </c>
    </row>
    <row r="82" spans="4:18" x14ac:dyDescent="0.3">
      <c r="D82" s="139"/>
      <c r="E82" s="44" t="s">
        <v>15</v>
      </c>
      <c r="F82" s="44">
        <f t="shared" ref="F82" ca="1" si="41">MONTH(D80)</f>
        <v>7</v>
      </c>
      <c r="G82" s="44">
        <f ca="1">IF(selected_period="Total Year",1,IF(selected_period=cc_month_number,1,0))</f>
        <v>0</v>
      </c>
      <c r="H82" s="44">
        <f t="shared" ref="H82" si="42">1*$E$52</f>
        <v>1</v>
      </c>
      <c r="I82" s="44">
        <f t="shared" si="3"/>
        <v>1</v>
      </c>
      <c r="J82" s="100">
        <f ca="1">SUMPRODUCT(Tracking[Amount]*(Tracking[Type]=cc_type)*(YEAR(Tracking[Effective Date])=selected_year)*(MONTH(Tracking[Effective Date])=cc_month_number))</f>
        <v>0</v>
      </c>
      <c r="K82" s="100">
        <f ca="1">INDEX('Budget Planning'!$E:$EM,savings_total_row, MATCH((DATE(selected_year,cc_month_number,1)),'Budget Planning'!$E$9:$AS$9,0) )</f>
        <v>1900</v>
      </c>
      <c r="L82" s="117">
        <f ca="1">cc_budget - cc_tracked</f>
        <v>1900</v>
      </c>
      <c r="M82" s="100">
        <f ca="1">cc_in_focus*cc_show_type*MIN(cc_tracked,cc_budget)</f>
        <v>0</v>
      </c>
      <c r="N82" s="100">
        <f ca="1">cc_in_focus*cc_show_type*cc_show_remaining_budget*IF(cc_delta&gt;0,cc_delta,0)</f>
        <v>0</v>
      </c>
      <c r="O82" s="100">
        <f ca="1">cc_in_focus*cc_show_type*IF(cc_delta&lt;0,ABS(cc_delta),0)</f>
        <v>0</v>
      </c>
      <c r="P82" s="100">
        <f ca="1">NOT(cc_in_focus)*cc_show_type*MIN(cc_tracked,cc_budget)</f>
        <v>0</v>
      </c>
      <c r="Q82" s="100">
        <f ca="1">NOT(cc_in_focus)*cc_show_type*cc_show_remaining_budget*IF(cc_delta&gt;0,cc_delta,0)</f>
        <v>1900</v>
      </c>
      <c r="R82" s="100">
        <f ca="1">NOT(cc_in_focus)*cc_show_type*IF(cc_delta&lt;0,ABS(cc_delta),0)</f>
        <v>0</v>
      </c>
    </row>
    <row r="83" spans="4:18" x14ac:dyDescent="0.3">
      <c r="D83" s="140"/>
      <c r="E83" s="101"/>
      <c r="F83" s="101"/>
      <c r="G83" s="101"/>
      <c r="H83" s="101"/>
      <c r="I83" s="101"/>
      <c r="J83" s="110"/>
      <c r="K83" s="110"/>
      <c r="L83" s="118"/>
      <c r="M83" s="101"/>
      <c r="N83" s="101"/>
      <c r="O83" s="101"/>
      <c r="P83" s="101"/>
      <c r="Q83" s="101"/>
      <c r="R83" s="101"/>
    </row>
    <row r="84" spans="4:18" x14ac:dyDescent="0.3">
      <c r="D84" s="141">
        <f ca="1">DATE(selected_year,8,1)</f>
        <v>45139</v>
      </c>
      <c r="E84" s="106" t="s">
        <v>5</v>
      </c>
      <c r="F84" s="44">
        <f t="shared" ref="F84" ca="1" si="43">MONTH(D84)</f>
        <v>8</v>
      </c>
      <c r="G84" s="44">
        <f ca="1">IF(selected_period="Total Year",1,IF(selected_period=cc_month_number,1,0))</f>
        <v>0</v>
      </c>
      <c r="H84" s="44">
        <f t="shared" ref="H84" si="44">1*$E$50</f>
        <v>1</v>
      </c>
      <c r="I84" s="44">
        <f t="shared" ref="I84" si="45">1*$E$53</f>
        <v>1</v>
      </c>
      <c r="J84" s="100">
        <f ca="1">SUMPRODUCT(Tracking[Amount]*(Tracking[Type]=cc_type)*(YEAR(Tracking[Effective Date])=selected_year)*(MONTH(Tracking[Effective Date])=cc_month_number))</f>
        <v>0</v>
      </c>
      <c r="K84" s="100">
        <f ca="1">INDEX('Budget Planning'!$E:$EM,income_total_row, MATCH((DATE(selected_year,cc_month_number,1)),'Budget Planning'!$E$9:$AS$9,0) )</f>
        <v>5550</v>
      </c>
      <c r="L84" s="117">
        <f ca="1">cc_budget - cc_tracked</f>
        <v>5550</v>
      </c>
      <c r="M84" s="100">
        <f ca="1">cc_in_focus*cc_show_type*MIN(cc_tracked,cc_budget)</f>
        <v>0</v>
      </c>
      <c r="N84" s="100">
        <f ca="1">cc_in_focus*cc_show_type*cc_show_remaining_budget*IF(cc_delta&gt;0,cc_delta,0)</f>
        <v>0</v>
      </c>
      <c r="O84" s="100">
        <f ca="1">cc_in_focus*cc_show_type*IF(cc_delta&lt;0,ABS(cc_delta),0)</f>
        <v>0</v>
      </c>
      <c r="P84" s="100">
        <f ca="1">NOT(cc_in_focus)*cc_show_type*MIN(cc_tracked,cc_budget)</f>
        <v>0</v>
      </c>
      <c r="Q84" s="100">
        <f ca="1">NOT(cc_in_focus)*cc_show_type*cc_show_remaining_budget*IF(cc_delta&gt;0,cc_delta,0)</f>
        <v>5550</v>
      </c>
      <c r="R84" s="100">
        <f ca="1">NOT(cc_in_focus)*cc_show_type*IF(cc_delta&lt;0,ABS(cc_delta),0)</f>
        <v>0</v>
      </c>
    </row>
    <row r="85" spans="4:18" x14ac:dyDescent="0.3">
      <c r="D85" s="139"/>
      <c r="E85" s="44" t="s">
        <v>11</v>
      </c>
      <c r="F85" s="44">
        <f t="shared" ref="F85" ca="1" si="46">MONTH(D84)</f>
        <v>8</v>
      </c>
      <c r="G85" s="44">
        <f ca="1">IF(selected_period="Total Year",1,IF(selected_period=cc_month_number,1,0))</f>
        <v>0</v>
      </c>
      <c r="H85" s="44">
        <f t="shared" ref="H85" si="47">1*$E$51</f>
        <v>1</v>
      </c>
      <c r="I85" s="44">
        <f t="shared" si="3"/>
        <v>1</v>
      </c>
      <c r="J85" s="100">
        <f ca="1">SUMPRODUCT(Tracking[Amount]*(Tracking[Type]=cc_type)*(YEAR(Tracking[Effective Date])=selected_year)*(MONTH(Tracking[Effective Date])=cc_month_number))</f>
        <v>0</v>
      </c>
      <c r="K85" s="100">
        <f ca="1">INDEX('Budget Planning'!$E:$EM,expenses_total_row, MATCH((DATE(selected_year,cc_month_number,1)),'Budget Planning'!$E$9:$AS$9,0) )</f>
        <v>3800</v>
      </c>
      <c r="L85" s="117">
        <f ca="1">cc_budget - cc_tracked</f>
        <v>3800</v>
      </c>
      <c r="M85" s="100">
        <f ca="1">cc_in_focus*cc_show_type*MIN(cc_tracked,cc_budget)</f>
        <v>0</v>
      </c>
      <c r="N85" s="100">
        <f ca="1">cc_in_focus*cc_show_type*cc_show_remaining_budget*IF(cc_delta&gt;0,cc_delta,0)</f>
        <v>0</v>
      </c>
      <c r="O85" s="100">
        <f ca="1">cc_in_focus*cc_show_type*IF(cc_delta&lt;0,ABS(cc_delta),0)</f>
        <v>0</v>
      </c>
      <c r="P85" s="100">
        <f ca="1">NOT(cc_in_focus)*cc_show_type*MIN(cc_tracked,cc_budget)</f>
        <v>0</v>
      </c>
      <c r="Q85" s="100">
        <f ca="1">NOT(cc_in_focus)*cc_show_type*cc_show_remaining_budget*IF(cc_delta&gt;0,cc_delta,0)</f>
        <v>3800</v>
      </c>
      <c r="R85" s="100">
        <f ca="1">NOT(cc_in_focus)*cc_show_type*IF(cc_delta&lt;0,ABS(cc_delta),0)</f>
        <v>0</v>
      </c>
    </row>
    <row r="86" spans="4:18" x14ac:dyDescent="0.3">
      <c r="D86" s="139"/>
      <c r="E86" s="44" t="s">
        <v>15</v>
      </c>
      <c r="F86" s="44">
        <f t="shared" ref="F86" ca="1" si="48">MONTH(D84)</f>
        <v>8</v>
      </c>
      <c r="G86" s="44">
        <f ca="1">IF(selected_period="Total Year",1,IF(selected_period=cc_month_number,1,0))</f>
        <v>0</v>
      </c>
      <c r="H86" s="44">
        <f t="shared" ref="H86" si="49">1*$E$52</f>
        <v>1</v>
      </c>
      <c r="I86" s="44">
        <f t="shared" si="3"/>
        <v>1</v>
      </c>
      <c r="J86" s="100">
        <f ca="1">SUMPRODUCT(Tracking[Amount]*(Tracking[Type]=cc_type)*(YEAR(Tracking[Effective Date])=selected_year)*(MONTH(Tracking[Effective Date])=cc_month_number))</f>
        <v>0</v>
      </c>
      <c r="K86" s="100">
        <f ca="1">INDEX('Budget Planning'!$E:$EM,savings_total_row, MATCH((DATE(selected_year,cc_month_number,1)),'Budget Planning'!$E$9:$AS$9,0) )</f>
        <v>1800</v>
      </c>
      <c r="L86" s="117">
        <f ca="1">cc_budget - cc_tracked</f>
        <v>1800</v>
      </c>
      <c r="M86" s="100">
        <f ca="1">cc_in_focus*cc_show_type*MIN(cc_tracked,cc_budget)</f>
        <v>0</v>
      </c>
      <c r="N86" s="100">
        <f ca="1">cc_in_focus*cc_show_type*cc_show_remaining_budget*IF(cc_delta&gt;0,cc_delta,0)</f>
        <v>0</v>
      </c>
      <c r="O86" s="100">
        <f ca="1">cc_in_focus*cc_show_type*IF(cc_delta&lt;0,ABS(cc_delta),0)</f>
        <v>0</v>
      </c>
      <c r="P86" s="100">
        <f ca="1">NOT(cc_in_focus)*cc_show_type*MIN(cc_tracked,cc_budget)</f>
        <v>0</v>
      </c>
      <c r="Q86" s="100">
        <f ca="1">NOT(cc_in_focus)*cc_show_type*cc_show_remaining_budget*IF(cc_delta&gt;0,cc_delta,0)</f>
        <v>1800</v>
      </c>
      <c r="R86" s="100">
        <f ca="1">NOT(cc_in_focus)*cc_show_type*IF(cc_delta&lt;0,ABS(cc_delta),0)</f>
        <v>0</v>
      </c>
    </row>
    <row r="87" spans="4:18" x14ac:dyDescent="0.3">
      <c r="D87" s="140"/>
      <c r="E87" s="101"/>
      <c r="F87" s="101"/>
      <c r="G87" s="101"/>
      <c r="H87" s="101"/>
      <c r="I87" s="101"/>
      <c r="J87" s="110"/>
      <c r="K87" s="110"/>
      <c r="L87" s="118"/>
      <c r="M87" s="101"/>
      <c r="N87" s="101"/>
      <c r="O87" s="101"/>
      <c r="P87" s="101"/>
      <c r="Q87" s="101"/>
      <c r="R87" s="101"/>
    </row>
    <row r="88" spans="4:18" x14ac:dyDescent="0.3">
      <c r="D88" s="141">
        <f ca="1">DATE(selected_year,9,1)</f>
        <v>45170</v>
      </c>
      <c r="E88" s="106" t="s">
        <v>5</v>
      </c>
      <c r="F88" s="44">
        <f t="shared" ref="F88" ca="1" si="50">MONTH(D88)</f>
        <v>9</v>
      </c>
      <c r="G88" s="44">
        <f ca="1">IF(selected_period="Total Year",1,IF(selected_period=cc_month_number,1,0))</f>
        <v>0</v>
      </c>
      <c r="H88" s="44">
        <f t="shared" ref="H88" si="51">1*$E$50</f>
        <v>1</v>
      </c>
      <c r="I88" s="44">
        <f t="shared" ref="I88" si="52">1*$E$53</f>
        <v>1</v>
      </c>
      <c r="J88" s="100">
        <f ca="1">SUMPRODUCT(Tracking[Amount]*(Tracking[Type]=cc_type)*(YEAR(Tracking[Effective Date])=selected_year)*(MONTH(Tracking[Effective Date])=cc_month_number))</f>
        <v>0</v>
      </c>
      <c r="K88" s="100">
        <f ca="1">INDEX('Budget Planning'!$E:$EM,income_total_row, MATCH((DATE(selected_year,cc_month_number,1)),'Budget Planning'!$E$9:$AS$9,0) )</f>
        <v>5600</v>
      </c>
      <c r="L88" s="117">
        <f ca="1">cc_budget - cc_tracked</f>
        <v>5600</v>
      </c>
      <c r="M88" s="100">
        <f ca="1">cc_in_focus*cc_show_type*MIN(cc_tracked,cc_budget)</f>
        <v>0</v>
      </c>
      <c r="N88" s="100">
        <f ca="1">cc_in_focus*cc_show_type*cc_show_remaining_budget*IF(cc_delta&gt;0,cc_delta,0)</f>
        <v>0</v>
      </c>
      <c r="O88" s="100">
        <f ca="1">cc_in_focus*cc_show_type*IF(cc_delta&lt;0,ABS(cc_delta),0)</f>
        <v>0</v>
      </c>
      <c r="P88" s="100">
        <f ca="1">NOT(cc_in_focus)*cc_show_type*MIN(cc_tracked,cc_budget)</f>
        <v>0</v>
      </c>
      <c r="Q88" s="100">
        <f ca="1">NOT(cc_in_focus)*cc_show_type*cc_show_remaining_budget*IF(cc_delta&gt;0,cc_delta,0)</f>
        <v>5600</v>
      </c>
      <c r="R88" s="100">
        <f ca="1">NOT(cc_in_focus)*cc_show_type*IF(cc_delta&lt;0,ABS(cc_delta),0)</f>
        <v>0</v>
      </c>
    </row>
    <row r="89" spans="4:18" x14ac:dyDescent="0.3">
      <c r="D89" s="139"/>
      <c r="E89" s="44" t="s">
        <v>11</v>
      </c>
      <c r="F89" s="44">
        <f t="shared" ref="F89" ca="1" si="53">MONTH(D88)</f>
        <v>9</v>
      </c>
      <c r="G89" s="44">
        <f ca="1">IF(selected_period="Total Year",1,IF(selected_period=cc_month_number,1,0))</f>
        <v>0</v>
      </c>
      <c r="H89" s="44">
        <f t="shared" ref="H89" si="54">1*$E$51</f>
        <v>1</v>
      </c>
      <c r="I89" s="44">
        <f t="shared" si="3"/>
        <v>1</v>
      </c>
      <c r="J89" s="100">
        <f ca="1">SUMPRODUCT(Tracking[Amount]*(Tracking[Type]=cc_type)*(YEAR(Tracking[Effective Date])=selected_year)*(MONTH(Tracking[Effective Date])=cc_month_number))</f>
        <v>0</v>
      </c>
      <c r="K89" s="100">
        <f ca="1">INDEX('Budget Planning'!$E:$EM,expenses_total_row, MATCH((DATE(selected_year,cc_month_number,1)),'Budget Planning'!$E$9:$AS$9,0) )</f>
        <v>2700</v>
      </c>
      <c r="L89" s="117">
        <f ca="1">cc_budget - cc_tracked</f>
        <v>2700</v>
      </c>
      <c r="M89" s="100">
        <f ca="1">cc_in_focus*cc_show_type*MIN(cc_tracked,cc_budget)</f>
        <v>0</v>
      </c>
      <c r="N89" s="100">
        <f ca="1">cc_in_focus*cc_show_type*cc_show_remaining_budget*IF(cc_delta&gt;0,cc_delta,0)</f>
        <v>0</v>
      </c>
      <c r="O89" s="100">
        <f ca="1">cc_in_focus*cc_show_type*IF(cc_delta&lt;0,ABS(cc_delta),0)</f>
        <v>0</v>
      </c>
      <c r="P89" s="100">
        <f ca="1">NOT(cc_in_focus)*cc_show_type*MIN(cc_tracked,cc_budget)</f>
        <v>0</v>
      </c>
      <c r="Q89" s="100">
        <f ca="1">NOT(cc_in_focus)*cc_show_type*cc_show_remaining_budget*IF(cc_delta&gt;0,cc_delta,0)</f>
        <v>2700</v>
      </c>
      <c r="R89" s="100">
        <f ca="1">NOT(cc_in_focus)*cc_show_type*IF(cc_delta&lt;0,ABS(cc_delta),0)</f>
        <v>0</v>
      </c>
    </row>
    <row r="90" spans="4:18" x14ac:dyDescent="0.3">
      <c r="D90" s="139"/>
      <c r="E90" s="44" t="s">
        <v>15</v>
      </c>
      <c r="F90" s="44">
        <f t="shared" ref="F90" ca="1" si="55">MONTH(D88)</f>
        <v>9</v>
      </c>
      <c r="G90" s="44">
        <f ca="1">IF(selected_period="Total Year",1,IF(selected_period=cc_month_number,1,0))</f>
        <v>0</v>
      </c>
      <c r="H90" s="44">
        <f t="shared" ref="H90" si="56">1*$E$52</f>
        <v>1</v>
      </c>
      <c r="I90" s="44">
        <f t="shared" si="3"/>
        <v>1</v>
      </c>
      <c r="J90" s="100">
        <f ca="1">SUMPRODUCT(Tracking[Amount]*(Tracking[Type]=cc_type)*(YEAR(Tracking[Effective Date])=selected_year)*(MONTH(Tracking[Effective Date])=cc_month_number))</f>
        <v>0</v>
      </c>
      <c r="K90" s="100">
        <f ca="1">INDEX('Budget Planning'!$E:$EM,savings_total_row, MATCH((DATE(selected_year,cc_month_number,1)),'Budget Planning'!$E$9:$AS$9,0) )</f>
        <v>2900</v>
      </c>
      <c r="L90" s="117">
        <f ca="1">cc_budget - cc_tracked</f>
        <v>2900</v>
      </c>
      <c r="M90" s="100">
        <f ca="1">cc_in_focus*cc_show_type*MIN(cc_tracked,cc_budget)</f>
        <v>0</v>
      </c>
      <c r="N90" s="100">
        <f ca="1">cc_in_focus*cc_show_type*cc_show_remaining_budget*IF(cc_delta&gt;0,cc_delta,0)</f>
        <v>0</v>
      </c>
      <c r="O90" s="100">
        <f ca="1">cc_in_focus*cc_show_type*IF(cc_delta&lt;0,ABS(cc_delta),0)</f>
        <v>0</v>
      </c>
      <c r="P90" s="100">
        <f ca="1">NOT(cc_in_focus)*cc_show_type*MIN(cc_tracked,cc_budget)</f>
        <v>0</v>
      </c>
      <c r="Q90" s="100">
        <f ca="1">NOT(cc_in_focus)*cc_show_type*cc_show_remaining_budget*IF(cc_delta&gt;0,cc_delta,0)</f>
        <v>2900</v>
      </c>
      <c r="R90" s="100">
        <f ca="1">NOT(cc_in_focus)*cc_show_type*IF(cc_delta&lt;0,ABS(cc_delta),0)</f>
        <v>0</v>
      </c>
    </row>
    <row r="91" spans="4:18" x14ac:dyDescent="0.3">
      <c r="D91" s="140"/>
      <c r="E91" s="101"/>
      <c r="F91" s="101"/>
      <c r="G91" s="101"/>
      <c r="H91" s="101"/>
      <c r="I91" s="101"/>
      <c r="J91" s="110"/>
      <c r="K91" s="110"/>
      <c r="L91" s="118"/>
      <c r="M91" s="101"/>
      <c r="N91" s="101"/>
      <c r="O91" s="101"/>
      <c r="P91" s="101"/>
      <c r="Q91" s="101"/>
      <c r="R91" s="101"/>
    </row>
    <row r="92" spans="4:18" x14ac:dyDescent="0.3">
      <c r="D92" s="141">
        <f ca="1">DATE(selected_year,10,1)</f>
        <v>45200</v>
      </c>
      <c r="E92" s="106" t="s">
        <v>5</v>
      </c>
      <c r="F92" s="44">
        <f t="shared" ref="F92" ca="1" si="57">MONTH(D92)</f>
        <v>10</v>
      </c>
      <c r="G92" s="44">
        <f ca="1">IF(selected_period="Total Year",1,IF(selected_period=cc_month_number,1,0))</f>
        <v>0</v>
      </c>
      <c r="H92" s="44">
        <f t="shared" ref="H92" si="58">1*$E$50</f>
        <v>1</v>
      </c>
      <c r="I92" s="44">
        <f t="shared" ref="I92" si="59">1*$E$53</f>
        <v>1</v>
      </c>
      <c r="J92" s="100">
        <f ca="1">SUMPRODUCT(Tracking[Amount]*(Tracking[Type]=cc_type)*(YEAR(Tracking[Effective Date])=selected_year)*(MONTH(Tracking[Effective Date])=cc_month_number))</f>
        <v>0</v>
      </c>
      <c r="K92" s="100">
        <f ca="1">INDEX('Budget Planning'!$E:$EM,income_total_row, MATCH((DATE(selected_year,cc_month_number,1)),'Budget Planning'!$E$9:$AS$9,0) )</f>
        <v>5650</v>
      </c>
      <c r="L92" s="117">
        <f ca="1">cc_budget - cc_tracked</f>
        <v>5650</v>
      </c>
      <c r="M92" s="100">
        <f ca="1">cc_in_focus*cc_show_type*MIN(cc_tracked,cc_budget)</f>
        <v>0</v>
      </c>
      <c r="N92" s="100">
        <f ca="1">cc_in_focus*cc_show_type*cc_show_remaining_budget*IF(cc_delta&gt;0,cc_delta,0)</f>
        <v>0</v>
      </c>
      <c r="O92" s="100">
        <f ca="1">cc_in_focus*cc_show_type*IF(cc_delta&lt;0,ABS(cc_delta),0)</f>
        <v>0</v>
      </c>
      <c r="P92" s="100">
        <f ca="1">NOT(cc_in_focus)*cc_show_type*MIN(cc_tracked,cc_budget)</f>
        <v>0</v>
      </c>
      <c r="Q92" s="100">
        <f ca="1">NOT(cc_in_focus)*cc_show_type*cc_show_remaining_budget*IF(cc_delta&gt;0,cc_delta,0)</f>
        <v>5650</v>
      </c>
      <c r="R92" s="100">
        <f ca="1">NOT(cc_in_focus)*cc_show_type*IF(cc_delta&lt;0,ABS(cc_delta),0)</f>
        <v>0</v>
      </c>
    </row>
    <row r="93" spans="4:18" x14ac:dyDescent="0.3">
      <c r="D93" s="139"/>
      <c r="E93" s="44" t="s">
        <v>11</v>
      </c>
      <c r="F93" s="44">
        <f t="shared" ref="F93" ca="1" si="60">MONTH(D92)</f>
        <v>10</v>
      </c>
      <c r="G93" s="44">
        <f ca="1">IF(selected_period="Total Year",1,IF(selected_period=cc_month_number,1,0))</f>
        <v>0</v>
      </c>
      <c r="H93" s="44">
        <f t="shared" ref="H93" si="61">1*$E$51</f>
        <v>1</v>
      </c>
      <c r="I93" s="44">
        <f t="shared" si="3"/>
        <v>1</v>
      </c>
      <c r="J93" s="100">
        <f ca="1">SUMPRODUCT(Tracking[Amount]*(Tracking[Type]=cc_type)*(YEAR(Tracking[Effective Date])=selected_year)*(MONTH(Tracking[Effective Date])=cc_month_number))</f>
        <v>0</v>
      </c>
      <c r="K93" s="100">
        <f ca="1">INDEX('Budget Planning'!$E:$EM,expenses_total_row, MATCH((DATE(selected_year,cc_month_number,1)),'Budget Planning'!$E$9:$AS$9,0) )</f>
        <v>2600</v>
      </c>
      <c r="L93" s="117">
        <f ca="1">cc_budget - cc_tracked</f>
        <v>2600</v>
      </c>
      <c r="M93" s="100">
        <f ca="1">cc_in_focus*cc_show_type*MIN(cc_tracked,cc_budget)</f>
        <v>0</v>
      </c>
      <c r="N93" s="100">
        <f ca="1">cc_in_focus*cc_show_type*cc_show_remaining_budget*IF(cc_delta&gt;0,cc_delta,0)</f>
        <v>0</v>
      </c>
      <c r="O93" s="100">
        <f ca="1">cc_in_focus*cc_show_type*IF(cc_delta&lt;0,ABS(cc_delta),0)</f>
        <v>0</v>
      </c>
      <c r="P93" s="100">
        <f ca="1">NOT(cc_in_focus)*cc_show_type*MIN(cc_tracked,cc_budget)</f>
        <v>0</v>
      </c>
      <c r="Q93" s="100">
        <f ca="1">NOT(cc_in_focus)*cc_show_type*cc_show_remaining_budget*IF(cc_delta&gt;0,cc_delta,0)</f>
        <v>2600</v>
      </c>
      <c r="R93" s="100">
        <f ca="1">NOT(cc_in_focus)*cc_show_type*IF(cc_delta&lt;0,ABS(cc_delta),0)</f>
        <v>0</v>
      </c>
    </row>
    <row r="94" spans="4:18" x14ac:dyDescent="0.3">
      <c r="D94" s="139"/>
      <c r="E94" s="44" t="s">
        <v>15</v>
      </c>
      <c r="F94" s="44">
        <f t="shared" ref="F94" ca="1" si="62">MONTH(D92)</f>
        <v>10</v>
      </c>
      <c r="G94" s="44">
        <f ca="1">IF(selected_period="Total Year",1,IF(selected_period=cc_month_number,1,0))</f>
        <v>0</v>
      </c>
      <c r="H94" s="44">
        <f t="shared" ref="H94" si="63">1*$E$52</f>
        <v>1</v>
      </c>
      <c r="I94" s="44">
        <f t="shared" si="3"/>
        <v>1</v>
      </c>
      <c r="J94" s="100">
        <f ca="1">SUMPRODUCT(Tracking[Amount]*(Tracking[Type]=cc_type)*(YEAR(Tracking[Effective Date])=selected_year)*(MONTH(Tracking[Effective Date])=cc_month_number))</f>
        <v>0</v>
      </c>
      <c r="K94" s="100">
        <f ca="1">INDEX('Budget Planning'!$E:$EM,savings_total_row, MATCH((DATE(selected_year,cc_month_number,1)),'Budget Planning'!$E$9:$AS$9,0) )</f>
        <v>3100</v>
      </c>
      <c r="L94" s="117">
        <f ca="1">cc_budget - cc_tracked</f>
        <v>3100</v>
      </c>
      <c r="M94" s="100">
        <f ca="1">cc_in_focus*cc_show_type*MIN(cc_tracked,cc_budget)</f>
        <v>0</v>
      </c>
      <c r="N94" s="100">
        <f ca="1">cc_in_focus*cc_show_type*cc_show_remaining_budget*IF(cc_delta&gt;0,cc_delta,0)</f>
        <v>0</v>
      </c>
      <c r="O94" s="100">
        <f ca="1">cc_in_focus*cc_show_type*IF(cc_delta&lt;0,ABS(cc_delta),0)</f>
        <v>0</v>
      </c>
      <c r="P94" s="100">
        <f ca="1">NOT(cc_in_focus)*cc_show_type*MIN(cc_tracked,cc_budget)</f>
        <v>0</v>
      </c>
      <c r="Q94" s="100">
        <f ca="1">NOT(cc_in_focus)*cc_show_type*cc_show_remaining_budget*IF(cc_delta&gt;0,cc_delta,0)</f>
        <v>3100</v>
      </c>
      <c r="R94" s="100">
        <f ca="1">NOT(cc_in_focus)*cc_show_type*IF(cc_delta&lt;0,ABS(cc_delta),0)</f>
        <v>0</v>
      </c>
    </row>
    <row r="95" spans="4:18" x14ac:dyDescent="0.3">
      <c r="D95" s="140"/>
      <c r="E95" s="101"/>
      <c r="F95" s="101"/>
      <c r="G95" s="101"/>
      <c r="H95" s="101"/>
      <c r="I95" s="101"/>
      <c r="J95" s="110"/>
      <c r="K95" s="110"/>
      <c r="L95" s="118"/>
      <c r="M95" s="101"/>
      <c r="N95" s="101"/>
      <c r="O95" s="101"/>
      <c r="P95" s="101"/>
      <c r="Q95" s="101"/>
      <c r="R95" s="101"/>
    </row>
    <row r="96" spans="4:18" x14ac:dyDescent="0.3">
      <c r="D96" s="141">
        <f ca="1">DATE(selected_year,11,1)</f>
        <v>45231</v>
      </c>
      <c r="E96" s="106" t="s">
        <v>5</v>
      </c>
      <c r="F96" s="44">
        <f t="shared" ref="F96" ca="1" si="64">MONTH(D96)</f>
        <v>11</v>
      </c>
      <c r="G96" s="44">
        <f ca="1">IF(selected_period="Total Year",1,IF(selected_period=cc_month_number,1,0))</f>
        <v>0</v>
      </c>
      <c r="H96" s="44">
        <f t="shared" ref="H96" si="65">1*$E$50</f>
        <v>1</v>
      </c>
      <c r="I96" s="44">
        <f t="shared" ref="I96" si="66">1*$E$53</f>
        <v>1</v>
      </c>
      <c r="J96" s="100">
        <f ca="1">SUMPRODUCT(Tracking[Amount]*(Tracking[Type]=cc_type)*(YEAR(Tracking[Effective Date])=selected_year)*(MONTH(Tracking[Effective Date])=cc_month_number))</f>
        <v>0</v>
      </c>
      <c r="K96" s="100">
        <f ca="1">INDEX('Budget Planning'!$E:$EM,income_total_row, MATCH((DATE(selected_year,cc_month_number,1)),'Budget Planning'!$E$9:$AS$9,0) )</f>
        <v>5550</v>
      </c>
      <c r="L96" s="117">
        <f ca="1">cc_budget - cc_tracked</f>
        <v>5550</v>
      </c>
      <c r="M96" s="100">
        <f ca="1">cc_in_focus*cc_show_type*MIN(cc_tracked,cc_budget)</f>
        <v>0</v>
      </c>
      <c r="N96" s="100">
        <f ca="1">cc_in_focus*cc_show_type*cc_show_remaining_budget*IF(cc_delta&gt;0,cc_delta,0)</f>
        <v>0</v>
      </c>
      <c r="O96" s="100">
        <f ca="1">cc_in_focus*cc_show_type*IF(cc_delta&lt;0,ABS(cc_delta),0)</f>
        <v>0</v>
      </c>
      <c r="P96" s="100">
        <f ca="1">NOT(cc_in_focus)*cc_show_type*MIN(cc_tracked,cc_budget)</f>
        <v>0</v>
      </c>
      <c r="Q96" s="100">
        <f ca="1">NOT(cc_in_focus)*cc_show_type*cc_show_remaining_budget*IF(cc_delta&gt;0,cc_delta,0)</f>
        <v>5550</v>
      </c>
      <c r="R96" s="100">
        <f ca="1">NOT(cc_in_focus)*cc_show_type*IF(cc_delta&lt;0,ABS(cc_delta),0)</f>
        <v>0</v>
      </c>
    </row>
    <row r="97" spans="4:18" x14ac:dyDescent="0.3">
      <c r="D97" s="139"/>
      <c r="E97" s="44" t="s">
        <v>11</v>
      </c>
      <c r="F97" s="44">
        <f t="shared" ref="F97" ca="1" si="67">MONTH(D96)</f>
        <v>11</v>
      </c>
      <c r="G97" s="44">
        <f ca="1">IF(selected_period="Total Year",1,IF(selected_period=cc_month_number,1,0))</f>
        <v>0</v>
      </c>
      <c r="H97" s="44">
        <f t="shared" ref="H97" si="68">1*$E$51</f>
        <v>1</v>
      </c>
      <c r="I97" s="44">
        <f t="shared" si="3"/>
        <v>1</v>
      </c>
      <c r="J97" s="100">
        <f ca="1">SUMPRODUCT(Tracking[Amount]*(Tracking[Type]=cc_type)*(YEAR(Tracking[Effective Date])=selected_year)*(MONTH(Tracking[Effective Date])=cc_month_number))</f>
        <v>0</v>
      </c>
      <c r="K97" s="100">
        <f ca="1">INDEX('Budget Planning'!$E:$EM,expenses_total_row, MATCH((DATE(selected_year,cc_month_number,1)),'Budget Planning'!$E$9:$AS$9,0) )</f>
        <v>2600</v>
      </c>
      <c r="L97" s="117">
        <f ca="1">cc_budget - cc_tracked</f>
        <v>2600</v>
      </c>
      <c r="M97" s="100">
        <f ca="1">cc_in_focus*cc_show_type*MIN(cc_tracked,cc_budget)</f>
        <v>0</v>
      </c>
      <c r="N97" s="100">
        <f ca="1">cc_in_focus*cc_show_type*cc_show_remaining_budget*IF(cc_delta&gt;0,cc_delta,0)</f>
        <v>0</v>
      </c>
      <c r="O97" s="100">
        <f ca="1">cc_in_focus*cc_show_type*IF(cc_delta&lt;0,ABS(cc_delta),0)</f>
        <v>0</v>
      </c>
      <c r="P97" s="100">
        <f ca="1">NOT(cc_in_focus)*cc_show_type*MIN(cc_tracked,cc_budget)</f>
        <v>0</v>
      </c>
      <c r="Q97" s="100">
        <f ca="1">NOT(cc_in_focus)*cc_show_type*cc_show_remaining_budget*IF(cc_delta&gt;0,cc_delta,0)</f>
        <v>2600</v>
      </c>
      <c r="R97" s="100">
        <f ca="1">NOT(cc_in_focus)*cc_show_type*IF(cc_delta&lt;0,ABS(cc_delta),0)</f>
        <v>0</v>
      </c>
    </row>
    <row r="98" spans="4:18" x14ac:dyDescent="0.3">
      <c r="D98" s="139"/>
      <c r="E98" s="44" t="s">
        <v>15</v>
      </c>
      <c r="F98" s="44">
        <f t="shared" ref="F98" ca="1" si="69">MONTH(D96)</f>
        <v>11</v>
      </c>
      <c r="G98" s="44">
        <f ca="1">IF(selected_period="Total Year",1,IF(selected_period=cc_month_number,1,0))</f>
        <v>0</v>
      </c>
      <c r="H98" s="44">
        <f t="shared" ref="H98" si="70">1*$E$52</f>
        <v>1</v>
      </c>
      <c r="I98" s="44">
        <f t="shared" si="3"/>
        <v>1</v>
      </c>
      <c r="J98" s="100">
        <f ca="1">SUMPRODUCT(Tracking[Amount]*(Tracking[Type]=cc_type)*(YEAR(Tracking[Effective Date])=selected_year)*(MONTH(Tracking[Effective Date])=cc_month_number))</f>
        <v>0</v>
      </c>
      <c r="K98" s="100">
        <f ca="1">INDEX('Budget Planning'!$E:$EM,savings_total_row, MATCH((DATE(selected_year,cc_month_number,1)),'Budget Planning'!$E$9:$AS$9,0) )</f>
        <v>3000</v>
      </c>
      <c r="L98" s="117">
        <f ca="1">cc_budget - cc_tracked</f>
        <v>3000</v>
      </c>
      <c r="M98" s="100">
        <f ca="1">cc_in_focus*cc_show_type*MIN(cc_tracked,cc_budget)</f>
        <v>0</v>
      </c>
      <c r="N98" s="100">
        <f ca="1">cc_in_focus*cc_show_type*cc_show_remaining_budget*IF(cc_delta&gt;0,cc_delta,0)</f>
        <v>0</v>
      </c>
      <c r="O98" s="100">
        <f ca="1">cc_in_focus*cc_show_type*IF(cc_delta&lt;0,ABS(cc_delta),0)</f>
        <v>0</v>
      </c>
      <c r="P98" s="100">
        <f ca="1">NOT(cc_in_focus)*cc_show_type*MIN(cc_tracked,cc_budget)</f>
        <v>0</v>
      </c>
      <c r="Q98" s="100">
        <f ca="1">NOT(cc_in_focus)*cc_show_type*cc_show_remaining_budget*IF(cc_delta&gt;0,cc_delta,0)</f>
        <v>3000</v>
      </c>
      <c r="R98" s="100">
        <f ca="1">NOT(cc_in_focus)*cc_show_type*IF(cc_delta&lt;0,ABS(cc_delta),0)</f>
        <v>0</v>
      </c>
    </row>
    <row r="99" spans="4:18" x14ac:dyDescent="0.3">
      <c r="D99" s="140"/>
      <c r="E99" s="101"/>
      <c r="F99" s="101"/>
      <c r="G99" s="101"/>
      <c r="H99" s="101"/>
      <c r="I99" s="101"/>
      <c r="J99" s="110"/>
      <c r="K99" s="110"/>
      <c r="L99" s="118"/>
      <c r="M99" s="101"/>
      <c r="N99" s="101"/>
      <c r="O99" s="101"/>
      <c r="P99" s="101"/>
      <c r="Q99" s="101"/>
      <c r="R99" s="101"/>
    </row>
    <row r="100" spans="4:18" x14ac:dyDescent="0.3">
      <c r="D100" s="141">
        <f ca="1">DATE(selected_year,12,1)</f>
        <v>45261</v>
      </c>
      <c r="E100" s="106" t="s">
        <v>5</v>
      </c>
      <c r="F100" s="44">
        <f t="shared" ref="F100" ca="1" si="71">MONTH(D100)</f>
        <v>12</v>
      </c>
      <c r="G100" s="44">
        <f ca="1">IF(selected_period="Total Year",1,IF(selected_period=cc_month_number,1,0))</f>
        <v>0</v>
      </c>
      <c r="H100" s="44">
        <f t="shared" ref="H100" si="72">1*$E$50</f>
        <v>1</v>
      </c>
      <c r="I100" s="44">
        <f t="shared" ref="I100" si="73">1*$E$53</f>
        <v>1</v>
      </c>
      <c r="J100" s="100">
        <f ca="1">SUMPRODUCT(Tracking[Amount]*(Tracking[Type]=cc_type)*(YEAR(Tracking[Effective Date])=selected_year)*(MONTH(Tracking[Effective Date])=cc_month_number))</f>
        <v>0</v>
      </c>
      <c r="K100" s="100">
        <f ca="1">INDEX('Budget Planning'!$E:$EM,income_total_row, MATCH((DATE(selected_year,cc_month_number,1)),'Budget Planning'!$E$9:$AS$9,0) )</f>
        <v>5600</v>
      </c>
      <c r="L100" s="117">
        <f ca="1">cc_budget - cc_tracked</f>
        <v>5600</v>
      </c>
      <c r="M100" s="100">
        <f ca="1">cc_in_focus*cc_show_type*MIN(cc_tracked,cc_budget)</f>
        <v>0</v>
      </c>
      <c r="N100" s="100">
        <f ca="1">cc_in_focus*cc_show_type*cc_show_remaining_budget*IF(cc_delta&gt;0,cc_delta,0)</f>
        <v>0</v>
      </c>
      <c r="O100" s="100">
        <f ca="1">cc_in_focus*cc_show_type*IF(cc_delta&lt;0,ABS(cc_delta),0)</f>
        <v>0</v>
      </c>
      <c r="P100" s="100">
        <f ca="1">NOT(cc_in_focus)*cc_show_type*MIN(cc_tracked,cc_budget)</f>
        <v>0</v>
      </c>
      <c r="Q100" s="100">
        <f ca="1">NOT(cc_in_focus)*cc_show_type*cc_show_remaining_budget*IF(cc_delta&gt;0,cc_delta,0)</f>
        <v>5600</v>
      </c>
      <c r="R100" s="100">
        <f ca="1">NOT(cc_in_focus)*cc_show_type*IF(cc_delta&lt;0,ABS(cc_delta),0)</f>
        <v>0</v>
      </c>
    </row>
    <row r="101" spans="4:18" x14ac:dyDescent="0.3">
      <c r="D101" s="139"/>
      <c r="E101" s="44" t="s">
        <v>11</v>
      </c>
      <c r="F101" s="44">
        <f t="shared" ref="F101" ca="1" si="74">MONTH(D100)</f>
        <v>12</v>
      </c>
      <c r="G101" s="44">
        <f ca="1">IF(selected_period="Total Year",1,IF(selected_period=cc_month_number,1,0))</f>
        <v>0</v>
      </c>
      <c r="H101" s="44">
        <f t="shared" ref="H101" si="75">1*$E$51</f>
        <v>1</v>
      </c>
      <c r="I101" s="44">
        <f t="shared" si="3"/>
        <v>1</v>
      </c>
      <c r="J101" s="100">
        <f ca="1">SUMPRODUCT(Tracking[Amount]*(Tracking[Type]=cc_type)*(YEAR(Tracking[Effective Date])=selected_year)*(MONTH(Tracking[Effective Date])=cc_month_number))</f>
        <v>0</v>
      </c>
      <c r="K101" s="100">
        <f ca="1">INDEX('Budget Planning'!$E:$EM,expenses_total_row, MATCH((DATE(selected_year,cc_month_number,1)),'Budget Planning'!$E$9:$AS$9,0) )</f>
        <v>3400</v>
      </c>
      <c r="L101" s="117">
        <f ca="1">cc_budget - cc_tracked</f>
        <v>3400</v>
      </c>
      <c r="M101" s="100">
        <f ca="1">cc_in_focus*cc_show_type*MIN(cc_tracked,cc_budget)</f>
        <v>0</v>
      </c>
      <c r="N101" s="100">
        <f ca="1">cc_in_focus*cc_show_type*cc_show_remaining_budget*IF(cc_delta&gt;0,cc_delta,0)</f>
        <v>0</v>
      </c>
      <c r="O101" s="100">
        <f ca="1">cc_in_focus*cc_show_type*IF(cc_delta&lt;0,ABS(cc_delta),0)</f>
        <v>0</v>
      </c>
      <c r="P101" s="100">
        <f ca="1">NOT(cc_in_focus)*cc_show_type*MIN(cc_tracked,cc_budget)</f>
        <v>0</v>
      </c>
      <c r="Q101" s="100">
        <f ca="1">NOT(cc_in_focus)*cc_show_type*cc_show_remaining_budget*IF(cc_delta&gt;0,cc_delta,0)</f>
        <v>3400</v>
      </c>
      <c r="R101" s="100">
        <f ca="1">NOT(cc_in_focus)*cc_show_type*IF(cc_delta&lt;0,ABS(cc_delta),0)</f>
        <v>0</v>
      </c>
    </row>
    <row r="102" spans="4:18" x14ac:dyDescent="0.3">
      <c r="D102" s="139"/>
      <c r="E102" s="44" t="s">
        <v>15</v>
      </c>
      <c r="F102" s="44">
        <f t="shared" ref="F102" ca="1" si="76">MONTH(D100)</f>
        <v>12</v>
      </c>
      <c r="G102" s="44">
        <f ca="1">IF(selected_period="Total Year",1,IF(selected_period=cc_month_number,1,0))</f>
        <v>0</v>
      </c>
      <c r="H102" s="44">
        <f t="shared" ref="H102" si="77">1*$E$52</f>
        <v>1</v>
      </c>
      <c r="I102" s="44">
        <f t="shared" si="3"/>
        <v>1</v>
      </c>
      <c r="J102" s="100">
        <f ca="1">SUMPRODUCT(Tracking[Amount]*(Tracking[Type]=cc_type)*(YEAR(Tracking[Effective Date])=selected_year)*(MONTH(Tracking[Effective Date])=cc_month_number))</f>
        <v>0</v>
      </c>
      <c r="K102" s="100">
        <f ca="1">INDEX('Budget Planning'!$E:$EM,savings_total_row, MATCH((DATE(selected_year,cc_month_number,1)),'Budget Planning'!$E$9:$AS$9,0) )</f>
        <v>2200</v>
      </c>
      <c r="L102" s="117">
        <f ca="1">cc_budget - cc_tracked</f>
        <v>2200</v>
      </c>
      <c r="M102" s="100">
        <f ca="1">cc_in_focus*cc_show_type*MIN(cc_tracked,cc_budget)</f>
        <v>0</v>
      </c>
      <c r="N102" s="100">
        <f ca="1">cc_in_focus*cc_show_type*cc_show_remaining_budget*IF(cc_delta&gt;0,cc_delta,0)</f>
        <v>0</v>
      </c>
      <c r="O102" s="100">
        <f ca="1">cc_in_focus*cc_show_type*IF(cc_delta&lt;0,ABS(cc_delta),0)</f>
        <v>0</v>
      </c>
      <c r="P102" s="100">
        <f ca="1">NOT(cc_in_focus)*cc_show_type*MIN(cc_tracked,cc_budget)</f>
        <v>0</v>
      </c>
      <c r="Q102" s="100">
        <f ca="1">NOT(cc_in_focus)*cc_show_type*cc_show_remaining_budget*IF(cc_delta&gt;0,cc_delta,0)</f>
        <v>2200</v>
      </c>
      <c r="R102" s="100">
        <f ca="1">NOT(cc_in_focus)*cc_show_type*IF(cc_delta&lt;0,ABS(cc_delta),0)</f>
        <v>0</v>
      </c>
    </row>
    <row r="103" spans="4:18" x14ac:dyDescent="0.3">
      <c r="D103" s="140"/>
      <c r="E103" s="101"/>
      <c r="F103" s="101"/>
      <c r="G103" s="101"/>
      <c r="H103" s="101"/>
      <c r="I103" s="101"/>
      <c r="J103" s="110"/>
      <c r="K103" s="110"/>
      <c r="L103" s="118"/>
      <c r="M103" s="101"/>
      <c r="N103" s="101"/>
      <c r="O103" s="101"/>
      <c r="P103" s="101"/>
      <c r="Q103" s="101"/>
      <c r="R103" s="101"/>
    </row>
  </sheetData>
  <mergeCells count="16">
    <mergeCell ref="D100:D103"/>
    <mergeCell ref="D80:D83"/>
    <mergeCell ref="D84:D87"/>
    <mergeCell ref="D88:D91"/>
    <mergeCell ref="D92:D95"/>
    <mergeCell ref="D96:D99"/>
    <mergeCell ref="D60:D63"/>
    <mergeCell ref="D64:D67"/>
    <mergeCell ref="D68:D71"/>
    <mergeCell ref="D72:D75"/>
    <mergeCell ref="D76:D79"/>
    <mergeCell ref="C6:F6"/>
    <mergeCell ref="C17:F17"/>
    <mergeCell ref="M54:O54"/>
    <mergeCell ref="P54:R54"/>
    <mergeCell ref="D56:D59"/>
  </mergeCells>
  <phoneticPr fontId="25"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5</xdr:col>
                    <xdr:colOff>60960</xdr:colOff>
                    <xdr:row>48</xdr:row>
                    <xdr:rowOff>182880</xdr:rowOff>
                  </from>
                  <to>
                    <xdr:col>5</xdr:col>
                    <xdr:colOff>815340</xdr:colOff>
                    <xdr:row>50</xdr:row>
                    <xdr:rowOff>22860</xdr:rowOff>
                  </to>
                </anchor>
              </controlPr>
            </control>
          </mc:Choice>
        </mc:AlternateContent>
        <mc:AlternateContent xmlns:mc="http://schemas.openxmlformats.org/markup-compatibility/2006">
          <mc:Choice Requires="x14">
            <control shapeId="5123" r:id="rId5" name="Check Box 3">
              <controlPr defaultSize="0" autoFill="0" autoLine="0" autoPict="0">
                <anchor moveWithCells="1">
                  <from>
                    <xdr:col>5</xdr:col>
                    <xdr:colOff>60960</xdr:colOff>
                    <xdr:row>49</xdr:row>
                    <xdr:rowOff>167640</xdr:rowOff>
                  </from>
                  <to>
                    <xdr:col>5</xdr:col>
                    <xdr:colOff>815340</xdr:colOff>
                    <xdr:row>51</xdr:row>
                    <xdr:rowOff>7620</xdr:rowOff>
                  </to>
                </anchor>
              </controlPr>
            </control>
          </mc:Choice>
        </mc:AlternateContent>
        <mc:AlternateContent xmlns:mc="http://schemas.openxmlformats.org/markup-compatibility/2006">
          <mc:Choice Requires="x14">
            <control shapeId="5124" r:id="rId6" name="Check Box 4">
              <controlPr defaultSize="0" autoFill="0" autoLine="0" autoPict="0">
                <anchor moveWithCells="1">
                  <from>
                    <xdr:col>5</xdr:col>
                    <xdr:colOff>60960</xdr:colOff>
                    <xdr:row>50</xdr:row>
                    <xdr:rowOff>160020</xdr:rowOff>
                  </from>
                  <to>
                    <xdr:col>5</xdr:col>
                    <xdr:colOff>815340</xdr:colOff>
                    <xdr:row>52</xdr:row>
                    <xdr:rowOff>0</xdr:rowOff>
                  </to>
                </anchor>
              </controlPr>
            </control>
          </mc:Choice>
        </mc:AlternateContent>
        <mc:AlternateContent xmlns:mc="http://schemas.openxmlformats.org/markup-compatibility/2006">
          <mc:Choice Requires="x14">
            <control shapeId="5125" r:id="rId7" name="Check Box 5">
              <controlPr defaultSize="0" autoFill="0" autoLine="0" autoPict="0">
                <anchor moveWithCells="1">
                  <from>
                    <xdr:col>5</xdr:col>
                    <xdr:colOff>60960</xdr:colOff>
                    <xdr:row>51</xdr:row>
                    <xdr:rowOff>152400</xdr:rowOff>
                  </from>
                  <to>
                    <xdr:col>5</xdr:col>
                    <xdr:colOff>815340</xdr:colOff>
                    <xdr:row>52</xdr:row>
                    <xdr:rowOff>175260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1825C-76D2-40AD-AD70-BA53BBB5E236}">
  <sheetPr>
    <tabColor rgb="FF002060"/>
  </sheetPr>
  <dimension ref="C1:E20"/>
  <sheetViews>
    <sheetView showGridLines="0" workbookViewId="0">
      <selection activeCell="G22" sqref="G22"/>
    </sheetView>
  </sheetViews>
  <sheetFormatPr defaultRowHeight="14.4" x14ac:dyDescent="0.3"/>
  <cols>
    <col min="1" max="1" width="4.44140625" customWidth="1"/>
    <col min="2" max="2" width="4.21875" customWidth="1"/>
    <col min="3" max="3" width="22.33203125" customWidth="1"/>
    <col min="5" max="5" width="22.33203125" customWidth="1"/>
  </cols>
  <sheetData>
    <row r="1" spans="3:5" s="46" customFormat="1" x14ac:dyDescent="0.3"/>
    <row r="2" spans="3:5" s="46" customFormat="1" ht="23.4" x14ac:dyDescent="0.45">
      <c r="C2" s="47" t="s">
        <v>56</v>
      </c>
    </row>
    <row r="3" spans="3:5" s="46" customFormat="1" x14ac:dyDescent="0.3"/>
    <row r="6" spans="3:5" x14ac:dyDescent="0.3">
      <c r="C6" s="24" t="s">
        <v>57</v>
      </c>
      <c r="E6" s="24" t="s">
        <v>59</v>
      </c>
    </row>
    <row r="7" spans="3:5" x14ac:dyDescent="0.3">
      <c r="C7" s="49" t="s">
        <v>58</v>
      </c>
      <c r="E7" s="49" t="s">
        <v>60</v>
      </c>
    </row>
    <row r="8" spans="3:5" x14ac:dyDescent="0.3">
      <c r="C8" s="50">
        <f>starting_year</f>
        <v>2023</v>
      </c>
      <c r="E8" s="50" t="s">
        <v>61</v>
      </c>
    </row>
    <row r="9" spans="3:5" x14ac:dyDescent="0.3">
      <c r="C9" s="50">
        <f>C8+1</f>
        <v>2024</v>
      </c>
      <c r="E9" s="52">
        <v>36526</v>
      </c>
    </row>
    <row r="10" spans="3:5" x14ac:dyDescent="0.3">
      <c r="C10" s="50">
        <f t="shared" ref="C10:C17" si="0">C9+1</f>
        <v>2025</v>
      </c>
      <c r="E10" s="52">
        <v>36557</v>
      </c>
    </row>
    <row r="11" spans="3:5" x14ac:dyDescent="0.3">
      <c r="C11" s="50">
        <f t="shared" si="0"/>
        <v>2026</v>
      </c>
      <c r="E11" s="52">
        <v>36586</v>
      </c>
    </row>
    <row r="12" spans="3:5" x14ac:dyDescent="0.3">
      <c r="C12" s="50">
        <f t="shared" si="0"/>
        <v>2027</v>
      </c>
      <c r="E12" s="52">
        <v>36617</v>
      </c>
    </row>
    <row r="13" spans="3:5" x14ac:dyDescent="0.3">
      <c r="C13" s="50">
        <f t="shared" si="0"/>
        <v>2028</v>
      </c>
      <c r="E13" s="52">
        <v>36647</v>
      </c>
    </row>
    <row r="14" spans="3:5" x14ac:dyDescent="0.3">
      <c r="C14" s="50">
        <f t="shared" si="0"/>
        <v>2029</v>
      </c>
      <c r="E14" s="52">
        <v>36678</v>
      </c>
    </row>
    <row r="15" spans="3:5" x14ac:dyDescent="0.3">
      <c r="C15" s="50">
        <f t="shared" si="0"/>
        <v>2030</v>
      </c>
      <c r="E15" s="52">
        <v>36708</v>
      </c>
    </row>
    <row r="16" spans="3:5" x14ac:dyDescent="0.3">
      <c r="C16" s="50">
        <f t="shared" si="0"/>
        <v>2031</v>
      </c>
      <c r="E16" s="52">
        <v>36739</v>
      </c>
    </row>
    <row r="17" spans="3:5" x14ac:dyDescent="0.3">
      <c r="C17" s="51">
        <f t="shared" si="0"/>
        <v>2032</v>
      </c>
      <c r="E17" s="52">
        <v>36770</v>
      </c>
    </row>
    <row r="18" spans="3:5" x14ac:dyDescent="0.3">
      <c r="C18" s="48"/>
      <c r="E18" s="52">
        <v>36800</v>
      </c>
    </row>
    <row r="19" spans="3:5" x14ac:dyDescent="0.3">
      <c r="E19" s="52">
        <v>36831</v>
      </c>
    </row>
    <row r="20" spans="3:5" x14ac:dyDescent="0.3">
      <c r="E20" s="53">
        <v>36861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39</vt:i4>
      </vt:variant>
    </vt:vector>
  </HeadingPairs>
  <TitlesOfParts>
    <vt:vector size="45" baseType="lpstr">
      <vt:lpstr>Settings</vt:lpstr>
      <vt:lpstr>Budget Planning</vt:lpstr>
      <vt:lpstr>Budget Tracking</vt:lpstr>
      <vt:lpstr>Budget Dashboard</vt:lpstr>
      <vt:lpstr>Calculations</vt:lpstr>
      <vt:lpstr>Dropdown Data</vt:lpstr>
      <vt:lpstr>'Budget Dashboard'!budget</vt:lpstr>
      <vt:lpstr>'Budget Dashboard'!budget_range</vt:lpstr>
      <vt:lpstr>'Budget Dashboard'!budget_rank</vt:lpstr>
      <vt:lpstr>Calculations!cc_budget</vt:lpstr>
      <vt:lpstr>Calculations!cc_delta</vt:lpstr>
      <vt:lpstr>Calculations!cc_in_focus</vt:lpstr>
      <vt:lpstr>Calculations!cc_month_number</vt:lpstr>
      <vt:lpstr>Calculations!cc_show_remaining_budget</vt:lpstr>
      <vt:lpstr>Calculations!cc_show_type</vt:lpstr>
      <vt:lpstr>Calculations!cc_tracked</vt:lpstr>
      <vt:lpstr>Calculations!cc_type</vt:lpstr>
      <vt:lpstr>'Budget Dashboard'!comb_rank</vt:lpstr>
      <vt:lpstr>'Budget Dashboard'!comb_rank_norm</vt:lpstr>
      <vt:lpstr>'Budget Dashboard'!comb_rank_norm_run_range</vt:lpstr>
      <vt:lpstr>'Budget Dashboard'!comb_rank_range</vt:lpstr>
      <vt:lpstr>'Budget Dashboard'!comb_rank_unique</vt:lpstr>
      <vt:lpstr>'Budget Dashboard'!header_row_id</vt:lpstr>
      <vt:lpstr>'Budget Dashboard'!is_cat</vt:lpstr>
      <vt:lpstr>'Budget Dashboard'!is_empty</vt:lpstr>
      <vt:lpstr>'Budget Dashboard'!is_header</vt:lpstr>
      <vt:lpstr>'Budget Dashboard'!is_total</vt:lpstr>
      <vt:lpstr>'Budget Dashboard'!item</vt:lpstr>
      <vt:lpstr>'Budget Dashboard'!output_budget</vt:lpstr>
      <vt:lpstr>'Budget Dashboard'!output_percentage_completed</vt:lpstr>
      <vt:lpstr>'Budget Dashboard'!output_tracked</vt:lpstr>
      <vt:lpstr>'Budget Dashboard'!row_id</vt:lpstr>
      <vt:lpstr>savings_rate_calculation_type</vt:lpstr>
      <vt:lpstr>selected_period</vt:lpstr>
      <vt:lpstr>selected_period_display</vt:lpstr>
      <vt:lpstr>selected_year</vt:lpstr>
      <vt:lpstr>shift_late_income_starting_date</vt:lpstr>
      <vt:lpstr>shift_late_income_status</vt:lpstr>
      <vt:lpstr>'Budget Dashboard'!sort_max_row</vt:lpstr>
      <vt:lpstr>'Budget Dashboard'!sort_min_row</vt:lpstr>
      <vt:lpstr>starting_year</vt:lpstr>
      <vt:lpstr>'Budget Dashboard'!tracked</vt:lpstr>
      <vt:lpstr>'Budget Dashboard'!tracked_range</vt:lpstr>
      <vt:lpstr>'Budget Dashboard'!tracked_rank</vt:lpstr>
      <vt:lpstr>'Budget Dashboard'!type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Moreno Sevilla</dc:creator>
  <cp:lastModifiedBy>Alvaro Moreno Sevilla</cp:lastModifiedBy>
  <dcterms:created xsi:type="dcterms:W3CDTF">2015-06-05T18:17:20Z</dcterms:created>
  <dcterms:modified xsi:type="dcterms:W3CDTF">2023-08-17T06:48:20Z</dcterms:modified>
</cp:coreProperties>
</file>