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3552871F-EAF8-4D45-BCDC-4DD0D9FBD4B6}" xr6:coauthVersionLast="47" xr6:coauthVersionMax="47" xr10:uidLastSave="{00000000-0000-0000-0000-000000000000}"/>
  <bookViews>
    <workbookView xWindow="-110" yWindow="-110" windowWidth="19420" windowHeight="10420" xr2:uid="{5024BD59-4EAF-4354-B228-666D5832481A}"/>
  </bookViews>
  <sheets>
    <sheet name="Datos nuevos" sheetId="4" r:id="rId1"/>
    <sheet name="Max Dividendos" sheetId="5" r:id="rId2"/>
    <sheet name="Datos antiguos" sheetId="1" r:id="rId3"/>
    <sheet name="VAN(D)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6" i="4" l="1"/>
  <c r="X16" i="4"/>
  <c r="S16" i="4" a="1"/>
  <c r="S16" i="4"/>
  <c r="B20" i="2"/>
  <c r="D16" i="4"/>
  <c r="J15" i="2"/>
  <c r="P4" i="5"/>
  <c r="P5" i="5"/>
  <c r="P6" i="5"/>
  <c r="P3" i="5"/>
  <c r="O4" i="5"/>
  <c r="O5" i="5"/>
  <c r="O6" i="5"/>
  <c r="O3" i="5"/>
  <c r="O3" i="4"/>
  <c r="O4" i="4"/>
  <c r="D5" i="4"/>
  <c r="H11" i="4"/>
  <c r="I11" i="4" s="1"/>
  <c r="K11" i="4"/>
  <c r="P11" i="4"/>
  <c r="S11" i="4" s="1"/>
  <c r="Q11" i="4"/>
  <c r="R11" i="4" s="1"/>
  <c r="U11" i="4"/>
  <c r="Y11" i="4" s="1"/>
  <c r="Q8" i="4"/>
  <c r="Q9" i="4"/>
  <c r="Q3" i="4"/>
  <c r="H16" i="4"/>
  <c r="K5" i="4"/>
  <c r="D4" i="4"/>
  <c r="K4" i="4" s="1"/>
  <c r="D6" i="4"/>
  <c r="K6" i="4" s="1"/>
  <c r="K3" i="4"/>
  <c r="K8" i="4"/>
  <c r="K9" i="4"/>
  <c r="H9" i="4"/>
  <c r="O9" i="4" s="1"/>
  <c r="H8" i="4"/>
  <c r="O8" i="4" s="1"/>
  <c r="H7" i="4"/>
  <c r="P7" i="4" s="1"/>
  <c r="S7" i="4" s="1"/>
  <c r="H6" i="4"/>
  <c r="P6" i="4" s="1"/>
  <c r="S6" i="4" s="1"/>
  <c r="H10" i="4"/>
  <c r="P10" i="4" s="1"/>
  <c r="S10" i="4" s="1"/>
  <c r="H5" i="4"/>
  <c r="P5" i="4" s="1"/>
  <c r="S5" i="4" s="1"/>
  <c r="H4" i="4"/>
  <c r="P4" i="4" s="1"/>
  <c r="S4" i="4" s="1"/>
  <c r="H3" i="4"/>
  <c r="N3" i="4" s="1"/>
  <c r="H19" i="1"/>
  <c r="I19" i="1" s="1"/>
  <c r="K19" i="1"/>
  <c r="Q19" i="1"/>
  <c r="H18" i="1"/>
  <c r="I18" i="1" s="1"/>
  <c r="K18" i="1"/>
  <c r="Q18" i="1"/>
  <c r="R6" i="2"/>
  <c r="Q6" i="2"/>
  <c r="F6" i="2"/>
  <c r="N6" i="2"/>
  <c r="J6" i="2"/>
  <c r="T6" i="2" s="1"/>
  <c r="D7" i="4" s="1" a="1"/>
  <c r="D7" i="4" s="1"/>
  <c r="K7" i="4" s="1"/>
  <c r="H17" i="1"/>
  <c r="P17" i="1" s="1"/>
  <c r="I17" i="1"/>
  <c r="K17" i="1"/>
  <c r="N17" i="1"/>
  <c r="O17" i="1"/>
  <c r="Q17" i="1"/>
  <c r="F20" i="2"/>
  <c r="G20" i="2" s="1"/>
  <c r="C16" i="4" s="1" a="1"/>
  <c r="C16" i="4" s="1"/>
  <c r="Q16" i="4" s="1"/>
  <c r="F13" i="2"/>
  <c r="H13" i="2" s="1"/>
  <c r="F14" i="2"/>
  <c r="H14" i="2" s="1"/>
  <c r="F15" i="2"/>
  <c r="H15" i="2" s="1"/>
  <c r="J2" i="2"/>
  <c r="N2" i="2"/>
  <c r="F2" i="2"/>
  <c r="I1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H4" i="1"/>
  <c r="L4" i="1" s="1"/>
  <c r="K4" i="1"/>
  <c r="K3" i="1"/>
  <c r="K5" i="1"/>
  <c r="K6" i="1"/>
  <c r="K7" i="1"/>
  <c r="K8" i="1"/>
  <c r="K9" i="1"/>
  <c r="K10" i="1"/>
  <c r="K11" i="1"/>
  <c r="K12" i="1"/>
  <c r="K13" i="1"/>
  <c r="K14" i="1"/>
  <c r="K15" i="1"/>
  <c r="K16" i="1"/>
  <c r="H3" i="1"/>
  <c r="L3" i="1" s="1"/>
  <c r="H5" i="1"/>
  <c r="N5" i="1" s="1"/>
  <c r="H6" i="1"/>
  <c r="I6" i="1" s="1"/>
  <c r="H7" i="1"/>
  <c r="N7" i="1" s="1"/>
  <c r="H8" i="1"/>
  <c r="I8" i="1" s="1"/>
  <c r="H9" i="1"/>
  <c r="I9" i="1" s="1"/>
  <c r="H10" i="1"/>
  <c r="N10" i="1" s="1"/>
  <c r="H11" i="1"/>
  <c r="L11" i="1" s="1"/>
  <c r="H12" i="1"/>
  <c r="L12" i="1" s="1"/>
  <c r="H13" i="1"/>
  <c r="I13" i="1" s="1"/>
  <c r="H14" i="1"/>
  <c r="N14" i="1" s="1"/>
  <c r="H15" i="1"/>
  <c r="L15" i="1" s="1"/>
  <c r="H16" i="1"/>
  <c r="I16" i="1" s="1"/>
  <c r="N16" i="4" l="1"/>
  <c r="O11" i="4"/>
  <c r="N11" i="4"/>
  <c r="L11" i="4"/>
  <c r="Z11" i="4"/>
  <c r="V11" i="4"/>
  <c r="X11" i="4" s="1"/>
  <c r="L16" i="4"/>
  <c r="U16" i="4"/>
  <c r="Y16" i="4" s="1"/>
  <c r="Z16" i="4" s="1"/>
  <c r="U3" i="4"/>
  <c r="U8" i="4"/>
  <c r="U5" i="4"/>
  <c r="U7" i="4"/>
  <c r="U4" i="4"/>
  <c r="U9" i="4"/>
  <c r="U6" i="4"/>
  <c r="R16" i="4"/>
  <c r="P9" i="4"/>
  <c r="S9" i="4" s="1"/>
  <c r="P8" i="4"/>
  <c r="S8" i="4" s="1"/>
  <c r="P3" i="4"/>
  <c r="S3" i="4" s="1"/>
  <c r="P16" i="4"/>
  <c r="R8" i="4"/>
  <c r="Q5" i="4"/>
  <c r="R5" i="4" s="1"/>
  <c r="O5" i="4"/>
  <c r="Q7" i="4"/>
  <c r="R7" i="4" s="1"/>
  <c r="R3" i="4"/>
  <c r="R9" i="4"/>
  <c r="Q4" i="4"/>
  <c r="R4" i="4" s="1"/>
  <c r="O6" i="4"/>
  <c r="O7" i="4"/>
  <c r="Q6" i="4"/>
  <c r="R6" i="4" s="1"/>
  <c r="K16" i="4"/>
  <c r="I16" i="4"/>
  <c r="L4" i="4"/>
  <c r="I3" i="4"/>
  <c r="I4" i="4"/>
  <c r="L3" i="4"/>
  <c r="L6" i="4"/>
  <c r="L9" i="4"/>
  <c r="L7" i="4"/>
  <c r="L8" i="4"/>
  <c r="I9" i="4"/>
  <c r="L5" i="4"/>
  <c r="N4" i="4"/>
  <c r="N6" i="4"/>
  <c r="N5" i="4"/>
  <c r="I6" i="4"/>
  <c r="N7" i="4"/>
  <c r="I5" i="4"/>
  <c r="I7" i="4"/>
  <c r="N8" i="4"/>
  <c r="N10" i="4"/>
  <c r="I8" i="4"/>
  <c r="N9" i="4"/>
  <c r="R19" i="1"/>
  <c r="N19" i="1"/>
  <c r="L19" i="1"/>
  <c r="P19" i="1"/>
  <c r="O19" i="1"/>
  <c r="R17" i="1"/>
  <c r="L17" i="1"/>
  <c r="R18" i="1"/>
  <c r="N18" i="1"/>
  <c r="L10" i="1"/>
  <c r="L18" i="1"/>
  <c r="P18" i="1"/>
  <c r="O18" i="1"/>
  <c r="L6" i="1"/>
  <c r="I10" i="1"/>
  <c r="L14" i="1"/>
  <c r="P2" i="2"/>
  <c r="D10" i="4" s="1" a="1"/>
  <c r="D10" i="4" s="1"/>
  <c r="U10" i="4" s="1"/>
  <c r="I4" i="1"/>
  <c r="L16" i="1"/>
  <c r="L8" i="1"/>
  <c r="I14" i="1"/>
  <c r="I11" i="1"/>
  <c r="I7" i="1"/>
  <c r="I3" i="1"/>
  <c r="L13" i="1"/>
  <c r="L9" i="1"/>
  <c r="L5" i="1"/>
  <c r="I5" i="1"/>
  <c r="L7" i="1"/>
  <c r="I15" i="1"/>
  <c r="R10" i="1"/>
  <c r="R6" i="1"/>
  <c r="R9" i="1"/>
  <c r="R5" i="1"/>
  <c r="R16" i="1"/>
  <c r="R8" i="1"/>
  <c r="R4" i="1"/>
  <c r="P4" i="1"/>
  <c r="R15" i="1"/>
  <c r="R7" i="1"/>
  <c r="R3" i="1"/>
  <c r="R14" i="1"/>
  <c r="R13" i="1"/>
  <c r="R12" i="1"/>
  <c r="R11" i="1"/>
  <c r="P16" i="1"/>
  <c r="P8" i="1"/>
  <c r="P15" i="1"/>
  <c r="P11" i="1"/>
  <c r="P7" i="1"/>
  <c r="P3" i="1"/>
  <c r="P12" i="1"/>
  <c r="P14" i="1"/>
  <c r="P10" i="1"/>
  <c r="P6" i="1"/>
  <c r="P13" i="1"/>
  <c r="P9" i="1"/>
  <c r="P5" i="1"/>
  <c r="O14" i="1"/>
  <c r="O6" i="1"/>
  <c r="O13" i="1"/>
  <c r="O5" i="1"/>
  <c r="O16" i="1"/>
  <c r="O12" i="1"/>
  <c r="O4" i="1"/>
  <c r="O15" i="1"/>
  <c r="O7" i="1"/>
  <c r="O3" i="1"/>
  <c r="N11" i="1"/>
  <c r="N16" i="1"/>
  <c r="N12" i="1"/>
  <c r="N15" i="1"/>
  <c r="N9" i="1"/>
  <c r="N13" i="1"/>
  <c r="N8" i="1"/>
  <c r="N3" i="1"/>
  <c r="N6" i="1"/>
  <c r="N4" i="1"/>
  <c r="W11" i="4" l="1"/>
  <c r="V16" i="4"/>
  <c r="V9" i="4"/>
  <c r="X9" i="4" s="1"/>
  <c r="Z9" i="4"/>
  <c r="Y9" i="4"/>
  <c r="V8" i="4"/>
  <c r="X8" i="4" s="1"/>
  <c r="Z8" i="4"/>
  <c r="Y8" i="4"/>
  <c r="V4" i="4"/>
  <c r="X4" i="4" s="1"/>
  <c r="Z4" i="4"/>
  <c r="Y4" i="4"/>
  <c r="V7" i="4"/>
  <c r="X7" i="4" s="1"/>
  <c r="Z7" i="4"/>
  <c r="Y7" i="4"/>
  <c r="V3" i="4"/>
  <c r="X3" i="4" s="1"/>
  <c r="Z3" i="4"/>
  <c r="Y3" i="4"/>
  <c r="V10" i="4"/>
  <c r="X10" i="4" s="1"/>
  <c r="Z10" i="4"/>
  <c r="Y10" i="4"/>
  <c r="V6" i="4"/>
  <c r="X6" i="4" s="1"/>
  <c r="Z6" i="4"/>
  <c r="Y6" i="4"/>
  <c r="V5" i="4"/>
  <c r="X5" i="4" s="1"/>
  <c r="Z5" i="4"/>
  <c r="Y5" i="4"/>
  <c r="K10" i="4"/>
  <c r="O10" i="4"/>
  <c r="Q10" i="4"/>
  <c r="R10" i="4" s="1"/>
  <c r="L10" i="4"/>
  <c r="I10" i="4"/>
  <c r="W6" i="4" l="1"/>
  <c r="W8" i="4"/>
  <c r="W9" i="4"/>
  <c r="W5" i="4"/>
  <c r="W3" i="4"/>
  <c r="W10" i="4"/>
  <c r="W7" i="4"/>
  <c r="W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<sst xmlns="http://schemas.openxmlformats.org/spreadsheetml/2006/main" count="200" uniqueCount="95">
  <si>
    <t>S_0</t>
  </si>
  <si>
    <t>K</t>
  </si>
  <si>
    <t>r</t>
  </si>
  <si>
    <t>Hoy</t>
  </si>
  <si>
    <t>Vencimiento</t>
  </si>
  <si>
    <t>SUBYACENTE</t>
  </si>
  <si>
    <t>Meta</t>
  </si>
  <si>
    <t>t_0</t>
  </si>
  <si>
    <t>Cota inferior Call</t>
  </si>
  <si>
    <t>Cota Superior Call</t>
  </si>
  <si>
    <t>Cota Inferior Put</t>
  </si>
  <si>
    <t>Cota Superior Put</t>
  </si>
  <si>
    <t>Prima Call Mercado</t>
  </si>
  <si>
    <t>Prima Put Mercado</t>
  </si>
  <si>
    <t>Alphabet</t>
  </si>
  <si>
    <t>Cotas call:</t>
  </si>
  <si>
    <t>Cotas put:</t>
  </si>
  <si>
    <t>POSIBLES CAUSAS DE INCUMPLIMIENTO DE COTAS</t>
  </si>
  <si>
    <t xml:space="preserve"> Costes de transaccion (fees)</t>
  </si>
  <si>
    <t>Dividendos (aunque no creo)</t>
  </si>
  <si>
    <t>Liquidez (Si una opción no se negocia activamente, puede no haber suficiente información de mercado para establecer un precio preciso)</t>
  </si>
  <si>
    <t>Tesla</t>
  </si>
  <si>
    <t>Es verdad que igual Strikes muy raros (muy bajos o muy altos) puede q no los negocie nadie y por eso no están bien ajustados</t>
  </si>
  <si>
    <t>Microsoft</t>
  </si>
  <si>
    <t>Santander</t>
  </si>
  <si>
    <t>T(días)</t>
  </si>
  <si>
    <t>Tipo de interés para que se cumpla la cota</t>
  </si>
  <si>
    <t>PARIDAD PUT-CALL</t>
  </si>
  <si>
    <t>c + K*e^(r*t)</t>
  </si>
  <si>
    <t>p + S_0</t>
  </si>
  <si>
    <t>Tipo de interés para que se cumpla la Paridad P-C</t>
  </si>
  <si>
    <t>E-Mini S&amp;P500</t>
  </si>
  <si>
    <t>Dutsche Bank</t>
  </si>
  <si>
    <t>DAX</t>
  </si>
  <si>
    <t>D</t>
  </si>
  <si>
    <t>Repsol</t>
  </si>
  <si>
    <t>2.41%</t>
  </si>
  <si>
    <t>D_1</t>
  </si>
  <si>
    <t>Fecha D_1</t>
  </si>
  <si>
    <t>D_2</t>
  </si>
  <si>
    <t>Fecha D_2</t>
  </si>
  <si>
    <t>D_3</t>
  </si>
  <si>
    <t>Fecha D_3</t>
  </si>
  <si>
    <t>STOCK</t>
  </si>
  <si>
    <t>Respol</t>
  </si>
  <si>
    <t>Fecha D_4</t>
  </si>
  <si>
    <t>VAN(D)</t>
  </si>
  <si>
    <t>r_1</t>
  </si>
  <si>
    <t>r_2</t>
  </si>
  <si>
    <t>r_3</t>
  </si>
  <si>
    <t>T_1</t>
  </si>
  <si>
    <t>T_2</t>
  </si>
  <si>
    <t>T_4</t>
  </si>
  <si>
    <t>Fecha ex-dividendo D_1</t>
  </si>
  <si>
    <t>BMW</t>
  </si>
  <si>
    <t>Fecha pago D</t>
  </si>
  <si>
    <t>T</t>
  </si>
  <si>
    <t>Deutsche Bank</t>
  </si>
  <si>
    <t>Dividendos Discretos:</t>
  </si>
  <si>
    <t>q</t>
  </si>
  <si>
    <t>S_0*exp(-qT)</t>
  </si>
  <si>
    <t>BNP</t>
  </si>
  <si>
    <t>T_3</t>
  </si>
  <si>
    <t>r_4</t>
  </si>
  <si>
    <t>D_4</t>
  </si>
  <si>
    <t>Infineon</t>
  </si>
  <si>
    <t>Deutsche Telekom</t>
  </si>
  <si>
    <t>COTAS OPCIONES DE COMPRA (CALL)</t>
  </si>
  <si>
    <t>COTAS OPCIONES DE VENTA (PUT)</t>
  </si>
  <si>
    <t>Dividendo continuo</t>
  </si>
  <si>
    <t>p + S_0-D</t>
  </si>
  <si>
    <t>Dividendos  para que se cumpla la paridad</t>
  </si>
  <si>
    <t>c + K*e^(-r*t)</t>
  </si>
  <si>
    <t>c+K*exp(-rt)</t>
  </si>
  <si>
    <t>p+S_0</t>
  </si>
  <si>
    <t>Dividendos (%) para que se cumpla la paridad</t>
  </si>
  <si>
    <t>CALL (BLACK-SCHOLES)</t>
  </si>
  <si>
    <t>PUT (Black-Scholes)</t>
  </si>
  <si>
    <t>d1</t>
  </si>
  <si>
    <t>d2</t>
  </si>
  <si>
    <t>σ</t>
  </si>
  <si>
    <t>CALL (Black-Scholes)</t>
  </si>
  <si>
    <t>BLACK SCHOLES</t>
  </si>
  <si>
    <t>Delta CALL</t>
  </si>
  <si>
    <t>Delta PUT</t>
  </si>
  <si>
    <t>Delta Call</t>
  </si>
  <si>
    <t>Total Energies</t>
  </si>
  <si>
    <t>Sandoz</t>
  </si>
  <si>
    <t xml:space="preserve">                               -  </t>
  </si>
  <si>
    <t xml:space="preserve">                                                      -  </t>
  </si>
  <si>
    <t xml:space="preserve">                                                     -  </t>
  </si>
  <si>
    <t>Max dividendos cumpliendo Cota call
(Descontados a t_0)</t>
  </si>
  <si>
    <t>Max dividendos cumpliendo Cota Put
(Descontados a t_0)</t>
  </si>
  <si>
    <t>Multiplicador x5</t>
  </si>
  <si>
    <t>*Índice con dividendos continuos (multiplicador 5):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</si>
</sst>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0.000"/>
    <numFmt numFmtId="166" formatCode="0.0000000"/>
    <numFmt numFmtId="167" formatCode="_-* #,##0\ &quot;€&quot;_-;\-* #,##0\ &quot;€&quot;_-;_-* &quot;-&quot;??\ &quot;€&quot;_-;_-@_-"/>
    <numFmt numFmtId="168" formatCode="0.0%"/>
    <numFmt numFmtId="169" formatCode="_-* #,##0.00\ _€_-;\-* #,##0.00\ _€_-;_-* &quot;-&quot;??\ _€_-;_-@_-"/>
    <numFmt numFmtId="170" formatCode="0.00000000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196B24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59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A8A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59C"/>
        <bgColor rgb="FF000000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2" borderId="0" xfId="1" applyNumberFormat="1" applyFont="1" applyFill="1"/>
    <xf numFmtId="10" fontId="0" fillId="2" borderId="0" xfId="2" applyNumberFormat="1" applyFont="1" applyFill="1"/>
    <xf numFmtId="43" fontId="0" fillId="3" borderId="0" xfId="1" applyFont="1" applyFill="1"/>
    <xf numFmtId="43" fontId="0" fillId="0" borderId="0" xfId="1" applyFont="1"/>
    <xf numFmtId="0" fontId="0" fillId="3" borderId="0" xfId="1" applyNumberFormat="1" applyFont="1" applyFill="1"/>
    <xf numFmtId="0" fontId="0" fillId="2" borderId="1" xfId="0" applyFill="1" applyBorder="1"/>
    <xf numFmtId="43" fontId="0" fillId="4" borderId="0" xfId="1" applyFont="1" applyFill="1"/>
    <xf numFmtId="43" fontId="0" fillId="4" borderId="1" xfId="1" applyFont="1" applyFill="1" applyBorder="1"/>
    <xf numFmtId="43" fontId="4" fillId="5" borderId="0" xfId="1" applyFont="1" applyFill="1"/>
    <xf numFmtId="43" fontId="4" fillId="5" borderId="1" xfId="1" applyFont="1" applyFill="1" applyBorder="1"/>
    <xf numFmtId="43" fontId="5" fillId="6" borderId="0" xfId="1" applyFon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0" fillId="0" borderId="0" xfId="2" applyFont="1"/>
    <xf numFmtId="0" fontId="6" fillId="7" borderId="2" xfId="0" applyFont="1" applyFill="1" applyBorder="1" applyAlignment="1">
      <alignment horizontal="center" vertical="center" wrapText="1"/>
    </xf>
    <xf numFmtId="43" fontId="0" fillId="0" borderId="0" xfId="0" applyNumberFormat="1"/>
    <xf numFmtId="43" fontId="1" fillId="0" borderId="0" xfId="0" applyNumberFormat="1" applyFont="1"/>
    <xf numFmtId="164" fontId="0" fillId="0" borderId="0" xfId="0" applyNumberFormat="1"/>
    <xf numFmtId="10" fontId="0" fillId="0" borderId="0" xfId="2" applyNumberFormat="1" applyFont="1"/>
    <xf numFmtId="10" fontId="0" fillId="6" borderId="0" xfId="2" applyNumberFormat="1" applyFont="1" applyFill="1"/>
    <xf numFmtId="0" fontId="0" fillId="6" borderId="0" xfId="0" applyFill="1"/>
    <xf numFmtId="43" fontId="0" fillId="2" borderId="0" xfId="1" applyFont="1" applyFill="1"/>
    <xf numFmtId="14" fontId="0" fillId="2" borderId="2" xfId="0" applyNumberFormat="1" applyFill="1" applyBorder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8" fontId="0" fillId="0" borderId="0" xfId="0" applyNumberFormat="1"/>
    <xf numFmtId="6" fontId="0" fillId="0" borderId="0" xfId="0" applyNumberFormat="1"/>
    <xf numFmtId="0" fontId="6" fillId="7" borderId="2" xfId="0" applyFont="1" applyFill="1" applyBorder="1" applyAlignment="1">
      <alignment vertical="center" wrapText="1"/>
    </xf>
    <xf numFmtId="2" fontId="0" fillId="0" borderId="0" xfId="2" applyNumberFormat="1" applyFont="1"/>
    <xf numFmtId="43" fontId="0" fillId="2" borderId="0" xfId="0" applyNumberFormat="1" applyFill="1"/>
    <xf numFmtId="9" fontId="0" fillId="2" borderId="0" xfId="2" applyFont="1" applyFill="1" applyBorder="1"/>
    <xf numFmtId="2" fontId="0" fillId="9" borderId="0" xfId="2" applyNumberFormat="1" applyFont="1" applyFill="1"/>
    <xf numFmtId="2" fontId="0" fillId="9" borderId="0" xfId="0" applyNumberFormat="1" applyFill="1"/>
    <xf numFmtId="165" fontId="0" fillId="9" borderId="0" xfId="2" applyNumberFormat="1" applyFont="1" applyFill="1"/>
    <xf numFmtId="166" fontId="0" fillId="9" borderId="0" xfId="2" applyNumberFormat="1" applyFont="1" applyFill="1"/>
    <xf numFmtId="10" fontId="0" fillId="9" borderId="0" xfId="2" applyNumberFormat="1" applyFont="1" applyFill="1"/>
    <xf numFmtId="0" fontId="0" fillId="2" borderId="0" xfId="2" applyNumberFormat="1" applyFont="1" applyFill="1" applyBorder="1"/>
    <xf numFmtId="10" fontId="0" fillId="2" borderId="0" xfId="2" applyNumberFormat="1" applyFont="1" applyFill="1" applyBorder="1"/>
    <xf numFmtId="165" fontId="0" fillId="9" borderId="0" xfId="0" applyNumberFormat="1" applyFill="1"/>
    <xf numFmtId="11" fontId="0" fillId="9" borderId="0" xfId="2" applyNumberFormat="1" applyFont="1" applyFill="1"/>
    <xf numFmtId="2" fontId="1" fillId="0" borderId="0" xfId="0" applyNumberFormat="1" applyFont="1"/>
    <xf numFmtId="164" fontId="0" fillId="9" borderId="0" xfId="2" applyNumberFormat="1" applyFont="1" applyFill="1"/>
    <xf numFmtId="166" fontId="0" fillId="9" borderId="0" xfId="0" applyNumberFormat="1" applyFill="1"/>
    <xf numFmtId="0" fontId="7" fillId="0" borderId="0" xfId="0" applyFont="1"/>
    <xf numFmtId="43" fontId="0" fillId="2" borderId="0" xfId="1" applyFont="1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10" fontId="0" fillId="2" borderId="0" xfId="2" applyNumberFormat="1" applyFont="1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1" xfId="0" applyFill="1" applyBorder="1" applyAlignment="1">
      <alignment vertical="center"/>
    </xf>
    <xf numFmtId="43" fontId="4" fillId="5" borderId="0" xfId="1" applyFont="1" applyFill="1" applyAlignment="1">
      <alignment vertical="center"/>
    </xf>
    <xf numFmtId="43" fontId="0" fillId="4" borderId="0" xfId="1" applyFont="1" applyFill="1" applyAlignment="1">
      <alignment vertical="center"/>
    </xf>
    <xf numFmtId="43" fontId="5" fillId="6" borderId="0" xfId="1" applyFont="1" applyFill="1" applyAlignment="1">
      <alignment vertical="center"/>
    </xf>
    <xf numFmtId="10" fontId="0" fillId="2" borderId="0" xfId="0" applyNumberFormat="1" applyFill="1" applyAlignment="1">
      <alignment vertical="center"/>
    </xf>
    <xf numFmtId="43" fontId="4" fillId="5" borderId="1" xfId="1" applyFont="1" applyFill="1" applyBorder="1" applyAlignment="1">
      <alignment vertical="center"/>
    </xf>
    <xf numFmtId="167" fontId="0" fillId="0" borderId="0" xfId="3" applyNumberFormat="1" applyFont="1"/>
    <xf numFmtId="167" fontId="0" fillId="4" borderId="0" xfId="3" applyNumberFormat="1" applyFont="1" applyFill="1"/>
    <xf numFmtId="0" fontId="0" fillId="0" borderId="1" xfId="0" applyBorder="1"/>
    <xf numFmtId="168" fontId="0" fillId="0" borderId="0" xfId="2" applyNumberFormat="1" applyFont="1"/>
    <xf numFmtId="0" fontId="8" fillId="10" borderId="4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 wrapText="1"/>
    </xf>
    <xf numFmtId="0" fontId="9" fillId="11" borderId="4" xfId="0" applyFont="1" applyFill="1" applyBorder="1"/>
    <xf numFmtId="43" fontId="9" fillId="11" borderId="4" xfId="0" applyNumberFormat="1" applyFont="1" applyFill="1" applyBorder="1" applyAlignment="1">
      <alignment vertical="center"/>
    </xf>
    <xf numFmtId="164" fontId="9" fillId="11" borderId="4" xfId="0" applyNumberFormat="1" applyFont="1" applyFill="1" applyBorder="1" applyAlignment="1">
      <alignment vertical="center"/>
    </xf>
    <xf numFmtId="10" fontId="9" fillId="11" borderId="4" xfId="0" applyNumberFormat="1" applyFont="1" applyFill="1" applyBorder="1" applyAlignment="1">
      <alignment vertical="center"/>
    </xf>
    <xf numFmtId="14" fontId="9" fillId="11" borderId="4" xfId="0" applyNumberFormat="1" applyFont="1" applyFill="1" applyBorder="1" applyAlignment="1">
      <alignment vertical="center"/>
    </xf>
    <xf numFmtId="0" fontId="9" fillId="11" borderId="4" xfId="0" applyFont="1" applyFill="1" applyBorder="1" applyAlignment="1">
      <alignment vertical="center"/>
    </xf>
    <xf numFmtId="43" fontId="10" fillId="12" borderId="4" xfId="0" applyNumberFormat="1" applyFont="1" applyFill="1" applyBorder="1" applyAlignment="1">
      <alignment vertical="center"/>
    </xf>
    <xf numFmtId="43" fontId="9" fillId="13" borderId="4" xfId="0" applyNumberFormat="1" applyFont="1" applyFill="1" applyBorder="1" applyAlignment="1">
      <alignment vertical="center"/>
    </xf>
    <xf numFmtId="43" fontId="10" fillId="12" borderId="4" xfId="0" applyNumberFormat="1" applyFont="1" applyFill="1" applyBorder="1"/>
    <xf numFmtId="169" fontId="0" fillId="14" borderId="4" xfId="0" applyNumberFormat="1" applyFill="1" applyBorder="1" applyAlignment="1">
      <alignment horizontal="center" vertical="center"/>
    </xf>
    <xf numFmtId="170" fontId="0" fillId="0" borderId="0" xfId="0" applyNumberFormat="1"/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6" fillId="7" borderId="0" xfId="0" applyFont="1" applyFill="1" applyAlignment="1">
      <alignment horizontal="center" vertical="center" wrapText="1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/>
        </top>
        <bottom/>
      </border>
    </dxf>
    <dxf>
      <numFmt numFmtId="0" formatCode="General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64" formatCode="_-* #,##0_-;\-* #,##0_-;_-* &quot;-&quot;??_-;_-@_-"/>
    </dxf>
    <dxf>
      <numFmt numFmtId="35" formatCode="_-* #,##0.00_-;\-* #,##0.00_-;_-* &quot;-&quot;??_-;_-@_-"/>
    </dxf>
    <dxf>
      <numFmt numFmtId="13" formatCode="0%"/>
    </dxf>
    <dxf>
      <font>
        <strike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2"/>
        </patternFill>
      </fill>
    </dxf>
    <dxf>
      <numFmt numFmtId="35" formatCode="_-* #,##0.00_-;\-* #,##0.00_-;_-* &quot;-&quot;??_-;_-@_-"/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rgb="FFFFF59C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rgb="FFFFF59C"/>
        </patternFill>
      </fill>
    </dxf>
    <dxf>
      <numFmt numFmtId="35" formatCode="_-* #,##0.00_-;\-* #,##0.00_-;_-* &quot;-&quot;??_-;_-@_-"/>
      <fill>
        <patternFill patternType="solid">
          <fgColor indexed="64"/>
          <bgColor rgb="FFFFF59C"/>
        </patternFill>
      </fill>
    </dxf>
    <dxf>
      <numFmt numFmtId="0" formatCode="General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theme="4" tint="0.79998168889431442"/>
        </patternFill>
      </fill>
    </dxf>
    <dxf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</dxf>
    <dxf>
      <numFmt numFmtId="35" formatCode="_-* #,##0.00_-;\-* #,##0.00_-;_-* &quot;-&quot;??_-;_-@_-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7" formatCode="_-* #,##0\ &quot;€&quot;_-;\-* #,##0\ &quot;€&quot;_-;_-* &quot;-&quot;??\ &quot;€&quot;_-;_-@_-"/>
      <fill>
        <patternFill patternType="solid">
          <fgColor indexed="64"/>
          <bgColor rgb="FFFFF59C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numFmt numFmtId="167" formatCode="_-* #,##0\ &quot;€&quot;_-;\-* #,##0\ &quot;€&quot;_-;_-* &quot;-&quot;??\ &quot;€&quot;_-;_-@_-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numFmt numFmtId="167" formatCode="_-* #,##0\ &quot;€&quot;_-;\-* #,##0\ &quot;€&quot;_-;_-* &quot;-&quot;??\ &quot;€&quot;_-;_-@_-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7" formatCode="_-* #,##0\ &quot;€&quot;_-;\-* #,##0\ &quot;€&quot;_-;_-* &quot;-&quot;??\ &quot;€&quot;_-;_-@_-"/>
      <fill>
        <patternFill patternType="solid">
          <fgColor indexed="64"/>
          <bgColor rgb="FFFFF59C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fill>
        <patternFill patternType="solid">
          <fgColor indexed="64"/>
          <bgColor rgb="FFECA8A1"/>
        </patternFill>
      </fill>
      <border diagonalUp="0" diagonalDown="0" outline="0">
        <left/>
        <right/>
        <top style="thin">
          <color theme="4"/>
        </top>
        <bottom/>
      </border>
    </dxf>
    <dxf>
      <numFmt numFmtId="167" formatCode="_-* #,##0\ &quot;€&quot;_-;\-* #,##0\ &quot;€&quot;_-;_-* &quot;-&quot;??\ &quot;€&quot;_-;_-@_-"/>
    </dxf>
    <dxf>
      <numFmt numFmtId="167" formatCode="_-* #,##0\ &quot;€&quot;_-;\-* #,##0\ &quot;€&quot;_-;_-* &quot;-&quot;??\ &quot;€&quot;_-;_-@_-"/>
    </dxf>
    <dxf>
      <numFmt numFmtId="14" formatCode="0.00%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5" formatCode="0.000"/>
      <fill>
        <patternFill patternType="solid">
          <fgColor indexed="64"/>
          <bgColor theme="0" tint="-0.14999847407452621"/>
        </patternFill>
      </fill>
    </dxf>
    <dxf>
      <numFmt numFmtId="165" formatCode="0.000"/>
      <fill>
        <patternFill patternType="solid">
          <fgColor indexed="64"/>
          <bgColor theme="0" tint="-0.14999847407452621"/>
        </patternFill>
      </fill>
    </dxf>
    <dxf>
      <numFmt numFmtId="165" formatCode="0.000"/>
      <fill>
        <patternFill patternType="solid">
          <fgColor indexed="64"/>
          <bgColor theme="0" tint="-0.14999847407452621"/>
        </patternFill>
      </fill>
    </dxf>
    <dxf>
      <numFmt numFmtId="165" formatCode="0.000"/>
      <fill>
        <patternFill patternType="solid">
          <fgColor indexed="64"/>
          <bgColor theme="0" tint="-0.14999847407452621"/>
        </patternFill>
      </fill>
    </dxf>
    <dxf>
      <numFmt numFmtId="2" formatCode="0.00"/>
      <fill>
        <patternFill patternType="solid">
          <fgColor indexed="64"/>
          <bgColor theme="0" tint="-0.14999847407452621"/>
        </patternFill>
      </fill>
    </dxf>
    <dxf>
      <numFmt numFmtId="166" formatCode="0.0000000"/>
      <fill>
        <patternFill patternType="solid">
          <fgColor indexed="64"/>
          <bgColor theme="0" tint="-0.14999847407452621"/>
        </patternFill>
      </fill>
    </dxf>
    <dxf>
      <numFmt numFmtId="14" formatCode="0.00%"/>
      <fill>
        <patternFill patternType="solid">
          <fgColor indexed="64"/>
          <bgColor theme="0" tint="-0.14999847407452621"/>
        </patternFill>
      </fill>
    </dxf>
    <dxf>
      <numFmt numFmtId="2" formatCode="0.00"/>
    </dxf>
    <dxf>
      <numFmt numFmtId="14" formatCode="0.00%"/>
    </dxf>
    <dxf>
      <font>
        <b/>
      </font>
      <numFmt numFmtId="2" formatCode="0.00"/>
    </dxf>
    <dxf>
      <font>
        <b/>
      </font>
      <numFmt numFmtId="2" formatCode="0.00"/>
    </dxf>
    <dxf>
      <numFmt numFmtId="13" formatCode="0%"/>
    </dxf>
    <dxf>
      <font>
        <strike val="0"/>
        <outline val="0"/>
        <shadow val="0"/>
        <u val="none"/>
        <vertAlign val="baseline"/>
        <sz val="11"/>
        <color theme="6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rgb="FFFFF59C"/>
        </patternFill>
      </fill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  <dxf>
      <font>
        <color theme="6"/>
      </font>
      <numFmt numFmtId="35" formatCode="_-* #,##0.00_-;\-* #,##0.00_-;_-* &quot;-&quot;??_-;_-@_-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rgb="FFFFF59C"/>
        </patternFill>
      </fill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fill>
        <patternFill patternType="solid">
          <fgColor indexed="64"/>
          <bgColor rgb="FFFFF59C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-* #,##0.00_-;\-* #,##0.00_-;_-* &quot;-&quot;??_-;_-@_-"/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numFmt numFmtId="164" formatCode="_-* #,##0_-;\-* #,##0_-;_-* &quot;-&quot;??_-;_-@_-"/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CA8A1"/>
      <color rgb="FFFFF59C"/>
      <color rgb="FFE9757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896471</xdr:colOff>
      <xdr:row>35</xdr:row>
      <xdr:rowOff>89647</xdr:rowOff>
    </xdr:from>
    <xdr:to>
      <xdr:col>18</xdr:col>
      <xdr:colOff>2402542</xdr:colOff>
      <xdr:row>37</xdr:row>
      <xdr:rowOff>94877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4EC6030-48E5-A398-A10A-EF995966B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86471" y="6992471"/>
          <a:ext cx="7467600" cy="3937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507997</xdr:colOff>
      <xdr:row>25</xdr:row>
      <xdr:rowOff>0</xdr:rowOff>
    </xdr:from>
    <xdr:to>
      <xdr:col>14</xdr:col>
      <xdr:colOff>2374897</xdr:colOff>
      <xdr:row>36</xdr:row>
      <xdr:rowOff>6350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993613F-FEC9-C613-988D-09FDA3206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1526" y="4796118"/>
          <a:ext cx="1866900" cy="2060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634997</xdr:colOff>
      <xdr:row>37</xdr:row>
      <xdr:rowOff>0</xdr:rowOff>
    </xdr:from>
    <xdr:to>
      <xdr:col>14</xdr:col>
      <xdr:colOff>2501897</xdr:colOff>
      <xdr:row>39</xdr:row>
      <xdr:rowOff>6350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4E732F9-4DE1-1388-290A-A3F1FBC26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8526" y="7037294"/>
          <a:ext cx="1866900" cy="37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11</xdr:row>
      <xdr:rowOff>165100</xdr:rowOff>
    </xdr:from>
    <xdr:to>
      <xdr:col>20</xdr:col>
      <xdr:colOff>152400</xdr:colOff>
      <xdr:row>18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3835E9-801C-C9EF-869F-2137FF971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5950" y="2451100"/>
          <a:ext cx="5321300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215900</xdr:colOff>
      <xdr:row>21</xdr:row>
      <xdr:rowOff>107950</xdr:rowOff>
    </xdr:from>
    <xdr:to>
      <xdr:col>10</xdr:col>
      <xdr:colOff>798225</xdr:colOff>
      <xdr:row>23</xdr:row>
      <xdr:rowOff>149282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F219C-771A-05A8-D2C5-A35B4F69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4750" y="3422650"/>
          <a:ext cx="1733792" cy="409632"/>
        </a:xfrm>
        <a:prstGeom prst="rect">
          <a:avLst/>
        </a:prstGeom>
      </xdr:spPr>
    </xdr:pic>
    <xdr:clientData/>
  </xdr:twoCellAnchor>
  <xdr:twoCellAnchor editAs="oneCell">
    <xdr:from>
      <xdr:col>9</xdr:col>
      <xdr:colOff>82550</xdr:colOff>
      <xdr:row>25</xdr:row>
      <xdr:rowOff>165100</xdr:rowOff>
    </xdr:from>
    <xdr:to>
      <xdr:col>10</xdr:col>
      <xdr:colOff>912560</xdr:colOff>
      <xdr:row>27</xdr:row>
      <xdr:rowOff>44485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8C5628-DF88-7799-FC2F-160314F1C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0900" y="4216400"/>
          <a:ext cx="1981477" cy="24768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C68792-5009-4BDC-8A48-9DC8FEBF8971}" name="Table17" displayName="Table17" ref="A2:Z11" totalsRowShown="0" headerRowDxfId="89">
  <autoFilter ref="A2:Z11" xr:uid="{B17460D3-44D7-4414-8DCB-053024D4D2E5}"/>
  <sortState xmlns:xlrd2="http://schemas.microsoft.com/office/spreadsheetml/2017/richdata2" ref="A3:Z11">
    <sortCondition ref="F3:F11"/>
  </sortState>
  <tableColumns count="26">
    <tableColumn id="1" xr3:uid="{A24061CA-ED39-43D4-A3E7-CEB9BB3A3691}" name="SUBYACENTE" dataDxfId="88"/>
    <tableColumn id="2" xr3:uid="{40691239-260B-482F-89C0-0D63C1B4C4C7}" name="S_0" dataDxfId="87" dataCellStyle="Comma"/>
    <tableColumn id="3" xr3:uid="{8D333CF6-8E85-4AF8-BE72-13590BDB5E61}" name="K" dataDxfId="86" dataCellStyle="Comma"/>
    <tableColumn id="18" xr3:uid="{C877186D-8FFD-4195-91DA-43EDE12E3E2D}" name="VAN(D)" dataDxfId="85" dataCellStyle="Comma"/>
    <tableColumn id="4" xr3:uid="{C552EF8C-B142-4E91-926E-2D1BCEB33EA4}" name="r" dataDxfId="84"/>
    <tableColumn id="7" xr3:uid="{CA4987B5-90EE-4F2A-A88F-14D43FC4B851}" name="t_0" dataDxfId="83"/>
    <tableColumn id="6" xr3:uid="{70697F56-8F68-470C-BAC7-046CB53F598B}" name="Vencimiento" dataDxfId="82"/>
    <tableColumn id="5" xr3:uid="{5899F4EE-453D-4304-9BF0-8B53214BE835}" name="T(días)" dataDxfId="81">
      <calculatedColumnFormula>Table17[[#This Row],[Vencimiento]]-Table17[[#This Row],[t_0]]</calculatedColumnFormula>
    </tableColumn>
    <tableColumn id="8" xr3:uid="{560CB820-692B-4C22-B1CE-3EAD71BCE346}" name="Cota inferior Call" dataDxfId="80" dataCellStyle="Comma">
      <calculatedColumnFormula>MAX(0,(Table17[[#This Row],[S_0]]-Table17[[#This Row],[VAN(D)]])- Table17[[#This Row],[K]]*EXP(-Table17[[#This Row],[r]]*VALUE(Table17[[#This Row],[T(días)]]/365)))</calculatedColumnFormula>
    </tableColumn>
    <tableColumn id="12" xr3:uid="{4DE7B0FE-0EF4-4167-8162-78B73F34CF08}" name="Prima Call Mercado" dataDxfId="79" dataCellStyle="Comma"/>
    <tableColumn id="9" xr3:uid="{4834FBF5-9A99-4695-A937-C0B3FF912C74}" name="Cota Superior Call" dataDxfId="78" dataCellStyle="Comma">
      <calculatedColumnFormula>Table17[[#This Row],[S_0]]-Table17[[#This Row],[VAN(D)]]</calculatedColumnFormula>
    </tableColumn>
    <tableColumn id="10" xr3:uid="{73D3F52D-9730-4943-8861-412D71BBAF32}" name="Cota Inferior Put" dataDxfId="77" dataCellStyle="Comma">
      <calculatedColumnFormula>MAX(0,  Table17[[#This Row],[K]]*EXP(-Table17[[#This Row],[r]]*(Table17[[#This Row],[T(días)]]/365))-(Table17[[#This Row],[S_0]] -Table17[[#This Row],[VAN(D)]]))</calculatedColumnFormula>
    </tableColumn>
    <tableColumn id="13" xr3:uid="{1C13960B-E385-4698-B1CE-71AA9048D587}" name="Prima Put Mercado" dataDxfId="76" dataCellStyle="Comma"/>
    <tableColumn id="11" xr3:uid="{510A82A4-CAA2-47AF-9819-80B0DB6037B3}" name="Cota Superior Put" dataDxfId="75" dataCellStyle="Comma">
      <calculatedColumnFormula>Table17[[#This Row],[K]]*EXP(-Table17[[#This Row],[r]]*(Table17[[#This Row],[T(días)]]/365))</calculatedColumnFormula>
    </tableColumn>
    <tableColumn id="14" xr3:uid="{1E887E58-A80A-47EF-9628-B831C41007A5}" name="Tipo de interés para que se cumpla la cota" dataDxfId="74">
      <calculatedColumnFormula>(LN((Table17[[#This Row],[Prima Call Mercado]]-Table17[[#This Row],[S_0]])/-Table17[[#This Row],[K]]))/(-Table17[[#This Row],[T(días)]]/365)</calculatedColumnFormula>
    </tableColumn>
    <tableColumn id="15" xr3:uid="{C99B12FB-363A-4F93-976E-82930179C5B6}" name="c + K*e^(-r*t)" dataDxfId="73">
      <calculatedColumnFormula>Table17[[#This Row],[Prima Call Mercado]]+Table17[[#This Row],[K]]*EXP(-Table17[[#This Row],[r]]*Table17[[#This Row],[T(días)]]/365)</calculatedColumnFormula>
    </tableColumn>
    <tableColumn id="16" xr3:uid="{462AD991-1573-41C5-B29B-74F9487972FA}" name="p + S_0-D" dataDxfId="72">
      <calculatedColumnFormula>Table17[[#This Row],[Prima Put Mercado]]+Table17[[#This Row],[S_0]]-Table17[[#This Row],[VAN(D)]]</calculatedColumnFormula>
    </tableColumn>
    <tableColumn id="17" xr3:uid="{10C01493-E78A-49A6-B3D0-DB3D83834739}" name="Tipo de interés para que se cumpla la Paridad P-C" dataDxfId="71">
      <calculatedColumnFormula>-365*LN((Table17[[#This Row],[p + S_0-D]]-Table17[[#This Row],[Prima Call Mercado]])/Table17[[#This Row],[K]])/Table17[[#This Row],[T(días)]]</calculatedColumnFormula>
    </tableColumn>
    <tableColumn id="21" xr3:uid="{D246D518-A521-44A8-9851-0E058A09676D}" name="Dividendos  para que se cumpla la paridad" dataDxfId="70">
      <calculatedColumnFormula>Table17[[#This Row],[Prima Put Mercado]]+Table17[[#This Row],[S_0]]-Table17[[#This Row],[c + K*e^(-r*t)]]</calculatedColumnFormula>
    </tableColumn>
    <tableColumn id="26" xr3:uid="{CE734423-941D-4884-9F3A-D55551A0A6D8}" name="σ" dataDxfId="69"/>
    <tableColumn id="24" xr3:uid="{F7BF0539-5BD9-45F7-9944-63D0655DFFE1}" name="d1" dataDxfId="68">
      <calculatedColumnFormula>(LN((Table17[[#This Row],[S_0]]-Table17[[#This Row],[VAN(D)]])/Table17[[#This Row],[K]])+(Table17[[#This Row],[r]]+(Table17[[#This Row],[σ]]^2)/2)*(Table17[[#This Row],[T(días)]]/365))/(Table17[[#This Row],[σ]]*SQRT(Table17[[#This Row],[T(días)]]/365))</calculatedColumnFormula>
    </tableColumn>
    <tableColumn id="25" xr3:uid="{37A50021-1FFD-43BB-A624-BAC452A19534}" name="d2" dataDxfId="67">
      <calculatedColumnFormula>Table17[[#This Row],[d1]]-Table17[[#This Row],[σ]]*SQRT(Table17[[#This Row],[T(días)]]/365)</calculatedColumnFormula>
    </tableColumn>
    <tableColumn id="22" xr3:uid="{FC115B57-CD99-46B1-A2C6-52EFC1A7395F}" name="CALL (BLACK-SCHOLES)" dataDxfId="66">
      <calculatedColumnFormula>(Table17[[#This Row],[S_0]]-Table17[[#This Row],[VAN(D)]])*_xlfn.NORM.DIST(Table17[[#This Row],[d1]],0,1,TRUE)-Table17[[#This Row],[K]]*EXP(-Table17[[#This Row],[r]]*Table17[[#This Row],[T(días)]]/365)*_xlfn.NORM.DIST(Table17[[#This Row],[d2]],0,1,TRUE)</calculatedColumnFormula>
    </tableColumn>
    <tableColumn id="23" xr3:uid="{1BCF590B-FC09-43DF-A5CF-BEC4E2FF10FE}" name="PUT (Black-Scholes)" dataDxfId="65">
      <calculatedColumnFormula>Table17[[#This Row],[K]]*EXP(-Table17[[#This Row],[r]]*Table17[[#This Row],[T(días)]]/365)*_xlfn.NORM.DIST(-Table17[[#This Row],[d2]],0,1,TRUE)-(Table17[[#This Row],[S_0]]-Table17[[#This Row],[VAN(D)]])*_xlfn.NORM.DIST(-Table17[[#This Row],[d1]],0,1,TRUE)</calculatedColumnFormula>
    </tableColumn>
    <tableColumn id="27" xr3:uid="{135BA10D-A923-48B4-94FF-AC995EB33B11}" name="Delta CALL" dataDxfId="64">
      <calculatedColumnFormula>_xlfn.NORM.DIST(Table17[[#This Row],[d1]],0,1,TRUE)</calculatedColumnFormula>
    </tableColumn>
    <tableColumn id="28" xr3:uid="{96352652-3553-40A0-ADF7-F07D0941BAC8}" name="Delta PUT" dataDxfId="63">
      <calculatedColumnFormula>_xlfn.NORM.DIST(Table17[[#This Row],[d1]],0,1,TRUE)-1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FD2BA7-D129-4E2C-938E-D00F053DA9E3}" name="Table7" displayName="Table7" ref="A15:Z16" totalsRowShown="0">
  <autoFilter ref="A15:Z16" xr:uid="{EBFD2BA7-D129-4E2C-938E-D00F053DA9E3}"/>
  <tableColumns count="26">
    <tableColumn id="1" xr3:uid="{BC83793A-1ADA-4763-93DA-4AD3EA7FDF3B}" name="SUBYACENTE" dataDxfId="62"/>
    <tableColumn id="8" xr3:uid="{97088D68-E8AD-4149-B54B-08046BF85180}" name="Dividendo continuo" dataDxfId="61"/>
    <tableColumn id="3" xr3:uid="{2FAB34B7-5745-417C-9E31-392F08FBC9E8}" name="S_0*exp(-qT)" dataDxfId="60" dataCellStyle="Currency">
      <calculatedColumnFormula array="1">Table4[S_0*exp(-qT)]</calculatedColumnFormula>
    </tableColumn>
    <tableColumn id="4" xr3:uid="{BA4192ED-6439-4599-85BC-FD2BBCEA34DC}" name="K" dataDxfId="59" dataCellStyle="Currency">
      <calculatedColumnFormula>17900*5</calculatedColumnFormula>
    </tableColumn>
    <tableColumn id="5" xr3:uid="{5C9A8FF0-02D2-4675-9BBA-1FE23D49032E}" name="r" dataDxfId="58"/>
    <tableColumn id="6" xr3:uid="{E6BDD965-7612-42DB-B788-6FDEFF8F7C1F}" name="t_0" dataDxfId="57"/>
    <tableColumn id="7" xr3:uid="{11361307-70E9-47E6-A0AF-D8577BAD2354}" name="Vencimiento" dataDxfId="56"/>
    <tableColumn id="9" xr3:uid="{FBAF9E5F-4502-4F77-8BB2-2675AE5D43EC}" name="T(días)" dataDxfId="55">
      <calculatedColumnFormula>Table7[[#This Row],[Vencimiento]]-Table7[[#This Row],[t_0]]</calculatedColumnFormula>
    </tableColumn>
    <tableColumn id="10" xr3:uid="{1CC9C7A9-01A4-4213-93A0-EF3CF7D26BA7}" name="Cota inferior Call" dataDxfId="54" dataCellStyle="Comma">
      <calculatedColumnFormula>MAX(0,(Table7[[#This Row],[S_0*exp(-qT)]])- Table7[[#This Row],[K]]*EXP(-Table7[[#This Row],[r]]*VALUE(Table7[[#This Row],[T(días)]]/365)))</calculatedColumnFormula>
    </tableColumn>
    <tableColumn id="11" xr3:uid="{D4382FF5-F0B3-4BE5-80C3-C0EB5B0D3DE4}" name="Prima Call Mercado" dataDxfId="53" dataCellStyle="Currency"/>
    <tableColumn id="12" xr3:uid="{E43CA34F-80D1-4B11-A5DE-9E056D138B17}" name="Cota Superior Call" dataDxfId="52" dataCellStyle="Comma">
      <calculatedColumnFormula>Table7[[#This Row],[S_0*exp(-qT)]]</calculatedColumnFormula>
    </tableColumn>
    <tableColumn id="13" xr3:uid="{99EC0145-258F-49FD-9B6B-CCDBE60148DD}" name="Cota Inferior Put" dataDxfId="51" dataCellStyle="Comma">
      <calculatedColumnFormula>MAX(0,  Table7[[#This Row],[K]]*EXP(-Table7[[#This Row],[r]]*(Table7[[#This Row],[T(días)]]/365))-Table7[[#This Row],[S_0*exp(-qT)]])</calculatedColumnFormula>
    </tableColumn>
    <tableColumn id="14" xr3:uid="{A8A7FFEE-A555-4B07-9A56-5985991D08E3}" name="Prima Put Mercado" dataDxfId="50" dataCellStyle="Currency"/>
    <tableColumn id="15" xr3:uid="{461C60AE-C3BE-454D-820A-5A357F248E1A}" name="Cota Superior Put" dataDxfId="49" dataCellStyle="Comma">
      <calculatedColumnFormula>Table7[[#This Row],[K]]*EXP(-Table7[[#This Row],[r]]*(Table7[[#This Row],[T(días)]]/365))</calculatedColumnFormula>
    </tableColumn>
    <tableColumn id="16" xr3:uid="{B95F7F0A-17E3-4ECF-AAE7-6A0F8F434864}" name="Tipo de interés para que se cumpla la cota" dataDxfId="48"/>
    <tableColumn id="17" xr3:uid="{7B032757-520C-43E8-B95B-CC7CD74B1ED5}" name="c+K*exp(-rt)" dataDxfId="47">
      <calculatedColumnFormula>Table7[[#This Row],[Prima Call Mercado]]+Table7[[#This Row],[K]]*EXP(-Table7[[#This Row],[r]]*Table7[[#This Row],[T(días)]]/365)</calculatedColumnFormula>
    </tableColumn>
    <tableColumn id="18" xr3:uid="{4AB5C69D-5499-4766-AAFB-0CD1E1802821}" name="p+S_0" dataDxfId="46">
      <calculatedColumnFormula>Table7[[#This Row],[Prima Put Mercado]]+Table7[[#This Row],[S_0*exp(-qT)]]</calculatedColumnFormula>
    </tableColumn>
    <tableColumn id="19" xr3:uid="{CEDA93BD-13A3-4EB4-9ABE-2FD65234DDA7}" name="Tipo de interés para que se cumpla la Paridad P-C" dataDxfId="45">
      <calculatedColumnFormula>-365*(LN(Table7[[#This Row],[p+S_0]]-Table7[[#This Row],[Prima Call Mercado]])/Table7[[#This Row],[K]])/Table7[[#This Row],[T(días)]]</calculatedColumnFormula>
    </tableColumn>
    <tableColumn id="20" xr3:uid="{4E24CC0C-0D34-49C3-AEC4-98571B2292FE}" name="Dividendos (%) para que se cumpla la paridad" dataDxfId="44">
      <calculatedColumnFormula array="1">-LN((Table7[[#This Row],[c+K*exp(-rt)]]-Table7[[#This Row],[Prima Put Mercado]])/Table4[S_0])/(Table4[T]/365)</calculatedColumnFormula>
    </tableColumn>
    <tableColumn id="21" xr3:uid="{A747BF00-B123-4E56-A455-6C9389A3019E}" name="σ" dataDxfId="43"/>
    <tableColumn id="22" xr3:uid="{DA1B77C6-E016-4033-BA73-353FC486B54C}" name="d1" dataDxfId="42">
      <calculatedColumnFormula>(LN(Table7[[#This Row],[S_0*exp(-qT)]]/Table7[[#This Row],[K]])+(Table7[[#This Row],[r]]-Table7[[#This Row],[Dividendo continuo]]+(Table7[[#This Row],[σ]]^2)/2)*(Table7[[#This Row],[T(días)]]/365))/(Table7[[#This Row],[σ]]*SQRT(Table7[[#This Row],[T(días)]]/365))</calculatedColumnFormula>
    </tableColumn>
    <tableColumn id="23" xr3:uid="{DBE6C581-8F93-4082-86DF-BE351DE5A680}" name="d2" dataDxfId="41">
      <calculatedColumnFormula>Table7[[#This Row],[d1]]-Table7[[#This Row],[σ]]*SQRT(Table7[[#This Row],[T(días)]]/365)</calculatedColumnFormula>
    </tableColumn>
    <tableColumn id="24" xr3:uid="{23F7BC25-497E-4688-BAB5-06AC01960070}" name="CALL (Black-Scholes)" dataDxfId="1">
      <calculatedColumnFormula>Table7[[#This Row],[S_0*exp(-qT)]]*_xlfn.NORM.DIST(Table7[[#This Row],[d1]],0,1,TRUE)-Table7[[#This Row],[K]]*EXP(-Table7[[#This Row],[r]]*Table7[[#This Row],[T(días)]]/365)*_xlfn.NORM.DIST(Table7[[#This Row],[d2]],0,1,TRUE)</calculatedColumnFormula>
    </tableColumn>
    <tableColumn id="25" xr3:uid="{E1A1B1FD-B1C2-41C9-97C3-8DD5C26AA019}" name="PUT (Black-Scholes)" dataDxfId="0">
      <calculatedColumnFormula>Table7[[#This Row],[K]]*EXP(-Table7[[#This Row],[r]]*Table7[[#This Row],[T(días)]]/365)*_xlfn.NORM.DIST(-Table7[[#This Row],[d2]],0,1,TRUE)-Table7[[#This Row],[S_0*exp(-qT)]]*_xlfn.NORM.DIST(-Table7[[#This Row],[d1]],0,1,TRUE)</calculatedColumnFormula>
    </tableColumn>
    <tableColumn id="26" xr3:uid="{E6491931-84C9-4415-8095-1F755736EF08}" name="Delta Call" dataDxfId="40">
      <calculatedColumnFormula>EXP(-Table7[[#This Row],[Dividendo continuo]]*Table7[[#This Row],[T(días)]]/365)*_xlfn.NORM.DIST(Table7[[#This Row],[d1]],0,1,TRUE)</calculatedColumnFormula>
    </tableColumn>
    <tableColumn id="27" xr3:uid="{3BC40E8B-C60B-4C8A-9297-995BC8E0823A}" name="Delta PUT" dataDxfId="39">
      <calculatedColumnFormula>EXP(-Table7[[#This Row],[Dividendo continuo]]*Table7[[#This Row],[T(días)]]/365)*(Table7[[#This Row],[Delta Call]]-1)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460D3-44D7-4414-8DCB-053024D4D2E5}" name="Table1" displayName="Table1" ref="A2:R19" totalsRowShown="0" headerRowDxfId="38">
  <autoFilter ref="A2:R19" xr:uid="{B17460D3-44D7-4414-8DCB-053024D4D2E5}"/>
  <tableColumns count="18">
    <tableColumn id="1" xr3:uid="{F8E7C095-63AC-4648-B2BC-8272B91A9746}" name="SUBYACENTE" dataDxfId="37"/>
    <tableColumn id="2" xr3:uid="{8F3EC91D-D5E8-4A7E-9033-5631E425FA98}" name="S_0" dataDxfId="36" dataCellStyle="Comma"/>
    <tableColumn id="3" xr3:uid="{1D5B9BE2-7719-4F6E-ACF1-3FCE27DBF9B4}" name="K" dataDxfId="35" dataCellStyle="Comma"/>
    <tableColumn id="18" xr3:uid="{BA9CFAD9-157E-4F34-9D53-D726094CBCB5}" name="VAN(D)" dataDxfId="34" dataCellStyle="Comma"/>
    <tableColumn id="4" xr3:uid="{4DA79634-FB6B-4256-A440-1C2B050F639F}" name="r" dataDxfId="33"/>
    <tableColumn id="7" xr3:uid="{EE340B91-18CC-4F05-ACA2-64D055EB7C42}" name="t_0" dataDxfId="32"/>
    <tableColumn id="6" xr3:uid="{D122807D-14FC-4B60-9FE7-4A86F58D209B}" name="Vencimiento" dataDxfId="31"/>
    <tableColumn id="5" xr3:uid="{76AAA989-025C-47A2-8C3E-913345158ACA}" name="T(días)" dataDxfId="30">
      <calculatedColumnFormula>Table1[[#This Row],[Vencimiento]]-Table1[[#This Row],[t_0]]</calculatedColumnFormula>
    </tableColumn>
    <tableColumn id="8" xr3:uid="{EC6F25F7-38F8-43F8-96EE-97EE6E17C288}" name="Cota inferior Call" dataDxfId="29" dataCellStyle="Comma">
      <calculatedColumnFormula>MAX(0,(Table1[[#This Row],[S_0]]-Table1[[#This Row],[VAN(D)]])- Table1[[#This Row],[K]]*EXP(-Table1[[#This Row],[r]]*VALUE(Table1[[#This Row],[T(días)]]/365)))</calculatedColumnFormula>
    </tableColumn>
    <tableColumn id="12" xr3:uid="{E0C37E2A-F2D6-478B-923F-3B70B361EA04}" name="Prima Call Mercado" dataDxfId="28" dataCellStyle="Comma"/>
    <tableColumn id="9" xr3:uid="{7E9E8F0C-A32E-404B-9AF1-8BD76458F8E7}" name="Cota Superior Call" dataDxfId="27" dataCellStyle="Comma">
      <calculatedColumnFormula>Table1[[#This Row],[S_0]]</calculatedColumnFormula>
    </tableColumn>
    <tableColumn id="10" xr3:uid="{019222DE-2460-45E9-85D1-CB2890E1430B}" name="Cota Inferior Put" dataDxfId="26" dataCellStyle="Comma">
      <calculatedColumnFormula>MAX(0,  Table1[[#This Row],[K]]*EXP(-Table1[[#This Row],[r]]*(Table1[[#This Row],[T(días)]]/365))-(Table1[[#This Row],[S_0]] -Table1[[#This Row],[VAN(D)]]))</calculatedColumnFormula>
    </tableColumn>
    <tableColumn id="13" xr3:uid="{C3BFA4A4-2BD0-4DE0-B0CB-320EFF5949A1}" name="Prima Put Mercado" dataDxfId="25" dataCellStyle="Comma"/>
    <tableColumn id="11" xr3:uid="{22CC7AC5-BA0B-4066-ABEA-C0D26A0A633A}" name="Cota Superior Put" dataDxfId="24" dataCellStyle="Comma">
      <calculatedColumnFormula>Table1[[#This Row],[K]]*EXP(-Table1[[#This Row],[r]]*(Table1[[#This Row],[T(días)]]/365))</calculatedColumnFormula>
    </tableColumn>
    <tableColumn id="14" xr3:uid="{E24E3EBE-EEF1-2640-A7B7-7AA443C8E002}" name="Tipo de interés para que se cumpla la cota" dataDxfId="23">
      <calculatedColumnFormula>(LN((Table1[[#This Row],[Prima Call Mercado]]-Table1[[#This Row],[S_0]])/-Table1[[#This Row],[K]]))/(-Table1[[#This Row],[T(días)]]/365)</calculatedColumnFormula>
    </tableColumn>
    <tableColumn id="15" xr3:uid="{45A7891B-B4C4-FD44-973B-B31D728ACD62}" name="c + K*e^(r*t)" dataDxfId="22">
      <calculatedColumnFormula>Table1[[#This Row],[Prima Call Mercado]]+Table1[[#This Row],[K]]*EXP(Table1[[#This Row],[r]]*Table1[[#This Row],[T(días)]]/365)</calculatedColumnFormula>
    </tableColumn>
    <tableColumn id="16" xr3:uid="{5B2D74BC-BB54-594D-8DFA-7D509C55A87E}" name="p + S_0" dataDxfId="21">
      <calculatedColumnFormula>Table1[[#This Row],[Prima Put Mercado]]+Table1[[#This Row],[S_0]]</calculatedColumnFormula>
    </tableColumn>
    <tableColumn id="17" xr3:uid="{23ED1018-6FD8-034F-B390-46F8DE49FF1C}" name="Tipo de interés para que se cumpla la Paridad P-C" dataDxfId="20">
      <calculatedColumnFormula>(LN((Table1[[#This Row],[Prima Put Mercado]]+Table1[[#This Row],[S_0]]-Table1[[#This Row],[Prima Call Mercado]])/Table1[[#This Row],[K]]))/(-Table1[[#This Row],[T(días)]]/365)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3C31C3-1FE8-4C49-A921-556D11B21556}" name="Table2" displayName="Table2" ref="A1:P2" totalsRowShown="0">
  <autoFilter ref="A1:P2" xr:uid="{973C31C3-1FE8-4C49-A921-556D11B21556}"/>
  <tableColumns count="16">
    <tableColumn id="7" xr3:uid="{9E591238-00E7-47F3-8B93-161CB00AB5EC}" name="STOCK"/>
    <tableColumn id="13" xr3:uid="{E09CAED3-8A2C-438A-99BE-1C28F0371F76}" name="t_0"/>
    <tableColumn id="1" xr3:uid="{123AF806-34E0-4B3E-A772-49E704B429B9}" name="D_1"/>
    <tableColumn id="17" xr3:uid="{38FC7497-736B-4402-9DAC-8C13D335B7F2}" name="Fecha ex-dividendo D_1"/>
    <tableColumn id="2" xr3:uid="{DDC0F28E-DB0F-498D-BDD0-A4F24AD00CC8}" name="Fecha D_1"/>
    <tableColumn id="14" xr3:uid="{106B972F-CA63-4641-BEF9-A7AEF2E25C30}" name="T_1" dataDxfId="19">
      <calculatedColumnFormula>Table2[[#This Row],[Fecha D_1]]-Table2[[#This Row],[t_0]]</calculatedColumnFormula>
    </tableColumn>
    <tableColumn id="10" xr3:uid="{5F644B13-DFA0-432D-B58F-7DFE7A95A839}" name="r_1"/>
    <tableColumn id="3" xr3:uid="{204629E3-0CC4-49F4-8F97-FAFE47F37EB6}" name="D_2"/>
    <tableColumn id="4" xr3:uid="{32150B34-1887-4EEE-81F0-0C7D483E0EDE}" name="Fecha D_2"/>
    <tableColumn id="15" xr3:uid="{A32AAA58-93AB-495A-900E-3EB5740BB075}" name="T_2" dataDxfId="18">
      <calculatedColumnFormula>Table2[[#This Row],[Fecha D_2]]-Table2[[#This Row],[t_0]]</calculatedColumnFormula>
    </tableColumn>
    <tableColumn id="11" xr3:uid="{E6DAE637-4AE7-4639-BB5B-A85425EAD5BC}" name="r_2"/>
    <tableColumn id="5" xr3:uid="{6A9CADA6-3955-4C5A-8264-7CB5FB280831}" name="D_3"/>
    <tableColumn id="6" xr3:uid="{335402FE-2D42-4F6A-819C-1057A1610152}" name="Fecha D_3"/>
    <tableColumn id="16" xr3:uid="{D071E19A-7437-4093-A793-9BBC3F4DE37D}" name="T_3" dataDxfId="17">
      <calculatedColumnFormula>Table2[[#This Row],[Fecha D_3]]-Table2[[#This Row],[t_0]]</calculatedColumnFormula>
    </tableColumn>
    <tableColumn id="12" xr3:uid="{BA8B3F9A-E4CB-4F89-8D62-867224B70522}" name="r_3"/>
    <tableColumn id="9" xr3:uid="{DB08EEAB-ED8D-4CC8-A18D-17815097886F}" name="VAN(D)" dataDxfId="16">
      <calculatedColumnFormula>Table2[[#This Row],[D_1]]*EXP(-Table2[[#This Row],[r_1]]*Table2[[#This Row],[T_1]]/365)+Table2[[#This Row],[D_2]]*EXP(-Table2[[#This Row],[r_2]]*Table2[[#This Row],[T_2]]/365)+Table2[[#This Row],[D_3]]*EXP(-Table2[[#This Row],[r_3]]*Table2[[#This Row],[T_3]]/365)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9225C8-7E0F-4461-9D9B-BB1C3D016410}" name="Table3" displayName="Table3" ref="A12:H15" totalsRowShown="0">
  <autoFilter ref="A12:H15" xr:uid="{4B9225C8-7E0F-4461-9D9B-BB1C3D016410}"/>
  <tableColumns count="8">
    <tableColumn id="1" xr3:uid="{377B2D18-C694-49EE-B00C-52D6978971A9}" name="STOCK"/>
    <tableColumn id="2" xr3:uid="{5D292533-8C8C-4811-8A41-7D4CA144E8E0}" name="t_0"/>
    <tableColumn id="3" xr3:uid="{7308BB72-AA7D-485C-95F3-BE4E2C22C591}" name="D"/>
    <tableColumn id="4" xr3:uid="{1C83627F-589E-43E7-BAEC-801AE33F128E}" name="Fecha ex-dividendo D_1"/>
    <tableColumn id="5" xr3:uid="{558B1071-7C7A-4EEA-A529-CF5683A1B988}" name="Fecha pago D" dataDxfId="15"/>
    <tableColumn id="6" xr3:uid="{68C52169-1E90-4B0D-B756-6C5FB005AB42}" name="T" dataDxfId="14">
      <calculatedColumnFormula>Table3[[#This Row],[Fecha pago D]]-Table3[[#This Row],[t_0]]</calculatedColumnFormula>
    </tableColumn>
    <tableColumn id="7" xr3:uid="{DDEC2966-88F3-4BB1-97F3-72B9802EAB27}" name="r"/>
    <tableColumn id="8" xr3:uid="{3298F855-06AD-46D7-AE65-6625A13CC2CB}" name="VAN(D)" dataDxfId="13">
      <calculatedColumnFormula>Table3[[#This Row],[D]]*EXP(-Table3[[#This Row],[r]]*Table3[[#This Row],[T]]/365)</calculatedColumnFormula>
    </tableColumn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2E4952-4657-428D-81B7-AE1C1AC05807}" name="Table4" displayName="Table4" ref="A19:G20" totalsRowShown="0">
  <autoFilter ref="A19:G20" xr:uid="{EE2E4952-4657-428D-81B7-AE1C1AC05807}"/>
  <tableColumns count="7">
    <tableColumn id="1" xr3:uid="{0F5CD247-5943-4383-B6D6-64BBD5619A95}" name="STOCK"/>
    <tableColumn id="6" xr3:uid="{94DEEF9A-D676-442C-A44C-AFD2D95147CC}" name="S_0" dataDxfId="12" dataCellStyle="Comma">
      <calculatedColumnFormula>17932.17*5</calculatedColumnFormula>
    </tableColumn>
    <tableColumn id="2" xr3:uid="{8138F748-DD76-4A95-AF7C-F693369ED8EF}" name="t_0"/>
    <tableColumn id="3" xr3:uid="{4A16513D-7F11-44F4-856E-EB3936D10B54}" name="q"/>
    <tableColumn id="4" xr3:uid="{E6A038E1-CC52-4ADF-AD2A-1CC967D0A72E}" name="Vencimiento"/>
    <tableColumn id="7" xr3:uid="{698571B0-9E0C-48B8-9672-C28B70EF96A1}" name="T" dataDxfId="11">
      <calculatedColumnFormula>Table4[[#This Row],[Vencimiento]]-Table4[[#This Row],[t_0]]</calculatedColumnFormula>
    </tableColumn>
    <tableColumn id="5" xr3:uid="{E614D951-C21B-46CA-BA88-68ADE1C38C0E}" name="S_0*exp(-qT)" dataDxfId="10">
      <calculatedColumnFormula>Table4[[#This Row],[S_0]]*EXP(-Table4[[#This Row],[q]]*Table4[[#This Row],[T]]/365)</calculatedColumnFormula>
    </tableColumn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59264D-9547-43AF-94BF-1E9225358858}" name="Table26" displayName="Table26" ref="A5:T6" totalsRowShown="0">
  <autoFilter ref="A5:T6" xr:uid="{4C59264D-9547-43AF-94BF-1E9225358858}"/>
  <tableColumns count="20">
    <tableColumn id="7" xr3:uid="{0CDD2673-49AE-4D40-9C43-BEBBD9CC9558}" name="STOCK"/>
    <tableColumn id="13" xr3:uid="{59BBA08D-4F54-4763-950A-F8AFDE3F1574}" name="t_0"/>
    <tableColumn id="1" xr3:uid="{6F8AE240-BD19-4E0C-8915-32D874199BAD}" name="D_1"/>
    <tableColumn id="17" xr3:uid="{E26BCFA3-7E32-4D51-81CB-524DEA786FFB}" name="Fecha ex-dividendo D_1"/>
    <tableColumn id="2" xr3:uid="{12DBACAF-2152-46B4-93C9-79DE2F195831}" name="Fecha D_1"/>
    <tableColumn id="14" xr3:uid="{11134DBF-08E6-4712-869B-447D52998864}" name="T_1" dataDxfId="9">
      <calculatedColumnFormula>Table26[[#This Row],[Fecha D_1]]-Table26[[#This Row],[t_0]]</calculatedColumnFormula>
    </tableColumn>
    <tableColumn id="10" xr3:uid="{B8A07A18-CF69-4C5D-9C88-5D5360CF5A12}" name="r_1"/>
    <tableColumn id="3" xr3:uid="{7AB27D3C-C978-4E43-A7A5-54C48A4057F5}" name="D_2"/>
    <tableColumn id="4" xr3:uid="{82B2ED8E-1D08-4EEA-94AE-6C4F0F6C9AB3}" name="Fecha D_2"/>
    <tableColumn id="15" xr3:uid="{A5572682-3C7E-4A63-9332-EEFD21DF5387}" name="T_2" dataDxfId="8">
      <calculatedColumnFormula>Table26[[#This Row],[Fecha D_2]]-Table26[[#This Row],[t_0]]</calculatedColumnFormula>
    </tableColumn>
    <tableColumn id="11" xr3:uid="{70972D3D-C830-46B6-8359-4A8319AA23EE}" name="r_2"/>
    <tableColumn id="5" xr3:uid="{F66FB66F-8ABC-42AE-8E90-8863AE4829C9}" name="D_3"/>
    <tableColumn id="6" xr3:uid="{375E6978-B61C-44BE-A78E-325998777BDF}" name="Fecha D_3"/>
    <tableColumn id="16" xr3:uid="{FFF9FF9F-8CFA-4CAD-9FDC-CC20C2D32392}" name="T_3" dataDxfId="7">
      <calculatedColumnFormula>Table26[[#This Row],[Fecha D_3]]-Table26[[#This Row],[t_0]]</calculatedColumnFormula>
    </tableColumn>
    <tableColumn id="12" xr3:uid="{3783853F-C633-4430-A69B-18534890555E}" name="r_3"/>
    <tableColumn id="19" xr3:uid="{CA3F035E-9011-44D6-BC76-5AA0DB98D7A0}" name="Fecha D_4" dataDxfId="6"/>
    <tableColumn id="20" xr3:uid="{EA25CFFD-5E86-4668-AFD1-2836D58F59B6}" name="T_4" dataDxfId="5">
      <calculatedColumnFormula>Table26[[#This Row],[Fecha D_4]]-Table26[[#This Row],[t_0]]</calculatedColumnFormula>
    </tableColumn>
    <tableColumn id="21" xr3:uid="{E816DD8A-A1C0-4803-AC2F-239F9CBF331F}" name="r_4" dataDxfId="4">
      <calculatedColumnFormula>2.763%</calculatedColumnFormula>
    </tableColumn>
    <tableColumn id="22" xr3:uid="{74679801-85B6-4743-88B1-39C6C563AD97}" name="D_4" dataDxfId="3"/>
    <tableColumn id="9" xr3:uid="{4C3325DF-6122-4240-8AC1-24F3D4934245}" name="VAN(D)" dataDxfId="2">
      <calculatedColumnFormula>Table26[[#This Row],[D_1]]*EXP(-Table26[[#This Row],[r_1]]*Table26[[#This Row],[T_1]]/365)+Table26[[#This Row],[D_2]]*EXP(-Table26[[#This Row],[r_2]]*Table26[[#This Row],[T_2]]/365)+Table26[[#This Row],[D_3]]*EXP(-Table26[[#This Row],[r_3]]*Table26[[#This Row],[T_3]]/365)+Table26[[#This Row],[D_4]]*EXP(-Table26[[#This Row],[r_4]]*Table26[[#This Row],[T_4]]/365)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4B36-C525-4CCC-9EEC-A145224F262A}">
  <dimension ref="A1:AD16"/>
  <sheetViews>
    <sheetView showGridLines="0" tabSelected="1" zoomScale="85" zoomScaleNormal="85" workbookViewId="0">
      <selection activeCell="P12" sqref="P12"/>
    </sheetView>
  </sheetViews>
  <sheetFormatPr defaultColWidth="8.81640625" defaultRowHeight="14.5" x14ac:dyDescent="0.35"/>
  <cols>
    <col min="1" max="1" width="19.453125" bestFit="1" customWidth="1"/>
    <col min="2" max="2" width="20.1796875" customWidth="1"/>
    <col min="3" max="3" width="14.6328125" customWidth="1"/>
    <col min="4" max="4" width="12.81640625" customWidth="1"/>
    <col min="5" max="5" width="9.1796875" customWidth="1"/>
    <col min="6" max="6" width="10.81640625" customWidth="1"/>
    <col min="7" max="7" width="17" customWidth="1"/>
    <col min="8" max="8" width="12.1796875" customWidth="1"/>
    <col min="9" max="9" width="20.453125" customWidth="1"/>
    <col min="10" max="10" width="21.36328125" customWidth="1"/>
    <col min="11" max="11" width="21.453125" customWidth="1"/>
    <col min="12" max="12" width="20" customWidth="1"/>
    <col min="13" max="13" width="21.1796875" customWidth="1"/>
    <col min="14" max="14" width="20.81640625" customWidth="1"/>
    <col min="15" max="15" width="41.453125" customWidth="1"/>
    <col min="16" max="16" width="16.81640625" customWidth="1"/>
    <col min="17" max="17" width="14" customWidth="1"/>
    <col min="18" max="18" width="47.453125" customWidth="1"/>
    <col min="19" max="19" width="44.36328125" customWidth="1"/>
    <col min="20" max="20" width="20.81640625" customWidth="1"/>
    <col min="21" max="21" width="23.36328125" customWidth="1"/>
    <col min="22" max="22" width="8.81640625" customWidth="1"/>
    <col min="23" max="23" width="27" customWidth="1"/>
    <col min="24" max="24" width="23.36328125" customWidth="1"/>
    <col min="25" max="25" width="15.453125" customWidth="1"/>
    <col min="26" max="26" width="11.1796875" customWidth="1"/>
  </cols>
  <sheetData>
    <row r="1" spans="1:30" ht="16" customHeight="1" x14ac:dyDescent="0.35">
      <c r="I1" s="80" t="s">
        <v>67</v>
      </c>
      <c r="J1" s="81"/>
      <c r="K1" s="20"/>
      <c r="L1" s="82" t="s">
        <v>68</v>
      </c>
      <c r="M1" s="82"/>
      <c r="N1" s="82"/>
      <c r="O1" s="36" t="s">
        <v>27</v>
      </c>
      <c r="P1" s="84"/>
      <c r="Q1" s="84"/>
      <c r="T1" s="83" t="s">
        <v>82</v>
      </c>
      <c r="U1" s="83"/>
      <c r="V1" s="83"/>
      <c r="W1" s="83"/>
      <c r="X1" s="83"/>
    </row>
    <row r="2" spans="1:30" ht="29" customHeight="1" x14ac:dyDescent="0.35">
      <c r="A2" s="17" t="s">
        <v>5</v>
      </c>
      <c r="B2" s="16" t="s">
        <v>0</v>
      </c>
      <c r="C2" s="16" t="s">
        <v>1</v>
      </c>
      <c r="D2" s="16" t="s">
        <v>46</v>
      </c>
      <c r="E2" s="16" t="s">
        <v>2</v>
      </c>
      <c r="F2" s="16" t="s">
        <v>7</v>
      </c>
      <c r="G2" s="16" t="s">
        <v>4</v>
      </c>
      <c r="H2" s="17" t="s">
        <v>25</v>
      </c>
      <c r="I2" s="16" t="s">
        <v>8</v>
      </c>
      <c r="J2" s="16" t="s">
        <v>12</v>
      </c>
      <c r="K2" s="17" t="s">
        <v>9</v>
      </c>
      <c r="L2" s="16" t="s">
        <v>10</v>
      </c>
      <c r="M2" s="16" t="s">
        <v>13</v>
      </c>
      <c r="N2" s="17" t="s">
        <v>11</v>
      </c>
      <c r="O2" s="18" t="s">
        <v>26</v>
      </c>
      <c r="P2" s="16" t="s">
        <v>72</v>
      </c>
      <c r="Q2" s="16" t="s">
        <v>70</v>
      </c>
      <c r="R2" s="18" t="s">
        <v>30</v>
      </c>
      <c r="S2" s="18" t="s">
        <v>71</v>
      </c>
      <c r="T2" s="18" t="s">
        <v>80</v>
      </c>
      <c r="U2" s="18" t="s">
        <v>78</v>
      </c>
      <c r="V2" s="18" t="s">
        <v>79</v>
      </c>
      <c r="W2" s="16" t="s">
        <v>76</v>
      </c>
      <c r="X2" s="16" t="s">
        <v>77</v>
      </c>
      <c r="Y2" s="16" t="s">
        <v>83</v>
      </c>
      <c r="Z2" s="16" t="s">
        <v>84</v>
      </c>
      <c r="AC2" s="1"/>
      <c r="AD2" s="1"/>
    </row>
    <row r="3" spans="1:30" x14ac:dyDescent="0.35">
      <c r="A3" s="10" t="s">
        <v>24</v>
      </c>
      <c r="B3" s="53">
        <v>4.8505000000000003</v>
      </c>
      <c r="C3" s="54">
        <v>5</v>
      </c>
      <c r="D3" s="53">
        <v>0</v>
      </c>
      <c r="E3" s="55">
        <v>3.7769999999999998E-2</v>
      </c>
      <c r="F3" s="56">
        <v>45408</v>
      </c>
      <c r="G3" s="56">
        <v>45464</v>
      </c>
      <c r="H3" s="57">
        <f>Table17[[#This Row],[Vencimiento]]-Table17[[#This Row],[t_0]]</f>
        <v>56</v>
      </c>
      <c r="I3" s="58">
        <f>MAX(0,(Table17[[#This Row],[S_0]]-Table17[[#This Row],[VAN(D)]])- Table17[[#This Row],[K]]*EXP(-Table17[[#This Row],[r]]*VALUE(Table17[[#This Row],[T(días)]]/365)))</f>
        <v>0</v>
      </c>
      <c r="J3" s="59">
        <v>0.1</v>
      </c>
      <c r="K3" s="62">
        <f>Table17[[#This Row],[S_0]]-Table17[[#This Row],[VAN(D)]]</f>
        <v>4.8505000000000003</v>
      </c>
      <c r="L3" s="58">
        <f>MAX(0,  Table17[[#This Row],[K]]*EXP(-Table17[[#This Row],[r]]*(Table17[[#This Row],[T(días)]]/365))-(Table17[[#This Row],[S_0]] -Table17[[#This Row],[VAN(D)]]))</f>
        <v>0.12060954219522468</v>
      </c>
      <c r="M3" s="59">
        <v>0.32</v>
      </c>
      <c r="N3" s="14">
        <f>Table17[[#This Row],[K]]*EXP(-Table17[[#This Row],[r]]*(Table17[[#This Row],[T(días)]]/365))</f>
        <v>4.9711095421952249</v>
      </c>
      <c r="O3" s="19">
        <f>(LN((Table17[[#This Row],[Prima Call Mercado]]-(Table17[[#This Row],[S_0]]-Table17[[#This Row],[VAN(D)]]))/-Table17[[#This Row],[K]]))/(-Table17[[#This Row],[T(días)]]/365)</f>
        <v>0.33363631108648339</v>
      </c>
      <c r="P3" s="49">
        <f>Table17[[#This Row],[Prima Call Mercado]]+Table17[[#This Row],[K]]*EXP(-Table17[[#This Row],[r]]*Table17[[#This Row],[T(días)]]/365)</f>
        <v>5.0711095421952246</v>
      </c>
      <c r="Q3" s="49">
        <f>Table17[[#This Row],[Prima Put Mercado]]+Table17[[#This Row],[S_0]]-Table17[[#This Row],[VAN(D)]]</f>
        <v>5.1705000000000005</v>
      </c>
      <c r="R3" s="24">
        <f>-365*LN((Table17[[#This Row],[p + S_0-D]]-Table17[[#This Row],[Prima Call Mercado]])/Table17[[#This Row],[K]])/Table17[[#This Row],[T(días)]]</f>
        <v>-9.125990476914371E-2</v>
      </c>
      <c r="S3" s="37">
        <f>Table17[[#This Row],[Prima Put Mercado]]+Table17[[#This Row],[S_0]]-Table17[[#This Row],[c + K*e^(-r*t)]]</f>
        <v>9.9390457804775956E-2</v>
      </c>
      <c r="T3" s="44">
        <v>1.6899999999999998E-2</v>
      </c>
      <c r="U3" s="43">
        <f>(LN((Table17[[#This Row],[S_0]]-Table17[[#This Row],[VAN(D)]])/Table17[[#This Row],[K]])+(Table17[[#This Row],[r]]+(Table17[[#This Row],[σ]]^2)/2)*(Table17[[#This Row],[T(días)]]/365))/(Table17[[#This Row],[σ]]*SQRT(Table17[[#This Row],[T(días)]]/365))</f>
        <v>-3.7070544218769252</v>
      </c>
      <c r="V3" s="40">
        <f>Table17[[#This Row],[d1]]-Table17[[#This Row],[σ]]*SQRT(Table17[[#This Row],[T(días)]]/365)</f>
        <v>-3.7136740605708689</v>
      </c>
      <c r="W3" s="50">
        <f>(Table17[[#This Row],[S_0]]-Table17[[#This Row],[VAN(D)]])*_xlfn.NORM.DIST(Table17[[#This Row],[d1]],0,1,TRUE)-Table17[[#This Row],[K]]*EXP(-Table17[[#This Row],[r]]*Table17[[#This Row],[T(días)]]/365)*_xlfn.NORM.DIST(Table17[[#This Row],[d2]],0,1,TRUE)</f>
        <v>8.0698954441191153E-7</v>
      </c>
      <c r="X3" s="42">
        <f>Table17[[#This Row],[K]]*EXP(-Table17[[#This Row],[r]]*Table17[[#This Row],[T(días)]]/365)*_xlfn.NORM.DIST(-Table17[[#This Row],[d2]],0,1,TRUE)-(Table17[[#This Row],[S_0]]-Table17[[#This Row],[VAN(D)]])*_xlfn.NORM.DIST(-Table17[[#This Row],[d1]],0,1,TRUE)</f>
        <v>0.12061034918476921</v>
      </c>
      <c r="Y3" s="42">
        <f>_xlfn.NORM.DIST(Table17[[#This Row],[d1]],0,1,TRUE)</f>
        <v>1.0484194797101066E-4</v>
      </c>
      <c r="Z3" s="42">
        <f>_xlfn.NORM.DIST(Table17[[#This Row],[d1]],0,1,TRUE)-1</f>
        <v>-0.999895158052029</v>
      </c>
      <c r="AC3" s="2"/>
      <c r="AD3" s="2"/>
    </row>
    <row r="4" spans="1:30" x14ac:dyDescent="0.35">
      <c r="A4" s="10" t="s">
        <v>32</v>
      </c>
      <c r="B4" s="53">
        <v>15.01</v>
      </c>
      <c r="C4" s="54">
        <v>15.4</v>
      </c>
      <c r="D4" s="53">
        <f>'VAN(D)'!H14</f>
        <v>0.44905340795340737</v>
      </c>
      <c r="E4" s="55">
        <v>3.7769999999999998E-2</v>
      </c>
      <c r="F4" s="56">
        <v>45412</v>
      </c>
      <c r="G4" s="56">
        <v>45429</v>
      </c>
      <c r="H4" s="57">
        <f>Table17[[#This Row],[Vencimiento]]-Table17[[#This Row],[t_0]]</f>
        <v>17</v>
      </c>
      <c r="I4" s="58">
        <f>MAX(0,(Table17[[#This Row],[S_0]]-Table17[[#This Row],[VAN(D)]])- Table17[[#This Row],[K]]*EXP(-Table17[[#This Row],[r]]*VALUE(Table17[[#This Row],[T(días)]]/365)))</f>
        <v>0</v>
      </c>
      <c r="J4" s="59">
        <v>0.14000000000000001</v>
      </c>
      <c r="K4" s="62">
        <f>Table17[[#This Row],[S_0]]-Table17[[#This Row],[VAN(D)]]</f>
        <v>14.560946592046593</v>
      </c>
      <c r="L4" s="58">
        <f>MAX(0,  Table17[[#This Row],[K]]*EXP(-Table17[[#This Row],[r]]*(Table17[[#This Row],[T(días)]]/365))-(Table17[[#This Row],[S_0]] -Table17[[#This Row],[VAN(D)]]))</f>
        <v>0.81198630194468002</v>
      </c>
      <c r="M4" s="59">
        <v>0.86</v>
      </c>
      <c r="N4" s="14">
        <f>Table17[[#This Row],[K]]*EXP(-Table17[[#This Row],[r]]*(Table17[[#This Row],[T(días)]]/365))</f>
        <v>15.372932893991273</v>
      </c>
      <c r="O4" s="19">
        <f>(LN((Table17[[#This Row],[Prima Call Mercado]]-(Table17[[#This Row],[S_0]]-Table17[[#This Row],[VAN(D)]]))/-Table17[[#This Row],[K]]))/(-Table17[[#This Row],[T(días)]]/365)</f>
        <v>1.4103113762296975</v>
      </c>
      <c r="P4" s="49">
        <f>Table17[[#This Row],[Prima Call Mercado]]+Table17[[#This Row],[K]]*EXP(-Table17[[#This Row],[r]]*Table17[[#This Row],[T(días)]]/365)</f>
        <v>15.512932893991273</v>
      </c>
      <c r="Q4" s="49">
        <f>Table17[[#This Row],[Prima Put Mercado]]+Table17[[#This Row],[S_0]]-Table17[[#This Row],[VAN(D)]]</f>
        <v>15.420946592046592</v>
      </c>
      <c r="R4" s="32">
        <f>-365*LN((Table17[[#This Row],[p + S_0-D]]-Table17[[#This Row],[Prima Call Mercado]])/Table17[[#This Row],[K]])/Table17[[#This Row],[T(días)]]</f>
        <v>0.16662846579072255</v>
      </c>
      <c r="S4" s="30">
        <f>Table17[[#This Row],[Prima Put Mercado]]+Table17[[#This Row],[S_0]]-Table17[[#This Row],[c + K*e^(-r*t)]]</f>
        <v>0.35706710600872604</v>
      </c>
      <c r="T4" s="44">
        <v>1.78E-2</v>
      </c>
      <c r="U4" s="41">
        <f>(LN((Table17[[#This Row],[S_0]]-Table17[[#This Row],[VAN(D)]])/Table17[[#This Row],[K]])+(Table17[[#This Row],[r]]+(Table17[[#This Row],[σ]]^2)/2)*(Table17[[#This Row],[T(días)]]/365))/(Table17[[#This Row],[σ]]*SQRT(Table17[[#This Row],[T(días)]]/365))</f>
        <v>-14.124242374688015</v>
      </c>
      <c r="V4" s="41">
        <f>Table17[[#This Row],[d1]]-Table17[[#This Row],[σ]]*SQRT(Table17[[#This Row],[T(días)]]/365)</f>
        <v>-14.128083849861284</v>
      </c>
      <c r="W4" s="48">
        <f>(Table17[[#This Row],[S_0]]-Table17[[#This Row],[VAN(D)]])*_xlfn.NORM.DIST(Table17[[#This Row],[d1]],0,1,TRUE)-Table17[[#This Row],[K]]*EXP(-Table17[[#This Row],[r]]*Table17[[#This Row],[T(días)]]/365)*_xlfn.NORM.DIST(Table17[[#This Row],[d2]],0,1,TRUE)</f>
        <v>5.2785057358147396E-48</v>
      </c>
      <c r="X4" s="47">
        <f>Table17[[#This Row],[K]]*EXP(-Table17[[#This Row],[r]]*Table17[[#This Row],[T(días)]]/365)*_xlfn.NORM.DIST(-Table17[[#This Row],[d2]],0,1,TRUE)-(Table17[[#This Row],[S_0]]-Table17[[#This Row],[VAN(D)]])*_xlfn.NORM.DIST(-Table17[[#This Row],[d1]],0,1,TRUE)</f>
        <v>0.81198630194468002</v>
      </c>
      <c r="Y4" s="47">
        <f>_xlfn.NORM.DIST(Table17[[#This Row],[d1]],0,1,TRUE)</f>
        <v>1.3464012931307669E-45</v>
      </c>
      <c r="Z4" s="47">
        <f>_xlfn.NORM.DIST(Table17[[#This Row],[d1]],0,1,TRUE)-1</f>
        <v>-1</v>
      </c>
    </row>
    <row r="5" spans="1:30" x14ac:dyDescent="0.35">
      <c r="A5" s="10" t="s">
        <v>87</v>
      </c>
      <c r="B5" s="53">
        <v>31.25</v>
      </c>
      <c r="C5" s="54">
        <v>27</v>
      </c>
      <c r="D5" s="53">
        <f>'VAN(D)'!H15</f>
        <v>0.44968424781530608</v>
      </c>
      <c r="E5" s="55">
        <v>3.78E-2</v>
      </c>
      <c r="F5" s="56">
        <v>45412</v>
      </c>
      <c r="G5" s="56">
        <v>45429</v>
      </c>
      <c r="H5" s="57">
        <f>Table17[[#This Row],[Vencimiento]]-Table17[[#This Row],[t_0]]</f>
        <v>17</v>
      </c>
      <c r="I5" s="60">
        <f>MAX(0,(Table17[[#This Row],[S_0]]-Table17[[#This Row],[VAN(D)]])- Table17[[#This Row],[K]]*EXP(-Table17[[#This Row],[r]]*VALUE(Table17[[#This Row],[T(días)]]/365)))</f>
        <v>3.8478087276079407</v>
      </c>
      <c r="J5" s="59">
        <v>3.75</v>
      </c>
      <c r="K5" s="62">
        <f>Table17[[#This Row],[S_0]]-Table17[[#This Row],[VAN(D)]]</f>
        <v>30.800315752184694</v>
      </c>
      <c r="L5" s="58">
        <f>MAX(0,  Table17[[#This Row],[K]]*EXP(-Table17[[#This Row],[r]]*(Table17[[#This Row],[T(días)]]/365))-(Table17[[#This Row],[S_0]] -Table17[[#This Row],[VAN(D)]]))</f>
        <v>0</v>
      </c>
      <c r="M5" s="59">
        <v>0.11</v>
      </c>
      <c r="N5" s="14">
        <f>Table17[[#This Row],[K]]*EXP(-Table17[[#This Row],[r]]*(Table17[[#This Row],[T(días)]]/365))</f>
        <v>26.952507024576754</v>
      </c>
      <c r="O5" s="66">
        <f>(LN((Table17[[#This Row],[Prima Call Mercado]]-(Table17[[#This Row],[S_0]]-Table17[[#This Row],[VAN(D)]]))/-Table17[[#This Row],[K]]))/(-Table17[[#This Row],[T(días)]]/365)</f>
        <v>-3.997420159097699E-2</v>
      </c>
      <c r="P5" s="49">
        <f>Table17[[#This Row],[Prima Call Mercado]]+Table17[[#This Row],[K]]*EXP(-Table17[[#This Row],[r]]*Table17[[#This Row],[T(días)]]/365)</f>
        <v>30.702507024576754</v>
      </c>
      <c r="Q5" s="49">
        <f>Table17[[#This Row],[Prima Put Mercado]]+Table17[[#This Row],[S_0]]-Table17[[#This Row],[VAN(D)]]</f>
        <v>30.910315752184694</v>
      </c>
      <c r="R5" s="32">
        <f>-365*LN((Table17[[#This Row],[p + S_0-D]]-Table17[[#This Row],[Prima Call Mercado]])/Table17[[#This Row],[K]])/Table17[[#This Row],[T(días)]]</f>
        <v>-0.12710721892518023</v>
      </c>
      <c r="S5" s="30">
        <f>Table17[[#This Row],[Prima Put Mercado]]+Table17[[#This Row],[S_0]]-Table17[[#This Row],[c + K*e^(-r*t)]]</f>
        <v>0.6574929754232457</v>
      </c>
      <c r="T5" s="44">
        <v>1.78E-2</v>
      </c>
      <c r="U5" s="41">
        <f>(LN((Table17[[#This Row],[S_0]]-Table17[[#This Row],[VAN(D)]])/Table17[[#This Row],[K]])+(Table17[[#This Row],[r]]+(Table17[[#This Row],[σ]]^2)/2)*(Table17[[#This Row],[T(días)]]/365))/(Table17[[#This Row],[σ]]*SQRT(Table17[[#This Row],[T(días)]]/365))</f>
        <v>34.740821171133128</v>
      </c>
      <c r="V5" s="41">
        <f>Table17[[#This Row],[d1]]-Table17[[#This Row],[σ]]*SQRT(Table17[[#This Row],[T(días)]]/365)</f>
        <v>34.73697969595986</v>
      </c>
      <c r="W5" s="42">
        <f>(Table17[[#This Row],[S_0]]-Table17[[#This Row],[VAN(D)]])*_xlfn.NORM.DIST(Table17[[#This Row],[d1]],0,1,TRUE)-Table17[[#This Row],[K]]*EXP(-Table17[[#This Row],[r]]*Table17[[#This Row],[T(días)]]/365)*_xlfn.NORM.DIST(Table17[[#This Row],[d2]],0,1,TRUE)</f>
        <v>3.8478087276079407</v>
      </c>
      <c r="X5" s="47">
        <f>Table17[[#This Row],[K]]*EXP(-Table17[[#This Row],[r]]*Table17[[#This Row],[T(días)]]/365)*_xlfn.NORM.DIST(-Table17[[#This Row],[d2]],0,1,TRUE)-(Table17[[#This Row],[S_0]]-Table17[[#This Row],[VAN(D)]])*_xlfn.NORM.DIST(-Table17[[#This Row],[d1]],0,1,TRUE)</f>
        <v>3.242616651037954E-267</v>
      </c>
      <c r="Y5" s="47">
        <f>_xlfn.NORM.DIST(Table17[[#This Row],[d1]],0,1,TRUE)</f>
        <v>1</v>
      </c>
      <c r="Z5" s="47">
        <f>_xlfn.NORM.DIST(Table17[[#This Row],[d1]],0,1,TRUE)-1</f>
        <v>0</v>
      </c>
    </row>
    <row r="6" spans="1:30" x14ac:dyDescent="0.35">
      <c r="A6" s="10" t="s">
        <v>54</v>
      </c>
      <c r="B6" s="53">
        <v>102.6</v>
      </c>
      <c r="C6" s="54">
        <v>110</v>
      </c>
      <c r="D6" s="53">
        <f>'VAN(D)'!H13</f>
        <v>5.9873787727120984</v>
      </c>
      <c r="E6" s="61">
        <v>3.6580000000000001E-2</v>
      </c>
      <c r="F6" s="56">
        <v>45412</v>
      </c>
      <c r="G6" s="56">
        <v>45555</v>
      </c>
      <c r="H6" s="57">
        <f>Table17[[#This Row],[Vencimiento]]-Table17[[#This Row],[t_0]]</f>
        <v>143</v>
      </c>
      <c r="I6" s="58">
        <f>MAX(0,(Table17[[#This Row],[S_0]]-Table17[[#This Row],[VAN(D)]])- Table17[[#This Row],[K]]*EXP(-Table17[[#This Row],[r]]*VALUE(Table17[[#This Row],[T(días)]]/365)))</f>
        <v>0</v>
      </c>
      <c r="J6" s="59">
        <v>1.98</v>
      </c>
      <c r="K6" s="62">
        <f>Table17[[#This Row],[S_0]]-Table17[[#This Row],[VAN(D)]]</f>
        <v>96.612621227287889</v>
      </c>
      <c r="L6" s="58">
        <f>MAX(0,  Table17[[#This Row],[K]]*EXP(-Table17[[#This Row],[r]]*(Table17[[#This Row],[T(días)]]/365))-(Table17[[#This Row],[S_0]] -Table17[[#This Row],[VAN(D)]]))</f>
        <v>11.822173636255485</v>
      </c>
      <c r="M6" s="59">
        <v>12.78</v>
      </c>
      <c r="N6" s="14">
        <f>Table17[[#This Row],[K]]*EXP(-Table17[[#This Row],[r]]*(Table17[[#This Row],[T(días)]]/365))</f>
        <v>108.43479486354337</v>
      </c>
      <c r="O6" s="19">
        <f>(LN((Table17[[#This Row],[Prima Call Mercado]]-(Table17[[#This Row],[S_0]]-Table17[[#This Row],[VAN(D)]]))/-Table17[[#This Row],[K]]))/(-Table17[[#This Row],[T(días)]]/365)</f>
        <v>0.38408749864242187</v>
      </c>
      <c r="P6" s="49">
        <f>Table17[[#This Row],[Prima Call Mercado]]+Table17[[#This Row],[K]]*EXP(-Table17[[#This Row],[r]]*Table17[[#This Row],[T(días)]]/365)</f>
        <v>110.41479486354338</v>
      </c>
      <c r="Q6" s="49">
        <f>Table17[[#This Row],[Prima Put Mercado]]+Table17[[#This Row],[S_0]]-Table17[[#This Row],[VAN(D)]]</f>
        <v>109.39262122728789</v>
      </c>
      <c r="R6" s="32">
        <f>-365*LN((Table17[[#This Row],[p + S_0-D]]-Table17[[#This Row],[Prima Call Mercado]])/Table17[[#This Row],[K]])/Table17[[#This Row],[T(días)]]</f>
        <v>6.0755078369722694E-2</v>
      </c>
      <c r="S6" s="30">
        <f>Table17[[#This Row],[Prima Put Mercado]]+Table17[[#This Row],[S_0]]-Table17[[#This Row],[c + K*e^(-r*t)]]</f>
        <v>4.9652051364566177</v>
      </c>
      <c r="T6" s="44">
        <v>2.6599999999999999E-2</v>
      </c>
      <c r="U6" s="41">
        <f>(LN((Table17[[#This Row],[S_0]]-Table17[[#This Row],[VAN(D)]])/Table17[[#This Row],[K]])+(Table17[[#This Row],[r]]+(Table17[[#This Row],[σ]]^2)/2)*(Table17[[#This Row],[T(días)]]/365))/(Table17[[#This Row],[σ]]*SQRT(Table17[[#This Row],[T(días)]]/365))</f>
        <v>-6.9251625365307818</v>
      </c>
      <c r="V6" s="41">
        <f>Table17[[#This Row],[d1]]-Table17[[#This Row],[σ]]*SQRT(Table17[[#This Row],[T(días)]]/365)</f>
        <v>-6.9418121142538407</v>
      </c>
      <c r="W6" s="42">
        <f>(Table17[[#This Row],[S_0]]-Table17[[#This Row],[VAN(D)]])*_xlfn.NORM.DIST(Table17[[#This Row],[d1]],0,1,TRUE)-Table17[[#This Row],[K]]*EXP(-Table17[[#This Row],[r]]*Table17[[#This Row],[T(días)]]/365)*_xlfn.NORM.DIST(Table17[[#This Row],[d2]],0,1,TRUE)</f>
        <v>4.8547509465153262E-13</v>
      </c>
      <c r="X6" s="47">
        <f>Table17[[#This Row],[K]]*EXP(-Table17[[#This Row],[r]]*Table17[[#This Row],[T(días)]]/365)*_xlfn.NORM.DIST(-Table17[[#This Row],[d2]],0,1,TRUE)-(Table17[[#This Row],[S_0]]-Table17[[#This Row],[VAN(D)]])*_xlfn.NORM.DIST(-Table17[[#This Row],[d1]],0,1,TRUE)</f>
        <v>11.822173636255968</v>
      </c>
      <c r="Y6" s="47">
        <f>_xlfn.NORM.DIST(Table17[[#This Row],[d1]],0,1,TRUE)</f>
        <v>2.1773761964629248E-12</v>
      </c>
      <c r="Z6" s="47">
        <f>_xlfn.NORM.DIST(Table17[[#This Row],[d1]],0,1,TRUE)-1</f>
        <v>-0.99999999999782263</v>
      </c>
    </row>
    <row r="7" spans="1:30" x14ac:dyDescent="0.35">
      <c r="A7" s="10" t="s">
        <v>61</v>
      </c>
      <c r="B7" s="53">
        <v>67.37</v>
      </c>
      <c r="C7" s="54">
        <v>60</v>
      </c>
      <c r="D7" s="53" cm="1">
        <f t="array" ref="D7">Table26[VAN(D)]</f>
        <v>9.4965906872274388</v>
      </c>
      <c r="E7" s="61">
        <v>2.7730000000000001E-2</v>
      </c>
      <c r="F7" s="56">
        <v>45412</v>
      </c>
      <c r="G7" s="56">
        <v>46738</v>
      </c>
      <c r="H7" s="57">
        <f>Table17[[#This Row],[Vencimiento]]-Table17[[#This Row],[t_0]]</f>
        <v>1326</v>
      </c>
      <c r="I7" s="58">
        <f>MAX(0,(Table17[[#This Row],[S_0]]-Table17[[#This Row],[VAN(D)]])- Table17[[#This Row],[K]]*EXP(-Table17[[#This Row],[r]]*VALUE(Table17[[#This Row],[T(días)]]/365)))</f>
        <v>3.6233063153252516</v>
      </c>
      <c r="J7" s="59">
        <v>9.5</v>
      </c>
      <c r="K7" s="62">
        <f>Table17[[#This Row],[S_0]]-Table17[[#This Row],[VAN(D)]]</f>
        <v>57.873409312772566</v>
      </c>
      <c r="L7" s="58">
        <f>MAX(0,  Table17[[#This Row],[K]]*EXP(-Table17[[#This Row],[r]]*(Table17[[#This Row],[T(días)]]/365))-(Table17[[#This Row],[S_0]] -Table17[[#This Row],[VAN(D)]]))</f>
        <v>0</v>
      </c>
      <c r="M7" s="59">
        <v>11.8</v>
      </c>
      <c r="N7" s="14">
        <f>Table17[[#This Row],[K]]*EXP(-Table17[[#This Row],[r]]*(Table17[[#This Row],[T(días)]]/365))</f>
        <v>54.250102997447314</v>
      </c>
      <c r="O7" s="19">
        <f>(LN((Table17[[#This Row],[Prima Call Mercado]]-(Table17[[#This Row],[S_0]]-Table17[[#This Row],[VAN(D)]]))/-Table17[[#This Row],[K]]))/(-Table17[[#This Row],[T(días)]]/365)</f>
        <v>5.9290284502395471E-2</v>
      </c>
      <c r="P7" s="49">
        <f>Table17[[#This Row],[Prima Call Mercado]]+Table17[[#This Row],[K]]*EXP(-Table17[[#This Row],[r]]*Table17[[#This Row],[T(días)]]/365)</f>
        <v>63.750102997447314</v>
      </c>
      <c r="Q7" s="49">
        <f>Table17[[#This Row],[Prima Put Mercado]]+Table17[[#This Row],[S_0]]-Table17[[#This Row],[VAN(D)]]</f>
        <v>69.673409312772563</v>
      </c>
      <c r="R7" s="32">
        <f>-365*LN((Table17[[#This Row],[p + S_0-D]]-Table17[[#This Row],[Prima Call Mercado]])/Table17[[#This Row],[K]])/Table17[[#This Row],[T(días)]]</f>
        <v>-7.9440811582029869E-4</v>
      </c>
      <c r="S7" s="30">
        <f>Table17[[#This Row],[Prima Put Mercado]]+Table17[[#This Row],[S_0]]-Table17[[#This Row],[c + K*e^(-r*t)]]</f>
        <v>15.419897002552688</v>
      </c>
      <c r="T7" s="44">
        <v>1.5599999999999999E-2</v>
      </c>
      <c r="U7" s="41">
        <f>(LN((Table17[[#This Row],[S_0]]-Table17[[#This Row],[VAN(D)]])/Table17[[#This Row],[K]])+(Table17[[#This Row],[r]]+(Table17[[#This Row],[σ]]^2)/2)*(Table17[[#This Row],[T(días)]]/365))/(Table17[[#This Row],[σ]]*SQRT(Table17[[#This Row],[T(días)]]/365))</f>
        <v>2.1892680284680099</v>
      </c>
      <c r="V7" s="41">
        <f>Table17[[#This Row],[d1]]-Table17[[#This Row],[σ]]*SQRT(Table17[[#This Row],[T(días)]]/365)</f>
        <v>2.1595342618597861</v>
      </c>
      <c r="W7" s="42">
        <f>(Table17[[#This Row],[S_0]]-Table17[[#This Row],[VAN(D)]])*_xlfn.NORM.DIST(Table17[[#This Row],[d1]],0,1,TRUE)-Table17[[#This Row],[K]]*EXP(-Table17[[#This Row],[r]]*Table17[[#This Row],[T(días)]]/365)*_xlfn.NORM.DIST(Table17[[#This Row],[d2]],0,1,TRUE)</f>
        <v>3.6320602726684825</v>
      </c>
      <c r="X7" s="47">
        <f>Table17[[#This Row],[K]]*EXP(-Table17[[#This Row],[r]]*Table17[[#This Row],[T(días)]]/365)*_xlfn.NORM.DIST(-Table17[[#This Row],[d2]],0,1,TRUE)-(Table17[[#This Row],[S_0]]-Table17[[#This Row],[VAN(D)]])*_xlfn.NORM.DIST(-Table17[[#This Row],[d1]],0,1,TRUE)</f>
        <v>8.753957343228258E-3</v>
      </c>
      <c r="Y7" s="47">
        <f>_xlfn.NORM.DIST(Table17[[#This Row],[d1]],0,1,TRUE)</f>
        <v>0.98571131765042397</v>
      </c>
      <c r="Z7" s="47">
        <f>_xlfn.NORM.DIST(Table17[[#This Row],[d1]],0,1,TRUE)-1</f>
        <v>-1.4288682349576032E-2</v>
      </c>
    </row>
    <row r="8" spans="1:30" x14ac:dyDescent="0.35">
      <c r="A8" s="10" t="s">
        <v>65</v>
      </c>
      <c r="B8" s="53">
        <v>32.799999999999997</v>
      </c>
      <c r="C8" s="54">
        <v>32</v>
      </c>
      <c r="D8" s="53">
        <v>0</v>
      </c>
      <c r="E8" s="61">
        <v>3.7769999999999998E-2</v>
      </c>
      <c r="F8" s="56">
        <v>45412</v>
      </c>
      <c r="G8" s="56">
        <v>45464</v>
      </c>
      <c r="H8" s="57">
        <f>Table17[[#This Row],[Vencimiento]]-Table17[[#This Row],[t_0]]</f>
        <v>52</v>
      </c>
      <c r="I8" s="58">
        <f>MAX(0,(Table17[[#This Row],[S_0]]-Table17[[#This Row],[VAN(D)]])- Table17[[#This Row],[K]]*EXP(-Table17[[#This Row],[r]]*VALUE(Table17[[#This Row],[T(días)]]/365)))</f>
        <v>0.97172736726324516</v>
      </c>
      <c r="J8" s="59">
        <v>1.66</v>
      </c>
      <c r="K8" s="62">
        <f>Table17[[#This Row],[S_0]]-Table17[[#This Row],[VAN(D)]]</f>
        <v>32.799999999999997</v>
      </c>
      <c r="L8" s="58">
        <f>MAX(0,  Table17[[#This Row],[K]]*EXP(-Table17[[#This Row],[r]]*(Table17[[#This Row],[T(días)]]/365))-(Table17[[#This Row],[S_0]] -Table17[[#This Row],[VAN(D)]]))</f>
        <v>0</v>
      </c>
      <c r="M8" s="59">
        <v>1.35</v>
      </c>
      <c r="N8" s="14">
        <f>Table17[[#This Row],[K]]*EXP(-Table17[[#This Row],[r]]*(Table17[[#This Row],[T(días)]]/365))</f>
        <v>31.828272632736752</v>
      </c>
      <c r="O8" s="19">
        <f>(LN((Table17[[#This Row],[Prima Call Mercado]]-(Table17[[#This Row],[S_0]]-Table17[[#This Row],[VAN(D)]]))/-Table17[[#This Row],[K]]))/(-Table17[[#This Row],[T(días)]]/365)</f>
        <v>0.19122305353392588</v>
      </c>
      <c r="P8" s="49">
        <f>Table17[[#This Row],[Prima Call Mercado]]+Table17[[#This Row],[K]]*EXP(-Table17[[#This Row],[r]]*Table17[[#This Row],[T(días)]]/365)</f>
        <v>33.488272632736752</v>
      </c>
      <c r="Q8" s="49">
        <f>Table17[[#This Row],[Prima Put Mercado]]+Table17[[#This Row],[S_0]]-Table17[[#This Row],[VAN(D)]]</f>
        <v>34.15</v>
      </c>
      <c r="R8" s="32">
        <f>-365*LN((Table17[[#This Row],[p + S_0-D]]-Table17[[#This Row],[Prima Call Mercado]])/Table17[[#This Row],[K]])/Table17[[#This Row],[T(días)]]</f>
        <v>-0.10666736753207871</v>
      </c>
      <c r="S8" s="30">
        <f>Table17[[#This Row],[Prima Put Mercado]]+Table17[[#This Row],[S_0]]-Table17[[#This Row],[c + K*e^(-r*t)]]</f>
        <v>0.66172736726324644</v>
      </c>
      <c r="T8" s="44">
        <v>2.52E-2</v>
      </c>
      <c r="U8" s="41">
        <f>(LN((Table17[[#This Row],[S_0]]-Table17[[#This Row],[VAN(D)]])/Table17[[#This Row],[K]])+(Table17[[#This Row],[r]]+(Table17[[#This Row],[σ]]^2)/2)*(Table17[[#This Row],[T(días)]]/365))/(Table17[[#This Row],[σ]]*SQRT(Table17[[#This Row],[T(días)]]/365))</f>
        <v>3.1665153183088379</v>
      </c>
      <c r="V8" s="41">
        <f>Table17[[#This Row],[d1]]-Table17[[#This Row],[σ]]*SQRT(Table17[[#This Row],[T(días)]]/365)</f>
        <v>3.1570036700786521</v>
      </c>
      <c r="W8" s="42">
        <f>(Table17[[#This Row],[S_0]]-Table17[[#This Row],[VAN(D)]])*_xlfn.NORM.DIST(Table17[[#This Row],[d1]],0,1,TRUE)-Table17[[#This Row],[K]]*EXP(-Table17[[#This Row],[r]]*Table17[[#This Row],[T(días)]]/365)*_xlfn.NORM.DIST(Table17[[#This Row],[d2]],0,1,TRUE)</f>
        <v>0.97179293140336753</v>
      </c>
      <c r="X8" s="47">
        <f>Table17[[#This Row],[K]]*EXP(-Table17[[#This Row],[r]]*Table17[[#This Row],[T(días)]]/365)*_xlfn.NORM.DIST(-Table17[[#This Row],[d2]],0,1,TRUE)-(Table17[[#This Row],[S_0]]-Table17[[#This Row],[VAN(D)]])*_xlfn.NORM.DIST(-Table17[[#This Row],[d1]],0,1,TRUE)</f>
        <v>6.5564140122376102E-5</v>
      </c>
      <c r="Y8" s="47">
        <f>_xlfn.NORM.DIST(Table17[[#This Row],[d1]],0,1,TRUE)</f>
        <v>0.99922861389851236</v>
      </c>
      <c r="Z8" s="47">
        <f>_xlfn.NORM.DIST(Table17[[#This Row],[d1]],0,1,TRUE)-1</f>
        <v>-7.7138610148763664E-4</v>
      </c>
    </row>
    <row r="9" spans="1:30" x14ac:dyDescent="0.35">
      <c r="A9" s="10" t="s">
        <v>66</v>
      </c>
      <c r="B9" s="53">
        <v>21.56</v>
      </c>
      <c r="C9" s="54">
        <v>22</v>
      </c>
      <c r="D9" s="53">
        <v>0</v>
      </c>
      <c r="E9" s="61">
        <v>3.6580000000000001E-2</v>
      </c>
      <c r="F9" s="56">
        <v>45412</v>
      </c>
      <c r="G9" s="56">
        <v>45555</v>
      </c>
      <c r="H9" s="57">
        <f>Table17[[#This Row],[Vencimiento]]-Table17[[#This Row],[t_0]]</f>
        <v>143</v>
      </c>
      <c r="I9" s="58">
        <f>MAX(0,(Table17[[#This Row],[S_0]]-Table17[[#This Row],[VAN(D)]])- Table17[[#This Row],[K]]*EXP(-Table17[[#This Row],[r]]*VALUE(Table17[[#This Row],[T(días)]]/365)))</f>
        <v>0</v>
      </c>
      <c r="J9" s="59">
        <v>0.88</v>
      </c>
      <c r="K9" s="62">
        <f>Table17[[#This Row],[S_0]]-Table17[[#This Row],[VAN(D)]]</f>
        <v>21.56</v>
      </c>
      <c r="L9" s="58">
        <f>MAX(0,  Table17[[#This Row],[K]]*EXP(-Table17[[#This Row],[r]]*(Table17[[#This Row],[T(días)]]/365))-(Table17[[#This Row],[S_0]] -Table17[[#This Row],[VAN(D)]]))</f>
        <v>0.12695897270867817</v>
      </c>
      <c r="M9" s="59">
        <v>0.93</v>
      </c>
      <c r="N9" s="14">
        <f>Table17[[#This Row],[K]]*EXP(-Table17[[#This Row],[r]]*(Table17[[#This Row],[T(días)]]/365))</f>
        <v>21.686958972708677</v>
      </c>
      <c r="O9" s="19">
        <f>(LN((Table17[[#This Row],[Prima Call Mercado]]-(Table17[[#This Row],[S_0]]-Table17[[#This Row],[VAN(D)]]))/-Table17[[#This Row],[K]]))/(-Table17[[#This Row],[T(días)]]/365)</f>
        <v>0.15793372277693671</v>
      </c>
      <c r="P9" s="49">
        <f>Table17[[#This Row],[Prima Call Mercado]]+Table17[[#This Row],[K]]*EXP(-Table17[[#This Row],[r]]*Table17[[#This Row],[T(días)]]/365)</f>
        <v>22.566958972708676</v>
      </c>
      <c r="Q9" s="49">
        <f>Table17[[#This Row],[Prima Put Mercado]]+Table17[[#This Row],[S_0]]-Table17[[#This Row],[VAN(D)]]</f>
        <v>22.49</v>
      </c>
      <c r="R9" s="32">
        <f>-365*LN((Table17[[#This Row],[p + S_0-D]]-Table17[[#This Row],[Prima Call Mercado]])/Table17[[#This Row],[K]])/Table17[[#This Row],[T(días)]]</f>
        <v>4.5653798856120607E-2</v>
      </c>
      <c r="S9" s="30">
        <f>Table17[[#This Row],[Prima Put Mercado]]+Table17[[#This Row],[S_0]]-Table17[[#This Row],[c + K*e^(-r*t)]]</f>
        <v>-7.6958972708677464E-2</v>
      </c>
      <c r="T9" s="44">
        <v>1.32E-2</v>
      </c>
      <c r="U9" s="41">
        <f>(LN((Table17[[#This Row],[S_0]]-Table17[[#This Row],[VAN(D)]])/Table17[[#This Row],[K]])+(Table17[[#This Row],[r]]+(Table17[[#This Row],[σ]]^2)/2)*(Table17[[#This Row],[T(días)]]/365))/(Table17[[#This Row],[σ]]*SQRT(Table17[[#This Row],[T(días)]]/365))</f>
        <v>-0.7064989233725143</v>
      </c>
      <c r="V9" s="41">
        <f>Table17[[#This Row],[d1]]-Table17[[#This Row],[σ]]*SQRT(Table17[[#This Row],[T(días)]]/365)</f>
        <v>-0.71476111983658841</v>
      </c>
      <c r="W9" s="42">
        <f>(Table17[[#This Row],[S_0]]-Table17[[#This Row],[VAN(D)]])*_xlfn.NORM.DIST(Table17[[#This Row],[d1]],0,1,TRUE)-Table17[[#This Row],[K]]*EXP(-Table17[[#This Row],[r]]*Table17[[#This Row],[T(días)]]/365)*_xlfn.NORM.DIST(Table17[[#This Row],[d2]],0,1,TRUE)</f>
        <v>2.5069856592564221E-2</v>
      </c>
      <c r="X9" s="47">
        <f>Table17[[#This Row],[K]]*EXP(-Table17[[#This Row],[r]]*Table17[[#This Row],[T(días)]]/365)*_xlfn.NORM.DIST(-Table17[[#This Row],[d2]],0,1,TRUE)-(Table17[[#This Row],[S_0]]-Table17[[#This Row],[VAN(D)]])*_xlfn.NORM.DIST(-Table17[[#This Row],[d1]],0,1,TRUE)</f>
        <v>0.15202882930124062</v>
      </c>
      <c r="Y9" s="47">
        <f>_xlfn.NORM.DIST(Table17[[#This Row],[d1]],0,1,TRUE)</f>
        <v>0.23993896100747192</v>
      </c>
      <c r="Z9" s="47">
        <f>_xlfn.NORM.DIST(Table17[[#This Row],[d1]],0,1,TRUE)-1</f>
        <v>-0.76006103899252808</v>
      </c>
    </row>
    <row r="10" spans="1:30" x14ac:dyDescent="0.35">
      <c r="A10" s="10" t="s">
        <v>35</v>
      </c>
      <c r="B10" s="53">
        <v>14.72</v>
      </c>
      <c r="C10" s="54">
        <v>14</v>
      </c>
      <c r="D10" s="53" cm="1">
        <f t="array" ref="D10">Table2[VAN(D)]</f>
        <v>1.1782248663239212</v>
      </c>
      <c r="E10" s="55">
        <v>3.2300000000000002E-2</v>
      </c>
      <c r="F10" s="56">
        <v>45413</v>
      </c>
      <c r="G10" s="56">
        <v>46010</v>
      </c>
      <c r="H10" s="57">
        <f>Table17[[#This Row],[Vencimiento]]-Table17[[#This Row],[t_0]]</f>
        <v>597</v>
      </c>
      <c r="I10" s="58">
        <f>MAX(0,(Table17[[#This Row],[S_0]]-Table17[[#This Row],[VAN(D)]])- Table17[[#This Row],[K]]*EXP(-Table17[[#This Row],[r]]*VALUE(Table17[[#This Row],[T(días)]]/365)))</f>
        <v>0.26220307998554659</v>
      </c>
      <c r="J10" s="59">
        <v>1.72</v>
      </c>
      <c r="K10" s="62">
        <f>Table17[[#This Row],[S_0]]-Table17[[#This Row],[VAN(D)]]</f>
        <v>13.541775133676079</v>
      </c>
      <c r="L10" s="58">
        <f>MAX(0,  Table17[[#This Row],[K]]*EXP(-Table17[[#This Row],[r]]*(Table17[[#This Row],[T(días)]]/365))-(Table17[[#This Row],[S_0]] -Table17[[#This Row],[VAN(D)]]))</f>
        <v>0</v>
      </c>
      <c r="M10" s="59">
        <v>1.29</v>
      </c>
      <c r="N10" s="14">
        <f>Table17[[#This Row],[K]]*EXP(-Table17[[#This Row],[r]]*(Table17[[#This Row],[T(días)]]/365))</f>
        <v>13.279572053690533</v>
      </c>
      <c r="O10" s="19">
        <f>(LN((Table17[[#This Row],[Prima Call Mercado]]-(Table17[[#This Row],[S_0]]-Table17[[#This Row],[VAN(D)]]))/-Table17[[#This Row],[K]]))/(-Table17[[#This Row],[T(días)]]/365)</f>
        <v>0.10339474734625692</v>
      </c>
      <c r="P10" s="49">
        <f>Table17[[#This Row],[Prima Call Mercado]]+Table17[[#This Row],[K]]*EXP(-Table17[[#This Row],[r]]*Table17[[#This Row],[T(días)]]/365)</f>
        <v>14.999572053690533</v>
      </c>
      <c r="Q10" s="49">
        <f>Table17[[#This Row],[Prima Put Mercado]]+Table17[[#This Row],[S_0]]-Table17[[#This Row],[VAN(D)]]</f>
        <v>14.83177513367608</v>
      </c>
      <c r="R10" s="32">
        <f>-365*LN((Table17[[#This Row],[p + S_0-D]]-Table17[[#This Row],[Prima Call Mercado]])/Table17[[#This Row],[K]])/Table17[[#This Row],[T(días)]]</f>
        <v>4.0074577659105916E-2</v>
      </c>
      <c r="S10" s="30">
        <f>Table17[[#This Row],[Prima Put Mercado]]+Table17[[#This Row],[S_0]]-Table17[[#This Row],[c + K*e^(-r*t)]]</f>
        <v>1.0104279463094681</v>
      </c>
      <c r="T10" s="44">
        <v>3.5499999999999997E-2</v>
      </c>
      <c r="U10" s="41">
        <f>(LN((Table17[[#This Row],[S_0]]-Table17[[#This Row],[VAN(D)]])/Table17[[#This Row],[K]])+(Table17[[#This Row],[r]]+(Table17[[#This Row],[σ]]^2)/2)*(Table17[[#This Row],[T(días)]]/365))/(Table17[[#This Row],[σ]]*SQRT(Table17[[#This Row],[T(días)]]/365))</f>
        <v>0.45335812309261675</v>
      </c>
      <c r="V10" s="41">
        <f>Table17[[#This Row],[d1]]-Table17[[#This Row],[σ]]*SQRT(Table17[[#This Row],[T(días)]]/365)</f>
        <v>0.40795673967274332</v>
      </c>
      <c r="W10" s="42">
        <f>(Table17[[#This Row],[S_0]]-Table17[[#This Row],[VAN(D)]])*_xlfn.NORM.DIST(Table17[[#This Row],[d1]],0,1,TRUE)-Table17[[#This Row],[K]]*EXP(-Table17[[#This Row],[r]]*Table17[[#This Row],[T(días)]]/365)*_xlfn.NORM.DIST(Table17[[#This Row],[d2]],0,1,TRUE)</f>
        <v>0.39615848738907289</v>
      </c>
      <c r="X10" s="47">
        <f>Table17[[#This Row],[K]]*EXP(-Table17[[#This Row],[r]]*Table17[[#This Row],[T(días)]]/365)*_xlfn.NORM.DIST(-Table17[[#This Row],[d2]],0,1,TRUE)-(Table17[[#This Row],[S_0]]-Table17[[#This Row],[VAN(D)]])*_xlfn.NORM.DIST(-Table17[[#This Row],[d1]],0,1,TRUE)</f>
        <v>0.13395540740352629</v>
      </c>
      <c r="Y10" s="47">
        <f>_xlfn.NORM.DIST(Table17[[#This Row],[d1]],0,1,TRUE)</f>
        <v>0.6748545570446105</v>
      </c>
      <c r="Z10" s="47">
        <f>_xlfn.NORM.DIST(Table17[[#This Row],[d1]],0,1,TRUE)-1</f>
        <v>-0.3251454429553895</v>
      </c>
    </row>
    <row r="11" spans="1:30" x14ac:dyDescent="0.35">
      <c r="A11" s="10" t="s">
        <v>86</v>
      </c>
      <c r="B11" s="53">
        <v>66.930000000000007</v>
      </c>
      <c r="C11" s="54">
        <v>64</v>
      </c>
      <c r="D11" s="53">
        <v>0</v>
      </c>
      <c r="E11" s="55">
        <v>3.7769999999999998E-2</v>
      </c>
      <c r="F11" s="56">
        <v>45414</v>
      </c>
      <c r="G11" s="56">
        <v>45464</v>
      </c>
      <c r="H11" s="57">
        <f>Table17[[#This Row],[Vencimiento]]-Table17[[#This Row],[t_0]]</f>
        <v>50</v>
      </c>
      <c r="I11" s="58">
        <f>MAX(0,(Table17[[#This Row],[S_0]]-Table17[[#This Row],[VAN(D)]])- Table17[[#This Row],[K]]*EXP(-Table17[[#This Row],[r]]*VALUE(Table17[[#This Row],[T(días)]]/365)))</f>
        <v>3.260279082316714</v>
      </c>
      <c r="J11" s="59">
        <v>3.47</v>
      </c>
      <c r="K11" s="62">
        <f>Table17[[#This Row],[S_0]]-Table17[[#This Row],[VAN(D)]]</f>
        <v>66.930000000000007</v>
      </c>
      <c r="L11" s="58">
        <f>MAX(0,  Table17[[#This Row],[K]]*EXP(-Table17[[#This Row],[r]]*(Table17[[#This Row],[T(días)]]/365))-(Table17[[#This Row],[S_0]] -Table17[[#This Row],[VAN(D)]]))</f>
        <v>0</v>
      </c>
      <c r="M11" s="59">
        <v>1</v>
      </c>
      <c r="N11" s="14">
        <f>Table17[[#This Row],[K]]*EXP(-Table17[[#This Row],[r]]*(Table17[[#This Row],[T(días)]]/365))</f>
        <v>63.669720917683293</v>
      </c>
      <c r="O11" s="19">
        <f>(LN((Table17[[#This Row],[Prima Call Mercado]]-Table17[[#This Row],[S_0]])/-Table17[[#This Row],[K]]))/(-Table17[[#This Row],[T(días)]]/365)</f>
        <v>6.1855069593742235E-2</v>
      </c>
      <c r="P11" s="49">
        <f>Table17[[#This Row],[Prima Call Mercado]]+Table17[[#This Row],[K]]*EXP(-Table17[[#This Row],[r]]*Table17[[#This Row],[T(días)]]/365)</f>
        <v>67.139720917683292</v>
      </c>
      <c r="Q11" s="49">
        <f>Table17[[#This Row],[Prima Put Mercado]]+Table17[[#This Row],[S_0]]-Table17[[#This Row],[VAN(D)]]</f>
        <v>67.930000000000007</v>
      </c>
      <c r="R11" s="32">
        <f>-365*LN((Table17[[#This Row],[p + S_0-D]]-Table17[[#This Row],[Prima Call Mercado]])/Table17[[#This Row],[K]])/Table17[[#This Row],[T(días)]]</f>
        <v>-5.2281089101626425E-2</v>
      </c>
      <c r="S11" s="30">
        <f>Table17[[#This Row],[Prima Put Mercado]]+Table17[[#This Row],[S_0]]-Table17[[#This Row],[c + K*e^(-r*t)]]</f>
        <v>0.79027908231671518</v>
      </c>
      <c r="T11" s="44">
        <v>1.32E-2</v>
      </c>
      <c r="U11" s="51">
        <f>(LN((Table17[[#This Row],[S_0]]-Table17[[#This Row],[VAN(D)]])/Table17[[#This Row],[K]])+(Table17[[#This Row],[r]]+(Table17[[#This Row],[σ]]^2)/2)*(Table17[[#This Row],[T(días)]]/365))/(Table17[[#This Row],[σ]]*SQRT(Table17[[#This Row],[T(días)]]/365))</f>
        <v>10.224075314347498</v>
      </c>
      <c r="V11" s="41">
        <f>Table17[[#This Row],[d1]]-Table17[[#This Row],[σ]]*SQRT(Table17[[#This Row],[T(días)]]/365)</f>
        <v>10.219189775160194</v>
      </c>
      <c r="W11" s="42">
        <f>(Table17[[#This Row],[S_0]]-Table17[[#This Row],[VAN(D)]])*_xlfn.NORM.DIST(Table17[[#This Row],[d1]],0,1,TRUE)-Table17[[#This Row],[K]]*EXP(-Table17[[#This Row],[r]]*Table17[[#This Row],[T(días)]]/365)*_xlfn.NORM.DIST(Table17[[#This Row],[d2]],0,1,TRUE)</f>
        <v>3.260279082316714</v>
      </c>
      <c r="X11" s="47">
        <f>Table17[[#This Row],[K]]*EXP(-Table17[[#This Row],[r]]*Table17[[#This Row],[T(días)]]/365)*_xlfn.NORM.DIST(-Table17[[#This Row],[d2]],0,1,TRUE)-(Table17[[#This Row],[S_0]]-Table17[[#This Row],[VAN(D)]])*_xlfn.NORM.DIST(-Table17[[#This Row],[d1]],0,1,TRUE)</f>
        <v>2.429700438732683E-26</v>
      </c>
      <c r="Y11" s="47">
        <f>_xlfn.NORM.DIST(Table17[[#This Row],[d1]],0,1,TRUE)</f>
        <v>1</v>
      </c>
      <c r="Z11" s="47">
        <f>_xlfn.NORM.DIST(Table17[[#This Row],[d1]],0,1,TRUE)-1</f>
        <v>0</v>
      </c>
    </row>
    <row r="12" spans="1:30" x14ac:dyDescent="0.35">
      <c r="O12" s="19"/>
      <c r="P12" s="49"/>
      <c r="Q12" s="49"/>
      <c r="R12" s="32"/>
      <c r="S12" s="30"/>
      <c r="T12" s="44"/>
      <c r="U12" s="41"/>
      <c r="V12" s="41"/>
      <c r="W12" s="42"/>
      <c r="X12" s="47"/>
      <c r="Y12" s="47"/>
      <c r="Z12" s="47"/>
    </row>
    <row r="13" spans="1:30" hidden="1" x14ac:dyDescent="0.35"/>
    <row r="14" spans="1:30" ht="24" customHeight="1" x14ac:dyDescent="0.4">
      <c r="A14" s="52" t="s">
        <v>94</v>
      </c>
    </row>
    <row r="15" spans="1:30" x14ac:dyDescent="0.35">
      <c r="A15" s="65" t="s">
        <v>5</v>
      </c>
      <c r="B15" t="s">
        <v>69</v>
      </c>
      <c r="C15" t="s">
        <v>60</v>
      </c>
      <c r="D15" t="s">
        <v>1</v>
      </c>
      <c r="E15" t="s">
        <v>2</v>
      </c>
      <c r="F15" t="s">
        <v>7</v>
      </c>
      <c r="G15" t="s">
        <v>4</v>
      </c>
      <c r="H15" t="s">
        <v>25</v>
      </c>
      <c r="I15" t="s">
        <v>8</v>
      </c>
      <c r="J15" s="16" t="s">
        <v>12</v>
      </c>
      <c r="K15" s="17" t="s">
        <v>9</v>
      </c>
      <c r="L15" s="16" t="s">
        <v>10</v>
      </c>
      <c r="M15" s="16" t="s">
        <v>13</v>
      </c>
      <c r="N15" s="17" t="s">
        <v>11</v>
      </c>
      <c r="O15" s="16" t="s">
        <v>26</v>
      </c>
      <c r="P15" s="16" t="s">
        <v>73</v>
      </c>
      <c r="Q15" s="16" t="s">
        <v>74</v>
      </c>
      <c r="R15" s="16" t="s">
        <v>30</v>
      </c>
      <c r="S15" s="16" t="s">
        <v>75</v>
      </c>
      <c r="T15" s="16" t="s">
        <v>80</v>
      </c>
      <c r="U15" s="16" t="s">
        <v>78</v>
      </c>
      <c r="V15" s="16" t="s">
        <v>79</v>
      </c>
      <c r="W15" s="16" t="s">
        <v>81</v>
      </c>
      <c r="X15" s="16" t="s">
        <v>77</v>
      </c>
      <c r="Y15" s="16" t="s">
        <v>85</v>
      </c>
      <c r="Z15" s="16" t="s">
        <v>84</v>
      </c>
    </row>
    <row r="16" spans="1:30" x14ac:dyDescent="0.35">
      <c r="A16" s="65" t="s">
        <v>33</v>
      </c>
      <c r="B16" s="32">
        <v>2.41E-2</v>
      </c>
      <c r="C16" s="63" cm="1">
        <f t="array" ref="C16">Table4[S_0*exp(-qT)]</f>
        <v>89377.136343505903</v>
      </c>
      <c r="D16" s="63">
        <f>17900*5</f>
        <v>89500</v>
      </c>
      <c r="E16" s="24">
        <v>3.7769999999999998E-2</v>
      </c>
      <c r="F16" s="28">
        <v>45412</v>
      </c>
      <c r="G16" s="28">
        <v>45460</v>
      </c>
      <c r="H16" s="3">
        <f>Table7[[#This Row],[Vencimiento]]-Table7[[#This Row],[t_0]]</f>
        <v>48</v>
      </c>
      <c r="I16" s="58">
        <f>MAX(0,(Table7[[#This Row],[S_0*exp(-qT)]])- Table7[[#This Row],[K]]*EXP(-Table7[[#This Row],[r]]*VALUE(Table7[[#This Row],[T(días)]]/365)))</f>
        <v>320.58185786612739</v>
      </c>
      <c r="J16" s="64">
        <v>459</v>
      </c>
      <c r="K16" s="62">
        <f>Table7[[#This Row],[S_0*exp(-qT)]]</f>
        <v>89377.136343505903</v>
      </c>
      <c r="L16" s="58">
        <f>MAX(0,  Table7[[#This Row],[K]]*EXP(-Table7[[#This Row],[r]]*(Table7[[#This Row],[T(días)]]/365))-Table7[[#This Row],[S_0*exp(-qT)]])</f>
        <v>0</v>
      </c>
      <c r="M16" s="64">
        <v>265</v>
      </c>
      <c r="N16" s="62">
        <f>Table7[[#This Row],[K]]*EXP(-Table7[[#This Row],[r]]*(Table7[[#This Row],[T(días)]]/365))</f>
        <v>89056.554485639776</v>
      </c>
      <c r="O16" s="3"/>
      <c r="P16" s="38">
        <f>Table7[[#This Row],[Prima Call Mercado]]+Table7[[#This Row],[K]]*EXP(-Table7[[#This Row],[r]]*Table7[[#This Row],[T(días)]]/365)</f>
        <v>89515.554485639776</v>
      </c>
      <c r="Q16" s="38">
        <f>Table7[[#This Row],[Prima Put Mercado]]+Table7[[#This Row],[S_0*exp(-qT)]]</f>
        <v>89642.136343505903</v>
      </c>
      <c r="R16" s="6">
        <f>-365*(LN(Table7[[#This Row],[p+S_0]]-Table7[[#This Row],[Prima Call Mercado]])/Table7[[#This Row],[K]])/Table7[[#This Row],[T(días)]]</f>
        <v>-9.6844349275634781E-4</v>
      </c>
      <c r="S16" s="39" cm="1">
        <f t="array" ref="S16">-LN((Table7[[#This Row],[c+K*exp(-rt)]]-Table7[[#This Row],[Prima Put Mercado]])/Table4[S_0])/(Table4[T]/365)</f>
        <v>3.4877161153924703E-2</v>
      </c>
      <c r="T16" s="46">
        <v>1.2E-2</v>
      </c>
      <c r="U16" s="45">
        <f>(LN(Table7[[#This Row],[S_0*exp(-qT)]]/Table7[[#This Row],[K]])+(Table7[[#This Row],[r]]-Table7[[#This Row],[Dividendo continuo]]+(Table7[[#This Row],[σ]]^2)/2)*(Table7[[#This Row],[T(días)]]/365))/(Table7[[#This Row],[σ]]*SQRT(Table7[[#This Row],[T(días)]]/365))</f>
        <v>9.9604573801378132E-2</v>
      </c>
      <c r="V16" s="45">
        <f>Table7[[#This Row],[d1]]-Table7[[#This Row],[σ]]*SQRT(Table7[[#This Row],[T(días)]]/365)</f>
        <v>9.5252909027826543E-2</v>
      </c>
      <c r="W16" s="45">
        <f>Table7[[#This Row],[S_0*exp(-qT)]]*_xlfn.NORM.DIST(Table7[[#This Row],[d1]],0,1,TRUE)-Table7[[#This Row],[K]]*EXP(-Table7[[#This Row],[r]]*Table7[[#This Row],[T(días)]]/365)*_xlfn.NORM.DIST(Table7[[#This Row],[d2]],0,1,TRUE)</f>
        <v>326.88430692267139</v>
      </c>
      <c r="X16" s="45">
        <f>Table7[[#This Row],[K]]*EXP(-Table7[[#This Row],[r]]*Table7[[#This Row],[T(días)]]/365)*_xlfn.NORM.DIST(-Table7[[#This Row],[d2]],0,1,TRUE)-Table7[[#This Row],[S_0*exp(-qT)]]*_xlfn.NORM.DIST(-Table7[[#This Row],[d1]],0,1,TRUE)</f>
        <v>6.3024490565439919</v>
      </c>
      <c r="Y16" s="45">
        <f>EXP(-Table7[[#This Row],[Dividendo continuo]]*Table7[[#This Row],[T(días)]]/365)*_xlfn.NORM.DIST(Table7[[#This Row],[d1]],0,1,TRUE)</f>
        <v>0.53796318924104958</v>
      </c>
      <c r="Z16" s="45">
        <f>EXP(-Table7[[#This Row],[Dividendo continuo]]*Table7[[#This Row],[T(días)]]/365)*(Table7[[#This Row],[Delta Call]]-1)</f>
        <v>-0.46057478856068568</v>
      </c>
    </row>
  </sheetData>
  <mergeCells count="4">
    <mergeCell ref="I1:J1"/>
    <mergeCell ref="L1:N1"/>
    <mergeCell ref="T1:X1"/>
    <mergeCell ref="P1:Q1"/>
  </mergeCells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9A50-E079-8D44-AF7C-6AA86AC3D485}">
  <dimension ref="A2:P6"/>
  <sheetViews>
    <sheetView workbookViewId="0">
      <selection activeCell="A20" sqref="A20"/>
    </sheetView>
  </sheetViews>
  <sheetFormatPr defaultColWidth="10.90625" defaultRowHeight="14.5" x14ac:dyDescent="0.35"/>
  <cols>
    <col min="1" max="1" width="14.81640625" bestFit="1" customWidth="1"/>
    <col min="2" max="8" width="0" hidden="1" customWidth="1"/>
    <col min="9" max="9" width="21.6328125" hidden="1" customWidth="1"/>
    <col min="10" max="10" width="16" hidden="1" customWidth="1"/>
    <col min="11" max="11" width="15.36328125" hidden="1" customWidth="1"/>
    <col min="12" max="12" width="21.1796875" hidden="1" customWidth="1"/>
    <col min="13" max="13" width="15.6328125" hidden="1" customWidth="1"/>
    <col min="14" max="14" width="15" hidden="1" customWidth="1"/>
    <col min="15" max="16" width="30.36328125" bestFit="1" customWidth="1"/>
  </cols>
  <sheetData>
    <row r="2" spans="1:16" ht="35" customHeight="1" x14ac:dyDescent="0.35">
      <c r="A2" s="67" t="s">
        <v>5</v>
      </c>
      <c r="B2" s="67" t="s">
        <v>0</v>
      </c>
      <c r="C2" s="67" t="s">
        <v>1</v>
      </c>
      <c r="D2" s="67" t="s">
        <v>46</v>
      </c>
      <c r="E2" s="67" t="s">
        <v>2</v>
      </c>
      <c r="F2" s="67" t="s">
        <v>7</v>
      </c>
      <c r="G2" s="67" t="s">
        <v>4</v>
      </c>
      <c r="H2" s="67" t="s">
        <v>25</v>
      </c>
      <c r="I2" s="67" t="s">
        <v>8</v>
      </c>
      <c r="J2" s="67" t="s">
        <v>12</v>
      </c>
      <c r="K2" s="67" t="s">
        <v>9</v>
      </c>
      <c r="L2" s="67" t="s">
        <v>10</v>
      </c>
      <c r="M2" s="67" t="s">
        <v>13</v>
      </c>
      <c r="N2" s="67" t="s">
        <v>11</v>
      </c>
      <c r="O2" s="68" t="s">
        <v>91</v>
      </c>
      <c r="P2" s="68" t="s">
        <v>92</v>
      </c>
    </row>
    <row r="3" spans="1:16" x14ac:dyDescent="0.35">
      <c r="A3" s="69" t="s">
        <v>24</v>
      </c>
      <c r="B3" s="70">
        <v>4.8499999999999996</v>
      </c>
      <c r="C3" s="71">
        <v>5</v>
      </c>
      <c r="D3" s="70" t="s">
        <v>88</v>
      </c>
      <c r="E3" s="72">
        <v>3.78E-2</v>
      </c>
      <c r="F3" s="73">
        <v>45408</v>
      </c>
      <c r="G3" s="73">
        <v>45464</v>
      </c>
      <c r="H3" s="74">
        <v>56</v>
      </c>
      <c r="I3" s="75" t="s">
        <v>89</v>
      </c>
      <c r="J3" s="76">
        <v>0.1</v>
      </c>
      <c r="K3" s="75">
        <v>4.8499999999999996</v>
      </c>
      <c r="L3" s="75">
        <v>0.12</v>
      </c>
      <c r="M3" s="76">
        <v>0.32</v>
      </c>
      <c r="N3" s="77">
        <v>4.97</v>
      </c>
      <c r="O3" s="78">
        <f>B3-J3</f>
        <v>4.75</v>
      </c>
      <c r="P3" s="78">
        <f>B3-C3*EXP(-E3*H3/365)+M3</f>
        <v>0.19891333847549014</v>
      </c>
    </row>
    <row r="4" spans="1:16" x14ac:dyDescent="0.35">
      <c r="A4" s="69" t="s">
        <v>65</v>
      </c>
      <c r="B4" s="70">
        <v>32.799999999999997</v>
      </c>
      <c r="C4" s="71">
        <v>32</v>
      </c>
      <c r="D4" s="70" t="s">
        <v>88</v>
      </c>
      <c r="E4" s="72">
        <v>3.78E-2</v>
      </c>
      <c r="F4" s="73">
        <v>45412</v>
      </c>
      <c r="G4" s="73">
        <v>45464</v>
      </c>
      <c r="H4" s="74">
        <v>52</v>
      </c>
      <c r="I4" s="75">
        <v>0.97</v>
      </c>
      <c r="J4" s="76">
        <v>1.66</v>
      </c>
      <c r="K4" s="75">
        <v>32.799999999999997</v>
      </c>
      <c r="L4" s="75" t="s">
        <v>90</v>
      </c>
      <c r="M4" s="76">
        <v>1.35</v>
      </c>
      <c r="N4" s="77">
        <v>31.83</v>
      </c>
      <c r="O4" s="78">
        <f t="shared" ref="O4:O6" si="0">B4-J4</f>
        <v>31.139999999999997</v>
      </c>
      <c r="P4" s="78">
        <f t="shared" ref="P4:P6" si="1">B4-C4*EXP(-E4*H4/365)+M4</f>
        <v>2.3218634001377709</v>
      </c>
    </row>
    <row r="5" spans="1:16" x14ac:dyDescent="0.35">
      <c r="A5" s="69" t="s">
        <v>66</v>
      </c>
      <c r="B5" s="70">
        <v>21.56</v>
      </c>
      <c r="C5" s="71">
        <v>22</v>
      </c>
      <c r="D5" s="70" t="s">
        <v>88</v>
      </c>
      <c r="E5" s="72">
        <v>3.6600000000000001E-2</v>
      </c>
      <c r="F5" s="73">
        <v>45412</v>
      </c>
      <c r="G5" s="73">
        <v>45555</v>
      </c>
      <c r="H5" s="74">
        <v>143</v>
      </c>
      <c r="I5" s="75" t="s">
        <v>89</v>
      </c>
      <c r="J5" s="76">
        <v>0.88</v>
      </c>
      <c r="K5" s="75">
        <v>21.56</v>
      </c>
      <c r="L5" s="75">
        <v>0.13</v>
      </c>
      <c r="M5" s="76">
        <v>0.93</v>
      </c>
      <c r="N5" s="77">
        <v>21.69</v>
      </c>
      <c r="O5" s="78">
        <f t="shared" si="0"/>
        <v>20.68</v>
      </c>
      <c r="P5" s="78">
        <f t="shared" si="1"/>
        <v>0.80321095731779157</v>
      </c>
    </row>
    <row r="6" spans="1:16" x14ac:dyDescent="0.35">
      <c r="A6" s="69" t="s">
        <v>86</v>
      </c>
      <c r="B6" s="70">
        <v>66.930000000000007</v>
      </c>
      <c r="C6" s="71">
        <v>64</v>
      </c>
      <c r="D6" s="70" t="s">
        <v>88</v>
      </c>
      <c r="E6" s="72">
        <v>3.78E-2</v>
      </c>
      <c r="F6" s="73">
        <v>45414</v>
      </c>
      <c r="G6" s="73">
        <v>45464</v>
      </c>
      <c r="H6" s="74">
        <v>50</v>
      </c>
      <c r="I6" s="75">
        <v>3.26</v>
      </c>
      <c r="J6" s="76">
        <v>3.47</v>
      </c>
      <c r="K6" s="75">
        <v>66.930000000000007</v>
      </c>
      <c r="L6" s="75" t="s">
        <v>90</v>
      </c>
      <c r="M6" s="76">
        <v>1</v>
      </c>
      <c r="N6" s="77">
        <v>63.67</v>
      </c>
      <c r="O6" s="78">
        <f t="shared" si="0"/>
        <v>63.460000000000008</v>
      </c>
      <c r="P6" s="78">
        <f t="shared" si="1"/>
        <v>4.260540738166398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371E-CC1D-4DA2-8BF2-8D49826612EE}">
  <dimension ref="A1:V27"/>
  <sheetViews>
    <sheetView zoomScale="90" zoomScaleNormal="90" workbookViewId="0">
      <selection activeCell="P27" sqref="P27"/>
    </sheetView>
  </sheetViews>
  <sheetFormatPr defaultColWidth="8.81640625" defaultRowHeight="14.5" x14ac:dyDescent="0.35"/>
  <cols>
    <col min="1" max="1" width="13.81640625" customWidth="1"/>
    <col min="2" max="2" width="10.1796875" bestFit="1" customWidth="1"/>
    <col min="3" max="3" width="9.1796875" bestFit="1" customWidth="1"/>
    <col min="5" max="5" width="10.1796875" bestFit="1" customWidth="1"/>
    <col min="6" max="6" width="13.6328125" bestFit="1" customWidth="1"/>
    <col min="7" max="7" width="11.36328125" bestFit="1" customWidth="1"/>
    <col min="8" max="8" width="16.81640625" bestFit="1" customWidth="1"/>
    <col min="9" max="9" width="18.453125" bestFit="1" customWidth="1"/>
    <col min="10" max="10" width="17.81640625" bestFit="1" customWidth="1"/>
    <col min="11" max="11" width="16.453125" bestFit="1" customWidth="1"/>
    <col min="12" max="12" width="18.1796875" bestFit="1" customWidth="1"/>
    <col min="13" max="13" width="17.453125" bestFit="1" customWidth="1"/>
    <col min="14" max="14" width="20.1796875" customWidth="1"/>
    <col min="15" max="16" width="22.1796875" customWidth="1"/>
    <col min="17" max="17" width="28.453125" customWidth="1"/>
  </cols>
  <sheetData>
    <row r="1" spans="1:22" ht="16" customHeight="1" x14ac:dyDescent="0.35">
      <c r="O1" s="80" t="s">
        <v>27</v>
      </c>
      <c r="P1" s="81"/>
    </row>
    <row r="2" spans="1:22" ht="29" customHeight="1" x14ac:dyDescent="0.35">
      <c r="A2" s="16" t="s">
        <v>5</v>
      </c>
      <c r="B2" s="16" t="s">
        <v>0</v>
      </c>
      <c r="C2" s="16" t="s">
        <v>1</v>
      </c>
      <c r="D2" s="16" t="s">
        <v>46</v>
      </c>
      <c r="E2" s="16" t="s">
        <v>2</v>
      </c>
      <c r="F2" s="16" t="s">
        <v>7</v>
      </c>
      <c r="G2" s="16" t="s">
        <v>4</v>
      </c>
      <c r="H2" s="17" t="s">
        <v>25</v>
      </c>
      <c r="I2" s="16" t="s">
        <v>8</v>
      </c>
      <c r="J2" s="16" t="s">
        <v>12</v>
      </c>
      <c r="K2" s="17" t="s">
        <v>9</v>
      </c>
      <c r="L2" s="16" t="s">
        <v>10</v>
      </c>
      <c r="M2" s="16" t="s">
        <v>13</v>
      </c>
      <c r="N2" s="16" t="s">
        <v>11</v>
      </c>
      <c r="O2" s="18" t="s">
        <v>26</v>
      </c>
      <c r="P2" s="16" t="s">
        <v>28</v>
      </c>
      <c r="Q2" s="16" t="s">
        <v>29</v>
      </c>
      <c r="R2" s="18" t="s">
        <v>30</v>
      </c>
      <c r="U2" s="1" t="s">
        <v>3</v>
      </c>
      <c r="V2" s="1" t="s">
        <v>4</v>
      </c>
    </row>
    <row r="3" spans="1:22" x14ac:dyDescent="0.35">
      <c r="A3" s="3" t="s">
        <v>6</v>
      </c>
      <c r="B3" s="27">
        <v>440</v>
      </c>
      <c r="C3" s="5">
        <v>345</v>
      </c>
      <c r="D3" s="27">
        <v>0</v>
      </c>
      <c r="E3" s="6">
        <v>5.2600000000000001E-2</v>
      </c>
      <c r="F3" s="4">
        <v>45408</v>
      </c>
      <c r="G3" s="4">
        <v>45464</v>
      </c>
      <c r="H3" s="10">
        <f>Table1[[#This Row],[Vencimiento]]-Table1[[#This Row],[t_0]]</f>
        <v>56</v>
      </c>
      <c r="I3" s="15">
        <f>MAX(0,(Table1[[#This Row],[S_0]]-Table1[[#This Row],[VAN(D)]])- Table1[[#This Row],[K]]*EXP(-Table1[[#This Row],[r]]*VALUE(Table1[[#This Row],[T(días)]]/365)))</f>
        <v>97.772992993877097</v>
      </c>
      <c r="J3" s="11">
        <v>69.099999999999994</v>
      </c>
      <c r="K3" s="14">
        <f>Table1[[#This Row],[S_0]]</f>
        <v>440</v>
      </c>
      <c r="L3" s="13">
        <f>MAX(0,  Table1[[#This Row],[K]]*EXP(-Table1[[#This Row],[r]]*(Table1[[#This Row],[T(días)]]/365))-(Table1[[#This Row],[S_0]] -Table1[[#This Row],[VAN(D)]]))</f>
        <v>0</v>
      </c>
      <c r="M3" s="9">
        <v>2.97</v>
      </c>
      <c r="N3" s="13">
        <f>Table1[[#This Row],[K]]*EXP(-Table1[[#This Row],[r]]*(Table1[[#This Row],[T(días)]]/365))</f>
        <v>342.2270070061229</v>
      </c>
      <c r="O3" s="19">
        <f>(LN((Table1[[#This Row],[Prima Call Mercado]]-Table1[[#This Row],[S_0]])/-Table1[[#This Row],[K]]))/(-Table1[[#This Row],[T(días)]]/365)</f>
        <v>-0.47181508257906524</v>
      </c>
      <c r="P3" s="21">
        <f>Table1[[#This Row],[Prima Call Mercado]]+Table1[[#This Row],[K]]*EXP(Table1[[#This Row],[r]]*Table1[[#This Row],[T(días)]]/365)</f>
        <v>416.89546196910896</v>
      </c>
      <c r="Q3" s="23">
        <f>Table1[[#This Row],[Prima Put Mercado]]+Table1[[#This Row],[S_0]]</f>
        <v>442.97</v>
      </c>
      <c r="R3" s="24">
        <f>(LN((Table1[[#This Row],[Prima Put Mercado]]+Table1[[#This Row],[S_0]]-Table1[[#This Row],[Prima Call Mercado]])/Table1[[#This Row],[K]]))/(-Table1[[#This Row],[T(días)]]/365)</f>
        <v>-0.52379928798403397</v>
      </c>
      <c r="U3" s="2">
        <v>45408</v>
      </c>
      <c r="V3" s="2">
        <v>45555</v>
      </c>
    </row>
    <row r="4" spans="1:22" x14ac:dyDescent="0.35">
      <c r="A4" s="3" t="s">
        <v>6</v>
      </c>
      <c r="B4" s="27">
        <v>440</v>
      </c>
      <c r="C4" s="5">
        <v>190.42</v>
      </c>
      <c r="D4" s="27">
        <v>0</v>
      </c>
      <c r="E4" s="6">
        <v>5.2600000000000001E-2</v>
      </c>
      <c r="F4" s="4">
        <v>45408</v>
      </c>
      <c r="G4" s="4">
        <v>45464</v>
      </c>
      <c r="H4" s="10">
        <f>Table1[[#This Row],[Vencimiento]]-Table1[[#This Row],[t_0]]</f>
        <v>56</v>
      </c>
      <c r="I4" s="15">
        <f>MAX(0,(Table1[[#This Row],[S_0]]-Table1[[#This Row],[VAN(D)]])- Table1[[#This Row],[K]]*EXP(-Table1[[#This Row],[r]]*VALUE(Table1[[#This Row],[T(días)]]/365)))</f>
        <v>251.11053137940314</v>
      </c>
      <c r="J4" s="11">
        <v>220.22</v>
      </c>
      <c r="K4" s="14">
        <f>Table1[[#This Row],[S_0]]</f>
        <v>440</v>
      </c>
      <c r="L4" s="13">
        <f>MAX(0,  Table1[[#This Row],[K]]*EXP(-Table1[[#This Row],[r]]*(Table1[[#This Row],[T(días)]]/365))-(Table1[[#This Row],[S_0]] -Table1[[#This Row],[VAN(D)]]))</f>
        <v>0</v>
      </c>
      <c r="M4" s="9">
        <v>0.01</v>
      </c>
      <c r="N4" s="13">
        <f>Table1[[#This Row],[K]]*EXP(-Table1[[#This Row],[r]]*(Table1[[#This Row],[T(días)]]/365))</f>
        <v>188.88946862059686</v>
      </c>
      <c r="O4" s="19">
        <f>(LN((Table1[[#This Row],[Prima Call Mercado]]-Table1[[#This Row],[S_0]])/-Table1[[#This Row],[K]]))/(-Table1[[#This Row],[T(días)]]/365)</f>
        <v>-0.93462738953303537</v>
      </c>
      <c r="P4" s="21">
        <f>Table1[[#This Row],[Prima Call Mercado]]+Table1[[#This Row],[K]]*EXP(Table1[[#This Row],[r]]*Table1[[#This Row],[T(días)]]/365)</f>
        <v>412.18293295118178</v>
      </c>
      <c r="Q4" s="23">
        <f>Table1[[#This Row],[Prima Put Mercado]]+Table1[[#This Row],[S_0]]</f>
        <v>440.01</v>
      </c>
      <c r="R4" s="24">
        <f>(LN((Table1[[#This Row],[Prima Put Mercado]]+Table1[[#This Row],[S_0]]-Table1[[#This Row],[Prima Call Mercado]])/Table1[[#This Row],[K]]))/(-Table1[[#This Row],[T(días)]]/365)</f>
        <v>-0.93492394558299208</v>
      </c>
    </row>
    <row r="5" spans="1:22" x14ac:dyDescent="0.35">
      <c r="A5" s="3" t="s">
        <v>14</v>
      </c>
      <c r="B5" s="27">
        <v>172.96</v>
      </c>
      <c r="C5" s="5">
        <v>112</v>
      </c>
      <c r="D5" s="27">
        <v>0.2</v>
      </c>
      <c r="E5" s="6">
        <v>0.05</v>
      </c>
      <c r="F5" s="4">
        <v>45408</v>
      </c>
      <c r="G5" s="4">
        <v>45492</v>
      </c>
      <c r="H5" s="10">
        <f>Table1[[#This Row],[Vencimiento]]-Table1[[#This Row],[t_0]]</f>
        <v>84</v>
      </c>
      <c r="I5" s="15">
        <f>MAX(0,(Table1[[#This Row],[S_0]]-Table1[[#This Row],[VAN(D)]])- Table1[[#This Row],[K]]*EXP(-Table1[[#This Row],[r]]*VALUE(Table1[[#This Row],[T(días)]]/365)))</f>
        <v>62.041380657538667</v>
      </c>
      <c r="J5" s="11">
        <v>49.42</v>
      </c>
      <c r="K5" s="14">
        <f>Table1[[#This Row],[S_0]]</f>
        <v>172.96</v>
      </c>
      <c r="L5" s="13">
        <f>MAX(0,  Table1[[#This Row],[K]]*EXP(-Table1[[#This Row],[r]]*(Table1[[#This Row],[T(días)]]/365))-(Table1[[#This Row],[S_0]] -Table1[[#This Row],[VAN(D)]]))</f>
        <v>0</v>
      </c>
      <c r="M5" s="9">
        <v>0.18</v>
      </c>
      <c r="N5" s="13">
        <f>Table1[[#This Row],[K]]*EXP(-Table1[[#This Row],[r]]*(Table1[[#This Row],[T(días)]]/365))</f>
        <v>110.71861934246135</v>
      </c>
      <c r="O5" s="19">
        <f>(LN((Table1[[#This Row],[Prima Call Mercado]]-Table1[[#This Row],[S_0]])/-Table1[[#This Row],[K]]))/(-Table1[[#This Row],[T(días)]]/365)</f>
        <v>-0.42612063601214745</v>
      </c>
      <c r="P5" s="21">
        <f>Table1[[#This Row],[Prima Call Mercado]]+Table1[[#This Row],[K]]*EXP(Table1[[#This Row],[r]]*Table1[[#This Row],[T(días)]]/365)</f>
        <v>162.71621047025911</v>
      </c>
      <c r="Q5" s="23">
        <f>Table1[[#This Row],[Prima Put Mercado]]+Table1[[#This Row],[S_0]]</f>
        <v>173.14000000000001</v>
      </c>
      <c r="R5" s="24">
        <f>(LN((Table1[[#This Row],[Prima Put Mercado]]+Table1[[#This Row],[S_0]]-Table1[[#This Row],[Prima Call Mercado]])/Table1[[#This Row],[K]]))/(-Table1[[#This Row],[T(días)]]/365)</f>
        <v>-0.43244711821961507</v>
      </c>
    </row>
    <row r="6" spans="1:22" x14ac:dyDescent="0.35">
      <c r="A6" s="3" t="s">
        <v>14</v>
      </c>
      <c r="B6" s="27">
        <v>173.78</v>
      </c>
      <c r="C6" s="5">
        <v>158</v>
      </c>
      <c r="D6" s="27">
        <v>0.2</v>
      </c>
      <c r="E6" s="6">
        <v>5.3969999999999997E-2</v>
      </c>
      <c r="F6" s="4">
        <v>45408</v>
      </c>
      <c r="G6" s="4">
        <v>45464</v>
      </c>
      <c r="H6" s="10">
        <f>Table1[[#This Row],[Vencimiento]]-Table1[[#This Row],[t_0]]</f>
        <v>56</v>
      </c>
      <c r="I6" s="15">
        <f>MAX(0,(Table1[[#This Row],[S_0]]-Table1[[#This Row],[VAN(D)]])- Table1[[#This Row],[K]]*EXP(-Table1[[#This Row],[r]]*VALUE(Table1[[#This Row],[T(días)]]/365)))</f>
        <v>16.882890320847821</v>
      </c>
      <c r="J6" s="11">
        <v>8.83</v>
      </c>
      <c r="K6" s="14">
        <f>Table1[[#This Row],[S_0]]</f>
        <v>173.78</v>
      </c>
      <c r="L6" s="13">
        <f>MAX(0,  Table1[[#This Row],[K]]*EXP(-Table1[[#This Row],[r]]*(Table1[[#This Row],[T(días)]]/365))-(Table1[[#This Row],[S_0]] -Table1[[#This Row],[VAN(D)]]))</f>
        <v>0</v>
      </c>
      <c r="M6" s="7">
        <v>5.65</v>
      </c>
      <c r="N6" s="13">
        <f>Table1[[#This Row],[K]]*EXP(-Table1[[#This Row],[r]]*(Table1[[#This Row],[T(días)]]/365))</f>
        <v>156.69710967915219</v>
      </c>
      <c r="O6" s="19">
        <f>(LN((Table1[[#This Row],[Prima Call Mercado]]-Table1[[#This Row],[S_0]])/-Table1[[#This Row],[K]]))/(-Table1[[#This Row],[T(días)]]/365)</f>
        <v>-0.28057657314968976</v>
      </c>
      <c r="P6" s="21">
        <f>Table1[[#This Row],[Prima Call Mercado]]+Table1[[#This Row],[K]]*EXP(Table1[[#This Row],[r]]*Table1[[#This Row],[T(días)]]/365)</f>
        <v>168.14372347017417</v>
      </c>
      <c r="Q6" s="23">
        <f>Table1[[#This Row],[Prima Put Mercado]]+Table1[[#This Row],[S_0]]</f>
        <v>179.43</v>
      </c>
      <c r="R6" s="24">
        <f>(LN((Table1[[#This Row],[Prima Put Mercado]]+Table1[[#This Row],[S_0]]-Table1[[#This Row],[Prima Call Mercado]])/Table1[[#This Row],[K]]))/(-Table1[[#This Row],[T(días)]]/365)</f>
        <v>-0.50009303109238123</v>
      </c>
    </row>
    <row r="7" spans="1:22" x14ac:dyDescent="0.35">
      <c r="A7" s="3" t="s">
        <v>14</v>
      </c>
      <c r="B7" s="27">
        <v>173.78</v>
      </c>
      <c r="C7" s="5">
        <v>40</v>
      </c>
      <c r="D7" s="27">
        <v>0.2</v>
      </c>
      <c r="E7" s="6">
        <v>5.3699999999999998E-2</v>
      </c>
      <c r="F7" s="4">
        <v>45408</v>
      </c>
      <c r="G7" s="4">
        <v>45646</v>
      </c>
      <c r="H7" s="10">
        <f>Table1[[#This Row],[Vencimiento]]-Table1[[#This Row],[t_0]]</f>
        <v>238</v>
      </c>
      <c r="I7" s="15">
        <f>MAX(0,(Table1[[#This Row],[S_0]]-Table1[[#This Row],[VAN(D)]])- Table1[[#This Row],[K]]*EXP(-Table1[[#This Row],[r]]*VALUE(Table1[[#This Row],[T(días)]]/365)))</f>
        <v>134.9563759358727</v>
      </c>
      <c r="J7" s="11">
        <v>40</v>
      </c>
      <c r="K7" s="14">
        <f>Table1[[#This Row],[S_0]]</f>
        <v>173.78</v>
      </c>
      <c r="L7" s="13">
        <f>MAX(0,  Table1[[#This Row],[K]]*EXP(-Table1[[#This Row],[r]]*(Table1[[#This Row],[T(días)]]/365))-(Table1[[#This Row],[S_0]] -Table1[[#This Row],[VAN(D)]]))</f>
        <v>0</v>
      </c>
      <c r="M7" s="7"/>
      <c r="N7" s="13">
        <f>Table1[[#This Row],[K]]*EXP(-Table1[[#This Row],[r]]*(Table1[[#This Row],[T(días)]]/365))</f>
        <v>38.623624064127327</v>
      </c>
      <c r="O7" s="19">
        <f>(LN((Table1[[#This Row],[Prima Call Mercado]]-Table1[[#This Row],[S_0]])/-Table1[[#This Row],[K]]))/(-Table1[[#This Row],[T(días)]]/365)</f>
        <v>-1.8515578993082307</v>
      </c>
      <c r="P7" s="21">
        <f>Table1[[#This Row],[Prima Call Mercado]]+Table1[[#This Row],[K]]*EXP(Table1[[#This Row],[r]]*Table1[[#This Row],[T(días)]]/365)</f>
        <v>81.425423915257099</v>
      </c>
      <c r="Q7" s="23">
        <f>Table1[[#This Row],[Prima Put Mercado]]+Table1[[#This Row],[S_0]]</f>
        <v>173.78</v>
      </c>
      <c r="R7" s="24">
        <f>(LN((Table1[[#This Row],[Prima Put Mercado]]+Table1[[#This Row],[S_0]]-Table1[[#This Row],[Prima Call Mercado]])/Table1[[#This Row],[K]]))/(-Table1[[#This Row],[T(días)]]/365)</f>
        <v>-1.8515578993082307</v>
      </c>
    </row>
    <row r="8" spans="1:22" x14ac:dyDescent="0.35">
      <c r="A8" s="3" t="s">
        <v>21</v>
      </c>
      <c r="B8" s="27">
        <v>171.52</v>
      </c>
      <c r="C8" s="5">
        <v>160</v>
      </c>
      <c r="D8" s="27">
        <v>0</v>
      </c>
      <c r="E8" s="6">
        <v>5.1900000000000002E-2</v>
      </c>
      <c r="F8" s="4">
        <v>45408</v>
      </c>
      <c r="G8" s="4">
        <v>45737</v>
      </c>
      <c r="H8" s="10">
        <f>Table1[[#This Row],[Vencimiento]]-Table1[[#This Row],[t_0]]</f>
        <v>329</v>
      </c>
      <c r="I8" s="13">
        <f>MAX(0,(Table1[[#This Row],[S_0]]-Table1[[#This Row],[VAN(D)]])- Table1[[#This Row],[K]]*EXP(-Table1[[#This Row],[r]]*VALUE(Table1[[#This Row],[T(días)]]/365)))</f>
        <v>18.83259614340156</v>
      </c>
      <c r="J8" s="11">
        <v>33.119999999999997</v>
      </c>
      <c r="K8" s="14">
        <f>Table1[[#This Row],[S_0]]</f>
        <v>171.52</v>
      </c>
      <c r="L8" s="13">
        <f>MAX(0,  Table1[[#This Row],[K]]*EXP(-Table1[[#This Row],[r]]*(Table1[[#This Row],[T(días)]]/365))-(Table1[[#This Row],[S_0]] -Table1[[#This Row],[VAN(D)]]))</f>
        <v>0</v>
      </c>
      <c r="M8" s="7">
        <v>27.94</v>
      </c>
      <c r="N8" s="13">
        <f>Table1[[#This Row],[K]]*EXP(-Table1[[#This Row],[r]]*(Table1[[#This Row],[T(días)]]/365))</f>
        <v>152.68740385659845</v>
      </c>
      <c r="O8" s="19"/>
      <c r="P8" s="21">
        <f>Table1[[#This Row],[Prima Call Mercado]]+Table1[[#This Row],[K]]*EXP(Table1[[#This Row],[r]]*Table1[[#This Row],[T(días)]]/365)</f>
        <v>200.78281535602707</v>
      </c>
      <c r="Q8" s="23">
        <f>Table1[[#This Row],[Prima Put Mercado]]+Table1[[#This Row],[S_0]]</f>
        <v>199.46</v>
      </c>
      <c r="R8" s="24">
        <f>(LN((Table1[[#This Row],[Prima Put Mercado]]+Table1[[#This Row],[S_0]]-Table1[[#This Row],[Prima Call Mercado]])/Table1[[#This Row],[K]]))/(-Table1[[#This Row],[T(días)]]/365)</f>
        <v>-4.3112237053041978E-2</v>
      </c>
    </row>
    <row r="9" spans="1:22" x14ac:dyDescent="0.35">
      <c r="A9" s="3" t="s">
        <v>23</v>
      </c>
      <c r="B9" s="27">
        <v>408.88</v>
      </c>
      <c r="C9" s="5">
        <v>400</v>
      </c>
      <c r="D9" s="27">
        <v>0.75</v>
      </c>
      <c r="E9" s="6">
        <v>5.1979999999999998E-2</v>
      </c>
      <c r="F9" s="4">
        <v>45408</v>
      </c>
      <c r="G9" s="4">
        <v>45646</v>
      </c>
      <c r="H9" s="10">
        <f>Table1[[#This Row],[Vencimiento]]-Table1[[#This Row],[t_0]]</f>
        <v>238</v>
      </c>
      <c r="I9" s="13">
        <f>MAX(0,(Table1[[#This Row],[S_0]]-Table1[[#This Row],[VAN(D)]])- Table1[[#This Row],[K]]*EXP(-Table1[[#This Row],[r]]*VALUE(Table1[[#This Row],[T(días)]]/365)))</f>
        <v>21.460339185226246</v>
      </c>
      <c r="J9" s="11">
        <v>26.55</v>
      </c>
      <c r="K9" s="14">
        <f>Table1[[#This Row],[S_0]]</f>
        <v>408.88</v>
      </c>
      <c r="L9" s="13">
        <f>MAX(0,  Table1[[#This Row],[K]]*EXP(-Table1[[#This Row],[r]]*(Table1[[#This Row],[T(días)]]/365))-(Table1[[#This Row],[S_0]] -Table1[[#This Row],[VAN(D)]]))</f>
        <v>0</v>
      </c>
      <c r="M9" s="7">
        <v>36.770000000000003</v>
      </c>
      <c r="N9" s="13">
        <f>Table1[[#This Row],[K]]*EXP(-Table1[[#This Row],[r]]*(Table1[[#This Row],[T(días)]]/365))</f>
        <v>386.66966081477375</v>
      </c>
      <c r="O9" s="19"/>
      <c r="P9" s="21">
        <f>Table1[[#This Row],[Prima Call Mercado]]+Table1[[#This Row],[K]]*EXP(Table1[[#This Row],[r]]*Table1[[#This Row],[T(días)]]/365)</f>
        <v>440.33989927178368</v>
      </c>
      <c r="Q9" s="23">
        <f>Table1[[#This Row],[Prima Put Mercado]]+Table1[[#This Row],[S_0]]</f>
        <v>445.65</v>
      </c>
      <c r="R9" s="24">
        <f>(LN((Table1[[#This Row],[Prima Put Mercado]]+Table1[[#This Row],[S_0]]-Table1[[#This Row],[Prima Call Mercado]])/Table1[[#This Row],[K]]))/(-Table1[[#This Row],[T(días)]]/365)</f>
        <v>-7.1535411157189019E-2</v>
      </c>
    </row>
    <row r="10" spans="1:22" x14ac:dyDescent="0.35">
      <c r="A10" s="3" t="s">
        <v>24</v>
      </c>
      <c r="B10" s="27">
        <v>4.8505000000000003</v>
      </c>
      <c r="C10" s="5">
        <v>5</v>
      </c>
      <c r="D10" s="27">
        <v>0</v>
      </c>
      <c r="E10" s="6">
        <v>3.7769999999999998E-2</v>
      </c>
      <c r="F10" s="4">
        <v>45408</v>
      </c>
      <c r="G10" s="4">
        <v>45464</v>
      </c>
      <c r="H10" s="10">
        <f>Table1[[#This Row],[Vencimiento]]-Table1[[#This Row],[t_0]]</f>
        <v>56</v>
      </c>
      <c r="I10" s="13">
        <f>MAX(0,(Table1[[#This Row],[S_0]]-Table1[[#This Row],[VAN(D)]])- Table1[[#This Row],[K]]*EXP(-Table1[[#This Row],[r]]*VALUE(Table1[[#This Row],[T(días)]]/365)))</f>
        <v>0</v>
      </c>
      <c r="J10" s="11">
        <v>0.1</v>
      </c>
      <c r="K10" s="14">
        <f>Table1[[#This Row],[S_0]]</f>
        <v>4.8505000000000003</v>
      </c>
      <c r="L10" s="13">
        <f>MAX(0,  Table1[[#This Row],[K]]*EXP(-Table1[[#This Row],[r]]*(Table1[[#This Row],[T(días)]]/365))-(Table1[[#This Row],[S_0]] -Table1[[#This Row],[VAN(D)]]))</f>
        <v>0.12060954219522468</v>
      </c>
      <c r="M10" s="7">
        <v>0.32</v>
      </c>
      <c r="N10" s="13">
        <f>Table1[[#This Row],[K]]*EXP(-Table1[[#This Row],[r]]*(Table1[[#This Row],[T(días)]]/365))</f>
        <v>4.9711095421952249</v>
      </c>
      <c r="O10" s="19"/>
      <c r="P10" s="22">
        <f>Table1[[#This Row],[Prima Call Mercado]]+Table1[[#This Row],[K]]*EXP(Table1[[#This Row],[r]]*Table1[[#This Row],[T(días)]]/365)</f>
        <v>5.1290583596675452</v>
      </c>
      <c r="Q10" s="23">
        <f>Table1[[#This Row],[Prima Put Mercado]]+Table1[[#This Row],[S_0]]</f>
        <v>5.1705000000000005</v>
      </c>
      <c r="R10" s="24">
        <f>(LN((Table1[[#This Row],[Prima Put Mercado]]+Table1[[#This Row],[S_0]]-Table1[[#This Row],[Prima Call Mercado]])/Table1[[#This Row],[K]]))/(-Table1[[#This Row],[T(días)]]/365)</f>
        <v>-9.1259904769143696E-2</v>
      </c>
    </row>
    <row r="11" spans="1:22" x14ac:dyDescent="0.35">
      <c r="A11" s="26" t="s">
        <v>31</v>
      </c>
      <c r="B11" s="27">
        <v>5035</v>
      </c>
      <c r="C11" s="5">
        <v>5060</v>
      </c>
      <c r="D11" s="27">
        <v>0</v>
      </c>
      <c r="E11" s="25">
        <v>5.2600000000000001E-2</v>
      </c>
      <c r="F11" s="4">
        <v>45412</v>
      </c>
      <c r="G11" s="4">
        <v>45436</v>
      </c>
      <c r="H11" s="10">
        <f>Table1[[#This Row],[Vencimiento]]-Table1[[#This Row],[t_0]]</f>
        <v>24</v>
      </c>
      <c r="I11" s="11">
        <f>MAX(0,(Table1[[#This Row],[S_0]]-Table1[[#This Row],[VAN(D)]])- Table1[[#This Row],[K]]*EXP(-Table1[[#This Row],[r]]*VALUE(Table1[[#This Row],[T(días)]]/365)))</f>
        <v>0</v>
      </c>
      <c r="J11" s="11">
        <v>20.260000000000002</v>
      </c>
      <c r="K11" s="12">
        <f>Table1[[#This Row],[S_0]]</f>
        <v>5035</v>
      </c>
      <c r="L11" s="7">
        <f>MAX(0,  Table1[[#This Row],[K]]*EXP(-Table1[[#This Row],[r]]*(Table1[[#This Row],[T(días)]]/365))-(Table1[[#This Row],[S_0]] -Table1[[#This Row],[VAN(D)]]))</f>
        <v>7.5295608158739924</v>
      </c>
      <c r="M11" s="7">
        <v>25.01</v>
      </c>
      <c r="N11" s="7">
        <f>Table1[[#This Row],[K]]*EXP(-Table1[[#This Row],[r]]*(Table1[[#This Row],[T(días)]]/365))</f>
        <v>5042.529560815874</v>
      </c>
      <c r="O11" s="19"/>
      <c r="P11" s="22">
        <f>Table1[[#This Row],[Prima Call Mercado]]+Table1[[#This Row],[K]]*EXP(Table1[[#This Row],[r]]*Table1[[#This Row],[T(días)]]/365)</f>
        <v>5097.790967583931</v>
      </c>
      <c r="Q11" s="23">
        <f>Table1[[#This Row],[Prima Put Mercado]]+Table1[[#This Row],[S_0]]</f>
        <v>5060.01</v>
      </c>
      <c r="R11" s="24">
        <f>(LN((Table1[[#This Row],[Prima Put Mercado]]+Table1[[#This Row],[S_0]]-Table1[[#This Row],[Prima Call Mercado]])/Table1[[#This Row],[K]]))/(-Table1[[#This Row],[T(días)]]/365)</f>
        <v>6.0985502152377656E-2</v>
      </c>
    </row>
    <row r="12" spans="1:22" x14ac:dyDescent="0.35">
      <c r="A12" s="26" t="s">
        <v>32</v>
      </c>
      <c r="B12" s="27">
        <v>15.01</v>
      </c>
      <c r="C12" s="5">
        <v>15.4</v>
      </c>
      <c r="D12" s="27">
        <v>0</v>
      </c>
      <c r="E12" s="25">
        <v>3.7769999999999998E-2</v>
      </c>
      <c r="F12" s="4">
        <v>45412</v>
      </c>
      <c r="G12" s="4">
        <v>45429</v>
      </c>
      <c r="H12" s="10">
        <f>Table1[[#This Row],[Vencimiento]]-Table1[[#This Row],[t_0]]</f>
        <v>17</v>
      </c>
      <c r="I12" s="11">
        <f>MAX(0,(Table1[[#This Row],[S_0]]-Table1[[#This Row],[VAN(D)]])- Table1[[#This Row],[K]]*EXP(-Table1[[#This Row],[r]]*VALUE(Table1[[#This Row],[T(días)]]/365)))</f>
        <v>0</v>
      </c>
      <c r="J12" s="11">
        <v>0.14000000000000001</v>
      </c>
      <c r="K12" s="12">
        <f>Table1[[#This Row],[S_0]]</f>
        <v>15.01</v>
      </c>
      <c r="L12" s="7">
        <f>MAX(0,  Table1[[#This Row],[K]]*EXP(-Table1[[#This Row],[r]]*(Table1[[#This Row],[T(días)]]/365))-(Table1[[#This Row],[S_0]] -Table1[[#This Row],[VAN(D)]]))</f>
        <v>0.36293289399127282</v>
      </c>
      <c r="M12" s="7">
        <v>0.86</v>
      </c>
      <c r="N12" s="7">
        <f>Table1[[#This Row],[K]]*EXP(-Table1[[#This Row],[r]]*(Table1[[#This Row],[T(días)]]/365))</f>
        <v>15.372932893991273</v>
      </c>
      <c r="O12" s="19">
        <f>(LN((Table1[[#This Row],[Prima Call Mercado]]-Table1[[#This Row],[S_0]])/-Table1[[#This Row],[K]]))/(-Table1[[#This Row],[T(días)]]/365)</f>
        <v>0.75193755093204295</v>
      </c>
      <c r="P12" s="21">
        <f>Table1[[#This Row],[Prima Call Mercado]]+Table1[[#This Row],[K]]*EXP(Table1[[#This Row],[r]]*Table1[[#This Row],[T(días)]]/365)</f>
        <v>15.567114763032455</v>
      </c>
      <c r="Q12" s="23">
        <f>Table1[[#This Row],[Prima Put Mercado]]+Table1[[#This Row],[S_0]]</f>
        <v>15.87</v>
      </c>
      <c r="R12">
        <f>(LN((Table1[[#This Row],[Prima Put Mercado]]+Table1[[#This Row],[S_0]]-Table1[[#This Row],[Prima Call Mercado]])/Table1[[#This Row],[K]]))/(-Table1[[#This Row],[T(días)]]/365)</f>
        <v>-0.45522387014529764</v>
      </c>
    </row>
    <row r="13" spans="1:22" x14ac:dyDescent="0.35">
      <c r="A13" s="26" t="s">
        <v>32</v>
      </c>
      <c r="B13" s="27">
        <v>15.01</v>
      </c>
      <c r="C13" s="5">
        <v>11</v>
      </c>
      <c r="D13" s="27">
        <v>0</v>
      </c>
      <c r="E13" s="25">
        <v>3.7769999999999998E-2</v>
      </c>
      <c r="F13" s="4">
        <v>45412</v>
      </c>
      <c r="G13" s="4">
        <v>45464</v>
      </c>
      <c r="H13" s="10">
        <f>Table1[[#This Row],[Vencimiento]]-Table1[[#This Row],[t_0]]</f>
        <v>52</v>
      </c>
      <c r="I13" s="11">
        <f>MAX(0,(Table1[[#This Row],[S_0]]-Table1[[#This Row],[VAN(D)]])- Table1[[#This Row],[K]]*EXP(-Table1[[#This Row],[r]]*VALUE(Table1[[#This Row],[T(días)]]/365)))</f>
        <v>4.0690312824967414</v>
      </c>
      <c r="J13" s="11">
        <v>3.76</v>
      </c>
      <c r="K13" s="12">
        <f>Table1[[#This Row],[S_0]]</f>
        <v>15.01</v>
      </c>
      <c r="L13" s="7">
        <f>MAX(0,  Table1[[#This Row],[K]]*EXP(-Table1[[#This Row],[r]]*(Table1[[#This Row],[T(días)]]/365))-(Table1[[#This Row],[S_0]] -Table1[[#This Row],[VAN(D)]]))</f>
        <v>0</v>
      </c>
      <c r="M13" s="7">
        <v>0.04</v>
      </c>
      <c r="N13" s="7">
        <f>Table1[[#This Row],[K]]*EXP(-Table1[[#This Row],[r]]*(Table1[[#This Row],[T(días)]]/365))</f>
        <v>10.940968717503258</v>
      </c>
      <c r="O13" s="19">
        <f>(LN((Table1[[#This Row],[Prima Call Mercado]]-Table1[[#This Row],[S_0]])/-Table1[[#This Row],[K]]))/(-Table1[[#This Row],[T(días)]]/365)</f>
        <v>-0.15774216126925733</v>
      </c>
      <c r="P13" s="21">
        <f>Table1[[#This Row],[Prima Call Mercado]]+Table1[[#This Row],[K]]*EXP(Table1[[#This Row],[r]]*Table1[[#This Row],[T(días)]]/365)</f>
        <v>14.819349781927933</v>
      </c>
      <c r="Q13" s="23">
        <f>Table1[[#This Row],[Prima Put Mercado]]+Table1[[#This Row],[S_0]]</f>
        <v>15.049999999999999</v>
      </c>
      <c r="R13">
        <f>(LN((Table1[[#This Row],[Prima Put Mercado]]+Table1[[#This Row],[S_0]]-Table1[[#This Row],[Prima Call Mercado]])/Table1[[#This Row],[K]]))/(-Table1[[#This Row],[T(días)]]/365)</f>
        <v>-0.18265516264553924</v>
      </c>
    </row>
    <row r="14" spans="1:22" x14ac:dyDescent="0.35">
      <c r="A14" s="26" t="s">
        <v>33</v>
      </c>
      <c r="B14" s="27">
        <v>17932.169999999998</v>
      </c>
      <c r="C14" s="5">
        <v>17900</v>
      </c>
      <c r="D14" s="27" t="s">
        <v>36</v>
      </c>
      <c r="E14" s="25">
        <v>3.7769999999999998E-2</v>
      </c>
      <c r="F14" s="4">
        <v>45412</v>
      </c>
      <c r="G14" s="4">
        <v>45460</v>
      </c>
      <c r="H14" s="10">
        <f>Table1[[#This Row],[Vencimiento]]-Table1[[#This Row],[t_0]]</f>
        <v>48</v>
      </c>
      <c r="I14" s="11" t="e">
        <f>MAX(0,(Table1[[#This Row],[S_0]]-Table1[[#This Row],[VAN(D)]])- Table1[[#This Row],[K]]*EXP(-Table1[[#This Row],[r]]*VALUE(Table1[[#This Row],[T(días)]]/365)))</f>
        <v>#VALUE!</v>
      </c>
      <c r="J14" s="11">
        <v>459</v>
      </c>
      <c r="K14" s="12">
        <f>Table1[[#This Row],[S_0]]</f>
        <v>17932.169999999998</v>
      </c>
      <c r="L14" s="7" t="e">
        <f>MAX(0,  Table1[[#This Row],[K]]*EXP(-Table1[[#This Row],[r]]*(Table1[[#This Row],[T(días)]]/365))-(Table1[[#This Row],[S_0]] -Table1[[#This Row],[VAN(D)]]))</f>
        <v>#VALUE!</v>
      </c>
      <c r="M14" s="7">
        <v>265</v>
      </c>
      <c r="N14" s="7">
        <f>Table1[[#This Row],[K]]*EXP(-Table1[[#This Row],[r]]*(Table1[[#This Row],[T(días)]]/365))</f>
        <v>17811.310897127958</v>
      </c>
      <c r="O14" s="19">
        <f>(LN((Table1[[#This Row],[Prima Call Mercado]]-Table1[[#This Row],[S_0]])/-Table1[[#This Row],[K]]))/(-Table1[[#This Row],[T(días)]]/365)</f>
        <v>0.18352010839136529</v>
      </c>
      <c r="P14" s="21">
        <f>Table1[[#This Row],[Prima Call Mercado]]+Table1[[#This Row],[K]]*EXP(Table1[[#This Row],[r]]*Table1[[#This Row],[T(días)]]/365)</f>
        <v>18448.130718708951</v>
      </c>
      <c r="Q14" s="23">
        <f>Table1[[#This Row],[Prima Put Mercado]]+Table1[[#This Row],[S_0]]</f>
        <v>18197.169999999998</v>
      </c>
      <c r="R14">
        <f>(LN((Table1[[#This Row],[Prima Put Mercado]]+Table1[[#This Row],[S_0]]-Table1[[#This Row],[Prima Call Mercado]])/Table1[[#This Row],[K]]))/(-Table1[[#This Row],[T(días)]]/365)</f>
        <v>6.9060265998320311E-2</v>
      </c>
    </row>
    <row r="15" spans="1:22" x14ac:dyDescent="0.35">
      <c r="A15" s="3" t="s">
        <v>35</v>
      </c>
      <c r="B15" s="27">
        <v>14.72</v>
      </c>
      <c r="C15" s="5">
        <v>14</v>
      </c>
      <c r="D15" s="27">
        <v>1.2</v>
      </c>
      <c r="E15" s="6">
        <v>3.2300000000000002E-2</v>
      </c>
      <c r="F15" s="4">
        <v>45413</v>
      </c>
      <c r="G15" s="4">
        <v>46010</v>
      </c>
      <c r="H15" s="10">
        <f>Table1[[#This Row],[Vencimiento]]-Table1[[#This Row],[t_0]]</f>
        <v>597</v>
      </c>
      <c r="I15" s="11">
        <f>MAX(0,(Table1[[#This Row],[S_0]]-Table1[[#This Row],[VAN(D)]])- Table1[[#This Row],[K]]*EXP(-Table1[[#This Row],[r]]*VALUE(Table1[[#This Row],[T(días)]]/365)))</f>
        <v>0.24042794630946851</v>
      </c>
      <c r="J15" s="11">
        <v>1.72</v>
      </c>
      <c r="K15" s="12">
        <f>Table1[[#This Row],[S_0]]</f>
        <v>14.72</v>
      </c>
      <c r="L15" s="7">
        <f>MAX(0,  Table1[[#This Row],[K]]*EXP(-Table1[[#This Row],[r]]*(Table1[[#This Row],[T(días)]]/365))-(Table1[[#This Row],[S_0]] -Table1[[#This Row],[VAN(D)]]))</f>
        <v>0</v>
      </c>
      <c r="M15" s="7">
        <v>1.29</v>
      </c>
      <c r="N15" s="7">
        <f>Table1[[#This Row],[K]]*EXP(-Table1[[#This Row],[r]]*(Table1[[#This Row],[T(días)]]/365))</f>
        <v>13.279572053690533</v>
      </c>
      <c r="O15" s="19">
        <f>(LN((Table1[[#This Row],[Prima Call Mercado]]-Table1[[#This Row],[S_0]])/-Table1[[#This Row],[K]]))/(-Table1[[#This Row],[T(días)]]/365)</f>
        <v>4.5308894197836638E-2</v>
      </c>
      <c r="P15" s="21">
        <f>Table1[[#This Row],[Prima Call Mercado]]+Table1[[#This Row],[K]]*EXP(Table1[[#This Row],[r]]*Table1[[#This Row],[T(días)]]/365)</f>
        <v>16.479511767966162</v>
      </c>
      <c r="Q15" s="23">
        <f>Table1[[#This Row],[Prima Put Mercado]]+Table1[[#This Row],[S_0]]</f>
        <v>16.010000000000002</v>
      </c>
      <c r="R15">
        <f>(LN((Table1[[#This Row],[Prima Put Mercado]]+Table1[[#This Row],[S_0]]-Table1[[#This Row],[Prima Call Mercado]])/Table1[[#This Row],[K]]))/(-Table1[[#This Row],[T(días)]]/365)</f>
        <v>-1.2535128558088525E-2</v>
      </c>
    </row>
    <row r="16" spans="1:22" x14ac:dyDescent="0.35">
      <c r="A16" s="3" t="s">
        <v>54</v>
      </c>
      <c r="B16" s="27">
        <v>102.6</v>
      </c>
      <c r="C16" s="5">
        <v>110</v>
      </c>
      <c r="D16" s="27">
        <v>0</v>
      </c>
      <c r="E16" s="33">
        <v>3.6580000000000001E-2</v>
      </c>
      <c r="F16" s="4">
        <v>45412</v>
      </c>
      <c r="G16" s="4">
        <v>45555</v>
      </c>
      <c r="H16" s="10">
        <f>Table1[[#This Row],[Vencimiento]]-Table1[[#This Row],[t_0]]</f>
        <v>143</v>
      </c>
      <c r="I16" s="11">
        <f>MAX(0,(Table1[[#This Row],[S_0]]-Table1[[#This Row],[VAN(D)]])- Table1[[#This Row],[K]]*EXP(-Table1[[#This Row],[r]]*VALUE(Table1[[#This Row],[T(días)]]/365)))</f>
        <v>0</v>
      </c>
      <c r="J16" s="11">
        <v>1.98</v>
      </c>
      <c r="K16" s="12">
        <f>Table1[[#This Row],[S_0]]</f>
        <v>102.6</v>
      </c>
      <c r="L16" s="7">
        <f>MAX(0,  Table1[[#This Row],[K]]*EXP(-Table1[[#This Row],[r]]*(Table1[[#This Row],[T(días)]]/365))-(Table1[[#This Row],[S_0]] -Table1[[#This Row],[VAN(D)]]))</f>
        <v>5.8347948635433795</v>
      </c>
      <c r="M16" s="7">
        <v>12.78</v>
      </c>
      <c r="N16" s="7">
        <f>Table1[[#This Row],[K]]*EXP(-Table1[[#This Row],[r]]*(Table1[[#This Row],[T(días)]]/365))</f>
        <v>108.43479486354337</v>
      </c>
      <c r="O16" s="19">
        <f>(LN((Table1[[#This Row],[Prima Call Mercado]]-Table1[[#This Row],[S_0]])/-Table1[[#This Row],[K]]))/(-Table1[[#This Row],[T(días)]]/365)</f>
        <v>0.22749791654667142</v>
      </c>
      <c r="P16" s="21">
        <f>Table1[[#This Row],[Prima Call Mercado]]+Table1[[#This Row],[K]]*EXP(Table1[[#This Row],[r]]*Table1[[#This Row],[T(días)]]/365)</f>
        <v>113.56779813460149</v>
      </c>
      <c r="Q16" s="23">
        <f>Table1[[#This Row],[Prima Put Mercado]]+Table1[[#This Row],[S_0]]</f>
        <v>115.38</v>
      </c>
      <c r="R16">
        <f>(LN((Table1[[#This Row],[Prima Put Mercado]]+Table1[[#This Row],[S_0]]-Table1[[#This Row],[Prima Call Mercado]])/Table1[[#This Row],[K]]))/(-Table1[[#This Row],[T(días)]]/365)</f>
        <v>-7.7699121034621663E-2</v>
      </c>
    </row>
    <row r="17" spans="1:18" x14ac:dyDescent="0.35">
      <c r="A17" s="3" t="s">
        <v>61</v>
      </c>
      <c r="B17" s="27">
        <v>67.37</v>
      </c>
      <c r="C17" s="5">
        <v>60</v>
      </c>
      <c r="D17" s="27"/>
      <c r="E17" s="33">
        <v>2.7730000000000001E-2</v>
      </c>
      <c r="F17" s="4">
        <v>45412</v>
      </c>
      <c r="G17" s="4">
        <v>46738</v>
      </c>
      <c r="H17" s="3">
        <f>Table1[[#This Row],[Vencimiento]]-Table1[[#This Row],[t_0]]</f>
        <v>1326</v>
      </c>
      <c r="I17" s="11">
        <f>MAX(0,(Table1[[#This Row],[S_0]]-Table1[[#This Row],[VAN(D)]])- Table1[[#This Row],[K]]*EXP(-Table1[[#This Row],[r]]*VALUE(Table1[[#This Row],[T(días)]]/365)))</f>
        <v>13.11989700255269</v>
      </c>
      <c r="J17" s="11">
        <v>9.5</v>
      </c>
      <c r="K17" s="12">
        <f>Table1[[#This Row],[S_0]]</f>
        <v>67.37</v>
      </c>
      <c r="L17" s="7">
        <f>MAX(0,  Table1[[#This Row],[K]]*EXP(-Table1[[#This Row],[r]]*(Table1[[#This Row],[T(días)]]/365))-(Table1[[#This Row],[S_0]] -Table1[[#This Row],[VAN(D)]]))</f>
        <v>0</v>
      </c>
      <c r="M17" s="7">
        <v>11.8</v>
      </c>
      <c r="N17" s="13">
        <f>Table1[[#This Row],[K]]*EXP(-Table1[[#This Row],[r]]*(Table1[[#This Row],[T(días)]]/365))</f>
        <v>54.250102997447314</v>
      </c>
      <c r="O17" s="19">
        <f>(LN((Table1[[#This Row],[Prima Call Mercado]]-Table1[[#This Row],[S_0]])/-Table1[[#This Row],[K]]))/(-Table1[[#This Row],[T(días)]]/365)</f>
        <v>9.9495384783325341E-3</v>
      </c>
      <c r="P17" s="21">
        <f>Table1[[#This Row],[Prima Call Mercado]]+Table1[[#This Row],[K]]*EXP(Table1[[#This Row],[r]]*Table1[[#This Row],[T(días)]]/365)</f>
        <v>75.859321016761839</v>
      </c>
      <c r="Q17" s="23">
        <f>Table1[[#This Row],[Prima Put Mercado]]+Table1[[#This Row],[S_0]]</f>
        <v>79.17</v>
      </c>
      <c r="R17">
        <f>(LN((Table1[[#This Row],[Prima Put Mercado]]+Table1[[#This Row],[S_0]]-Table1[[#This Row],[Prima Call Mercado]])/Table1[[#This Row],[K]]))/(-Table1[[#This Row],[T(días)]]/365)</f>
        <v>-4.1131383928562068E-2</v>
      </c>
    </row>
    <row r="18" spans="1:18" x14ac:dyDescent="0.35">
      <c r="A18" s="3" t="s">
        <v>65</v>
      </c>
      <c r="B18" s="27">
        <v>32.799999999999997</v>
      </c>
      <c r="C18" s="5">
        <v>32</v>
      </c>
      <c r="D18" s="27">
        <v>0</v>
      </c>
      <c r="E18" s="33">
        <v>3.7769999999999998E-2</v>
      </c>
      <c r="F18" s="4">
        <v>45412</v>
      </c>
      <c r="G18" s="4">
        <v>45464</v>
      </c>
      <c r="H18" s="3">
        <f>Table1[[#This Row],[Vencimiento]]-Table1[[#This Row],[t_0]]</f>
        <v>52</v>
      </c>
      <c r="I18" s="11">
        <f>MAX(0,(Table1[[#This Row],[S_0]]-Table1[[#This Row],[VAN(D)]])- Table1[[#This Row],[K]]*EXP(-Table1[[#This Row],[r]]*VALUE(Table1[[#This Row],[T(días)]]/365)))</f>
        <v>0.97172736726324516</v>
      </c>
      <c r="J18" s="11">
        <v>1.66</v>
      </c>
      <c r="K18" s="12">
        <f>Table1[[#This Row],[S_0]]</f>
        <v>32.799999999999997</v>
      </c>
      <c r="L18" s="7">
        <f>MAX(0,  Table1[[#This Row],[K]]*EXP(-Table1[[#This Row],[r]]*(Table1[[#This Row],[T(días)]]/365))-(Table1[[#This Row],[S_0]] -Table1[[#This Row],[VAN(D)]]))</f>
        <v>0</v>
      </c>
      <c r="M18" s="7">
        <v>1.35</v>
      </c>
      <c r="N18" s="13">
        <f>Table1[[#This Row],[K]]*EXP(-Table1[[#This Row],[r]]*(Table1[[#This Row],[T(días)]]/365))</f>
        <v>31.828272632736752</v>
      </c>
      <c r="O18" s="19">
        <f>(LN((Table1[[#This Row],[Prima Call Mercado]]-Table1[[#This Row],[S_0]])/-Table1[[#This Row],[K]]))/(-Table1[[#This Row],[T(días)]]/365)</f>
        <v>0.19122305353392588</v>
      </c>
      <c r="P18" s="21">
        <f>Table1[[#This Row],[Prima Call Mercado]]+Table1[[#This Row],[K]]*EXP(Table1[[#This Row],[r]]*Table1[[#This Row],[T(días)]]/365)</f>
        <v>33.832653911063076</v>
      </c>
      <c r="Q18" s="23">
        <f>Table1[[#This Row],[Prima Put Mercado]]+Table1[[#This Row],[S_0]]</f>
        <v>34.15</v>
      </c>
      <c r="R18">
        <f>(LN((Table1[[#This Row],[Prima Put Mercado]]+Table1[[#This Row],[S_0]]-Table1[[#This Row],[Prima Call Mercado]])/Table1[[#This Row],[K]]))/(-Table1[[#This Row],[T(días)]]/365)</f>
        <v>-0.10666736753207873</v>
      </c>
    </row>
    <row r="19" spans="1:18" x14ac:dyDescent="0.35">
      <c r="A19" s="3" t="s">
        <v>66</v>
      </c>
      <c r="B19" s="27">
        <v>21.56</v>
      </c>
      <c r="C19" s="5">
        <v>22</v>
      </c>
      <c r="D19" s="27">
        <v>0</v>
      </c>
      <c r="E19" s="33">
        <v>3.6580000000000001E-2</v>
      </c>
      <c r="F19" s="4">
        <v>45412</v>
      </c>
      <c r="G19" s="4">
        <v>45555</v>
      </c>
      <c r="H19" s="3">
        <f>Table1[[#This Row],[Vencimiento]]-Table1[[#This Row],[t_0]]</f>
        <v>143</v>
      </c>
      <c r="I19" s="11">
        <f>MAX(0,(Table1[[#This Row],[S_0]]-Table1[[#This Row],[VAN(D)]])- Table1[[#This Row],[K]]*EXP(-Table1[[#This Row],[r]]*VALUE(Table1[[#This Row],[T(días)]]/365)))</f>
        <v>0</v>
      </c>
      <c r="J19" s="11">
        <v>0.88</v>
      </c>
      <c r="K19" s="12">
        <f>Table1[[#This Row],[S_0]]</f>
        <v>21.56</v>
      </c>
      <c r="L19" s="7">
        <f>MAX(0,  Table1[[#This Row],[K]]*EXP(-Table1[[#This Row],[r]]*(Table1[[#This Row],[T(días)]]/365))-(Table1[[#This Row],[S_0]] -Table1[[#This Row],[VAN(D)]]))</f>
        <v>0.12695897270867817</v>
      </c>
      <c r="M19" s="7">
        <v>0.93</v>
      </c>
      <c r="N19" s="13">
        <f>Table1[[#This Row],[K]]*EXP(-Table1[[#This Row],[r]]*(Table1[[#This Row],[T(días)]]/365))</f>
        <v>21.686958972708677</v>
      </c>
      <c r="O19" s="19">
        <f>(LN((Table1[[#This Row],[Prima Call Mercado]]-Table1[[#This Row],[S_0]])/-Table1[[#This Row],[K]]))/(-Table1[[#This Row],[T(días)]]/365)</f>
        <v>0.15793372277693671</v>
      </c>
      <c r="P19" s="21">
        <f>Table1[[#This Row],[Prima Call Mercado]]+Table1[[#This Row],[K]]*EXP(Table1[[#This Row],[r]]*Table1[[#This Row],[T(días)]]/365)</f>
        <v>23.197559626920295</v>
      </c>
      <c r="Q19" s="23">
        <f>Table1[[#This Row],[Prima Put Mercado]]+Table1[[#This Row],[S_0]]</f>
        <v>22.49</v>
      </c>
      <c r="R19">
        <f>(LN((Table1[[#This Row],[Prima Put Mercado]]+Table1[[#This Row],[S_0]]-Table1[[#This Row],[Prima Call Mercado]])/Table1[[#This Row],[K]]))/(-Table1[[#This Row],[T(días)]]/365)</f>
        <v>4.5653798856120607E-2</v>
      </c>
    </row>
    <row r="20" spans="1:18" x14ac:dyDescent="0.35">
      <c r="K20" s="8"/>
      <c r="L20" s="8"/>
      <c r="M20" s="8"/>
    </row>
    <row r="23" spans="1:18" x14ac:dyDescent="0.35">
      <c r="I23" t="s">
        <v>15</v>
      </c>
      <c r="N23" t="s">
        <v>17</v>
      </c>
    </row>
    <row r="24" spans="1:18" x14ac:dyDescent="0.35">
      <c r="N24" t="s">
        <v>18</v>
      </c>
    </row>
    <row r="25" spans="1:18" x14ac:dyDescent="0.35">
      <c r="N25" t="s">
        <v>19</v>
      </c>
    </row>
    <row r="26" spans="1:18" x14ac:dyDescent="0.35">
      <c r="N26" t="s">
        <v>20</v>
      </c>
    </row>
    <row r="27" spans="1:18" x14ac:dyDescent="0.35">
      <c r="I27" t="s">
        <v>16</v>
      </c>
      <c r="N27" t="s">
        <v>22</v>
      </c>
    </row>
  </sheetData>
  <mergeCells count="1">
    <mergeCell ref="O1:P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20F6-0621-47F7-8246-9729FE4655F4}">
  <dimension ref="A1:T21"/>
  <sheetViews>
    <sheetView workbookViewId="0">
      <selection activeCell="B26" sqref="B26"/>
    </sheetView>
  </sheetViews>
  <sheetFormatPr defaultColWidth="18.453125" defaultRowHeight="14.5" x14ac:dyDescent="0.35"/>
  <cols>
    <col min="1" max="1" width="18.6328125" bestFit="1" customWidth="1"/>
    <col min="2" max="3" width="10.1796875" bestFit="1" customWidth="1"/>
    <col min="4" max="4" width="23.1796875" bestFit="1" customWidth="1"/>
    <col min="5" max="5" width="14.1796875" style="31" bestFit="1" customWidth="1"/>
    <col min="6" max="6" width="6.6328125" bestFit="1" customWidth="1"/>
    <col min="7" max="7" width="13.81640625" bestFit="1" customWidth="1"/>
    <col min="8" max="8" width="11.81640625" bestFit="1" customWidth="1"/>
    <col min="9" max="9" width="11.6328125" style="31" bestFit="1" customWidth="1"/>
    <col min="10" max="10" width="13.6328125" bestFit="1" customWidth="1"/>
    <col min="11" max="11" width="5.81640625" bestFit="1" customWidth="1"/>
    <col min="12" max="12" width="6.1796875" bestFit="1" customWidth="1"/>
    <col min="13" max="13" width="11.6328125" style="31" bestFit="1" customWidth="1"/>
    <col min="14" max="15" width="5.81640625" bestFit="1" customWidth="1"/>
    <col min="16" max="16" width="11.81640625" bestFit="1" customWidth="1"/>
  </cols>
  <sheetData>
    <row r="1" spans="1:20" x14ac:dyDescent="0.35">
      <c r="A1" t="s">
        <v>43</v>
      </c>
      <c r="B1" t="s">
        <v>7</v>
      </c>
      <c r="C1" t="s">
        <v>37</v>
      </c>
      <c r="D1" t="s">
        <v>53</v>
      </c>
      <c r="E1" t="s">
        <v>38</v>
      </c>
      <c r="F1" s="31" t="s">
        <v>50</v>
      </c>
      <c r="G1" t="s">
        <v>47</v>
      </c>
      <c r="H1" t="s">
        <v>39</v>
      </c>
      <c r="I1" t="s">
        <v>40</v>
      </c>
      <c r="J1" s="31" t="s">
        <v>51</v>
      </c>
      <c r="K1" t="s">
        <v>48</v>
      </c>
      <c r="L1" t="s">
        <v>41</v>
      </c>
      <c r="M1" t="s">
        <v>42</v>
      </c>
      <c r="N1" s="31" t="s">
        <v>62</v>
      </c>
      <c r="O1" t="s">
        <v>49</v>
      </c>
      <c r="P1" t="s">
        <v>46</v>
      </c>
    </row>
    <row r="2" spans="1:20" x14ac:dyDescent="0.35">
      <c r="A2" t="s">
        <v>44</v>
      </c>
      <c r="B2" s="29">
        <v>45414</v>
      </c>
      <c r="C2">
        <v>0.4</v>
      </c>
      <c r="D2" s="29">
        <v>45477</v>
      </c>
      <c r="E2" s="29">
        <v>45481</v>
      </c>
      <c r="F2" s="31">
        <f>Table2[[#This Row],[Fecha D_1]]-Table2[[#This Row],[t_0]]</f>
        <v>67</v>
      </c>
      <c r="G2" s="32">
        <v>3.7580000000000002E-2</v>
      </c>
      <c r="H2">
        <v>0.4</v>
      </c>
      <c r="I2" s="29">
        <v>45604</v>
      </c>
      <c r="J2" s="31">
        <f>Table2[[#This Row],[Fecha D_2]]-Table2[[#This Row],[t_0]]</f>
        <v>190</v>
      </c>
      <c r="K2" s="32">
        <v>3.6400000000000002E-2</v>
      </c>
      <c r="L2">
        <v>0.4</v>
      </c>
      <c r="M2" s="29">
        <v>45724</v>
      </c>
      <c r="N2" s="31">
        <f>Table2[[#This Row],[Fecha D_3]]-Table2[[#This Row],[t_0]]</f>
        <v>310</v>
      </c>
      <c r="O2" s="32">
        <v>3.44E-2</v>
      </c>
      <c r="P2">
        <f>Table2[[#This Row],[D_1]]*EXP(-Table2[[#This Row],[r_1]]*Table2[[#This Row],[T_1]]/365)+Table2[[#This Row],[D_2]]*EXP(-Table2[[#This Row],[r_2]]*Table2[[#This Row],[T_2]]/365)+Table2[[#This Row],[D_3]]*EXP(-Table2[[#This Row],[r_3]]*Table2[[#This Row],[T_3]]/365)</f>
        <v>1.1782248663239212</v>
      </c>
    </row>
    <row r="5" spans="1:20" x14ac:dyDescent="0.35">
      <c r="A5" t="s">
        <v>43</v>
      </c>
      <c r="B5" t="s">
        <v>7</v>
      </c>
      <c r="C5" t="s">
        <v>37</v>
      </c>
      <c r="D5" t="s">
        <v>53</v>
      </c>
      <c r="E5" t="s">
        <v>38</v>
      </c>
      <c r="F5" s="31" t="s">
        <v>50</v>
      </c>
      <c r="G5" t="s">
        <v>47</v>
      </c>
      <c r="H5" t="s">
        <v>39</v>
      </c>
      <c r="I5" t="s">
        <v>40</v>
      </c>
      <c r="J5" s="31" t="s">
        <v>51</v>
      </c>
      <c r="K5" t="s">
        <v>48</v>
      </c>
      <c r="L5" t="s">
        <v>41</v>
      </c>
      <c r="M5" t="s">
        <v>42</v>
      </c>
      <c r="N5" s="31" t="s">
        <v>62</v>
      </c>
      <c r="O5" t="s">
        <v>49</v>
      </c>
      <c r="P5" t="s">
        <v>45</v>
      </c>
      <c r="Q5" t="s">
        <v>52</v>
      </c>
      <c r="R5" t="s">
        <v>63</v>
      </c>
      <c r="S5" t="s">
        <v>64</v>
      </c>
      <c r="T5" t="s">
        <v>46</v>
      </c>
    </row>
    <row r="6" spans="1:20" x14ac:dyDescent="0.35">
      <c r="A6" t="s">
        <v>61</v>
      </c>
      <c r="B6" s="29">
        <v>45412</v>
      </c>
      <c r="C6">
        <v>2.4910000000000001</v>
      </c>
      <c r="D6" s="29">
        <v>45432</v>
      </c>
      <c r="E6" s="29">
        <v>45467</v>
      </c>
      <c r="F6" s="31">
        <f>Table26[[#This Row],[Fecha D_1]]-Table26[[#This Row],[t_0]]</f>
        <v>55</v>
      </c>
      <c r="G6" s="32">
        <v>3.7580000000000002E-2</v>
      </c>
      <c r="H6">
        <v>2.4910000000000001</v>
      </c>
      <c r="I6" s="29">
        <v>45823</v>
      </c>
      <c r="J6" s="31">
        <f>Table26[[#This Row],[Fecha D_2]]-Table26[[#This Row],[t_0]]</f>
        <v>411</v>
      </c>
      <c r="K6" s="32">
        <v>3.4049999999999997E-2</v>
      </c>
      <c r="L6">
        <v>2.4910000000000001</v>
      </c>
      <c r="M6" s="29">
        <v>46188</v>
      </c>
      <c r="N6" s="31">
        <f>Table26[[#This Row],[Fecha D_3]]-Table26[[#This Row],[t_0]]</f>
        <v>776</v>
      </c>
      <c r="O6" s="32">
        <v>2.9919999999999999E-2</v>
      </c>
      <c r="P6" s="29">
        <v>46553</v>
      </c>
      <c r="Q6" s="31">
        <f>Table26[[#This Row],[Fecha D_4]]-Table26[[#This Row],[t_0]]</f>
        <v>1141</v>
      </c>
      <c r="R6" s="32">
        <f>2.763%</f>
        <v>2.7629999999999998E-2</v>
      </c>
      <c r="S6">
        <v>2.4910000000000001</v>
      </c>
      <c r="T6">
        <f>Table26[[#This Row],[D_1]]*EXP(-Table26[[#This Row],[r_1]]*Table26[[#This Row],[T_1]]/365)+Table26[[#This Row],[D_2]]*EXP(-Table26[[#This Row],[r_2]]*Table26[[#This Row],[T_2]]/365)+Table26[[#This Row],[D_3]]*EXP(-Table26[[#This Row],[r_3]]*Table26[[#This Row],[T_3]]/365)+Table26[[#This Row],[D_4]]*EXP(-Table26[[#This Row],[r_4]]*Table26[[#This Row],[T_4]]/365)</f>
        <v>9.4965906872274388</v>
      </c>
    </row>
    <row r="12" spans="1:20" x14ac:dyDescent="0.35">
      <c r="A12" t="s">
        <v>43</v>
      </c>
      <c r="B12" t="s">
        <v>7</v>
      </c>
      <c r="C12" t="s">
        <v>34</v>
      </c>
      <c r="D12" t="s">
        <v>53</v>
      </c>
      <c r="E12" s="31" t="s">
        <v>55</v>
      </c>
      <c r="F12" t="s">
        <v>56</v>
      </c>
      <c r="G12" t="s">
        <v>2</v>
      </c>
      <c r="H12" t="s">
        <v>46</v>
      </c>
    </row>
    <row r="13" spans="1:20" x14ac:dyDescent="0.35">
      <c r="A13" t="s">
        <v>54</v>
      </c>
      <c r="B13" s="29">
        <v>45412</v>
      </c>
      <c r="C13" s="35">
        <v>6</v>
      </c>
      <c r="D13" s="29">
        <v>45428</v>
      </c>
      <c r="E13" s="29">
        <v>45433</v>
      </c>
      <c r="F13">
        <f>Table3[[#This Row],[Fecha pago D]]-Table3[[#This Row],[t_0]]</f>
        <v>21</v>
      </c>
      <c r="G13" s="32">
        <v>3.6600000000000001E-2</v>
      </c>
      <c r="H13">
        <f>Table3[[#This Row],[D]]*EXP(-Table3[[#This Row],[r]]*Table3[[#This Row],[T]]/365)</f>
        <v>5.9873787727120984</v>
      </c>
      <c r="I13"/>
      <c r="K13" s="31"/>
      <c r="M13"/>
      <c r="O13" s="31"/>
    </row>
    <row r="14" spans="1:20" x14ac:dyDescent="0.35">
      <c r="A14" t="s">
        <v>57</v>
      </c>
      <c r="B14" s="29">
        <v>45412</v>
      </c>
      <c r="C14" s="34">
        <v>0.45</v>
      </c>
      <c r="D14" s="29">
        <v>45429</v>
      </c>
      <c r="E14" s="29">
        <v>45433</v>
      </c>
      <c r="F14">
        <f>Table3[[#This Row],[Fecha pago D]]-Table3[[#This Row],[t_0]]</f>
        <v>21</v>
      </c>
      <c r="G14" s="32">
        <v>3.6600000000000001E-2</v>
      </c>
      <c r="H14">
        <f>Table3[[#This Row],[D]]*EXP(-Table3[[#This Row],[r]]*Table3[[#This Row],[T]]/365)</f>
        <v>0.44905340795340737</v>
      </c>
      <c r="I14"/>
      <c r="K14" s="31"/>
      <c r="M14"/>
      <c r="O14" s="31"/>
    </row>
    <row r="15" spans="1:20" x14ac:dyDescent="0.35">
      <c r="A15" t="s">
        <v>87</v>
      </c>
      <c r="B15" s="29">
        <v>45412</v>
      </c>
      <c r="C15" s="34">
        <v>0.45</v>
      </c>
      <c r="D15" s="29">
        <v>45415</v>
      </c>
      <c r="E15" s="29">
        <v>45419</v>
      </c>
      <c r="F15">
        <f>Table3[[#This Row],[Fecha pago D]]-Table3[[#This Row],[t_0]]</f>
        <v>7</v>
      </c>
      <c r="G15" s="32">
        <v>3.6600000000000001E-2</v>
      </c>
      <c r="H15">
        <f>Table3[[#This Row],[D]]*EXP(-Table3[[#This Row],[r]]*Table3[[#This Row],[T]]/365)</f>
        <v>0.44968424781530608</v>
      </c>
      <c r="J15" s="79">
        <f>27.5-Table3[[#This Row],[VAN(D)]]</f>
        <v>27.050315752184694</v>
      </c>
    </row>
    <row r="18" spans="1:7" x14ac:dyDescent="0.35">
      <c r="A18" t="s">
        <v>58</v>
      </c>
    </row>
    <row r="19" spans="1:7" x14ac:dyDescent="0.35">
      <c r="A19" t="s">
        <v>43</v>
      </c>
      <c r="B19" t="s">
        <v>0</v>
      </c>
      <c r="C19" t="s">
        <v>7</v>
      </c>
      <c r="D19" t="s">
        <v>59</v>
      </c>
      <c r="E19" t="s">
        <v>4</v>
      </c>
      <c r="F19" t="s">
        <v>56</v>
      </c>
      <c r="G19" s="31" t="s">
        <v>60</v>
      </c>
    </row>
    <row r="20" spans="1:7" x14ac:dyDescent="0.35">
      <c r="A20" t="s">
        <v>33</v>
      </c>
      <c r="B20" s="27">
        <f>17932.17*5</f>
        <v>89660.849999999991</v>
      </c>
      <c r="C20" s="29">
        <v>45412</v>
      </c>
      <c r="D20" s="32">
        <v>2.41E-2</v>
      </c>
      <c r="E20" s="29">
        <v>45460</v>
      </c>
      <c r="F20" s="31">
        <f>Table4[[#This Row],[Vencimiento]]-Table4[[#This Row],[t_0]]</f>
        <v>48</v>
      </c>
      <c r="G20" s="30">
        <f>Table4[[#This Row],[S_0]]*EXP(-Table4[[#This Row],[q]]*Table4[[#This Row],[T]]/365)</f>
        <v>89377.136343505903</v>
      </c>
    </row>
    <row r="21" spans="1:7" x14ac:dyDescent="0.35">
      <c r="A21" t="s">
        <v>93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 nuevos</vt:lpstr>
      <vt:lpstr>Max Dividendos</vt:lpstr>
      <vt:lpstr>Datos antiguos</vt:lpstr>
      <vt:lpstr>VAN(D)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Martin Ruiz</dc:creator>
  <cp:lastModifiedBy>Alvaro Martin Ruiz</cp:lastModifiedBy>
  <dcterms:created xsi:type="dcterms:W3CDTF">2024-04-26T17:28:23Z</dcterms:created>
  <dcterms:modified xsi:type="dcterms:W3CDTF">2024-05-05T20:41:04Z</dcterms:modified>
</cp:coreProperties>
</file>