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hamann/Library/Mobile Documents/com~apple~CloudDocs/TEACHING/PROGRAMACION FINANCIERA/PERU BCRP 2025/EJERCICIOS ALUMNOS/"/>
    </mc:Choice>
  </mc:AlternateContent>
  <xr:revisionPtr revIDLastSave="0" documentId="8_{40660157-0AB6-2547-A0BA-6A955A209A3A}" xr6:coauthVersionLast="47" xr6:coauthVersionMax="47" xr10:uidLastSave="{00000000-0000-0000-0000-000000000000}"/>
  <bookViews>
    <workbookView xWindow="0" yWindow="500" windowWidth="28800" windowHeight="17500" activeTab="5" xr2:uid="{C9C6BE4D-5168-4D07-A19A-CD3D58EF0D8A}"/>
  </bookViews>
  <sheets>
    <sheet name="CONVENCIONES" sheetId="19" r:id="rId1"/>
    <sheet name="SUPUESTOS" sheetId="17" r:id="rId2"/>
    <sheet name="VERIFICACION CONSISTENCIA" sheetId="18" r:id="rId3"/>
    <sheet name="SECTOR REAL" sheetId="13" r:id="rId4"/>
    <sheet name="SECTOR EXTERNO" sheetId="14" r:id="rId5"/>
    <sheet name="SECTOR MONETARIO" sheetId="15" r:id="rId6"/>
    <sheet name="SECTOR FISCAL PROGRAMA" sheetId="16" r:id="rId7"/>
    <sheet name="REPLAC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5" l="1"/>
  <c r="G31" i="13"/>
  <c r="F31" i="13"/>
  <c r="I71" i="13"/>
  <c r="F15" i="16"/>
  <c r="F12" i="16"/>
  <c r="F22" i="16"/>
  <c r="F21" i="16" s="1"/>
  <c r="G28" i="16"/>
  <c r="G26" i="16"/>
  <c r="G24" i="16"/>
  <c r="G23" i="16"/>
  <c r="G17" i="16"/>
  <c r="G16" i="16"/>
  <c r="G14" i="16"/>
  <c r="G13" i="16"/>
  <c r="E48" i="16"/>
  <c r="E47" i="16"/>
  <c r="F55" i="16"/>
  <c r="F54" i="16"/>
  <c r="F52" i="16"/>
  <c r="B49" i="16"/>
  <c r="O5" i="17" s="1"/>
  <c r="F53" i="16" s="1"/>
  <c r="B45" i="16"/>
  <c r="B44" i="16"/>
  <c r="F11" i="16" l="1"/>
  <c r="F10" i="16" s="1"/>
  <c r="F29" i="16"/>
  <c r="F30" i="16" s="1"/>
  <c r="G40" i="15" l="1"/>
  <c r="G39" i="15"/>
  <c r="B40" i="15"/>
  <c r="B39" i="15"/>
  <c r="B38" i="15"/>
  <c r="G38" i="15" s="1"/>
  <c r="B68" i="13"/>
  <c r="B67" i="13"/>
  <c r="B66" i="13"/>
  <c r="B65" i="13"/>
  <c r="B64" i="13"/>
  <c r="B63" i="13"/>
  <c r="B62" i="13"/>
  <c r="B61" i="13"/>
  <c r="B60" i="13"/>
  <c r="B59" i="13"/>
  <c r="B58" i="13"/>
  <c r="E25" i="15" l="1"/>
  <c r="E16" i="15"/>
  <c r="E11" i="15"/>
  <c r="F54" i="13"/>
  <c r="F68" i="13"/>
  <c r="F80" i="13"/>
  <c r="F67" i="13"/>
  <c r="F66" i="13"/>
  <c r="F79" i="13"/>
  <c r="F53" i="13" s="1"/>
  <c r="F78" i="13"/>
  <c r="F72" i="13"/>
  <c r="F71" i="13"/>
  <c r="G27" i="14"/>
  <c r="G25" i="14"/>
  <c r="F60" i="13" l="1"/>
  <c r="E58" i="14"/>
  <c r="E57" i="14"/>
  <c r="E55" i="14"/>
  <c r="E54" i="14"/>
  <c r="E53" i="14"/>
  <c r="E52" i="14"/>
  <c r="E51" i="14"/>
  <c r="E13" i="14"/>
  <c r="E12" i="14"/>
  <c r="E11" i="14"/>
  <c r="G33" i="16" l="1"/>
  <c r="G32" i="16"/>
  <c r="O19" i="17"/>
  <c r="O18" i="17"/>
  <c r="L29" i="16"/>
  <c r="D28" i="16"/>
  <c r="D24" i="16"/>
  <c r="B15" i="16"/>
  <c r="D19" i="16"/>
  <c r="D18" i="16"/>
  <c r="D17" i="16"/>
  <c r="D16" i="16"/>
  <c r="D14" i="16"/>
  <c r="D13" i="16"/>
  <c r="O11" i="17" l="1"/>
  <c r="O8" i="17"/>
  <c r="F56" i="16" s="1"/>
  <c r="N11" i="17"/>
  <c r="N9" i="17"/>
  <c r="E10" i="14"/>
  <c r="E9" i="14"/>
  <c r="E8" i="14"/>
  <c r="N8" i="17"/>
  <c r="E14" i="16" s="1"/>
  <c r="D6" i="18"/>
  <c r="E16" i="16" l="1"/>
  <c r="E13" i="16"/>
  <c r="G12" i="16" s="1"/>
  <c r="E28" i="16"/>
  <c r="E17" i="16"/>
  <c r="F16" i="13"/>
  <c r="F17" i="13" s="1"/>
  <c r="F18" i="13" s="1"/>
  <c r="E24" i="16"/>
  <c r="E18" i="16"/>
  <c r="G18" i="16" s="1"/>
  <c r="E19" i="16"/>
  <c r="G19" i="16" s="1"/>
  <c r="F8" i="13"/>
  <c r="E30" i="13"/>
  <c r="F34" i="13" l="1"/>
  <c r="D7" i="18" s="1"/>
  <c r="G8" i="13"/>
  <c r="F19" i="13"/>
  <c r="G15" i="16"/>
  <c r="G11" i="16" s="1"/>
  <c r="B12" i="16"/>
  <c r="B11" i="16" s="1"/>
  <c r="G34" i="13" l="1"/>
  <c r="F20" i="13"/>
  <c r="G20" i="6"/>
  <c r="N15" i="6"/>
  <c r="M15" i="6"/>
  <c r="B11" i="15"/>
  <c r="B28" i="15" s="1"/>
  <c r="B20" i="15"/>
  <c r="B15" i="15"/>
  <c r="B23" i="14"/>
  <c r="B18" i="14"/>
  <c r="B15" i="14"/>
  <c r="B7" i="14"/>
  <c r="B6" i="14" s="1"/>
  <c r="B37" i="14" s="1"/>
  <c r="F21" i="13" l="1"/>
  <c r="B14" i="15"/>
  <c r="F22" i="13" l="1"/>
  <c r="B31" i="16"/>
  <c r="B25" i="16"/>
  <c r="B22" i="16"/>
  <c r="B21" i="16" s="1"/>
  <c r="B10" i="16"/>
  <c r="L17" i="6"/>
  <c r="B29" i="16" l="1"/>
  <c r="B30" i="16"/>
  <c r="B34" i="16" s="1"/>
  <c r="B39" i="6"/>
  <c r="B40" i="6"/>
  <c r="G40" i="6" s="1"/>
  <c r="B41" i="6"/>
  <c r="G41" i="6" s="1"/>
  <c r="G21" i="15" l="1"/>
  <c r="B43" i="14" l="1"/>
  <c r="B15" i="6" l="1"/>
  <c r="B10" i="6"/>
  <c r="G33" i="14" l="1"/>
  <c r="B29" i="13"/>
  <c r="B18" i="6"/>
  <c r="F13" i="14"/>
  <c r="F10" i="14"/>
  <c r="F8" i="14"/>
  <c r="G30" i="14"/>
  <c r="B38" i="6" l="1"/>
  <c r="G38" i="6" s="1"/>
  <c r="F9" i="14"/>
  <c r="G8" i="14" s="1"/>
  <c r="F16" i="14" s="1"/>
  <c r="G16" i="14" s="1"/>
  <c r="F12" i="14" l="1"/>
  <c r="E64" i="14"/>
  <c r="E65" i="14" s="1"/>
  <c r="E66" i="14" s="1"/>
  <c r="E67" i="14" s="1"/>
  <c r="F38" i="13" l="1"/>
  <c r="F35" i="13"/>
  <c r="G35" i="13" s="1"/>
  <c r="G25" i="16"/>
  <c r="G11" i="13"/>
  <c r="G38" i="13" l="1"/>
  <c r="G52" i="13" s="1"/>
  <c r="F52" i="13"/>
  <c r="E25" i="16"/>
  <c r="F45" i="13" s="1"/>
  <c r="B24" i="6"/>
  <c r="E21" i="6"/>
  <c r="G21" i="6" s="1"/>
  <c r="I21" i="6" s="1"/>
  <c r="E17" i="6"/>
  <c r="G17" i="6" s="1"/>
  <c r="G16" i="6"/>
  <c r="B14" i="6"/>
  <c r="E12" i="6"/>
  <c r="G12" i="6" s="1"/>
  <c r="E11" i="6"/>
  <c r="G18" i="6" l="1"/>
  <c r="E18" i="6" s="1"/>
  <c r="G45" i="13" s="1"/>
  <c r="B23" i="6"/>
  <c r="B22" i="6"/>
  <c r="B27" i="6" l="1"/>
  <c r="B18" i="15" l="1"/>
  <c r="B23" i="15" s="1"/>
  <c r="G23" i="15" s="1"/>
  <c r="G11" i="6" l="1"/>
  <c r="G33" i="13" l="1"/>
  <c r="G32" i="13" l="1"/>
  <c r="F33" i="13"/>
  <c r="G27" i="15" l="1"/>
  <c r="F51" i="16"/>
  <c r="G54" i="13"/>
  <c r="G31" i="6"/>
  <c r="B25" i="13"/>
  <c r="G25" i="13" s="1"/>
  <c r="G44" i="14" s="1"/>
  <c r="B16" i="13"/>
  <c r="B37" i="15" s="1"/>
  <c r="B31" i="6"/>
  <c r="G19" i="6" s="1"/>
  <c r="G15" i="6" s="1"/>
  <c r="G14" i="6" s="1"/>
  <c r="B33" i="6"/>
  <c r="B51" i="16"/>
  <c r="B40" i="16" s="1"/>
  <c r="B22" i="13"/>
  <c r="G22" i="13" s="1"/>
  <c r="G20" i="13"/>
  <c r="B20" i="13"/>
  <c r="G19" i="13"/>
  <c r="B19" i="13"/>
  <c r="B18" i="13"/>
  <c r="G18" i="13" s="1"/>
  <c r="B21" i="13"/>
  <c r="G21" i="13" s="1"/>
  <c r="G17" i="13"/>
  <c r="B17" i="13"/>
  <c r="F59" i="13"/>
  <c r="B38" i="16" l="1"/>
  <c r="B35" i="16"/>
  <c r="G14" i="15"/>
  <c r="G16" i="13"/>
  <c r="B37" i="16"/>
  <c r="B32" i="6"/>
  <c r="G13" i="6"/>
  <c r="G10" i="6" s="1"/>
  <c r="B36" i="6"/>
  <c r="G20" i="16"/>
  <c r="G10" i="16" s="1"/>
  <c r="G37" i="15" l="1"/>
  <c r="G24" i="13"/>
  <c r="G23" i="6"/>
  <c r="G24" i="6" s="1"/>
  <c r="G22" i="6"/>
  <c r="J30" i="16"/>
  <c r="K30" i="16" s="1"/>
  <c r="L30" i="16" s="1"/>
  <c r="G27" i="16" s="1"/>
  <c r="G22" i="16" s="1"/>
  <c r="G21" i="16" s="1"/>
  <c r="G29" i="16" s="1"/>
  <c r="G30" i="16" l="1"/>
  <c r="G31" i="16" s="1"/>
  <c r="G34" i="16" s="1"/>
  <c r="F20" i="14"/>
  <c r="G20" i="14" s="1"/>
  <c r="E56" i="14"/>
  <c r="F19" i="14"/>
  <c r="G19" i="14" s="1"/>
  <c r="G16" i="15"/>
  <c r="G11" i="15"/>
  <c r="G35" i="6"/>
  <c r="G27" i="6"/>
  <c r="J31" i="16"/>
  <c r="G18" i="14" l="1"/>
  <c r="E74" i="14" s="1"/>
  <c r="E75" i="14" s="1"/>
  <c r="E76" i="14" s="1"/>
  <c r="E77" i="14" s="1"/>
  <c r="F9" i="13" s="1"/>
  <c r="G9" i="13" s="1"/>
  <c r="G10" i="13" s="1"/>
  <c r="G12" i="13" s="1"/>
  <c r="G25" i="15"/>
  <c r="G9" i="15"/>
  <c r="G10" i="15" s="1"/>
  <c r="I27" i="6"/>
  <c r="G28" i="6"/>
  <c r="G28" i="15"/>
  <c r="G26" i="14"/>
  <c r="G24" i="14" s="1"/>
  <c r="G23" i="14" s="1"/>
  <c r="G21" i="14"/>
  <c r="F12" i="15"/>
  <c r="G12" i="15" s="1"/>
  <c r="G29" i="15" s="1"/>
  <c r="F7" i="6"/>
  <c r="G35" i="16"/>
  <c r="G13" i="15" l="1"/>
  <c r="E79" i="14"/>
  <c r="E80" i="14"/>
  <c r="E81" i="14" s="1"/>
  <c r="E82" i="14" s="1"/>
  <c r="F13" i="13" s="1"/>
  <c r="G13" i="13" s="1"/>
  <c r="G14" i="13" s="1"/>
  <c r="F30" i="13" s="1"/>
  <c r="G18" i="15"/>
  <c r="I25" i="15"/>
  <c r="G30" i="13" l="1"/>
  <c r="G44" i="13" s="1"/>
  <c r="F44" i="13"/>
  <c r="I13" i="15"/>
  <c r="G30" i="15"/>
  <c r="G29" i="13" l="1"/>
  <c r="G43" i="13"/>
  <c r="G37" i="13" l="1"/>
  <c r="F37" i="13" s="1"/>
  <c r="F11" i="14" s="1"/>
  <c r="G11" i="14" s="1"/>
  <c r="F17" i="14" l="1"/>
  <c r="G17" i="14" s="1"/>
  <c r="G15" i="14" s="1"/>
  <c r="G7" i="14"/>
  <c r="G6" i="14" l="1"/>
  <c r="G37" i="14" s="1"/>
  <c r="G38" i="14" s="1"/>
  <c r="G43" i="14" s="1"/>
  <c r="G46" i="14" s="1"/>
  <c r="G19" i="15" s="1"/>
  <c r="G20" i="15" s="1"/>
  <c r="G22" i="15" s="1"/>
  <c r="E69" i="14"/>
  <c r="E70" i="14" s="1"/>
  <c r="E71" i="14" s="1"/>
  <c r="E72" i="14" s="1"/>
  <c r="F39" i="13" s="1"/>
  <c r="G39" i="13" s="1"/>
  <c r="G53" i="13" s="1"/>
  <c r="G47" i="13" s="1"/>
  <c r="G40" i="13" l="1"/>
  <c r="J40" i="13" s="1"/>
  <c r="I40" i="13" s="1"/>
  <c r="G46" i="13"/>
  <c r="F61" i="13" s="1"/>
  <c r="G48" i="13"/>
  <c r="G49" i="13" s="1"/>
  <c r="E59" i="14"/>
  <c r="G51" i="13"/>
  <c r="F46" i="13" l="1"/>
  <c r="F64" i="13"/>
  <c r="F62" i="13"/>
  <c r="F73" i="13"/>
  <c r="F6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 Hamann</author>
  </authors>
  <commentList>
    <comment ref="F11" authorId="0" shapeId="0" xr:uid="{68583B34-594C-A847-B270-B901C4CE5C95}">
      <text>
        <r>
          <rPr>
            <b/>
            <sz val="10"/>
            <color rgb="FF000000"/>
            <rFont val="Tahoma"/>
            <family val="2"/>
          </rPr>
          <t>Javier Hamann: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Aumento de tasa efectiva en 1.5
</t>
        </r>
        <r>
          <rPr>
            <sz val="10"/>
            <color rgb="FF000000"/>
            <rFont val="Tahoma"/>
            <family val="2"/>
          </rPr>
          <t xml:space="preserve">%.
</t>
        </r>
      </text>
    </comment>
    <comment ref="F21" authorId="0" shapeId="0" xr:uid="{81B119D9-EAE5-1149-BC7D-96036FA36FD0}">
      <text>
        <r>
          <rPr>
            <b/>
            <sz val="10"/>
            <color rgb="FF000000"/>
            <rFont val="Tahoma"/>
            <family val="2"/>
          </rPr>
          <t>Javier Hamann: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Congelamiento de l Ig</t>
        </r>
      </text>
    </comment>
  </commentList>
</comments>
</file>

<file path=xl/sharedStrings.xml><?xml version="1.0" encoding="utf-8"?>
<sst xmlns="http://schemas.openxmlformats.org/spreadsheetml/2006/main" count="354" uniqueCount="241">
  <si>
    <t>EJERCICIO DE PROYECCION DEL SECTOR FISCAL</t>
  </si>
  <si>
    <t>Tributarios</t>
  </si>
  <si>
    <t>No tributarios</t>
  </si>
  <si>
    <t>Corrientes</t>
  </si>
  <si>
    <t>Sueldos y salarios</t>
  </si>
  <si>
    <t>Bienes y servicios</t>
  </si>
  <si>
    <t>Intereses</t>
  </si>
  <si>
    <t>Capital</t>
  </si>
  <si>
    <t>BALANCE TOTAL</t>
  </si>
  <si>
    <t>INGRESOS</t>
  </si>
  <si>
    <t>GASTOS</t>
  </si>
  <si>
    <t>BALANCE PRIMARIO</t>
  </si>
  <si>
    <t>FINANCIAMIENTO</t>
  </si>
  <si>
    <t>Supuesto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</si>
  <si>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%</t>
    </r>
  </si>
  <si>
    <t>Proyeccion</t>
  </si>
  <si>
    <r>
      <t>e</t>
    </r>
    <r>
      <rPr>
        <b/>
        <i/>
        <sz val="11"/>
        <color rgb="FFFF0000"/>
        <rFont val="Calibri"/>
        <family val="2"/>
        <scheme val="minor"/>
      </rPr>
      <t>(y)</t>
    </r>
  </si>
  <si>
    <t>Externo (flujo)</t>
  </si>
  <si>
    <t>Interno (flujo)</t>
  </si>
  <si>
    <t>BRECHA DE FINANCIAMIENTO</t>
  </si>
  <si>
    <t>Memorandum</t>
  </si>
  <si>
    <t>Deuda (% PBI)</t>
  </si>
  <si>
    <t>Tasa de interes implicita</t>
  </si>
  <si>
    <t>Crecimiento del PBI nominal</t>
  </si>
  <si>
    <t>Crecimiento del PBI real</t>
  </si>
  <si>
    <t>Cambio en el deflactor del PBI</t>
  </si>
  <si>
    <t>Inflacion (IPC)</t>
  </si>
  <si>
    <t>PROGRAMA</t>
  </si>
  <si>
    <t>Y</t>
  </si>
  <si>
    <t>RF</t>
  </si>
  <si>
    <t>PNB</t>
  </si>
  <si>
    <t>TI</t>
  </si>
  <si>
    <t>INB</t>
  </si>
  <si>
    <t>TX</t>
  </si>
  <si>
    <t>Yd</t>
  </si>
  <si>
    <t>Cp</t>
  </si>
  <si>
    <t>Cg</t>
  </si>
  <si>
    <t>IBFp</t>
  </si>
  <si>
    <t>IBFg</t>
  </si>
  <si>
    <t>X</t>
  </si>
  <si>
    <t>Im</t>
  </si>
  <si>
    <t>I</t>
  </si>
  <si>
    <t>Valores reales (millones de soles de 2007)</t>
  </si>
  <si>
    <t>Valores nominales (millones de soles)</t>
  </si>
  <si>
    <t>C</t>
  </si>
  <si>
    <t>IBF</t>
  </si>
  <si>
    <t>Acumulacion de inventarios</t>
  </si>
  <si>
    <t>DEFLACTORES</t>
  </si>
  <si>
    <t>Niveles (2007=100)</t>
  </si>
  <si>
    <t>Cambios porcentuales</t>
  </si>
  <si>
    <t>FISCAL</t>
  </si>
  <si>
    <t>RATIO CTE</t>
  </si>
  <si>
    <t>CHECK</t>
  </si>
  <si>
    <t>PERU. BALANZA DE PAGOS</t>
  </si>
  <si>
    <t>En millones de dolares americanos</t>
  </si>
  <si>
    <t>CUENTA CORRIENTE</t>
  </si>
  <si>
    <t>Balanza comercial</t>
  </si>
  <si>
    <t>Exportaciones FOB</t>
  </si>
  <si>
    <t>Importaciones FOB</t>
  </si>
  <si>
    <t>Balanza de servicios</t>
  </si>
  <si>
    <t>Exportaciones</t>
  </si>
  <si>
    <t>Importaciones</t>
  </si>
  <si>
    <t>Renta de factores</t>
  </si>
  <si>
    <t>Privado</t>
  </si>
  <si>
    <t>Público</t>
  </si>
  <si>
    <t>Transferencias corrientes</t>
  </si>
  <si>
    <t>De las cuales: Remesas del exterior</t>
  </si>
  <si>
    <t>CUENTA FINANCIERA</t>
  </si>
  <si>
    <t>Inversion directa Extranjera</t>
  </si>
  <si>
    <t>ID en el extranjero</t>
  </si>
  <si>
    <t>IDE en el pais</t>
  </si>
  <si>
    <t>Inversion de cartera</t>
  </si>
  <si>
    <t>IC en el extranjero</t>
  </si>
  <si>
    <t>IC en el pais</t>
  </si>
  <si>
    <t>Prestamos de LP</t>
  </si>
  <si>
    <t>Prestamos netos (Sector privado)</t>
  </si>
  <si>
    <t>Prestamos netos (Sector publico)</t>
  </si>
  <si>
    <t>Capitales de corto plazo (privado)</t>
  </si>
  <si>
    <t>Acumulacion de activos (publico)</t>
  </si>
  <si>
    <t>FINANCIAMIENTO EXCEPCIONAL</t>
  </si>
  <si>
    <t>ERRORES Y OMISIONES NETOS</t>
  </si>
  <si>
    <t>RESULTADO DE BALANZA DE PAGOS</t>
  </si>
  <si>
    <t>[Demanda (absorcion)]</t>
  </si>
  <si>
    <t>----&gt;</t>
  </si>
  <si>
    <t>[Proxy para Cg)</t>
  </si>
  <si>
    <t>Propor. a X bienes</t>
  </si>
  <si>
    <t>Propor. a M bienes</t>
  </si>
  <si>
    <t>% PBI constante</t>
  </si>
  <si>
    <t>(PBI en millones de soles)</t>
  </si>
  <si>
    <t>Demanda</t>
  </si>
  <si>
    <t>BALANCE PRIMARIO (% PBI)</t>
  </si>
  <si>
    <t>BALANCE TOTAL (% PBI)</t>
  </si>
  <si>
    <t>Deuda (millones de soles)</t>
  </si>
  <si>
    <t>Transferencias</t>
  </si>
  <si>
    <t>En millones de soles</t>
  </si>
  <si>
    <t>Prop. Cte del PBI</t>
  </si>
  <si>
    <t>---&gt;</t>
  </si>
  <si>
    <t>SUPUESTOS FISCALES</t>
  </si>
  <si>
    <t>Financiamiento externo neto = 0</t>
  </si>
  <si>
    <t>Financiamiento interno neto = 1,500</t>
  </si>
  <si>
    <t>Variación del saldo de ARN</t>
  </si>
  <si>
    <t>Efecto valuación</t>
  </si>
  <si>
    <t>Activos de reserva del BCRP</t>
  </si>
  <si>
    <t>Pasivos de corto plazo BCRP</t>
  </si>
  <si>
    <t>ARN</t>
  </si>
  <si>
    <t>PBI [en millones de dolares]</t>
  </si>
  <si>
    <t>Cuentas Monetarias de las Sociedades de Depósito</t>
  </si>
  <si>
    <t>(millones de soles)</t>
  </si>
  <si>
    <t>ACTIVOS</t>
  </si>
  <si>
    <t>A. Activos Externos Netos</t>
  </si>
  <si>
    <t>B. Crédito Interno</t>
  </si>
  <si>
    <t>B.1 Sector Púlico</t>
  </si>
  <si>
    <t>B.2 Sector Privado</t>
  </si>
  <si>
    <t>C. Otros Activos Netos</t>
  </si>
  <si>
    <t>PASIVOS</t>
  </si>
  <si>
    <t>Credito Interno (% PBI)</t>
  </si>
  <si>
    <t xml:space="preserve">Sector Publico </t>
  </si>
  <si>
    <t>Sector Privado</t>
  </si>
  <si>
    <t>PBI nominal</t>
  </si>
  <si>
    <t>M0</t>
  </si>
  <si>
    <t>SOCIEDADES DE DEPOSITO</t>
  </si>
  <si>
    <t>BANCO CENTRAL</t>
  </si>
  <si>
    <t>Externos netos (AEN)</t>
  </si>
  <si>
    <t>Crédito Interno</t>
  </si>
  <si>
    <t>Sector público</t>
  </si>
  <si>
    <t>Sistema Bancario</t>
  </si>
  <si>
    <t>Otros Activos Netos (OAN)</t>
  </si>
  <si>
    <t>MEMORANDUM</t>
  </si>
  <si>
    <t>M3</t>
  </si>
  <si>
    <t>X de bienes y servicios no factoriales</t>
  </si>
  <si>
    <t>Im de bienes y servicios no factoriales</t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</si>
  <si>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valor en dolares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</si>
  <si>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real en soles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</si>
  <si>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%  valor en soles</t>
    </r>
  </si>
  <si>
    <t>CALCULOS PARA SECTOR REAL</t>
  </si>
  <si>
    <t>ARN en soles</t>
  </si>
  <si>
    <r>
      <t>CHECK (</t>
    </r>
    <r>
      <rPr>
        <b/>
        <i/>
        <sz val="11"/>
        <color rgb="FFFFFF00"/>
        <rFont val="Symbol"/>
        <family val="1"/>
        <charset val="2"/>
      </rPr>
      <t>D</t>
    </r>
    <r>
      <rPr>
        <b/>
        <i/>
        <sz val="11"/>
        <color rgb="FFFFFF00"/>
        <rFont val="Calibri"/>
        <family val="2"/>
        <scheme val="minor"/>
      </rPr>
      <t>%)</t>
    </r>
  </si>
  <si>
    <t>A cuentas monetarias</t>
  </si>
  <si>
    <t>AJUSTE</t>
  </si>
  <si>
    <t>Aumento nominal ajustado para SECTOR REAL</t>
  </si>
  <si>
    <t>SECTOR REAL</t>
  </si>
  <si>
    <t>-----&gt;</t>
  </si>
  <si>
    <t>% del PBI</t>
  </si>
  <si>
    <t>Kt</t>
  </si>
  <si>
    <t>Kg</t>
  </si>
  <si>
    <t>PBI POR TIPO DE INGRESO</t>
  </si>
  <si>
    <t>Tr</t>
  </si>
  <si>
    <t>INBD</t>
  </si>
  <si>
    <t>PBI POR TIPO DE GASTO</t>
  </si>
  <si>
    <t>Constante</t>
  </si>
  <si>
    <t>DISCRECIONAL</t>
  </si>
  <si>
    <t>T/C</t>
  </si>
  <si>
    <t>Dy</t>
  </si>
  <si>
    <t>Relaciones funcionales</t>
  </si>
  <si>
    <t>Valores paramétricos</t>
  </si>
  <si>
    <t>Impuesto a la renta</t>
  </si>
  <si>
    <t>Otros impuestos directos</t>
  </si>
  <si>
    <t>Impuestos directos</t>
  </si>
  <si>
    <t>Impuestos indirectos</t>
  </si>
  <si>
    <t>IGV</t>
  </si>
  <si>
    <t>ISC</t>
  </si>
  <si>
    <t>Otros impuestos indirectos</t>
  </si>
  <si>
    <t>PROYECCION 2025</t>
  </si>
  <si>
    <t xml:space="preserve">  </t>
  </si>
  <si>
    <r>
      <t>T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Impuesto a la renta</t>
    </r>
  </si>
  <si>
    <r>
      <t>T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Otros impuestos directos</t>
    </r>
  </si>
  <si>
    <r>
      <t>T</t>
    </r>
    <r>
      <rPr>
        <sz val="8"/>
        <color theme="1"/>
        <rFont val="Calibri (Body)"/>
      </rPr>
      <t>3</t>
    </r>
    <r>
      <rPr>
        <sz val="11"/>
        <color theme="1"/>
        <rFont val="Calibri"/>
        <family val="2"/>
        <scheme val="minor"/>
      </rPr>
      <t xml:space="preserve"> = IGV, ISC, otros impuestos indirectos</t>
    </r>
  </si>
  <si>
    <r>
      <t>G</t>
    </r>
    <r>
      <rPr>
        <sz val="8"/>
        <color theme="1"/>
        <rFont val="Calibri (Body)"/>
      </rPr>
      <t>1</t>
    </r>
    <r>
      <rPr>
        <sz val="11"/>
        <color theme="1"/>
        <rFont val="Calibri"/>
        <family val="2"/>
        <scheme val="minor"/>
      </rPr>
      <t xml:space="preserve"> = Gasto en bienes y servicios</t>
    </r>
  </si>
  <si>
    <r>
      <t>T</t>
    </r>
    <r>
      <rPr>
        <sz val="8"/>
        <color theme="1"/>
        <rFont val="Calibri (Body)"/>
      </rPr>
      <t>4</t>
    </r>
    <r>
      <rPr>
        <sz val="11"/>
        <color theme="1"/>
        <rFont val="Calibri"/>
        <family val="2"/>
        <scheme val="minor"/>
      </rPr>
      <t xml:space="preserve"> = Ingresos no tributarios</t>
    </r>
  </si>
  <si>
    <t>Origen</t>
  </si>
  <si>
    <t>Regla</t>
  </si>
  <si>
    <t>SECTOR EXTERNO</t>
  </si>
  <si>
    <t>SUPUESTOS, PMC</t>
  </si>
  <si>
    <t>SECTOR FISCAL</t>
  </si>
  <si>
    <t>Escenarios</t>
  </si>
  <si>
    <t>(Factor procÍclico)</t>
  </si>
  <si>
    <t>Verificación</t>
  </si>
  <si>
    <t>Pro-ciclicalidad de la I</t>
  </si>
  <si>
    <t>Razonable?</t>
  </si>
  <si>
    <t>Todas las tasas de crecimiento se expresan en tanto por uno y se muestran con signo porcentual.</t>
  </si>
  <si>
    <t>Ejemplo, 6.25 por ciento se coloca en la celda como 0.0625 y se selecciona el formato "porcentaje". La celda muestra</t>
  </si>
  <si>
    <t>1.</t>
  </si>
  <si>
    <t>2.</t>
  </si>
  <si>
    <t>Codigos de color para números:</t>
  </si>
  <si>
    <t>Azul</t>
  </si>
  <si>
    <t>Fórmulas con operaciones entre numeros de una misma hoja.</t>
  </si>
  <si>
    <t>Negro</t>
  </si>
  <si>
    <t>Números insertados manualmente.</t>
  </si>
  <si>
    <t>Balanza de Pagos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</si>
  <si>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% in I</t>
    </r>
  </si>
  <si>
    <t>BASE</t>
  </si>
  <si>
    <t>(Narrativa que sustenta el escenario)</t>
  </si>
  <si>
    <t>Verde</t>
  </si>
  <si>
    <t>Numeros importados de otra hoja.</t>
  </si>
  <si>
    <t>Proyecciones</t>
  </si>
  <si>
    <t>Rojo</t>
  </si>
  <si>
    <r>
      <t>e</t>
    </r>
    <r>
      <rPr>
        <b/>
        <sz val="11"/>
        <color theme="4"/>
        <rFont val="Calibri"/>
        <family val="2"/>
        <scheme val="minor"/>
      </rPr>
      <t>(y*)</t>
    </r>
  </si>
  <si>
    <r>
      <t>e</t>
    </r>
    <r>
      <rPr>
        <b/>
        <sz val="11"/>
        <color theme="4"/>
        <rFont val="Calibri"/>
        <family val="2"/>
        <scheme val="minor"/>
      </rPr>
      <t>(t/cR)</t>
    </r>
  </si>
  <si>
    <r>
      <t>e</t>
    </r>
    <r>
      <rPr>
        <b/>
        <sz val="11"/>
        <color theme="4"/>
        <rFont val="Calibri"/>
        <family val="2"/>
        <scheme val="minor"/>
      </rPr>
      <t>(Px*)</t>
    </r>
  </si>
  <si>
    <r>
      <t>e</t>
    </r>
    <r>
      <rPr>
        <b/>
        <sz val="11"/>
        <color theme="4"/>
        <rFont val="Calibri"/>
        <family val="2"/>
        <scheme val="minor"/>
      </rPr>
      <t>(Dem)</t>
    </r>
  </si>
  <si>
    <r>
      <t>e</t>
    </r>
    <r>
      <rPr>
        <b/>
        <sz val="11"/>
        <color theme="4"/>
        <rFont val="Calibri"/>
        <family val="2"/>
        <scheme val="minor"/>
      </rPr>
      <t>(Pm*)</t>
    </r>
  </si>
  <si>
    <t>Base</t>
  </si>
  <si>
    <t>Programa</t>
  </si>
  <si>
    <t>% cte. del PBI</t>
  </si>
  <si>
    <t>Discrecional</t>
  </si>
  <si>
    <t>[Proxy para Cg en SECTOR REAL)</t>
  </si>
  <si>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%Cg</t>
    </r>
  </si>
  <si>
    <r>
      <t>G</t>
    </r>
    <r>
      <rPr>
        <sz val="8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= Gastos de capital</t>
    </r>
  </si>
  <si>
    <t>Azul/gris</t>
  </si>
  <si>
    <t>Numeros q seran exportados a otra hoja</t>
  </si>
  <si>
    <t>Balance primario (% PBI)</t>
  </si>
  <si>
    <t>Brecha de financiamiento</t>
  </si>
  <si>
    <t>Brecha de financiamiento (% PBI)</t>
  </si>
  <si>
    <t>Balance total (% PBI)</t>
  </si>
  <si>
    <t>Interno</t>
  </si>
  <si>
    <t>Externo</t>
  </si>
  <si>
    <t>Financiamiento del G (S/.)</t>
  </si>
  <si>
    <t>CALCULO DE INTERESES</t>
  </si>
  <si>
    <t>Iter</t>
  </si>
  <si>
    <t>Dt+1</t>
  </si>
  <si>
    <t>(Dt+Dt+1)/2</t>
  </si>
  <si>
    <t>ixD</t>
  </si>
  <si>
    <t>SUPUESTOS PARA PROYECCION DE BP (BASE)</t>
  </si>
  <si>
    <t>PBI en dólares</t>
  </si>
  <si>
    <t>Residuo</t>
  </si>
  <si>
    <t>Proporc. Cte. De IBF</t>
  </si>
  <si>
    <r>
      <t>=</t>
    </r>
    <r>
      <rPr>
        <b/>
        <i/>
        <sz val="11"/>
        <color theme="4"/>
        <rFont val="Symbol"/>
        <charset val="2"/>
      </rPr>
      <t>D</t>
    </r>
    <r>
      <rPr>
        <b/>
        <i/>
        <sz val="11"/>
        <color theme="4"/>
        <rFont val="Calibri"/>
        <family val="2"/>
        <scheme val="minor"/>
      </rPr>
      <t>% I (en dolares)</t>
    </r>
  </si>
  <si>
    <t xml:space="preserve"> BASE</t>
  </si>
  <si>
    <t>SECTOR MONETARIO</t>
  </si>
  <si>
    <r>
      <rPr>
        <b/>
        <sz val="11"/>
        <color theme="1"/>
        <rFont val="Symbol"/>
        <family val="1"/>
        <charset val="2"/>
      </rPr>
      <t xml:space="preserve">D </t>
    </r>
    <r>
      <rPr>
        <b/>
        <sz val="11"/>
        <color theme="1"/>
        <rFont val="Calibri"/>
        <family val="2"/>
      </rPr>
      <t>absoluto</t>
    </r>
  </si>
  <si>
    <t>SUPUESTO/ORIGEN</t>
  </si>
  <si>
    <t>Credito interno/PBI =</t>
  </si>
  <si>
    <t>SUPUESTOS PARA PROYECCION DE SECTOR MONETARIO</t>
  </si>
  <si>
    <t>Brecha (% PBI) =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</si>
  <si>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G (%PBI)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</si>
  <si>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T (%PBI)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</si>
  <si>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 xml:space="preserve">%PBI = </t>
    </r>
  </si>
  <si>
    <t>SUPUESTOS PARA PROYECCION FISCAL (PROGRAMA)</t>
  </si>
  <si>
    <t>Ajuste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</si>
  <si>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G (S/.)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</si>
  <si>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family val="2"/>
        <scheme val="minor"/>
      </rPr>
      <t>T (S/.)</t>
    </r>
    <r>
      <rPr>
        <sz val="11"/>
        <color theme="1"/>
        <rFont val="Calibri"/>
        <family val="2"/>
        <charset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</si>
</sst>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  <numFmt numFmtId="168" formatCode="0.000000000000000%"/>
    <numFmt numFmtId="169" formatCode="_(* #,##0_);_(* \(#,##0\);_(* &quot;-&quot;?_);_(@_)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Symbol"/>
      <family val="1"/>
      <charset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 val="singleAccounting"/>
      <sz val="11"/>
      <color theme="4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b/>
      <sz val="11"/>
      <color theme="3"/>
      <name val="Calibri"/>
      <family val="2"/>
    </font>
    <font>
      <b/>
      <i/>
      <sz val="11"/>
      <color theme="3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color theme="6" tint="-0.499984740745262"/>
      <name val="Calibri"/>
      <family val="2"/>
    </font>
    <font>
      <b/>
      <u/>
      <sz val="11"/>
      <color theme="6" tint="-0.499984740745262"/>
      <name val="Calibri"/>
      <family val="2"/>
    </font>
    <font>
      <b/>
      <u/>
      <sz val="11"/>
      <color theme="4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Symbol"/>
      <family val="1"/>
      <charset val="2"/>
    </font>
    <font>
      <b/>
      <sz val="11"/>
      <color rgb="FFFF0000"/>
      <name val="Calibri"/>
      <family val="1"/>
      <charset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Calibri"/>
      <family val="1"/>
      <charset val="2"/>
      <scheme val="minor"/>
    </font>
    <font>
      <b/>
      <i/>
      <sz val="11"/>
      <color rgb="FFFFFF00"/>
      <name val="Symbol"/>
      <family val="1"/>
      <charset val="2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4"/>
      <name val="Calibri"/>
      <family val="2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</font>
    <font>
      <b/>
      <sz val="11"/>
      <color rgb="FF4472C4"/>
      <name val="Calibri"/>
      <family val="2"/>
      <scheme val="minor"/>
    </font>
    <font>
      <i/>
      <sz val="11"/>
      <color rgb="FF4472C4"/>
      <name val="Calibri"/>
      <family val="2"/>
      <scheme val="minor"/>
    </font>
    <font>
      <b/>
      <sz val="11"/>
      <color rgb="FFC00000"/>
      <name val="Calibri"/>
      <family val="1"/>
      <charset val="2"/>
    </font>
    <font>
      <sz val="11"/>
      <color rgb="FF000000"/>
      <name val="Cambria Math"/>
      <family val="1"/>
    </font>
    <font>
      <i/>
      <sz val="11"/>
      <color theme="1"/>
      <name val="Calibri"/>
      <family val="2"/>
    </font>
    <font>
      <sz val="12"/>
      <color theme="1"/>
      <name val="Cambria Math"/>
      <family val="1"/>
    </font>
    <font>
      <sz val="8"/>
      <color theme="1"/>
      <name val="Calibri (Body)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/>
      <name val="Symbol"/>
      <family val="1"/>
      <charset val="2"/>
    </font>
    <font>
      <b/>
      <i/>
      <sz val="11"/>
      <color theme="4"/>
      <name val="Symbol"/>
      <charset val="2"/>
    </font>
    <font>
      <b/>
      <i/>
      <sz val="11"/>
      <color theme="4"/>
      <name val="Calibri"/>
      <family val="2"/>
      <charset val="2"/>
      <scheme val="minor"/>
    </font>
    <font>
      <i/>
      <sz val="1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A7A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43" fontId="0" fillId="0" borderId="0" xfId="1" applyFont="1"/>
    <xf numFmtId="0" fontId="8" fillId="0" borderId="0" xfId="0" applyFont="1"/>
    <xf numFmtId="0" fontId="2" fillId="0" borderId="0" xfId="0" applyFont="1"/>
    <xf numFmtId="0" fontId="11" fillId="0" borderId="0" xfId="0" applyFont="1"/>
    <xf numFmtId="0" fontId="13" fillId="2" borderId="0" xfId="0" applyFont="1" applyFill="1" applyAlignment="1">
      <alignment horizontal="left"/>
    </xf>
    <xf numFmtId="0" fontId="9" fillId="3" borderId="0" xfId="0" applyFont="1" applyFill="1" applyAlignment="1">
      <alignment horizontal="right"/>
    </xf>
    <xf numFmtId="0" fontId="10" fillId="3" borderId="0" xfId="0" applyFont="1" applyFill="1"/>
    <xf numFmtId="0" fontId="4" fillId="0" borderId="0" xfId="0" applyFont="1" applyAlignment="1">
      <alignment horizontal="center"/>
    </xf>
    <xf numFmtId="0" fontId="15" fillId="0" borderId="0" xfId="0" applyFont="1"/>
    <xf numFmtId="164" fontId="0" fillId="0" borderId="0" xfId="1" applyNumberFormat="1" applyFont="1"/>
    <xf numFmtId="164" fontId="7" fillId="0" borderId="0" xfId="1" applyNumberFormat="1" applyFont="1"/>
    <xf numFmtId="164" fontId="12" fillId="0" borderId="0" xfId="1" applyNumberFormat="1" applyFont="1"/>
    <xf numFmtId="164" fontId="11" fillId="3" borderId="0" xfId="1" applyNumberFormat="1" applyFont="1" applyFill="1"/>
    <xf numFmtId="164" fontId="12" fillId="4" borderId="0" xfId="0" applyNumberFormat="1" applyFont="1" applyFill="1"/>
    <xf numFmtId="164" fontId="12" fillId="0" borderId="0" xfId="0" applyNumberFormat="1" applyFont="1"/>
    <xf numFmtId="0" fontId="16" fillId="0" borderId="0" xfId="0" applyFont="1"/>
    <xf numFmtId="0" fontId="17" fillId="0" borderId="0" xfId="0" applyFont="1"/>
    <xf numFmtId="165" fontId="0" fillId="0" borderId="0" xfId="1" applyNumberFormat="1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166" fontId="0" fillId="0" borderId="0" xfId="0" applyNumberFormat="1"/>
    <xf numFmtId="166" fontId="12" fillId="0" borderId="0" xfId="0" applyNumberFormat="1" applyFont="1"/>
    <xf numFmtId="165" fontId="12" fillId="0" borderId="0" xfId="1" applyNumberFormat="1" applyFont="1"/>
    <xf numFmtId="165" fontId="0" fillId="0" borderId="0" xfId="0" applyNumberFormat="1"/>
    <xf numFmtId="165" fontId="12" fillId="4" borderId="0" xfId="1" applyNumberFormat="1" applyFont="1" applyFill="1"/>
    <xf numFmtId="165" fontId="12" fillId="0" borderId="0" xfId="0" applyNumberFormat="1" applyFont="1"/>
    <xf numFmtId="165" fontId="12" fillId="4" borderId="0" xfId="0" applyNumberFormat="1" applyFont="1" applyFill="1"/>
    <xf numFmtId="0" fontId="19" fillId="6" borderId="0" xfId="0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5" fontId="17" fillId="0" borderId="0" xfId="1" applyNumberFormat="1" applyFont="1"/>
    <xf numFmtId="0" fontId="21" fillId="0" borderId="0" xfId="0" applyFont="1" applyAlignment="1">
      <alignment horizontal="left" indent="1"/>
    </xf>
    <xf numFmtId="165" fontId="21" fillId="0" borderId="0" xfId="1" applyNumberFormat="1" applyFont="1"/>
    <xf numFmtId="0" fontId="18" fillId="0" borderId="0" xfId="0" applyFont="1" applyAlignment="1">
      <alignment horizontal="left" indent="2"/>
    </xf>
    <xf numFmtId="0" fontId="21" fillId="0" borderId="0" xfId="0" applyFont="1"/>
    <xf numFmtId="0" fontId="18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65" fontId="16" fillId="0" borderId="0" xfId="1" applyNumberFormat="1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165" fontId="17" fillId="0" borderId="0" xfId="1" applyNumberFormat="1" applyFont="1" applyBorder="1"/>
    <xf numFmtId="165" fontId="2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Border="1"/>
    <xf numFmtId="165" fontId="22" fillId="0" borderId="0" xfId="1" applyNumberFormat="1" applyFont="1" applyBorder="1"/>
    <xf numFmtId="165" fontId="12" fillId="0" borderId="1" xfId="0" applyNumberFormat="1" applyFont="1" applyBorder="1"/>
    <xf numFmtId="166" fontId="10" fillId="3" borderId="0" xfId="0" applyNumberFormat="1" applyFont="1" applyFill="1"/>
    <xf numFmtId="166" fontId="11" fillId="0" borderId="0" xfId="0" applyNumberFormat="1" applyFont="1"/>
    <xf numFmtId="0" fontId="16" fillId="8" borderId="0" xfId="0" applyFont="1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left" indent="3"/>
    </xf>
    <xf numFmtId="0" fontId="9" fillId="9" borderId="0" xfId="0" applyFont="1" applyFill="1" applyAlignment="1">
      <alignment horizontal="right"/>
    </xf>
    <xf numFmtId="0" fontId="10" fillId="9" borderId="0" xfId="0" applyFont="1" applyFill="1"/>
    <xf numFmtId="164" fontId="23" fillId="9" borderId="0" xfId="0" applyNumberFormat="1" applyFont="1" applyFill="1"/>
    <xf numFmtId="165" fontId="12" fillId="8" borderId="0" xfId="1" applyNumberFormat="1" applyFont="1" applyFill="1"/>
    <xf numFmtId="0" fontId="24" fillId="0" borderId="0" xfId="0" applyFont="1"/>
    <xf numFmtId="165" fontId="25" fillId="0" borderId="0" xfId="1" applyNumberFormat="1" applyFont="1"/>
    <xf numFmtId="0" fontId="26" fillId="0" borderId="0" xfId="0" applyFont="1"/>
    <xf numFmtId="165" fontId="0" fillId="9" borderId="0" xfId="1" applyNumberFormat="1" applyFont="1" applyFill="1"/>
    <xf numFmtId="165" fontId="7" fillId="0" borderId="0" xfId="1" applyNumberFormat="1" applyFont="1"/>
    <xf numFmtId="165" fontId="7" fillId="0" borderId="0" xfId="1" applyNumberFormat="1" applyFont="1" applyFill="1"/>
    <xf numFmtId="165" fontId="23" fillId="9" borderId="0" xfId="1" applyNumberFormat="1" applyFont="1" applyFill="1"/>
    <xf numFmtId="165" fontId="7" fillId="0" borderId="0" xfId="0" applyNumberFormat="1" applyFont="1"/>
    <xf numFmtId="165" fontId="12" fillId="0" borderId="0" xfId="0" applyNumberFormat="1" applyFont="1" applyAlignment="1">
      <alignment horizontal="center"/>
    </xf>
    <xf numFmtId="165" fontId="11" fillId="3" borderId="0" xfId="1" applyNumberFormat="1" applyFont="1" applyFill="1"/>
    <xf numFmtId="165" fontId="27" fillId="0" borderId="0" xfId="1" applyNumberFormat="1" applyFont="1"/>
    <xf numFmtId="166" fontId="29" fillId="10" borderId="0" xfId="0" applyNumberFormat="1" applyFont="1" applyFill="1"/>
    <xf numFmtId="0" fontId="29" fillId="10" borderId="0" xfId="0" applyFont="1" applyFill="1" applyAlignment="1">
      <alignment horizontal="left"/>
    </xf>
    <xf numFmtId="164" fontId="28" fillId="10" borderId="0" xfId="0" quotePrefix="1" applyNumberFormat="1" applyFont="1" applyFill="1"/>
    <xf numFmtId="165" fontId="12" fillId="4" borderId="0" xfId="1" applyNumberFormat="1" applyFont="1" applyFill="1" applyAlignment="1">
      <alignment horizontal="center"/>
    </xf>
    <xf numFmtId="165" fontId="14" fillId="2" borderId="0" xfId="1" applyNumberFormat="1" applyFont="1" applyFill="1"/>
    <xf numFmtId="0" fontId="30" fillId="0" borderId="0" xfId="0" applyFont="1"/>
    <xf numFmtId="165" fontId="31" fillId="0" borderId="0" xfId="1" applyNumberFormat="1" applyFont="1"/>
    <xf numFmtId="165" fontId="32" fillId="0" borderId="0" xfId="1" applyNumberFormat="1" applyFont="1"/>
    <xf numFmtId="165" fontId="13" fillId="4" borderId="0" xfId="0" applyNumberFormat="1" applyFont="1" applyFill="1"/>
    <xf numFmtId="166" fontId="34" fillId="6" borderId="0" xfId="0" applyNumberFormat="1" applyFont="1" applyFill="1"/>
    <xf numFmtId="165" fontId="35" fillId="0" borderId="0" xfId="1" applyNumberFormat="1" applyFont="1"/>
    <xf numFmtId="165" fontId="36" fillId="0" borderId="0" xfId="1" applyNumberFormat="1" applyFont="1"/>
    <xf numFmtId="165" fontId="37" fillId="0" borderId="0" xfId="1" applyNumberFormat="1" applyFont="1"/>
    <xf numFmtId="165" fontId="28" fillId="0" borderId="0" xfId="1" applyNumberFormat="1" applyFont="1"/>
    <xf numFmtId="165" fontId="28" fillId="0" borderId="0" xfId="0" applyNumberFormat="1" applyFont="1"/>
    <xf numFmtId="0" fontId="16" fillId="0" borderId="1" xfId="0" applyFont="1" applyBorder="1" applyAlignment="1">
      <alignment horizontal="left" indent="1"/>
    </xf>
    <xf numFmtId="165" fontId="11" fillId="4" borderId="0" xfId="1" applyNumberFormat="1" applyFont="1" applyFill="1"/>
    <xf numFmtId="165" fontId="11" fillId="4" borderId="0" xfId="0" applyNumberFormat="1" applyFont="1" applyFill="1"/>
    <xf numFmtId="165" fontId="39" fillId="0" borderId="0" xfId="1" applyNumberFormat="1" applyFont="1"/>
    <xf numFmtId="0" fontId="40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165" fontId="41" fillId="0" borderId="0" xfId="1" applyNumberFormat="1" applyFont="1"/>
    <xf numFmtId="165" fontId="42" fillId="0" borderId="0" xfId="1" applyNumberFormat="1" applyFont="1"/>
    <xf numFmtId="165" fontId="39" fillId="0" borderId="0" xfId="0" applyNumberFormat="1" applyFont="1"/>
    <xf numFmtId="0" fontId="3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11" fillId="4" borderId="0" xfId="1" applyFont="1" applyFill="1"/>
    <xf numFmtId="0" fontId="17" fillId="0" borderId="0" xfId="0" applyFont="1" applyAlignment="1">
      <alignment horizontal="left"/>
    </xf>
    <xf numFmtId="167" fontId="19" fillId="6" borderId="0" xfId="2" applyNumberFormat="1" applyFont="1" applyFill="1"/>
    <xf numFmtId="164" fontId="12" fillId="4" borderId="0" xfId="1" applyNumberFormat="1" applyFont="1" applyFill="1"/>
    <xf numFmtId="164" fontId="11" fillId="4" borderId="0" xfId="0" applyNumberFormat="1" applyFont="1" applyFill="1"/>
    <xf numFmtId="165" fontId="3" fillId="8" borderId="0" xfId="1" applyNumberFormat="1" applyFont="1" applyFill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7" fontId="19" fillId="0" borderId="0" xfId="2" applyNumberFormat="1" applyFont="1" applyFill="1"/>
    <xf numFmtId="0" fontId="34" fillId="6" borderId="0" xfId="0" applyFont="1" applyFill="1" applyAlignment="1">
      <alignment horizontal="center"/>
    </xf>
    <xf numFmtId="0" fontId="0" fillId="0" borderId="0" xfId="0" quotePrefix="1"/>
    <xf numFmtId="43" fontId="0" fillId="0" borderId="0" xfId="0" applyNumberFormat="1"/>
    <xf numFmtId="165" fontId="3" fillId="11" borderId="0" xfId="0" applyNumberFormat="1" applyFont="1" applyFill="1"/>
    <xf numFmtId="0" fontId="34" fillId="6" borderId="0" xfId="0" applyFont="1" applyFill="1"/>
    <xf numFmtId="0" fontId="48" fillId="6" borderId="0" xfId="0" applyFont="1" applyFill="1"/>
    <xf numFmtId="165" fontId="11" fillId="0" borderId="0" xfId="0" applyNumberFormat="1" applyFont="1"/>
    <xf numFmtId="164" fontId="28" fillId="0" borderId="0" xfId="0" quotePrefix="1" applyNumberFormat="1" applyFont="1"/>
    <xf numFmtId="164" fontId="23" fillId="0" borderId="0" xfId="0" applyNumberFormat="1" applyFont="1"/>
    <xf numFmtId="165" fontId="11" fillId="0" borderId="0" xfId="1" applyNumberFormat="1" applyFont="1" applyFill="1"/>
    <xf numFmtId="166" fontId="3" fillId="8" borderId="0" xfId="0" applyNumberFormat="1" applyFont="1" applyFill="1"/>
    <xf numFmtId="165" fontId="49" fillId="8" borderId="0" xfId="0" applyNumberFormat="1" applyFont="1" applyFill="1"/>
    <xf numFmtId="0" fontId="14" fillId="8" borderId="0" xfId="0" applyFont="1" applyFill="1"/>
    <xf numFmtId="164" fontId="50" fillId="0" borderId="0" xfId="1" applyNumberFormat="1" applyFont="1"/>
    <xf numFmtId="0" fontId="0" fillId="8" borderId="0" xfId="0" applyFill="1"/>
    <xf numFmtId="164" fontId="3" fillId="8" borderId="0" xfId="1" applyNumberFormat="1" applyFont="1" applyFill="1"/>
    <xf numFmtId="0" fontId="10" fillId="0" borderId="0" xfId="0" quotePrefix="1" applyFont="1"/>
    <xf numFmtId="0" fontId="10" fillId="0" borderId="0" xfId="0" applyFont="1"/>
    <xf numFmtId="43" fontId="11" fillId="4" borderId="0" xfId="0" applyNumberFormat="1" applyFont="1" applyFill="1"/>
    <xf numFmtId="43" fontId="11" fillId="0" borderId="0" xfId="0" applyNumberFormat="1" applyFont="1"/>
    <xf numFmtId="9" fontId="0" fillId="0" borderId="0" xfId="2" applyFont="1"/>
    <xf numFmtId="165" fontId="53" fillId="0" borderId="0" xfId="1" applyNumberFormat="1" applyFont="1"/>
    <xf numFmtId="0" fontId="29" fillId="0" borderId="0" xfId="0" applyFont="1"/>
    <xf numFmtId="165" fontId="55" fillId="0" borderId="0" xfId="1" applyNumberFormat="1" applyFont="1"/>
    <xf numFmtId="165" fontId="28" fillId="0" borderId="1" xfId="1" applyNumberFormat="1" applyFont="1" applyBorder="1"/>
    <xf numFmtId="2" fontId="12" fillId="0" borderId="0" xfId="0" applyNumberFormat="1" applyFont="1"/>
    <xf numFmtId="43" fontId="12" fillId="0" borderId="0" xfId="0" applyNumberFormat="1" applyFont="1"/>
    <xf numFmtId="164" fontId="57" fillId="0" borderId="0" xfId="0" applyNumberFormat="1" applyFont="1"/>
    <xf numFmtId="2" fontId="10" fillId="0" borderId="0" xfId="0" applyNumberFormat="1" applyFont="1"/>
    <xf numFmtId="10" fontId="34" fillId="6" borderId="0" xfId="2" applyNumberFormat="1" applyFont="1" applyFill="1"/>
    <xf numFmtId="167" fontId="56" fillId="0" borderId="0" xfId="2" applyNumberFormat="1" applyFont="1"/>
    <xf numFmtId="165" fontId="23" fillId="8" borderId="0" xfId="1" applyNumberFormat="1" applyFont="1" applyFill="1"/>
    <xf numFmtId="165" fontId="0" fillId="0" borderId="3" xfId="1" applyNumberFormat="1" applyFont="1" applyBorder="1"/>
    <xf numFmtId="165" fontId="58" fillId="13" borderId="4" xfId="1" applyNumberFormat="1" applyFont="1" applyFill="1" applyBorder="1" applyAlignment="1">
      <alignment horizontal="center"/>
    </xf>
    <xf numFmtId="0" fontId="8" fillId="0" borderId="0" xfId="0" applyFont="1" applyAlignment="1">
      <alignment horizontal="left" indent="3"/>
    </xf>
    <xf numFmtId="165" fontId="60" fillId="0" borderId="0" xfId="1" applyNumberFormat="1" applyFont="1"/>
    <xf numFmtId="0" fontId="61" fillId="0" borderId="0" xfId="0" applyFont="1"/>
    <xf numFmtId="0" fontId="0" fillId="10" borderId="0" xfId="0" applyFill="1"/>
    <xf numFmtId="0" fontId="3" fillId="0" borderId="1" xfId="0" applyFont="1" applyBorder="1"/>
    <xf numFmtId="0" fontId="63" fillId="0" borderId="1" xfId="0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167" fontId="64" fillId="0" borderId="0" xfId="2" applyNumberFormat="1" applyFont="1"/>
    <xf numFmtId="0" fontId="0" fillId="7" borderId="7" xfId="0" applyFill="1" applyBorder="1"/>
    <xf numFmtId="0" fontId="0" fillId="7" borderId="8" xfId="0" applyFill="1" applyBorder="1"/>
    <xf numFmtId="165" fontId="54" fillId="7" borderId="8" xfId="0" applyNumberFormat="1" applyFont="1" applyFill="1" applyBorder="1"/>
    <xf numFmtId="0" fontId="46" fillId="7" borderId="7" xfId="0" applyFont="1" applyFill="1" applyBorder="1" applyAlignment="1">
      <alignment horizontal="left" indent="1"/>
    </xf>
    <xf numFmtId="167" fontId="54" fillId="7" borderId="8" xfId="2" applyNumberFormat="1" applyFont="1" applyFill="1" applyBorder="1"/>
    <xf numFmtId="0" fontId="54" fillId="7" borderId="8" xfId="0" applyFont="1" applyFill="1" applyBorder="1"/>
    <xf numFmtId="0" fontId="0" fillId="7" borderId="7" xfId="0" applyFill="1" applyBorder="1" applyAlignment="1">
      <alignment horizontal="left"/>
    </xf>
    <xf numFmtId="165" fontId="54" fillId="7" borderId="8" xfId="1" applyNumberFormat="1" applyFont="1" applyFill="1" applyBorder="1"/>
    <xf numFmtId="0" fontId="46" fillId="7" borderId="9" xfId="0" applyFont="1" applyFill="1" applyBorder="1" applyAlignment="1">
      <alignment horizontal="left" indent="1"/>
    </xf>
    <xf numFmtId="167" fontId="54" fillId="7" borderId="10" xfId="2" applyNumberFormat="1" applyFont="1" applyFill="1" applyBorder="1"/>
    <xf numFmtId="0" fontId="0" fillId="7" borderId="5" xfId="0" applyFill="1" applyBorder="1"/>
    <xf numFmtId="0" fontId="0" fillId="7" borderId="11" xfId="0" applyFill="1" applyBorder="1"/>
    <xf numFmtId="0" fontId="0" fillId="7" borderId="6" xfId="0" applyFill="1" applyBorder="1"/>
    <xf numFmtId="0" fontId="0" fillId="7" borderId="0" xfId="0" applyFill="1"/>
    <xf numFmtId="0" fontId="59" fillId="7" borderId="7" xfId="0" applyFont="1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10" xfId="0" applyFill="1" applyBorder="1"/>
    <xf numFmtId="2" fontId="0" fillId="7" borderId="0" xfId="1" applyNumberFormat="1" applyFont="1" applyFill="1" applyBorder="1"/>
    <xf numFmtId="167" fontId="0" fillId="7" borderId="0" xfId="0" applyNumberFormat="1" applyFill="1"/>
    <xf numFmtId="167" fontId="12" fillId="5" borderId="0" xfId="2" applyNumberFormat="1" applyFont="1" applyFill="1"/>
    <xf numFmtId="167" fontId="64" fillId="5" borderId="0" xfId="2" applyNumberFormat="1" applyFont="1" applyFill="1"/>
    <xf numFmtId="43" fontId="64" fillId="5" borderId="0" xfId="1" applyFont="1" applyFill="1"/>
    <xf numFmtId="10" fontId="54" fillId="7" borderId="8" xfId="2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7" fontId="64" fillId="8" borderId="0" xfId="2" applyNumberFormat="1" applyFont="1" applyFill="1"/>
    <xf numFmtId="2" fontId="11" fillId="12" borderId="0" xfId="1" applyNumberFormat="1" applyFont="1" applyFill="1"/>
    <xf numFmtId="167" fontId="64" fillId="0" borderId="0" xfId="0" applyNumberFormat="1" applyFont="1"/>
    <xf numFmtId="167" fontId="12" fillId="0" borderId="0" xfId="1" applyNumberFormat="1" applyFont="1"/>
    <xf numFmtId="43" fontId="12" fillId="0" borderId="0" xfId="1" applyFont="1" applyFill="1"/>
    <xf numFmtId="165" fontId="3" fillId="0" borderId="0" xfId="1" applyNumberFormat="1" applyFont="1" applyFill="1"/>
    <xf numFmtId="0" fontId="64" fillId="0" borderId="0" xfId="0" applyFont="1" applyAlignment="1">
      <alignment horizontal="center"/>
    </xf>
    <xf numFmtId="10" fontId="3" fillId="0" borderId="0" xfId="0" applyNumberFormat="1" applyFont="1" applyAlignment="1">
      <alignment horizontal="left"/>
    </xf>
    <xf numFmtId="0" fontId="11" fillId="4" borderId="0" xfId="0" applyFont="1" applyFill="1" applyAlignment="1">
      <alignment horizontal="center"/>
    </xf>
    <xf numFmtId="167" fontId="0" fillId="7" borderId="0" xfId="2" applyNumberFormat="1" applyFont="1" applyFill="1" applyBorder="1"/>
    <xf numFmtId="0" fontId="9" fillId="5" borderId="0" xfId="0" applyFont="1" applyFill="1" applyAlignment="1">
      <alignment horizontal="right"/>
    </xf>
    <xf numFmtId="0" fontId="68" fillId="5" borderId="0" xfId="0" applyFont="1" applyFill="1" applyAlignment="1">
      <alignment horizontal="center"/>
    </xf>
    <xf numFmtId="2" fontId="64" fillId="5" borderId="0" xfId="0" applyNumberFormat="1" applyFont="1" applyFill="1"/>
    <xf numFmtId="168" fontId="0" fillId="0" borderId="0" xfId="0" applyNumberFormat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166" fontId="10" fillId="0" borderId="0" xfId="0" applyNumberFormat="1" applyFont="1"/>
    <xf numFmtId="0" fontId="28" fillId="7" borderId="0" xfId="0" applyFont="1" applyFill="1" applyAlignment="1">
      <alignment horizontal="center"/>
    </xf>
    <xf numFmtId="164" fontId="28" fillId="4" borderId="0" xfId="0" quotePrefix="1" applyNumberFormat="1" applyFont="1" applyFill="1"/>
    <xf numFmtId="0" fontId="12" fillId="7" borderId="0" xfId="0" applyFont="1" applyFill="1" applyAlignment="1">
      <alignment horizontal="center"/>
    </xf>
    <xf numFmtId="0" fontId="12" fillId="7" borderId="0" xfId="0" applyFont="1" applyFill="1"/>
    <xf numFmtId="0" fontId="70" fillId="0" borderId="0" xfId="0" applyFont="1" applyAlignment="1">
      <alignment horizontal="center"/>
    </xf>
    <xf numFmtId="43" fontId="0" fillId="0" borderId="0" xfId="1" applyFont="1" applyBorder="1"/>
    <xf numFmtId="43" fontId="8" fillId="0" borderId="0" xfId="1" applyFont="1" applyBorder="1"/>
    <xf numFmtId="0" fontId="8" fillId="0" borderId="0" xfId="0" quotePrefix="1" applyFont="1"/>
    <xf numFmtId="165" fontId="8" fillId="0" borderId="0" xfId="1" applyNumberFormat="1" applyFont="1"/>
    <xf numFmtId="0" fontId="23" fillId="11" borderId="0" xfId="0" applyFont="1" applyFill="1" applyAlignment="1">
      <alignment horizontal="center"/>
    </xf>
    <xf numFmtId="165" fontId="33" fillId="8" borderId="0" xfId="1" applyNumberFormat="1" applyFont="1" applyFill="1"/>
    <xf numFmtId="165" fontId="7" fillId="0" borderId="1" xfId="0" applyNumberFormat="1" applyFont="1" applyBorder="1"/>
    <xf numFmtId="0" fontId="33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165" fontId="18" fillId="0" borderId="0" xfId="1" applyNumberFormat="1" applyFont="1" applyAlignment="1">
      <alignment horizontal="left" indent="2"/>
    </xf>
    <xf numFmtId="167" fontId="72" fillId="0" borderId="0" xfId="2" applyNumberFormat="1" applyFont="1"/>
    <xf numFmtId="166" fontId="3" fillId="0" borderId="0" xfId="0" applyNumberFormat="1" applyFont="1"/>
    <xf numFmtId="0" fontId="14" fillId="0" borderId="0" xfId="0" applyFont="1"/>
    <xf numFmtId="167" fontId="12" fillId="4" borderId="0" xfId="2" applyNumberFormat="1" applyFont="1" applyFill="1"/>
    <xf numFmtId="2" fontId="64" fillId="7" borderId="0" xfId="0" applyNumberFormat="1" applyFont="1" applyFill="1"/>
    <xf numFmtId="167" fontId="11" fillId="4" borderId="0" xfId="2" applyNumberFormat="1" applyFont="1" applyFill="1"/>
    <xf numFmtId="165" fontId="12" fillId="0" borderId="0" xfId="1" applyNumberFormat="1" applyFont="1" applyFill="1"/>
    <xf numFmtId="165" fontId="23" fillId="0" borderId="0" xfId="1" applyNumberFormat="1" applyFont="1" applyFill="1"/>
    <xf numFmtId="0" fontId="71" fillId="0" borderId="0" xfId="0" applyFont="1" applyAlignment="1">
      <alignment horizontal="left" indent="1"/>
    </xf>
    <xf numFmtId="167" fontId="23" fillId="0" borderId="0" xfId="2" applyNumberFormat="1" applyFont="1" applyFill="1"/>
    <xf numFmtId="165" fontId="3" fillId="0" borderId="0" xfId="0" applyNumberFormat="1" applyFont="1"/>
    <xf numFmtId="43" fontId="3" fillId="0" borderId="0" xfId="0" applyNumberFormat="1" applyFont="1"/>
    <xf numFmtId="165" fontId="0" fillId="7" borderId="0" xfId="1" applyNumberFormat="1" applyFont="1" applyFill="1" applyBorder="1"/>
    <xf numFmtId="165" fontId="64" fillId="0" borderId="0" xfId="1" applyNumberFormat="1" applyFont="1" applyFill="1"/>
    <xf numFmtId="165" fontId="23" fillId="0" borderId="0" xfId="0" applyNumberFormat="1" applyFont="1"/>
    <xf numFmtId="165" fontId="33" fillId="0" borderId="0" xfId="0" applyNumberFormat="1" applyFont="1"/>
    <xf numFmtId="0" fontId="8" fillId="0" borderId="1" xfId="0" applyFont="1" applyBorder="1" applyAlignment="1">
      <alignment horizontal="left" indent="2"/>
    </xf>
    <xf numFmtId="167" fontId="72" fillId="0" borderId="1" xfId="2" applyNumberFormat="1" applyFont="1" applyBorder="1"/>
    <xf numFmtId="165" fontId="3" fillId="0" borderId="1" xfId="0" applyNumberFormat="1" applyFont="1" applyBorder="1"/>
    <xf numFmtId="165" fontId="67" fillId="7" borderId="0" xfId="1" applyNumberFormat="1" applyFont="1" applyFill="1" applyBorder="1"/>
    <xf numFmtId="165" fontId="12" fillId="7" borderId="8" xfId="1" applyNumberFormat="1" applyFont="1" applyFill="1" applyBorder="1"/>
    <xf numFmtId="0" fontId="63" fillId="7" borderId="0" xfId="0" applyFont="1" applyFill="1" applyAlignment="1">
      <alignment horizontal="center"/>
    </xf>
    <xf numFmtId="165" fontId="49" fillId="7" borderId="7" xfId="0" applyNumberFormat="1" applyFont="1" applyFill="1" applyBorder="1" applyAlignment="1">
      <alignment horizontal="center"/>
    </xf>
    <xf numFmtId="0" fontId="49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9" fillId="7" borderId="8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9" fontId="54" fillId="7" borderId="8" xfId="0" applyNumberFormat="1" applyFont="1" applyFill="1" applyBorder="1"/>
    <xf numFmtId="165" fontId="54" fillId="7" borderId="0" xfId="0" applyNumberFormat="1" applyFont="1" applyFill="1"/>
    <xf numFmtId="165" fontId="11" fillId="7" borderId="0" xfId="0" applyNumberFormat="1" applyFont="1" applyFill="1"/>
    <xf numFmtId="2" fontId="64" fillId="5" borderId="0" xfId="1" applyNumberFormat="1" applyFont="1" applyFill="1" applyBorder="1"/>
    <xf numFmtId="167" fontId="12" fillId="8" borderId="0" xfId="2" applyNumberFormat="1" applyFont="1" applyFill="1"/>
    <xf numFmtId="165" fontId="33" fillId="0" borderId="1" xfId="0" applyNumberFormat="1" applyFont="1" applyBorder="1"/>
    <xf numFmtId="0" fontId="8" fillId="0" borderId="1" xfId="0" applyFont="1" applyBorder="1"/>
    <xf numFmtId="165" fontId="12" fillId="0" borderId="1" xfId="1" applyNumberFormat="1" applyFont="1" applyFill="1" applyBorder="1"/>
    <xf numFmtId="167" fontId="64" fillId="0" borderId="0" xfId="2" applyNumberFormat="1" applyFont="1" applyFill="1"/>
    <xf numFmtId="0" fontId="44" fillId="0" borderId="0" xfId="0" applyFont="1"/>
    <xf numFmtId="0" fontId="16" fillId="7" borderId="7" xfId="0" applyFont="1" applyFill="1" applyBorder="1" applyAlignment="1">
      <alignment horizontal="left" indent="1"/>
    </xf>
    <xf numFmtId="165" fontId="33" fillId="7" borderId="0" xfId="0" applyNumberFormat="1" applyFont="1" applyFill="1"/>
    <xf numFmtId="0" fontId="8" fillId="7" borderId="0" xfId="0" applyFont="1" applyFill="1"/>
    <xf numFmtId="0" fontId="43" fillId="7" borderId="0" xfId="0" applyFont="1" applyFill="1" applyAlignment="1">
      <alignment horizontal="left"/>
    </xf>
    <xf numFmtId="167" fontId="64" fillId="7" borderId="0" xfId="2" applyNumberFormat="1" applyFont="1" applyFill="1" applyBorder="1"/>
    <xf numFmtId="0" fontId="11" fillId="7" borderId="0" xfId="0" applyFont="1" applyFill="1"/>
    <xf numFmtId="167" fontId="12" fillId="7" borderId="0" xfId="2" applyNumberFormat="1" applyFont="1" applyFill="1" applyBorder="1"/>
    <xf numFmtId="0" fontId="8" fillId="7" borderId="7" xfId="0" applyFont="1" applyFill="1" applyBorder="1" applyAlignment="1">
      <alignment horizontal="right"/>
    </xf>
    <xf numFmtId="165" fontId="64" fillId="7" borderId="0" xfId="1" applyNumberFormat="1" applyFont="1" applyFill="1" applyBorder="1"/>
    <xf numFmtId="0" fontId="44" fillId="7" borderId="0" xfId="0" applyFont="1" applyFill="1"/>
    <xf numFmtId="0" fontId="44" fillId="7" borderId="12" xfId="0" applyFont="1" applyFill="1" applyBorder="1"/>
    <xf numFmtId="167" fontId="64" fillId="7" borderId="12" xfId="2" applyNumberFormat="1" applyFont="1" applyFill="1" applyBorder="1"/>
    <xf numFmtId="167" fontId="0" fillId="0" borderId="0" xfId="2" applyNumberFormat="1" applyFont="1"/>
    <xf numFmtId="10" fontId="0" fillId="0" borderId="0" xfId="2" applyNumberFormat="1" applyFont="1"/>
    <xf numFmtId="10" fontId="64" fillId="7" borderId="0" xfId="2" applyNumberFormat="1" applyFont="1" applyFill="1" applyBorder="1"/>
    <xf numFmtId="167" fontId="12" fillId="0" borderId="0" xfId="0" applyNumberFormat="1" applyFont="1"/>
    <xf numFmtId="167" fontId="23" fillId="11" borderId="0" xfId="2" applyNumberFormat="1" applyFont="1" applyFill="1"/>
    <xf numFmtId="0" fontId="0" fillId="7" borderId="0" xfId="0" applyFill="1" applyAlignment="1">
      <alignment horizontal="center"/>
    </xf>
    <xf numFmtId="0" fontId="23" fillId="7" borderId="0" xfId="0" applyFont="1" applyFill="1" applyAlignment="1">
      <alignment horizontal="center"/>
    </xf>
    <xf numFmtId="0" fontId="54" fillId="7" borderId="0" xfId="0" applyFont="1" applyFill="1"/>
    <xf numFmtId="167" fontId="0" fillId="0" borderId="0" xfId="0" applyNumberFormat="1"/>
    <xf numFmtId="167" fontId="12" fillId="0" borderId="0" xfId="2" applyNumberFormat="1" applyFont="1"/>
    <xf numFmtId="167" fontId="64" fillId="4" borderId="0" xfId="2" applyNumberFormat="1" applyFont="1" applyFill="1"/>
    <xf numFmtId="0" fontId="23" fillId="0" borderId="0" xfId="0" applyFont="1" applyAlignment="1">
      <alignment horizontal="center"/>
    </xf>
    <xf numFmtId="0" fontId="54" fillId="0" borderId="0" xfId="0" applyFont="1"/>
    <xf numFmtId="165" fontId="25" fillId="0" borderId="0" xfId="1" applyNumberFormat="1" applyFont="1" applyFill="1"/>
    <xf numFmtId="167" fontId="3" fillId="0" borderId="0" xfId="2" applyNumberFormat="1" applyFont="1"/>
    <xf numFmtId="165" fontId="74" fillId="4" borderId="0" xfId="0" applyNumberFormat="1" applyFont="1" applyFill="1"/>
    <xf numFmtId="0" fontId="23" fillId="7" borderId="0" xfId="0" quotePrefix="1" applyFont="1" applyFill="1" applyAlignment="1">
      <alignment horizontal="center"/>
    </xf>
    <xf numFmtId="164" fontId="11" fillId="0" borderId="0" xfId="0" applyNumberFormat="1" applyFont="1"/>
    <xf numFmtId="0" fontId="0" fillId="11" borderId="0" xfId="0" applyFill="1"/>
    <xf numFmtId="165" fontId="12" fillId="11" borderId="0" xfId="0" applyNumberFormat="1" applyFont="1" applyFill="1"/>
    <xf numFmtId="0" fontId="75" fillId="0" borderId="0" xfId="0" applyFont="1"/>
    <xf numFmtId="2" fontId="0" fillId="7" borderId="0" xfId="0" applyNumberFormat="1" applyFill="1"/>
    <xf numFmtId="0" fontId="63" fillId="7" borderId="7" xfId="0" applyFont="1" applyFill="1" applyBorder="1"/>
    <xf numFmtId="0" fontId="63" fillId="7" borderId="0" xfId="0" applyFont="1" applyFill="1"/>
    <xf numFmtId="0" fontId="3" fillId="7" borderId="7" xfId="0" applyFont="1" applyFill="1" applyBorder="1" applyAlignment="1">
      <alignment horizontal="left" indent="1"/>
    </xf>
    <xf numFmtId="0" fontId="3" fillId="7" borderId="0" xfId="0" applyFont="1" applyFill="1" applyAlignment="1">
      <alignment horizontal="right"/>
    </xf>
    <xf numFmtId="167" fontId="54" fillId="7" borderId="0" xfId="0" applyNumberFormat="1" applyFont="1" applyFill="1"/>
    <xf numFmtId="0" fontId="0" fillId="7" borderId="7" xfId="0" applyFill="1" applyBorder="1" applyAlignment="1">
      <alignment horizontal="left" indent="3"/>
    </xf>
    <xf numFmtId="167" fontId="0" fillId="7" borderId="12" xfId="0" applyNumberFormat="1" applyFill="1" applyBorder="1"/>
    <xf numFmtId="0" fontId="0" fillId="7" borderId="7" xfId="0" applyFill="1" applyBorder="1" applyAlignment="1">
      <alignment horizontal="left" indent="2"/>
    </xf>
    <xf numFmtId="0" fontId="73" fillId="7" borderId="0" xfId="0" quotePrefix="1" applyFont="1" applyFill="1" applyAlignment="1">
      <alignment horizontal="right"/>
    </xf>
    <xf numFmtId="164" fontId="76" fillId="7" borderId="0" xfId="1" applyNumberFormat="1" applyFont="1" applyFill="1"/>
    <xf numFmtId="43" fontId="64" fillId="0" borderId="0" xfId="0" applyNumberFormat="1" applyFont="1"/>
    <xf numFmtId="165" fontId="64" fillId="4" borderId="0" xfId="1" applyNumberFormat="1" applyFont="1" applyFill="1"/>
    <xf numFmtId="164" fontId="76" fillId="3" borderId="0" xfId="1" applyNumberFormat="1" applyFont="1" applyFill="1"/>
    <xf numFmtId="166" fontId="64" fillId="7" borderId="0" xfId="0" applyNumberFormat="1" applyFont="1" applyFill="1"/>
    <xf numFmtId="0" fontId="66" fillId="7" borderId="7" xfId="0" applyFont="1" applyFill="1" applyBorder="1" applyAlignment="1">
      <alignment vertical="center"/>
    </xf>
    <xf numFmtId="167" fontId="64" fillId="7" borderId="0" xfId="0" applyNumberFormat="1" applyFont="1" applyFill="1"/>
    <xf numFmtId="165" fontId="3" fillId="0" borderId="0" xfId="1" applyNumberFormat="1" applyFont="1"/>
    <xf numFmtId="165" fontId="1" fillId="0" borderId="0" xfId="1" applyNumberFormat="1" applyFont="1"/>
    <xf numFmtId="166" fontId="54" fillId="0" borderId="0" xfId="0" applyNumberFormat="1" applyFont="1"/>
    <xf numFmtId="167" fontId="0" fillId="7" borderId="0" xfId="2" applyNumberFormat="1" applyFont="1" applyFill="1"/>
    <xf numFmtId="164" fontId="56" fillId="0" borderId="0" xfId="0" applyNumberFormat="1" applyFont="1"/>
    <xf numFmtId="164" fontId="38" fillId="0" borderId="0" xfId="0" applyNumberFormat="1" applyFont="1"/>
    <xf numFmtId="164" fontId="23" fillId="0" borderId="0" xfId="1" applyNumberFormat="1" applyFont="1" applyFill="1"/>
    <xf numFmtId="164" fontId="11" fillId="0" borderId="0" xfId="1" applyNumberFormat="1" applyFont="1" applyFill="1"/>
    <xf numFmtId="165" fontId="64" fillId="7" borderId="8" xfId="1" applyNumberFormat="1" applyFont="1" applyFill="1" applyBorder="1"/>
    <xf numFmtId="0" fontId="0" fillId="7" borderId="7" xfId="0" applyFill="1" applyBorder="1" applyAlignment="1">
      <alignment horizontal="right" indent="1"/>
    </xf>
    <xf numFmtId="167" fontId="12" fillId="7" borderId="8" xfId="0" applyNumberFormat="1" applyFont="1" applyFill="1" applyBorder="1"/>
    <xf numFmtId="2" fontId="12" fillId="7" borderId="8" xfId="0" applyNumberFormat="1" applyFont="1" applyFill="1" applyBorder="1"/>
    <xf numFmtId="165" fontId="12" fillId="7" borderId="0" xfId="1" applyNumberFormat="1" applyFont="1" applyFill="1" applyBorder="1"/>
    <xf numFmtId="43" fontId="3" fillId="0" borderId="0" xfId="1" applyFont="1" applyFill="1"/>
    <xf numFmtId="167" fontId="76" fillId="7" borderId="0" xfId="0" applyNumberFormat="1" applyFont="1" applyFill="1"/>
    <xf numFmtId="166" fontId="23" fillId="0" borderId="0" xfId="0" applyNumberFormat="1" applyFont="1"/>
    <xf numFmtId="0" fontId="63" fillId="7" borderId="7" xfId="0" applyFont="1" applyFill="1" applyBorder="1" applyAlignment="1">
      <alignment horizontal="center"/>
    </xf>
    <xf numFmtId="0" fontId="63" fillId="7" borderId="0" xfId="0" applyFont="1" applyFill="1" applyAlignment="1">
      <alignment horizontal="center"/>
    </xf>
    <xf numFmtId="0" fontId="63" fillId="7" borderId="8" xfId="0" applyFont="1" applyFill="1" applyBorder="1" applyAlignment="1">
      <alignment horizontal="center"/>
    </xf>
    <xf numFmtId="0" fontId="63" fillId="7" borderId="5" xfId="0" applyFont="1" applyFill="1" applyBorder="1" applyAlignment="1">
      <alignment horizontal="center"/>
    </xf>
    <xf numFmtId="0" fontId="63" fillId="7" borderId="11" xfId="0" applyFont="1" applyFill="1" applyBorder="1" applyAlignment="1">
      <alignment horizontal="center"/>
    </xf>
    <xf numFmtId="0" fontId="63" fillId="7" borderId="6" xfId="0" applyFont="1" applyFill="1" applyBorder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7" fillId="8" borderId="2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40" fillId="7" borderId="5" xfId="0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8" fillId="7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left" indent="9"/>
    </xf>
    <xf numFmtId="0" fontId="0" fillId="7" borderId="0" xfId="0" applyFill="1" applyBorder="1"/>
    <xf numFmtId="167" fontId="67" fillId="7" borderId="0" xfId="2" applyNumberFormat="1" applyFont="1" applyFill="1" applyBorder="1"/>
    <xf numFmtId="167" fontId="0" fillId="7" borderId="0" xfId="0" applyNumberFormat="1" applyFill="1" applyBorder="1"/>
    <xf numFmtId="0" fontId="15" fillId="7" borderId="0" xfId="0" applyFont="1" applyFill="1" applyBorder="1"/>
    <xf numFmtId="43" fontId="0" fillId="7" borderId="0" xfId="0" applyNumberFormat="1" applyFill="1" applyBorder="1"/>
    <xf numFmtId="167" fontId="54" fillId="7" borderId="0" xfId="0" applyNumberFormat="1" applyFont="1" applyFill="1" applyBorder="1"/>
    <xf numFmtId="0" fontId="3" fillId="7" borderId="0" xfId="0" applyFont="1" applyFill="1" applyBorder="1" applyAlignment="1">
      <alignment horizontal="center"/>
    </xf>
    <xf numFmtId="0" fontId="0" fillId="0" borderId="0" xfId="0" applyFont="1"/>
    <xf numFmtId="0" fontId="8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66" fillId="7" borderId="0" xfId="0" applyFont="1" applyFill="1" applyBorder="1" applyAlignment="1">
      <alignment horizontal="right"/>
    </xf>
    <xf numFmtId="2" fontId="67" fillId="7" borderId="0" xfId="1" applyNumberFormat="1" applyFont="1" applyFill="1" applyBorder="1"/>
    <xf numFmtId="2" fontId="0" fillId="7" borderId="0" xfId="0" applyNumberFormat="1" applyFont="1" applyFill="1" applyBorder="1" applyAlignment="1">
      <alignment horizontal="right"/>
    </xf>
    <xf numFmtId="10" fontId="12" fillId="7" borderId="0" xfId="0" applyNumberFormat="1" applyFont="1" applyFill="1" applyBorder="1" applyAlignment="1">
      <alignment horizontal="right"/>
    </xf>
    <xf numFmtId="167" fontId="67" fillId="7" borderId="0" xfId="0" applyNumberFormat="1" applyFont="1" applyFill="1"/>
    <xf numFmtId="165" fontId="2" fillId="7" borderId="0" xfId="0" applyNumberFormat="1" applyFont="1" applyFill="1" applyBorder="1" applyAlignment="1">
      <alignment horizontal="center"/>
    </xf>
    <xf numFmtId="10" fontId="33" fillId="8" borderId="0" xfId="2" applyNumberFormat="1" applyFont="1" applyFill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00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338665</xdr:colOff>
      <xdr:row>4</xdr:row>
      <xdr:rowOff>131233</xdr:rowOff>
    </xdr:from>
    <xdr:ext cx="118000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𝑑</m:t>
                      </m:r>
                    </m:sup>
                  </m:sSubSup>
                </m:oMath>
              </a14:m>
              <a:r>
                <a:rPr lang="en-US" sz="1200"/>
                <a:t>; 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E9D1DC-7B27-EF66-E179-C07935ACF47E}"/>
                </a:ext>
              </a:extLst>
            </xdr:cNvPr>
            <xdr:cNvSpPr txBox="1"/>
          </xdr:nvSpPr>
          <xdr:spPr>
            <a:xfrm>
              <a:off x="338665" y="893233"/>
              <a:ext cx="118000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𝐶_𝑇^𝑃=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200" b="0" i="0">
                  <a:latin typeface="Cambria Math" panose="02040503050406030204" pitchFamily="18" charset="0"/>
                </a:rPr>
                <a:t>𝐶+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200" b="0" i="0">
                  <a:latin typeface="Cambria Math" panose="02040503050406030204" pitchFamily="18" charset="0"/>
                </a:rPr>
                <a:t>𝐶 𝑌_𝑇^𝑑</a:t>
              </a:r>
              <a:r>
                <a:rPr lang="en-US" sz="1200"/>
                <a:t>; </a:t>
              </a:r>
            </a:p>
          </xdr:txBody>
        </xdr:sp>
      </mc:Fallback>
    </mc:AlternateContent>
    <xdr:clientData/>
  </xdr:oneCellAnchor>
  <xdr:oneCellAnchor>
    <xdr:from>
      <xdr:col>1</xdr:col>
      <xdr:colOff>795867</xdr:colOff>
      <xdr:row>4</xdr:row>
      <xdr:rowOff>122766</xdr:rowOff>
    </xdr:from>
    <xdr:ext cx="833241" cy="195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𝐼𝑁𝐵𝐷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06BF0F-E087-2BA1-2357-ED63469DEF10}"/>
                </a:ext>
              </a:extLst>
            </xdr:cNvPr>
            <xdr:cNvSpPr txBox="1"/>
          </xdr:nvSpPr>
          <xdr:spPr>
            <a:xfrm>
              <a:off x="1625600" y="1087966"/>
              <a:ext cx="833241" cy="195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𝑌^𝑑=𝐼𝑁𝐵𝐷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330199</xdr:colOff>
      <xdr:row>6</xdr:row>
      <xdr:rowOff>97367</xdr:rowOff>
    </xdr:from>
    <xdr:ext cx="2954911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019A3C1-29F2-6368-5983-19F5011B465C}"/>
                </a:ext>
              </a:extLst>
            </xdr:cNvPr>
            <xdr:cNvSpPr txBox="1"/>
          </xdr:nvSpPr>
          <xdr:spPr>
            <a:xfrm>
              <a:off x="330199" y="1367367"/>
              <a:ext cx="2954911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𝑋_𝑡^$=𝜀_(𝑦∗)^𝑋 ∆%𝑌^∗+𝜀_(𝑃∗)^𝑋 ∆%𝑃_𝑋^∗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𝜀_𝑇𝐶𝑅^𝑋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321733</xdr:colOff>
      <xdr:row>8</xdr:row>
      <xdr:rowOff>118535</xdr:rowOff>
    </xdr:from>
    <xdr:ext cx="3115596" cy="225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% 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$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𝑌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𝜀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𝑇𝐶𝑅</m:t>
                      </m:r>
                    </m:sub>
                    <m:sup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𝐼𝑚</m:t>
                      </m:r>
                    </m:sup>
                  </m:sSubSup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∆%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𝑇𝐶𝑅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DAB2E9F-6FDE-F642-A62F-5954FEA84282}"/>
                </a:ext>
              </a:extLst>
            </xdr:cNvPr>
            <xdr:cNvSpPr txBox="1"/>
          </xdr:nvSpPr>
          <xdr:spPr>
            <a:xfrm>
              <a:off x="321733" y="1896535"/>
              <a:ext cx="3115596" cy="225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〖𝐼𝑚〗_𝑡^$=𝜀_𝑦^𝐼𝑚 ∆%𝑌+𝜀_(𝑃∗)^𝐼𝑚 ∆%𝑃_𝐼𝑚^∗</a:t>
              </a:r>
              <a:r>
                <a:rPr lang="en-US" sz="1200"/>
                <a:t> +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𝜀_𝑇𝐶𝑅^𝐼𝑚 ∆%𝑇𝐶𝑅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347133</xdr:colOff>
      <xdr:row>10</xdr:row>
      <xdr:rowOff>139700</xdr:rowOff>
    </xdr:from>
    <xdr:ext cx="1181542" cy="2658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𝐺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</m:oMath>
              </a14:m>
              <a:r>
                <a:rPr lang="en-US" sz="1200"/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𝑌</m:t>
                      </m:r>
                    </m:den>
                  </m:f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𝐾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C20501D-9B9A-90A2-CC8E-95C4FD5F4517}"/>
                </a:ext>
              </a:extLst>
            </xdr:cNvPr>
            <xdr:cNvSpPr txBox="1"/>
          </xdr:nvSpPr>
          <xdr:spPr>
            <a:xfrm>
              <a:off x="347133" y="2425700"/>
              <a:ext cx="1181542" cy="2658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𝑌/</a:t>
              </a:r>
              <a:r>
                <a:rPr lang="en-US" sz="1200" b="0" i="0">
                  <a:latin typeface="Cambria Math" panose="02040503050406030204" pitchFamily="18" charset="0"/>
                </a:rPr>
                <a:t>𝑌=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𝐺/</a:t>
              </a:r>
              <a:r>
                <a:rPr lang="en-US" sz="1200" b="0" i="0">
                  <a:latin typeface="Cambria Math" panose="02040503050406030204" pitchFamily="18" charset="0"/>
                </a:rPr>
                <a:t>𝑌 𝐾_𝐺</a:t>
              </a:r>
              <a:r>
                <a:rPr lang="en-US" sz="1200"/>
                <a:t> + 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𝑇/</a:t>
              </a:r>
              <a:r>
                <a:rPr lang="en-US" sz="1200" b="0" i="0">
                  <a:latin typeface="Cambria Math" panose="02040503050406030204" pitchFamily="18" charset="0"/>
                </a:rPr>
                <a:t>𝑌 𝐾_𝑇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330200</xdr:colOff>
      <xdr:row>12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2B9B99-126C-524F-B99E-AED3A6120127}"/>
                </a:ext>
              </a:extLst>
            </xdr:cNvPr>
            <xdr:cNvSpPr txBox="1"/>
          </xdr:nvSpPr>
          <xdr:spPr>
            <a:xfrm>
              <a:off x="330200" y="2997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𝑇_𝑡^𝑖=𝜀_𝑦^𝑇𝑖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338666</xdr:colOff>
      <xdr:row>14</xdr:row>
      <xdr:rowOff>203201</xdr:rowOff>
    </xdr:from>
    <xdr:ext cx="1169744" cy="211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𝐺𝑖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68ABFFF-E09C-C349-8C25-39A76D5FD9E5}"/>
                </a:ext>
              </a:extLst>
            </xdr:cNvPr>
            <xdr:cNvSpPr txBox="1"/>
          </xdr:nvSpPr>
          <xdr:spPr>
            <a:xfrm>
              <a:off x="338666" y="3505201"/>
              <a:ext cx="1169744" cy="211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 𝐺_𝑡^𝑖=𝜀_𝑦^𝐺𝑖 ∆%𝑌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228600</xdr:colOff>
      <xdr:row>4</xdr:row>
      <xdr:rowOff>71968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7A46E1D-47AE-1F8E-2C8D-0656FA7778CC}"/>
                </a:ext>
              </a:extLst>
            </xdr:cNvPr>
            <xdr:cNvSpPr txBox="1"/>
          </xdr:nvSpPr>
          <xdr:spPr>
            <a:xfrm>
              <a:off x="5207000" y="833968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237067</xdr:colOff>
      <xdr:row>5</xdr:row>
      <xdr:rowOff>76202</xdr:rowOff>
    </xdr:from>
    <xdr:ext cx="340863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B8B55-002A-9149-A491-AC1780BD48D4}"/>
                </a:ext>
              </a:extLst>
            </xdr:cNvPr>
            <xdr:cNvSpPr txBox="1"/>
          </xdr:nvSpPr>
          <xdr:spPr>
            <a:xfrm>
              <a:off x="5215467" y="1092202"/>
              <a:ext cx="340863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𝛽^</a:t>
              </a:r>
              <a:r>
                <a:rPr lang="en-US" sz="1100" b="0" i="0">
                  <a:latin typeface="Cambria Math" panose="02040503050406030204" pitchFamily="18" charset="0"/>
                </a:rPr>
                <a:t>𝐶=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211666</xdr:colOff>
      <xdr:row>6</xdr:row>
      <xdr:rowOff>80435</xdr:rowOff>
    </xdr:from>
    <xdr:ext cx="361446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1D4B58A-CFC2-08E9-D35E-A5BEFE3CC1B5}"/>
                </a:ext>
              </a:extLst>
            </xdr:cNvPr>
            <xdr:cNvSpPr txBox="1"/>
          </xdr:nvSpPr>
          <xdr:spPr>
            <a:xfrm>
              <a:off x="5190066" y="1350435"/>
              <a:ext cx="361446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𝑦∗)^𝑋=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7</xdr:row>
      <xdr:rowOff>76196</xdr:rowOff>
    </xdr:from>
    <xdr:ext cx="362728" cy="17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49088F-91A4-9B48-A3A6-0DA17860C94C}"/>
                </a:ext>
              </a:extLst>
            </xdr:cNvPr>
            <xdr:cNvSpPr txBox="1"/>
          </xdr:nvSpPr>
          <xdr:spPr>
            <a:xfrm>
              <a:off x="5198534" y="1600196"/>
              <a:ext cx="362728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127000</xdr:colOff>
      <xdr:row>8</xdr:row>
      <xdr:rowOff>67732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51D3A0-D6C6-E241-A22F-2B845DEC8997}"/>
                </a:ext>
              </a:extLst>
            </xdr:cNvPr>
            <xdr:cNvSpPr txBox="1"/>
          </xdr:nvSpPr>
          <xdr:spPr>
            <a:xfrm>
              <a:off x="5105400" y="1845732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𝑇𝐶𝑅^𝑋=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169333</xdr:colOff>
      <xdr:row>9</xdr:row>
      <xdr:rowOff>84667</xdr:rowOff>
    </xdr:from>
    <xdr:ext cx="392672" cy="1874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8B7D890-2BBB-9840-9CE5-B1EC00FA0C29}"/>
                </a:ext>
              </a:extLst>
            </xdr:cNvPr>
            <xdr:cNvSpPr txBox="1"/>
          </xdr:nvSpPr>
          <xdr:spPr>
            <a:xfrm>
              <a:off x="5147733" y="2116667"/>
              <a:ext cx="392672" cy="187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169334</xdr:colOff>
      <xdr:row>10</xdr:row>
      <xdr:rowOff>76200</xdr:rowOff>
    </xdr:from>
    <xdr:ext cx="392672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7A4656-9252-0846-9604-A4CC8C23113B}"/>
                </a:ext>
              </a:extLst>
            </xdr:cNvPr>
            <xdr:cNvSpPr txBox="1"/>
          </xdr:nvSpPr>
          <xdr:spPr>
            <a:xfrm>
              <a:off x="5147734" y="2362200"/>
              <a:ext cx="392672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1100" b="0" i="0">
                  <a:latin typeface="Cambria Math" panose="02040503050406030204" pitchFamily="18" charset="0"/>
                </a:rPr>
                <a:t>𝑃∗)^𝐼𝑚=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118533</xdr:colOff>
      <xdr:row>11</xdr:row>
      <xdr:rowOff>93134</xdr:rowOff>
    </xdr:from>
    <xdr:ext cx="445443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𝑇𝐶𝑅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C26C930-D8FC-1647-B93B-AC88E7EA621A}"/>
                </a:ext>
              </a:extLst>
            </xdr:cNvPr>
            <xdr:cNvSpPr txBox="1"/>
          </xdr:nvSpPr>
          <xdr:spPr>
            <a:xfrm>
              <a:off x="5096933" y="2633134"/>
              <a:ext cx="445443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𝑇𝐶𝑅^𝐼𝑚=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220132</xdr:colOff>
      <xdr:row>12</xdr:row>
      <xdr:rowOff>97366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0AE1EF1-C46F-3C5A-FE14-A13626679782}"/>
                </a:ext>
              </a:extLst>
            </xdr:cNvPr>
            <xdr:cNvSpPr txBox="1"/>
          </xdr:nvSpPr>
          <xdr:spPr>
            <a:xfrm>
              <a:off x="5198532" y="2891366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220133</xdr:colOff>
      <xdr:row>13</xdr:row>
      <xdr:rowOff>110067</xdr:rowOff>
    </xdr:from>
    <xdr:ext cx="3413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B3D4F8-F3F6-DA4B-A105-DF5B9A2A025A}"/>
                </a:ext>
              </a:extLst>
            </xdr:cNvPr>
            <xdr:cNvSpPr txBox="1"/>
          </xdr:nvSpPr>
          <xdr:spPr>
            <a:xfrm>
              <a:off x="5198533" y="3158067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𝐾_𝑇=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186266</xdr:colOff>
      <xdr:row>14</xdr:row>
      <xdr:rowOff>80433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45EB14D-DA5A-3AB0-8F6D-83381DA83B83}"/>
                </a:ext>
              </a:extLst>
            </xdr:cNvPr>
            <xdr:cNvSpPr txBox="1"/>
          </xdr:nvSpPr>
          <xdr:spPr>
            <a:xfrm>
              <a:off x="5164666" y="3382433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220134</xdr:colOff>
      <xdr:row>18</xdr:row>
      <xdr:rowOff>8466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1F2B614-6376-A241-9217-141765DEF221}"/>
                </a:ext>
              </a:extLst>
            </xdr:cNvPr>
            <xdr:cNvSpPr txBox="1"/>
          </xdr:nvSpPr>
          <xdr:spPr>
            <a:xfrm>
              <a:off x="5198534" y="4326466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194733</xdr:colOff>
      <xdr:row>15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69AB4A5-213E-2840-B40B-14AD801D45EB}"/>
                </a:ext>
              </a:extLst>
            </xdr:cNvPr>
            <xdr:cNvSpPr txBox="1"/>
          </xdr:nvSpPr>
          <xdr:spPr>
            <a:xfrm>
              <a:off x="5173133" y="3615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203200</xdr:colOff>
      <xdr:row>16</xdr:row>
      <xdr:rowOff>59267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24FA3F1A-0F6D-1745-9C0F-0BC17B378B7F}"/>
                </a:ext>
              </a:extLst>
            </xdr:cNvPr>
            <xdr:cNvSpPr txBox="1"/>
          </xdr:nvSpPr>
          <xdr:spPr>
            <a:xfrm>
              <a:off x="5181600" y="3869267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211667</xdr:colOff>
      <xdr:row>17</xdr:row>
      <xdr:rowOff>50800</xdr:rowOff>
    </xdr:from>
    <xdr:ext cx="377283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8D84DD3-95C5-7E4F-8AD7-E63CD1CC6B27}"/>
                </a:ext>
              </a:extLst>
            </xdr:cNvPr>
            <xdr:cNvSpPr txBox="1"/>
          </xdr:nvSpPr>
          <xdr:spPr>
            <a:xfrm>
              <a:off x="5190067" y="4114800"/>
              <a:ext cx="377283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𝑦^𝑇4=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441159</xdr:colOff>
      <xdr:row>4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FABCB0A-4C25-784C-9212-A042B721516B}"/>
                </a:ext>
              </a:extLst>
            </xdr:cNvPr>
            <xdr:cNvSpPr txBox="1"/>
          </xdr:nvSpPr>
          <xdr:spPr>
            <a:xfrm>
              <a:off x="8459092" y="1032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414866</xdr:colOff>
      <xdr:row>9</xdr:row>
      <xdr:rowOff>232833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EE4A304-F9BF-F22F-0DBA-2205FAACE4F4}"/>
            </a:ext>
          </a:extLst>
        </xdr:cNvPr>
        <xdr:cNvSpPr txBox="1"/>
      </xdr:nvSpPr>
      <xdr:spPr>
        <a:xfrm>
          <a:off x="5494866" y="22648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651933</xdr:colOff>
      <xdr:row>5</xdr:row>
      <xdr:rowOff>71964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D0E83D8D-EE49-C3F9-F169-713AC1C055F8}"/>
                </a:ext>
              </a:extLst>
            </xdr:cNvPr>
            <xdr:cNvSpPr txBox="1"/>
          </xdr:nvSpPr>
          <xdr:spPr>
            <a:xfrm>
              <a:off x="9050866" y="1087964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448733</xdr:colOff>
      <xdr:row>6</xdr:row>
      <xdr:rowOff>67734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E769EAF-DD3A-D44B-9604-1988DE031689}"/>
                </a:ext>
              </a:extLst>
            </xdr:cNvPr>
            <xdr:cNvSpPr txBox="1"/>
          </xdr:nvSpPr>
          <xdr:spPr>
            <a:xfrm>
              <a:off x="8847666" y="1337734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7</xdr:row>
      <xdr:rowOff>93133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6488A22E-05BE-D841-9D90-7AF7D66529AF}"/>
                </a:ext>
              </a:extLst>
            </xdr:cNvPr>
            <xdr:cNvSpPr txBox="1"/>
          </xdr:nvSpPr>
          <xdr:spPr>
            <a:xfrm>
              <a:off x="8492067" y="1820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474134</xdr:colOff>
      <xdr:row>8</xdr:row>
      <xdr:rowOff>101600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B5C7122-8736-A847-A3E4-D9A6E8860F39}"/>
                </a:ext>
              </a:extLst>
            </xdr:cNvPr>
            <xdr:cNvSpPr txBox="1"/>
          </xdr:nvSpPr>
          <xdr:spPr>
            <a:xfrm>
              <a:off x="8492067" y="2082800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448732</xdr:colOff>
      <xdr:row>10</xdr:row>
      <xdr:rowOff>93134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6490817B-715F-6945-BD76-1D131B541D42}"/>
                </a:ext>
              </a:extLst>
            </xdr:cNvPr>
            <xdr:cNvSpPr txBox="1"/>
          </xdr:nvSpPr>
          <xdr:spPr>
            <a:xfrm>
              <a:off x="8466665" y="2582334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660400</xdr:colOff>
      <xdr:row>9</xdr:row>
      <xdr:rowOff>67733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93B10FC2-D27C-EE43-A598-6B675E1D46B9}"/>
                </a:ext>
              </a:extLst>
            </xdr:cNvPr>
            <xdr:cNvSpPr txBox="1"/>
          </xdr:nvSpPr>
          <xdr:spPr>
            <a:xfrm>
              <a:off x="8678333" y="2302933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465667</xdr:colOff>
      <xdr:row>11</xdr:row>
      <xdr:rowOff>67733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E6B1B294-0E81-E744-80BB-038E9A60AB34}"/>
                </a:ext>
              </a:extLst>
            </xdr:cNvPr>
            <xdr:cNvSpPr txBox="1"/>
          </xdr:nvSpPr>
          <xdr:spPr>
            <a:xfrm>
              <a:off x="8483600" y="28109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12</xdr:row>
      <xdr:rowOff>50800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C535A82-E660-6F4C-B35A-0ABE15E5A371}"/>
                </a:ext>
              </a:extLst>
            </xdr:cNvPr>
            <xdr:cNvSpPr txBox="1"/>
          </xdr:nvSpPr>
          <xdr:spPr>
            <a:xfrm>
              <a:off x="8492066" y="30480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474133</xdr:colOff>
      <xdr:row>13</xdr:row>
      <xdr:rowOff>50800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1E0D159-81A2-1F4D-B298-E8339C3404AB}"/>
                </a:ext>
              </a:extLst>
            </xdr:cNvPr>
            <xdr:cNvSpPr txBox="1"/>
          </xdr:nvSpPr>
          <xdr:spPr>
            <a:xfrm>
              <a:off x="8492066" y="3302000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211668</xdr:colOff>
      <xdr:row>19</xdr:row>
      <xdr:rowOff>25401</xdr:rowOff>
    </xdr:from>
    <xdr:ext cx="381322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17CEB6F-48BD-AA4B-8DE3-63FCEE99ED03}"/>
                </a:ext>
              </a:extLst>
            </xdr:cNvPr>
            <xdr:cNvSpPr txBox="1"/>
          </xdr:nvSpPr>
          <xdr:spPr>
            <a:xfrm>
              <a:off x="4360335" y="4800601"/>
              <a:ext cx="381322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𝑦^𝐺2=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660398</xdr:colOff>
      <xdr:row>14</xdr:row>
      <xdr:rowOff>42333</xdr:rowOff>
    </xdr:from>
    <xdr:ext cx="474135" cy="179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92EF12A-CBDE-060E-ADF6-A61FE2A4E78F}"/>
                </a:ext>
              </a:extLst>
            </xdr:cNvPr>
            <xdr:cNvSpPr txBox="1"/>
          </xdr:nvSpPr>
          <xdr:spPr>
            <a:xfrm>
              <a:off x="8678331" y="3547533"/>
              <a:ext cx="474135" cy="179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𝑖_(𝑡+1)^𝐺=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245533</xdr:colOff>
      <xdr:row>20</xdr:row>
      <xdr:rowOff>29634</xdr:rowOff>
    </xdr:from>
    <xdr:ext cx="4019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DE33EE9-76E7-68AA-6B2F-F886BB15C85F}"/>
                </a:ext>
              </a:extLst>
            </xdr:cNvPr>
            <xdr:cNvSpPr txBox="1"/>
          </xdr:nvSpPr>
          <xdr:spPr>
            <a:xfrm>
              <a:off x="4394200" y="5058834"/>
              <a:ext cx="4019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177798</xdr:colOff>
      <xdr:row>21</xdr:row>
      <xdr:rowOff>46567</xdr:rowOff>
    </xdr:from>
    <xdr:ext cx="4196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FCF6DAC-E0BE-DF7E-6B6C-A1F30AA9CB3D}"/>
                </a:ext>
              </a:extLst>
            </xdr:cNvPr>
            <xdr:cNvSpPr txBox="1"/>
          </xdr:nvSpPr>
          <xdr:spPr>
            <a:xfrm>
              <a:off x="4326465" y="5329767"/>
              <a:ext cx="4196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𝐾_𝑀3=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8466</xdr:colOff>
      <xdr:row>22</xdr:row>
      <xdr:rowOff>38099</xdr:rowOff>
    </xdr:from>
    <xdr:ext cx="750014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𝐶𝑟𝑒𝑑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𝑃𝐵𝐼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292B070-4334-29B0-0B11-3850F9FE974C}"/>
                </a:ext>
              </a:extLst>
            </xdr:cNvPr>
            <xdr:cNvSpPr txBox="1"/>
          </xdr:nvSpPr>
          <xdr:spPr>
            <a:xfrm>
              <a:off x="4157133" y="5575299"/>
              <a:ext cx="75001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𝐶𝑟𝑒𝑑. 𝑖𝑛𝑡.)/𝑃𝐵𝐼=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739923-26A9-6FC6-B29E-47360AA4BB4D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592667</xdr:colOff>
      <xdr:row>62</xdr:row>
      <xdr:rowOff>8467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492DDD-924C-291F-A092-927B77AD4D6C}"/>
            </a:ext>
          </a:extLst>
        </xdr:cNvPr>
        <xdr:cNvSpPr txBox="1"/>
      </xdr:nvSpPr>
      <xdr:spPr>
        <a:xfrm>
          <a:off x="8559800" y="11540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3064933</xdr:colOff>
      <xdr:row>50</xdr:row>
      <xdr:rowOff>16933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A46D33-AE8C-F345-812A-4B4BA880C7F6}"/>
                </a:ext>
              </a:extLst>
            </xdr:cNvPr>
            <xdr:cNvSpPr txBox="1"/>
          </xdr:nvSpPr>
          <xdr:spPr>
            <a:xfrm>
              <a:off x="3064933" y="10964333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%𝑌_(𝑡+1)^(𝑅∗)=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3251201</xdr:colOff>
      <xdr:row>51</xdr:row>
      <xdr:rowOff>8467</xdr:rowOff>
    </xdr:from>
    <xdr:ext cx="44845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205125-DAAE-484D-9A1D-13C57957E128}"/>
                </a:ext>
              </a:extLst>
            </xdr:cNvPr>
            <xdr:cNvSpPr txBox="1"/>
          </xdr:nvSpPr>
          <xdr:spPr>
            <a:xfrm>
              <a:off x="3251201" y="11150600"/>
              <a:ext cx="44845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𝑡+1)^∗=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3048000</xdr:colOff>
      <xdr:row>52</xdr:row>
      <xdr:rowOff>0</xdr:rowOff>
    </xdr:from>
    <xdr:ext cx="636263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DACDEE-CB24-5E4D-8036-1E9851EE7A9D}"/>
                </a:ext>
              </a:extLst>
            </xdr:cNvPr>
            <xdr:cNvSpPr txBox="1"/>
          </xdr:nvSpPr>
          <xdr:spPr>
            <a:xfrm>
              <a:off x="3048000" y="11336867"/>
              <a:ext cx="636263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%𝑒_(𝑡+1)^𝑁=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3251200</xdr:colOff>
      <xdr:row>53</xdr:row>
      <xdr:rowOff>0</xdr:rowOff>
    </xdr:from>
    <xdr:ext cx="448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6E762B4-B6B9-4E4C-A369-F782F0519E42}"/>
                </a:ext>
              </a:extLst>
            </xdr:cNvPr>
            <xdr:cNvSpPr txBox="1"/>
          </xdr:nvSpPr>
          <xdr:spPr>
            <a:xfrm>
              <a:off x="3251200" y="11531600"/>
              <a:ext cx="448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𝜋_(</a:t>
              </a:r>
              <a:r>
                <a:rPr lang="en-US" sz="1100" b="0" i="0">
                  <a:latin typeface="Cambria Math" panose="02040503050406030204" pitchFamily="18" charset="0"/>
                </a:rPr>
                <a:t>𝑡+1)=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3064934</xdr:colOff>
      <xdr:row>54</xdr:row>
      <xdr:rowOff>25400</xdr:rowOff>
    </xdr:from>
    <xdr:ext cx="640240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7C03A63-DA76-2447-AD5E-11E40C8CD8B6}"/>
                </a:ext>
              </a:extLst>
            </xdr:cNvPr>
            <xdr:cNvSpPr txBox="1"/>
          </xdr:nvSpPr>
          <xdr:spPr>
            <a:xfrm>
              <a:off x="3064934" y="11946467"/>
              <a:ext cx="640240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</a:rPr>
                <a:t>𝑒_(𝑡+1)^𝑅=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3039533</xdr:colOff>
      <xdr:row>56</xdr:row>
      <xdr:rowOff>0</xdr:rowOff>
    </xdr:from>
    <xdr:ext cx="646716" cy="177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F808ADA-B05E-D640-8653-D2BE1EBF0C21}"/>
                </a:ext>
              </a:extLst>
            </xdr:cNvPr>
            <xdr:cNvSpPr txBox="1"/>
          </xdr:nvSpPr>
          <xdr:spPr>
            <a:xfrm>
              <a:off x="3039533" y="12115800"/>
              <a:ext cx="646716" cy="177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%𝑃_(𝑡+1)^(∗𝑋)=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3005667</xdr:colOff>
      <xdr:row>57</xdr:row>
      <xdr:rowOff>16933</xdr:rowOff>
    </xdr:from>
    <xdr:ext cx="670761" cy="178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𝐼𝑚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0C8EF93-35DE-C540-9A6C-08D65937E189}"/>
                </a:ext>
              </a:extLst>
            </xdr:cNvPr>
            <xdr:cNvSpPr txBox="1"/>
          </xdr:nvSpPr>
          <xdr:spPr>
            <a:xfrm>
              <a:off x="3005667" y="11159066"/>
              <a:ext cx="670761" cy="178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%𝑃_(𝑡+1)^(∗𝐼𝑚)=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2802463</xdr:colOff>
      <xdr:row>58</xdr:row>
      <xdr:rowOff>12701</xdr:rowOff>
    </xdr:from>
    <xdr:ext cx="87889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∆%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$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1942CC4-686B-590A-7A9C-5169C7FFBC04}"/>
                </a:ext>
              </a:extLst>
            </xdr:cNvPr>
            <xdr:cNvSpPr txBox="1"/>
          </xdr:nvSpPr>
          <xdr:spPr>
            <a:xfrm>
              <a:off x="2802463" y="11358034"/>
              <a:ext cx="87889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𝐼 (𝑒𝑛 $)=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4013200</xdr:colOff>
      <xdr:row>36</xdr:row>
      <xdr:rowOff>16934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0C1DED-A676-AC48-A2E2-4B58D735B81E}"/>
                </a:ext>
              </a:extLst>
            </xdr:cNvPr>
            <xdr:cNvSpPr txBox="1"/>
          </xdr:nvSpPr>
          <xdr:spPr>
            <a:xfrm>
              <a:off x="4013200" y="7044267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414866</xdr:colOff>
      <xdr:row>14</xdr:row>
      <xdr:rowOff>186267</xdr:rowOff>
    </xdr:from>
    <xdr:ext cx="4294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9F4130C-71F7-024B-8DF8-0BAFC1E6F171}"/>
                </a:ext>
              </a:extLst>
            </xdr:cNvPr>
            <xdr:cNvSpPr txBox="1"/>
          </xdr:nvSpPr>
          <xdr:spPr>
            <a:xfrm>
              <a:off x="6443133" y="2921000"/>
              <a:ext cx="4294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𝑽_𝑴𝟑=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499533</xdr:colOff>
      <xdr:row>24</xdr:row>
      <xdr:rowOff>8467</xdr:rowOff>
    </xdr:from>
    <xdr:ext cx="4461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𝑲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𝑴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solidFill>
                          <a:schemeClr val="accent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26E8737-569F-8849-9198-C44A2B0FC6F2}"/>
                </a:ext>
              </a:extLst>
            </xdr:cNvPr>
            <xdr:cNvSpPr txBox="1"/>
          </xdr:nvSpPr>
          <xdr:spPr>
            <a:xfrm>
              <a:off x="6527800" y="4690534"/>
              <a:ext cx="4461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𝑲_𝑴𝟑=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3970867</xdr:colOff>
      <xdr:row>38</xdr:row>
      <xdr:rowOff>16934</xdr:rowOff>
    </xdr:from>
    <xdr:ext cx="4019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A9BDF79-1902-6143-8DA8-CA8B154C0A31}"/>
                </a:ext>
              </a:extLst>
            </xdr:cNvPr>
            <xdr:cNvSpPr txBox="1"/>
          </xdr:nvSpPr>
          <xdr:spPr>
            <a:xfrm>
              <a:off x="3970867" y="7433734"/>
              <a:ext cx="401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𝑉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𝑀3</a:t>
              </a:r>
              <a:r>
                <a:rPr lang="en-US" sz="11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=</a:t>
              </a:r>
              <a:endParaRPr lang="en-US" sz="11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3928533</xdr:colOff>
      <xdr:row>39</xdr:row>
      <xdr:rowOff>16933</xdr:rowOff>
    </xdr:from>
    <xdr:ext cx="41966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 b="0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03BA2A-D61F-5949-81B7-724383DC846F}"/>
                </a:ext>
              </a:extLst>
            </xdr:cNvPr>
            <xdr:cNvSpPr txBox="1"/>
          </xdr:nvSpPr>
          <xdr:spPr>
            <a:xfrm>
              <a:off x="3928533" y="7628466"/>
              <a:ext cx="41966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𝐾_𝑀3=</a:t>
              </a:r>
              <a:endParaRPr lang="en-US" sz="1100" b="0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287866</xdr:colOff>
      <xdr:row>12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B9845F-AF1B-E845-A2BB-AFEFD3303DAE}"/>
                </a:ext>
              </a:extLst>
            </xdr:cNvPr>
            <xdr:cNvSpPr txBox="1"/>
          </xdr:nvSpPr>
          <xdr:spPr>
            <a:xfrm>
              <a:off x="4292599" y="2353733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279400</xdr:colOff>
      <xdr:row>13</xdr:row>
      <xdr:rowOff>16933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7B979D3-58EA-5349-B8FD-31E4B57C05E6}"/>
                </a:ext>
              </a:extLst>
            </xdr:cNvPr>
            <xdr:cNvSpPr txBox="1"/>
          </xdr:nvSpPr>
          <xdr:spPr>
            <a:xfrm>
              <a:off x="4284133" y="2548466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287867</xdr:colOff>
      <xdr:row>15</xdr:row>
      <xdr:rowOff>186274</xdr:rowOff>
    </xdr:from>
    <xdr:ext cx="236154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41EB51-A7C7-BB4C-A0C4-7B4DE0A091CF}"/>
                </a:ext>
              </a:extLst>
            </xdr:cNvPr>
            <xdr:cNvSpPr txBox="1"/>
          </xdr:nvSpPr>
          <xdr:spPr>
            <a:xfrm>
              <a:off x="4292600" y="3107274"/>
              <a:ext cx="236154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𝒚^𝑻𝟑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101600</xdr:colOff>
      <xdr:row>15</xdr:row>
      <xdr:rowOff>33867</xdr:rowOff>
    </xdr:from>
    <xdr:to>
      <xdr:col>2</xdr:col>
      <xdr:colOff>245534</xdr:colOff>
      <xdr:row>17</xdr:row>
      <xdr:rowOff>186266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C36A00E6-82C5-A9BE-B199-C6774512EA38}"/>
            </a:ext>
          </a:extLst>
        </xdr:cNvPr>
        <xdr:cNvSpPr/>
      </xdr:nvSpPr>
      <xdr:spPr>
        <a:xfrm>
          <a:off x="4106333" y="2954867"/>
          <a:ext cx="143934" cy="541866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915316-786A-A54D-8C8E-01ABF7E4F781}"/>
                </a:ext>
              </a:extLst>
            </xdr:cNvPr>
            <xdr:cNvSpPr txBox="1"/>
          </xdr:nvSpPr>
          <xdr:spPr>
            <a:xfrm>
              <a:off x="4275666" y="35221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330198</xdr:colOff>
      <xdr:row>23</xdr:row>
      <xdr:rowOff>0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E45D73A-2319-7344-BAF1-66DBE69F994A}"/>
                </a:ext>
              </a:extLst>
            </xdr:cNvPr>
            <xdr:cNvSpPr txBox="1"/>
          </xdr:nvSpPr>
          <xdr:spPr>
            <a:xfrm>
              <a:off x="4334931" y="4478867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𝒚^𝑮𝟏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270933</xdr:colOff>
      <xdr:row>18</xdr:row>
      <xdr:rowOff>16934</xdr:rowOff>
    </xdr:from>
    <xdr:ext cx="236154" cy="1921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𝟒</m:t>
                        </m:r>
                      </m:sup>
                    </m:sSub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D67940D-B368-7242-BA72-0E3C108147F4}"/>
                </a:ext>
              </a:extLst>
            </xdr:cNvPr>
            <xdr:cNvSpPr txBox="1"/>
          </xdr:nvSpPr>
          <xdr:spPr>
            <a:xfrm>
              <a:off x="4275666" y="4690534"/>
              <a:ext cx="236154" cy="1921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𝒚^𝑻𝟒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2</xdr:col>
      <xdr:colOff>338667</xdr:colOff>
      <xdr:row>27</xdr:row>
      <xdr:rowOff>8466</xdr:rowOff>
    </xdr:from>
    <xdr:ext cx="241092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𝜺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𝑮</m:t>
                        </m:r>
                        <m:r>
                          <a:rPr lang="en-US" sz="1100" b="1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US" sz="1100" b="1">
                <a:solidFill>
                  <a:schemeClr val="accent1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2E16D05-B33F-2048-8D4D-92174D2AC85D}"/>
                </a:ext>
              </a:extLst>
            </xdr:cNvPr>
            <xdr:cNvSpPr txBox="1"/>
          </xdr:nvSpPr>
          <xdr:spPr>
            <a:xfrm>
              <a:off x="4343400" y="5266266"/>
              <a:ext cx="241092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𝜺_</a:t>
              </a:r>
              <a:r>
                <a:rPr lang="en-US" sz="11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𝒚^𝑮𝟐</a:t>
              </a:r>
              <a:endParaRPr lang="en-US" sz="1100" b="1">
                <a:solidFill>
                  <a:schemeClr val="accent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609600</xdr:colOff>
      <xdr:row>51</xdr:row>
      <xdr:rowOff>16933</xdr:rowOff>
    </xdr:from>
    <xdr:ext cx="474135" cy="17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250F26D-76F0-4A44-8126-B9EB28B0C4C0}"/>
                </a:ext>
              </a:extLst>
            </xdr:cNvPr>
            <xdr:cNvSpPr txBox="1"/>
          </xdr:nvSpPr>
          <xdr:spPr>
            <a:xfrm>
              <a:off x="609600" y="8585200"/>
              <a:ext cx="474135" cy="17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𝑖_𝑡^𝐺=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448737</xdr:colOff>
      <xdr:row>52</xdr:row>
      <xdr:rowOff>8467</xdr:rowOff>
    </xdr:from>
    <xdr:ext cx="55354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0890EE1-88CB-C143-85E0-12F699B405D0}"/>
                </a:ext>
              </a:extLst>
            </xdr:cNvPr>
            <xdr:cNvSpPr txBox="1"/>
          </xdr:nvSpPr>
          <xdr:spPr>
            <a:xfrm>
              <a:off x="448737" y="8771467"/>
              <a:ext cx="55354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676443</xdr:colOff>
      <xdr:row>53</xdr:row>
      <xdr:rowOff>12696</xdr:rowOff>
    </xdr:from>
    <xdr:ext cx="313996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56FAB47-3270-994C-8415-46B108081C67}"/>
                </a:ext>
              </a:extLst>
            </xdr:cNvPr>
            <xdr:cNvSpPr txBox="1"/>
          </xdr:nvSpPr>
          <xdr:spPr>
            <a:xfrm>
              <a:off x="676443" y="8970429"/>
              <a:ext cx="313996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𝜋_</a:t>
              </a:r>
              <a:r>
                <a:rPr lang="en-US" sz="1100" b="0" i="0">
                  <a:latin typeface="Cambria Math" panose="02040503050406030204" pitchFamily="18" charset="0"/>
                </a:rPr>
                <a:t>𝑡=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337774</xdr:colOff>
      <xdr:row>54</xdr:row>
      <xdr:rowOff>8466</xdr:rowOff>
    </xdr:from>
    <xdr:ext cx="662681" cy="177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𝑃𝐵𝐼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EE4B765-CC7B-414D-8298-208F55FC76F8}"/>
                </a:ext>
              </a:extLst>
            </xdr:cNvPr>
            <xdr:cNvSpPr txBox="1"/>
          </xdr:nvSpPr>
          <xdr:spPr>
            <a:xfrm>
              <a:off x="337774" y="9160933"/>
              <a:ext cx="662681" cy="177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%𝑃_𝑡^𝑃𝐵𝐼=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439378</xdr:colOff>
      <xdr:row>55</xdr:row>
      <xdr:rowOff>16930</xdr:rowOff>
    </xdr:from>
    <xdr:ext cx="5630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D97108B-344F-C44A-84CA-83A6F608FFAC}"/>
                </a:ext>
              </a:extLst>
            </xdr:cNvPr>
            <xdr:cNvSpPr txBox="1"/>
          </xdr:nvSpPr>
          <xdr:spPr>
            <a:xfrm>
              <a:off x="439378" y="9364130"/>
              <a:ext cx="5630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%𝑌_𝑡^𝑁=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635000</xdr:colOff>
      <xdr:row>50</xdr:row>
      <xdr:rowOff>8467</xdr:rowOff>
    </xdr:from>
    <xdr:ext cx="35349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D16010A7-3CC8-1E48-BA98-50976D8AE2A0}"/>
                </a:ext>
              </a:extLst>
            </xdr:cNvPr>
            <xdr:cNvSpPr txBox="1"/>
          </xdr:nvSpPr>
          <xdr:spPr>
            <a:xfrm>
              <a:off x="635000" y="8382000"/>
              <a:ext cx="35349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𝑌_𝑡^𝑁=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59266</xdr:colOff>
      <xdr:row>30</xdr:row>
      <xdr:rowOff>67735</xdr:rowOff>
    </xdr:from>
    <xdr:to>
      <xdr:col>11</xdr:col>
      <xdr:colOff>719667</xdr:colOff>
      <xdr:row>31</xdr:row>
      <xdr:rowOff>110068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B3F08-19B1-2163-94C1-3B5508107A80}"/>
            </a:ext>
          </a:extLst>
        </xdr:cNvPr>
        <xdr:cNvSpPr txBox="1"/>
      </xdr:nvSpPr>
      <xdr:spPr>
        <a:xfrm>
          <a:off x="10126133" y="5918202"/>
          <a:ext cx="1515534" cy="23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Consistente</a:t>
          </a:r>
          <a:r>
            <a:rPr lang="en-US" sz="1000" baseline="0"/>
            <a:t> con el déficit.</a:t>
          </a:r>
          <a:endParaRPr lang="en-US" sz="1000"/>
        </a:p>
      </xdr:txBody>
    </xdr:sp>
    <xdr:clientData/>
  </xdr:twoCellAnchor>
  <xdr:oneCellAnchor>
    <xdr:from>
      <xdr:col>0</xdr:col>
      <xdr:colOff>2768600</xdr:colOff>
      <xdr:row>42</xdr:row>
      <xdr:rowOff>190499</xdr:rowOff>
    </xdr:from>
    <xdr:ext cx="3413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5D21FA0-6E09-1C42-9F8B-9F412C27EDF7}"/>
                </a:ext>
              </a:extLst>
            </xdr:cNvPr>
            <xdr:cNvSpPr txBox="1"/>
          </xdr:nvSpPr>
          <xdr:spPr>
            <a:xfrm>
              <a:off x="2768600" y="8386232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5D21FA0-6E09-1C42-9F8B-9F412C27EDF7}"/>
                </a:ext>
              </a:extLst>
            </xdr:cNvPr>
            <xdr:cNvSpPr txBox="1"/>
          </xdr:nvSpPr>
          <xdr:spPr>
            <a:xfrm>
              <a:off x="2768600" y="8386232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𝐾_𝐺=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2768600</xdr:colOff>
      <xdr:row>43</xdr:row>
      <xdr:rowOff>186268</xdr:rowOff>
    </xdr:from>
    <xdr:ext cx="3413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146867B-C12A-1945-B86F-3C28BC45CF61}"/>
                </a:ext>
              </a:extLst>
            </xdr:cNvPr>
            <xdr:cNvSpPr txBox="1"/>
          </xdr:nvSpPr>
          <xdr:spPr>
            <a:xfrm>
              <a:off x="2768600" y="8576735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146867B-C12A-1945-B86F-3C28BC45CF61}"/>
                </a:ext>
              </a:extLst>
            </xdr:cNvPr>
            <xdr:cNvSpPr txBox="1"/>
          </xdr:nvSpPr>
          <xdr:spPr>
            <a:xfrm>
              <a:off x="2768600" y="8576735"/>
              <a:ext cx="3413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𝐾_𝑇=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259081</xdr:colOff>
      <xdr:row>10</xdr:row>
      <xdr:rowOff>101600</xdr:rowOff>
    </xdr:from>
    <xdr:to>
      <xdr:col>7</xdr:col>
      <xdr:colOff>304800</xdr:colOff>
      <xdr:row>20</xdr:row>
      <xdr:rowOff>165100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A39A544-84DC-4135-AE2B-336CE9F41239}"/>
            </a:ext>
          </a:extLst>
        </xdr:cNvPr>
        <xdr:cNvSpPr/>
      </xdr:nvSpPr>
      <xdr:spPr>
        <a:xfrm>
          <a:off x="7764781" y="1943100"/>
          <a:ext cx="45719" cy="19050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9</xdr:col>
      <xdr:colOff>0</xdr:colOff>
      <xdr:row>0</xdr:row>
      <xdr:rowOff>1</xdr:rowOff>
    </xdr:from>
    <xdr:to>
      <xdr:col>12</xdr:col>
      <xdr:colOff>549275</xdr:colOff>
      <xdr:row>12</xdr:row>
      <xdr:rowOff>152401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B42150-9F53-C04C-9F2F-ABB918EB4AC2}"/>
                </a:ext>
              </a:extLst>
            </xdr:cNvPr>
            <xdr:cNvSpPr txBox="1"/>
          </xdr:nvSpPr>
          <xdr:spPr>
            <a:xfrm>
              <a:off x="9245600" y="1"/>
              <a:ext cx="2733675" cy="24892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419" sz="11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SUPUESTOS DEL</a:t>
              </a:r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PROGRAMA</a:t>
              </a:r>
              <a:r>
                <a:rPr lang="es-419"/>
                <a:t> 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-Brecha</a:t>
              </a:r>
              <a:r>
                <a:rPr lang="es-419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en escenario base = 1.5% PBI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-Ajuste (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Symbol" pitchFamily="2" charset="2"/>
                  <a:ea typeface="+mn-ea"/>
                  <a:cs typeface="+mn-cs"/>
                </a:rPr>
                <a:t>D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G=-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Symbol" pitchFamily="2" charset="2"/>
                  <a:ea typeface="+mn-ea"/>
                  <a:cs typeface="+mn-cs"/>
                </a:rPr>
                <a:t>D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T=0.75% PBI)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-Financiamiento externo neto = 0</a:t>
              </a:r>
              <a:r>
                <a:rPr lang="es-419"/>
                <a:t> 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-Reduccion de la inflacion a 4.5%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Financiamiento interno neto = 2,000.</a:t>
              </a:r>
            </a:p>
            <a:p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419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419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𝑌</m:t>
                        </m:r>
                      </m:num>
                      <m:den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den>
                    </m:f>
                    <m:r>
                      <a:rPr lang="en-US" sz="1100" b="0" i="1" u="none" strike="noStrik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419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419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𝐺</m:t>
                        </m:r>
                      </m:num>
                      <m:den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den>
                    </m:f>
                    <m:sSub>
                      <m:sSubPr>
                        <m:ctrlP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b>
                    </m:sSub>
                    <m:r>
                      <a:rPr lang="en-US" sz="1100" b="0" i="1" u="none" strike="noStrik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419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419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</m:t>
                        </m:r>
                      </m:num>
                      <m:den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den>
                    </m:f>
                    <m:sSub>
                      <m:sSubPr>
                        <m:ctrlP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𝐾</m:t>
                        </m:r>
                      </m:e>
                      <m:sub>
                        <m:r>
                          <a:rPr lang="en-US" sz="1100" b="0" i="1" u="none" strike="noStrik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=(-0.75)*(1.0)</a:t>
              </a:r>
              <a:r>
                <a:rPr lang="es-419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(0.75)*(-0.5)</a:t>
              </a:r>
            </a:p>
            <a:p>
              <a:endParaRPr lang="es-419" sz="1100" b="0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419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=-1.125%</a:t>
              </a:r>
            </a:p>
            <a:p>
              <a:pPr algn="ctr"/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Symbol" pitchFamily="2" charset="2"/>
                  <a:ea typeface="+mn-ea"/>
                  <a:cs typeface="+mn-cs"/>
                </a:rPr>
                <a:t>D</a:t>
              </a:r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%Y</a:t>
              </a:r>
              <a:r>
                <a:rPr lang="es-419" sz="8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PROG</a:t>
              </a:r>
              <a:r>
                <a:rPr lang="es-419" sz="12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5.2 - 1.125 = 4.1%</a:t>
              </a:r>
            </a:p>
            <a:p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B42150-9F53-C04C-9F2F-ABB918EB4AC2}"/>
                </a:ext>
              </a:extLst>
            </xdr:cNvPr>
            <xdr:cNvSpPr txBox="1"/>
          </xdr:nvSpPr>
          <xdr:spPr>
            <a:xfrm>
              <a:off x="9245600" y="1"/>
              <a:ext cx="2733675" cy="24892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419" sz="11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SUPUESTOS DEL</a:t>
              </a:r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PROGRAMA</a:t>
              </a:r>
              <a:r>
                <a:rPr lang="es-419"/>
                <a:t> 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-Brecha</a:t>
              </a:r>
              <a:r>
                <a:rPr lang="es-419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en escenario base = 1.5% PBI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-Ajuste (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Symbol" pitchFamily="2" charset="2"/>
                  <a:ea typeface="+mn-ea"/>
                  <a:cs typeface="+mn-cs"/>
                </a:rPr>
                <a:t>D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G=-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Symbol" pitchFamily="2" charset="2"/>
                  <a:ea typeface="+mn-ea"/>
                  <a:cs typeface="+mn-cs"/>
                </a:rPr>
                <a:t>D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T=0.75% PBI)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-Financiamiento externo neto = 0</a:t>
              </a:r>
              <a:r>
                <a:rPr lang="es-419"/>
                <a:t> 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-Reduccion de la inflacion a 4.5%</a:t>
              </a: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Financiamiento interno neto = 2,000.</a:t>
              </a:r>
            </a:p>
            <a:p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𝑌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𝑌=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𝐺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 𝐾_𝐺+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</a:t>
              </a:r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 𝐾_𝑇</a:t>
              </a:r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419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=(-0.75)*(1.0)</a:t>
              </a:r>
              <a:r>
                <a:rPr lang="es-419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(0.75)*(-0.5)</a:t>
              </a:r>
            </a:p>
            <a:p>
              <a:endParaRPr lang="es-419" sz="1100" b="0" i="0" u="none" strike="noStrik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419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=-1.125%</a:t>
              </a:r>
            </a:p>
            <a:p>
              <a:pPr algn="ctr"/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Symbol" pitchFamily="2" charset="2"/>
                  <a:ea typeface="+mn-ea"/>
                  <a:cs typeface="+mn-cs"/>
                </a:rPr>
                <a:t>D</a:t>
              </a:r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%Y</a:t>
              </a:r>
              <a:r>
                <a:rPr lang="es-419" sz="8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PROG</a:t>
              </a:r>
              <a:r>
                <a:rPr lang="es-419" sz="12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s-419" sz="11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5.2 - 1.125 = 4.1%</a:t>
              </a:r>
            </a:p>
            <a:p>
              <a:endParaRPr lang="es-419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5</xdr:col>
      <xdr:colOff>457201</xdr:colOff>
      <xdr:row>7</xdr:row>
      <xdr:rowOff>42334</xdr:rowOff>
    </xdr:from>
    <xdr:to>
      <xdr:col>5</xdr:col>
      <xdr:colOff>465667</xdr:colOff>
      <xdr:row>9</xdr:row>
      <xdr:rowOff>33867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1260135-1BBC-0772-3775-395CCFF99344}"/>
            </a:ext>
          </a:extLst>
        </xdr:cNvPr>
        <xdr:cNvCxnSpPr/>
      </xdr:nvCxnSpPr>
      <xdr:spPr>
        <a:xfrm>
          <a:off x="6493934" y="1405467"/>
          <a:ext cx="8466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F715-53F4-FD4C-B292-78379C0A1A48}">
  <dimension ref="A3:K11"/>
  <sheetViews>
    <sheetView zoomScale="150" zoomScaleNormal="150" workbookViewId="0">
      <selection activeCell="C12" sqref="C12"/>
    </sheetView>
  </sheetViews>
  <sheetFormatPr baseColWidth="10" defaultRowHeight="15" x14ac:dyDescent="0.2"/>
  <cols>
    <col min="1" max="1" width="4" customWidth="1"/>
    <col min="10" max="10" width="4.33203125" customWidth="1"/>
  </cols>
  <sheetData>
    <row r="3" spans="1:11" x14ac:dyDescent="0.2">
      <c r="A3" s="181" t="s">
        <v>181</v>
      </c>
      <c r="B3" t="s">
        <v>179</v>
      </c>
    </row>
    <row r="4" spans="1:11" x14ac:dyDescent="0.2">
      <c r="A4" s="182"/>
      <c r="B4" t="s">
        <v>180</v>
      </c>
      <c r="K4" s="190">
        <v>6.25E-2</v>
      </c>
    </row>
    <row r="5" spans="1:11" x14ac:dyDescent="0.2">
      <c r="A5" s="182"/>
    </row>
    <row r="6" spans="1:11" x14ac:dyDescent="0.2">
      <c r="A6" s="181" t="s">
        <v>182</v>
      </c>
      <c r="B6" t="s">
        <v>183</v>
      </c>
    </row>
    <row r="7" spans="1:11" x14ac:dyDescent="0.2">
      <c r="B7" s="4" t="s">
        <v>186</v>
      </c>
      <c r="C7" t="s">
        <v>187</v>
      </c>
    </row>
    <row r="8" spans="1:11" x14ac:dyDescent="0.2">
      <c r="B8" s="154" t="s">
        <v>184</v>
      </c>
      <c r="C8" t="s">
        <v>185</v>
      </c>
    </row>
    <row r="9" spans="1:11" x14ac:dyDescent="0.2">
      <c r="B9" s="189" t="s">
        <v>192</v>
      </c>
      <c r="C9" t="s">
        <v>193</v>
      </c>
    </row>
    <row r="10" spans="1:11" x14ac:dyDescent="0.2">
      <c r="B10" s="191" t="s">
        <v>195</v>
      </c>
      <c r="C10" t="s">
        <v>194</v>
      </c>
    </row>
    <row r="11" spans="1:11" x14ac:dyDescent="0.2">
      <c r="B11" s="209" t="s">
        <v>208</v>
      </c>
      <c r="C11" t="s">
        <v>209</v>
      </c>
    </row>
  </sheetData>
  <pageMargins left="0.7" right="0.7" top="0.75" bottom="0.75" header="0.3" footer="0.3"/>
  <ignoredErrors>
    <ignoredError sqref="A3:A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6F88-6A95-D947-BDA7-1619E3443071}">
  <dimension ref="A1:Q26"/>
  <sheetViews>
    <sheetView topLeftCell="A3" zoomScale="150" zoomScaleNormal="150" workbookViewId="0">
      <selection activeCell="O8" sqref="O8"/>
    </sheetView>
  </sheetViews>
  <sheetFormatPr baseColWidth="10" defaultRowHeight="15" x14ac:dyDescent="0.2"/>
  <cols>
    <col min="5" max="5" width="6.83203125" customWidth="1"/>
    <col min="6" max="6" width="4" customWidth="1"/>
    <col min="7" max="7" width="9.1640625" customWidth="1"/>
    <col min="8" max="8" width="6" customWidth="1"/>
    <col min="12" max="12" width="3.6640625" customWidth="1"/>
    <col min="13" max="13" width="18.5" customWidth="1"/>
    <col min="14" max="14" width="11.6640625" customWidth="1"/>
    <col min="16" max="16" width="4" customWidth="1"/>
    <col min="17" max="17" width="20.1640625" bestFit="1" customWidth="1"/>
  </cols>
  <sheetData>
    <row r="1" spans="1:17" ht="16" thickBot="1" x14ac:dyDescent="0.25"/>
    <row r="2" spans="1:17" ht="20" customHeight="1" x14ac:dyDescent="0.2">
      <c r="A2" s="167"/>
      <c r="B2" s="168"/>
      <c r="C2" s="168"/>
      <c r="D2" s="168"/>
      <c r="E2" s="169"/>
      <c r="F2" s="148"/>
      <c r="G2" s="167"/>
      <c r="H2" s="168"/>
      <c r="I2" s="168"/>
      <c r="J2" s="168"/>
      <c r="K2" s="169"/>
      <c r="L2" s="148"/>
      <c r="M2" s="167"/>
      <c r="N2" s="168"/>
      <c r="O2" s="168"/>
      <c r="P2" s="169"/>
    </row>
    <row r="3" spans="1:17" ht="20" customHeight="1" x14ac:dyDescent="0.25">
      <c r="A3" s="318" t="s">
        <v>153</v>
      </c>
      <c r="B3" s="319"/>
      <c r="C3" s="319"/>
      <c r="D3" s="319"/>
      <c r="E3" s="158"/>
      <c r="G3" s="318" t="s">
        <v>154</v>
      </c>
      <c r="H3" s="319"/>
      <c r="I3" s="319"/>
      <c r="J3" s="319"/>
      <c r="K3" s="320"/>
      <c r="L3" s="148"/>
      <c r="M3" s="286"/>
      <c r="N3" s="236" t="s">
        <v>174</v>
      </c>
      <c r="O3" s="287"/>
      <c r="P3" s="158"/>
    </row>
    <row r="4" spans="1:17" ht="20" customHeight="1" x14ac:dyDescent="0.2">
      <c r="A4" s="157"/>
      <c r="B4" s="170"/>
      <c r="C4" s="170"/>
      <c r="D4" s="170"/>
      <c r="E4" s="158"/>
      <c r="F4" s="147"/>
      <c r="G4" s="157"/>
      <c r="H4" s="170"/>
      <c r="I4" s="170"/>
      <c r="J4" s="170"/>
      <c r="K4" s="158"/>
      <c r="L4" s="148"/>
      <c r="M4" s="288"/>
      <c r="N4" s="289" t="s">
        <v>201</v>
      </c>
      <c r="O4" s="289" t="s">
        <v>202</v>
      </c>
      <c r="P4" s="158"/>
    </row>
    <row r="5" spans="1:17" ht="20" customHeight="1" x14ac:dyDescent="0.2">
      <c r="A5" s="157"/>
      <c r="B5" s="170"/>
      <c r="C5" s="170"/>
      <c r="D5" s="170"/>
      <c r="E5" s="158"/>
      <c r="F5" s="148"/>
      <c r="G5" s="157"/>
      <c r="H5" s="175">
        <v>0</v>
      </c>
      <c r="I5" s="170"/>
      <c r="J5" s="170"/>
      <c r="K5" s="158"/>
      <c r="L5" s="148"/>
      <c r="M5" s="157"/>
      <c r="N5" s="176">
        <v>5.1999999999999998E-2</v>
      </c>
      <c r="O5" s="363">
        <f>N5+'SECTOR FISCAL PROGRAMA'!B49</f>
        <v>3.8699999999999998E-2</v>
      </c>
      <c r="P5" s="158"/>
      <c r="Q5" s="196"/>
    </row>
    <row r="6" spans="1:17" ht="20" customHeight="1" x14ac:dyDescent="0.2">
      <c r="A6" s="157"/>
      <c r="B6" s="170"/>
      <c r="C6" s="170"/>
      <c r="D6" s="170"/>
      <c r="E6" s="158"/>
      <c r="F6" s="148"/>
      <c r="G6" s="157"/>
      <c r="H6" s="175">
        <v>0.7</v>
      </c>
      <c r="I6" s="170"/>
      <c r="J6" s="170"/>
      <c r="K6" s="158"/>
      <c r="L6" s="148"/>
      <c r="M6" s="157"/>
      <c r="N6" s="176">
        <v>0.09</v>
      </c>
      <c r="O6" s="176">
        <v>0.03</v>
      </c>
      <c r="P6" s="158"/>
    </row>
    <row r="7" spans="1:17" ht="20" customHeight="1" x14ac:dyDescent="0.2">
      <c r="A7" s="157"/>
      <c r="B7" s="170"/>
      <c r="C7" s="170"/>
      <c r="D7" s="170"/>
      <c r="E7" s="158"/>
      <c r="F7" s="148"/>
      <c r="G7" s="157"/>
      <c r="H7" s="175">
        <v>1</v>
      </c>
      <c r="I7" s="170"/>
      <c r="J7" s="170"/>
      <c r="K7" s="158"/>
      <c r="L7" s="148"/>
      <c r="M7" s="157"/>
      <c r="N7" s="176">
        <v>0.08</v>
      </c>
      <c r="O7" s="305">
        <v>2.5000000000000001E-2</v>
      </c>
      <c r="P7" s="158"/>
    </row>
    <row r="8" spans="1:17" ht="20" customHeight="1" x14ac:dyDescent="0.2">
      <c r="A8" s="157"/>
      <c r="B8" s="170"/>
      <c r="C8" s="170"/>
      <c r="D8" s="170"/>
      <c r="E8" s="158"/>
      <c r="F8" s="148"/>
      <c r="G8" s="157"/>
      <c r="H8" s="175">
        <v>0.05</v>
      </c>
      <c r="I8" s="170"/>
      <c r="J8" s="170"/>
      <c r="K8" s="158"/>
      <c r="L8" s="148"/>
      <c r="M8" s="157"/>
      <c r="N8" s="290">
        <f>(1+N5)*(1+N7)-1</f>
        <v>0.13616000000000006</v>
      </c>
      <c r="O8" s="290">
        <f>(1+O5)*(1+O7)-1</f>
        <v>6.4667499999999878E-2</v>
      </c>
      <c r="P8" s="158"/>
    </row>
    <row r="9" spans="1:17" ht="20" customHeight="1" x14ac:dyDescent="0.2">
      <c r="A9" s="157"/>
      <c r="B9" s="170"/>
      <c r="C9" s="170"/>
      <c r="D9" s="170"/>
      <c r="E9" s="158"/>
      <c r="F9" s="148"/>
      <c r="G9" s="157"/>
      <c r="H9" s="175">
        <v>0.25</v>
      </c>
      <c r="I9" s="170"/>
      <c r="J9" s="170"/>
      <c r="K9" s="158"/>
      <c r="L9" s="148"/>
      <c r="M9" s="157"/>
      <c r="N9" s="176">
        <f xml:space="preserve"> 0</f>
        <v>0</v>
      </c>
      <c r="O9" s="170"/>
      <c r="P9" s="158"/>
    </row>
    <row r="10" spans="1:17" ht="20" customHeight="1" x14ac:dyDescent="0.2">
      <c r="A10" s="157"/>
      <c r="B10" s="170"/>
      <c r="C10" s="170"/>
      <c r="D10" s="170"/>
      <c r="E10" s="158"/>
      <c r="F10" s="148"/>
      <c r="G10" s="157"/>
      <c r="H10" s="175">
        <v>1</v>
      </c>
      <c r="I10" s="170"/>
      <c r="J10" s="170"/>
      <c r="K10" s="158"/>
      <c r="L10" s="148"/>
      <c r="M10" s="157"/>
      <c r="N10" s="176">
        <v>2.5000000000000001E-2</v>
      </c>
      <c r="O10" s="170"/>
      <c r="P10" s="158"/>
    </row>
    <row r="11" spans="1:17" ht="20" customHeight="1" x14ac:dyDescent="0.2">
      <c r="A11" s="157"/>
      <c r="B11" s="170"/>
      <c r="C11" s="170"/>
      <c r="D11" s="170"/>
      <c r="E11" s="158"/>
      <c r="F11" s="148"/>
      <c r="G11" s="157"/>
      <c r="H11" s="175">
        <v>-0.1</v>
      </c>
      <c r="I11" s="170"/>
      <c r="J11" s="170"/>
      <c r="K11" s="158"/>
      <c r="L11" s="148"/>
      <c r="M11" s="157"/>
      <c r="N11" s="290">
        <f>(1+N9)*(1+N10)/(1+N6)-1</f>
        <v>-5.9633027522935977E-2</v>
      </c>
      <c r="O11" s="290">
        <f>(1+O9)*(1+O10)/(1+O6)-1</f>
        <v>-2.9126213592232997E-2</v>
      </c>
      <c r="P11" s="158"/>
    </row>
    <row r="12" spans="1:17" ht="20" customHeight="1" x14ac:dyDescent="0.2">
      <c r="A12" s="171"/>
      <c r="B12" s="170"/>
      <c r="C12" s="170"/>
      <c r="D12" s="170"/>
      <c r="E12" s="158"/>
      <c r="F12" s="148"/>
      <c r="G12" s="157"/>
      <c r="H12" s="175">
        <v>-0.4</v>
      </c>
      <c r="I12" s="170"/>
      <c r="J12" s="170"/>
      <c r="K12" s="158"/>
      <c r="L12" s="148"/>
      <c r="M12" s="157"/>
      <c r="N12" s="192">
        <v>0.04</v>
      </c>
      <c r="O12" s="192">
        <v>0.04</v>
      </c>
      <c r="P12" s="158"/>
    </row>
    <row r="13" spans="1:17" ht="20" customHeight="1" x14ac:dyDescent="0.2">
      <c r="A13" s="157"/>
      <c r="B13" s="170"/>
      <c r="C13" s="170"/>
      <c r="D13" s="170"/>
      <c r="E13" s="158"/>
      <c r="F13" s="148"/>
      <c r="G13" s="157"/>
      <c r="H13" s="175">
        <v>1.1000000000000001</v>
      </c>
      <c r="I13" s="170"/>
      <c r="J13" s="170"/>
      <c r="K13" s="158"/>
      <c r="L13" s="148"/>
      <c r="M13" s="157"/>
      <c r="N13" s="192">
        <v>2E-3</v>
      </c>
      <c r="O13" s="192">
        <v>2E-3</v>
      </c>
      <c r="P13" s="158"/>
    </row>
    <row r="14" spans="1:17" ht="20" customHeight="1" x14ac:dyDescent="0.2">
      <c r="A14" s="157"/>
      <c r="B14" s="170"/>
      <c r="C14" s="170"/>
      <c r="D14" s="170"/>
      <c r="E14" s="158"/>
      <c r="F14" s="148"/>
      <c r="G14" s="157"/>
      <c r="H14" s="175">
        <v>-0.5</v>
      </c>
      <c r="I14" s="170" t="s">
        <v>163</v>
      </c>
      <c r="J14" s="170"/>
      <c r="K14" s="158"/>
      <c r="L14" s="148"/>
      <c r="M14" s="157"/>
      <c r="N14" s="192">
        <v>0.05</v>
      </c>
      <c r="O14" s="192">
        <v>0.05</v>
      </c>
      <c r="P14" s="158"/>
    </row>
    <row r="15" spans="1:17" ht="20" customHeight="1" x14ac:dyDescent="0.2">
      <c r="A15" s="157"/>
      <c r="B15" s="170"/>
      <c r="C15" s="170"/>
      <c r="D15" s="170"/>
      <c r="E15" s="158"/>
      <c r="F15" s="148"/>
      <c r="G15" s="157"/>
      <c r="H15" s="175">
        <v>1.3</v>
      </c>
      <c r="I15" s="170" t="s">
        <v>164</v>
      </c>
      <c r="J15" s="170"/>
      <c r="K15" s="158"/>
      <c r="L15" s="148"/>
      <c r="M15" s="157"/>
      <c r="N15" s="192">
        <v>0.05</v>
      </c>
      <c r="O15" s="192">
        <v>7.0000000000000007E-2</v>
      </c>
      <c r="P15" s="158"/>
    </row>
    <row r="16" spans="1:17" ht="20" customHeight="1" thickBot="1" x14ac:dyDescent="0.25">
      <c r="A16" s="172"/>
      <c r="B16" s="173"/>
      <c r="C16" s="173"/>
      <c r="D16" s="173"/>
      <c r="E16" s="174"/>
      <c r="F16" s="148"/>
      <c r="G16" s="157"/>
      <c r="H16" s="175">
        <v>1</v>
      </c>
      <c r="I16" s="170" t="s">
        <v>165</v>
      </c>
      <c r="J16" s="170"/>
      <c r="K16" s="158"/>
      <c r="L16" s="148"/>
      <c r="M16" s="157"/>
      <c r="N16" s="170"/>
      <c r="O16" s="170"/>
      <c r="P16" s="158"/>
    </row>
    <row r="17" spans="1:16" ht="20" customHeight="1" x14ac:dyDescent="0.2">
      <c r="A17" s="148"/>
      <c r="B17" s="148"/>
      <c r="C17" s="148"/>
      <c r="D17" s="148"/>
      <c r="E17" s="148"/>
      <c r="F17" s="148"/>
      <c r="G17" s="157"/>
      <c r="H17" s="170">
        <v>0.95</v>
      </c>
      <c r="I17" s="170" t="s">
        <v>166</v>
      </c>
      <c r="J17" s="170"/>
      <c r="K17" s="158"/>
      <c r="L17" s="148"/>
      <c r="M17" s="288" t="s">
        <v>216</v>
      </c>
      <c r="N17" s="170"/>
      <c r="O17" s="170"/>
      <c r="P17" s="158"/>
    </row>
    <row r="18" spans="1:16" ht="20" customHeight="1" x14ac:dyDescent="0.2">
      <c r="A18" s="148"/>
      <c r="B18" s="148"/>
      <c r="C18" s="148"/>
      <c r="D18" s="148"/>
      <c r="E18" s="148"/>
      <c r="F18" s="148"/>
      <c r="G18" s="157"/>
      <c r="H18" s="175">
        <v>0.8</v>
      </c>
      <c r="I18" s="170" t="s">
        <v>168</v>
      </c>
      <c r="J18" s="170"/>
      <c r="K18" s="158"/>
      <c r="L18" s="148"/>
      <c r="M18" s="291" t="s">
        <v>214</v>
      </c>
      <c r="N18" s="227">
        <v>5000</v>
      </c>
      <c r="O18" s="243">
        <f>N18</f>
        <v>5000</v>
      </c>
      <c r="P18" s="158"/>
    </row>
    <row r="19" spans="1:16" ht="20" customHeight="1" x14ac:dyDescent="0.2">
      <c r="A19" s="148"/>
      <c r="B19" s="148"/>
      <c r="C19" s="148"/>
      <c r="D19" s="148"/>
      <c r="E19" s="148"/>
      <c r="F19" s="148"/>
      <c r="G19" s="157"/>
      <c r="H19" s="175">
        <v>1</v>
      </c>
      <c r="I19" s="170" t="s">
        <v>167</v>
      </c>
      <c r="J19" s="170"/>
      <c r="K19" s="158"/>
      <c r="L19" s="148"/>
      <c r="M19" s="291" t="s">
        <v>215</v>
      </c>
      <c r="N19" s="227">
        <v>6000</v>
      </c>
      <c r="O19" s="243">
        <f>N19</f>
        <v>6000</v>
      </c>
      <c r="P19" s="158"/>
    </row>
    <row r="20" spans="1:16" ht="20" customHeight="1" thickBot="1" x14ac:dyDescent="0.25">
      <c r="A20" s="148"/>
      <c r="B20" s="148"/>
      <c r="C20" s="148"/>
      <c r="D20" s="148"/>
      <c r="E20" s="148"/>
      <c r="F20" s="148"/>
      <c r="G20" s="157"/>
      <c r="H20" s="285">
        <v>1.1000000000000001</v>
      </c>
      <c r="I20" s="170" t="s">
        <v>207</v>
      </c>
      <c r="J20" s="170"/>
      <c r="K20" s="158"/>
      <c r="L20" s="148"/>
      <c r="M20" s="172"/>
      <c r="N20" s="292"/>
      <c r="O20" s="173"/>
      <c r="P20" s="174"/>
    </row>
    <row r="21" spans="1:16" ht="20" customHeight="1" x14ac:dyDescent="0.2">
      <c r="A21" s="148"/>
      <c r="B21" s="148"/>
      <c r="C21" s="148"/>
      <c r="D21" s="148"/>
      <c r="E21" s="148"/>
      <c r="F21" s="148"/>
      <c r="G21" s="157"/>
      <c r="H21" s="285">
        <v>2.4</v>
      </c>
      <c r="I21" s="170"/>
      <c r="J21" s="170"/>
      <c r="K21" s="158"/>
      <c r="L21" s="148"/>
      <c r="M21" s="148"/>
      <c r="N21" s="148"/>
      <c r="O21" s="148"/>
      <c r="P21" s="148"/>
    </row>
    <row r="22" spans="1:16" ht="20" customHeight="1" x14ac:dyDescent="0.2">
      <c r="G22" s="157"/>
      <c r="H22" s="285">
        <v>5</v>
      </c>
      <c r="I22" s="170"/>
      <c r="J22" s="170"/>
      <c r="K22" s="158"/>
    </row>
    <row r="23" spans="1:16" ht="20" customHeight="1" x14ac:dyDescent="0.2">
      <c r="G23" s="293"/>
      <c r="H23" s="192">
        <v>0.495</v>
      </c>
      <c r="I23" s="170"/>
      <c r="J23" s="170"/>
      <c r="K23" s="158"/>
    </row>
    <row r="24" spans="1:16" ht="16" thickBot="1" x14ac:dyDescent="0.25">
      <c r="G24" s="172"/>
      <c r="H24" s="173"/>
      <c r="I24" s="173"/>
      <c r="J24" s="173"/>
      <c r="K24" s="174"/>
    </row>
    <row r="26" spans="1:16" ht="30" customHeight="1" x14ac:dyDescent="0.2"/>
  </sheetData>
  <mergeCells count="2">
    <mergeCell ref="A3:D3"/>
    <mergeCell ref="G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D7AB-A204-0E4A-99E1-06ABF08F4288}">
  <dimension ref="B3:F9"/>
  <sheetViews>
    <sheetView zoomScale="150" zoomScaleNormal="150" workbookViewId="0">
      <selection activeCell="J9" sqref="J9"/>
    </sheetView>
  </sheetViews>
  <sheetFormatPr baseColWidth="10" defaultRowHeight="15" x14ac:dyDescent="0.2"/>
  <sheetData>
    <row r="3" spans="2:6" ht="16" thickBot="1" x14ac:dyDescent="0.25"/>
    <row r="4" spans="2:6" ht="19" x14ac:dyDescent="0.25">
      <c r="B4" s="321" t="s">
        <v>176</v>
      </c>
      <c r="C4" s="322"/>
      <c r="D4" s="322"/>
      <c r="E4" s="322"/>
      <c r="F4" s="323"/>
    </row>
    <row r="5" spans="2:6" x14ac:dyDescent="0.2">
      <c r="B5" s="157"/>
      <c r="C5" s="170"/>
      <c r="D5" s="170"/>
      <c r="E5" s="170"/>
      <c r="F5" s="158"/>
    </row>
    <row r="6" spans="2:6" x14ac:dyDescent="0.2">
      <c r="B6" s="157" t="s">
        <v>177</v>
      </c>
      <c r="C6" s="170"/>
      <c r="D6" s="299">
        <f>'SECTOR REAL'!E34</f>
        <v>2.84</v>
      </c>
      <c r="E6" s="326" t="s">
        <v>178</v>
      </c>
      <c r="F6" s="327"/>
    </row>
    <row r="7" spans="2:6" ht="30" customHeight="1" x14ac:dyDescent="0.2">
      <c r="B7" s="300" t="s">
        <v>189</v>
      </c>
      <c r="C7" s="170"/>
      <c r="D7" s="301">
        <f>'SECTOR REAL'!F34</f>
        <v>0.14767999999999998</v>
      </c>
      <c r="E7" s="324" t="s">
        <v>191</v>
      </c>
      <c r="F7" s="325"/>
    </row>
    <row r="8" spans="2:6" x14ac:dyDescent="0.2">
      <c r="B8" s="157"/>
      <c r="C8" s="170"/>
      <c r="D8" s="170"/>
      <c r="E8" s="170"/>
      <c r="F8" s="158"/>
    </row>
    <row r="9" spans="2:6" ht="16" thickBot="1" x14ac:dyDescent="0.25">
      <c r="B9" s="172"/>
      <c r="C9" s="173"/>
      <c r="D9" s="173"/>
      <c r="E9" s="173"/>
      <c r="F9" s="174"/>
    </row>
  </sheetData>
  <mergeCells count="3">
    <mergeCell ref="B4:F4"/>
    <mergeCell ref="E7:F7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AFE2-B041-4447-8EF5-794A458AD5BD}">
  <dimension ref="A1:P84"/>
  <sheetViews>
    <sheetView topLeftCell="A26" zoomScale="150" zoomScaleNormal="150" workbookViewId="0">
      <selection activeCell="E35" sqref="E35"/>
    </sheetView>
  </sheetViews>
  <sheetFormatPr baseColWidth="10" defaultColWidth="8.83203125" defaultRowHeight="15" x14ac:dyDescent="0.2"/>
  <cols>
    <col min="1" max="1" width="38.1640625" customWidth="1"/>
    <col min="2" max="2" width="11.5" bestFit="1" customWidth="1"/>
    <col min="3" max="3" width="4.33203125" customWidth="1"/>
    <col min="4" max="4" width="17" customWidth="1"/>
    <col min="5" max="5" width="10.83203125" customWidth="1"/>
    <col min="6" max="6" width="10.5" bestFit="1" customWidth="1"/>
    <col min="7" max="7" width="12.5" customWidth="1"/>
    <col min="9" max="9" width="7.1640625" customWidth="1"/>
    <col min="10" max="10" width="29.5" customWidth="1"/>
    <col min="11" max="11" width="12" customWidth="1"/>
    <col min="15" max="15" width="28.5" customWidth="1"/>
  </cols>
  <sheetData>
    <row r="1" spans="1:16" ht="19" x14ac:dyDescent="0.25">
      <c r="A1" s="150" t="s">
        <v>140</v>
      </c>
      <c r="B1" s="5"/>
    </row>
    <row r="2" spans="1:16" x14ac:dyDescent="0.2">
      <c r="D2" s="8"/>
      <c r="E2" s="8"/>
      <c r="F2" s="8"/>
      <c r="G2" s="8"/>
    </row>
    <row r="3" spans="1:16" x14ac:dyDescent="0.2">
      <c r="D3" s="328" t="s">
        <v>162</v>
      </c>
      <c r="E3" s="328"/>
      <c r="F3" s="328"/>
      <c r="G3" s="328"/>
      <c r="J3" s="3"/>
      <c r="K3" s="4"/>
      <c r="L3" s="3"/>
    </row>
    <row r="4" spans="1:16" x14ac:dyDescent="0.2">
      <c r="A4" s="24"/>
      <c r="B4" s="39">
        <v>2024</v>
      </c>
      <c r="D4" s="328" t="s">
        <v>227</v>
      </c>
      <c r="E4" s="328"/>
      <c r="F4" s="328"/>
      <c r="G4" s="328"/>
      <c r="J4" s="3"/>
      <c r="K4" s="3"/>
      <c r="L4" s="3"/>
    </row>
    <row r="5" spans="1:16" x14ac:dyDescent="0.2">
      <c r="A5" s="27"/>
      <c r="B5" s="28"/>
      <c r="D5" s="329" t="s">
        <v>13</v>
      </c>
      <c r="E5" s="329"/>
      <c r="F5" s="7" t="s">
        <v>14</v>
      </c>
      <c r="G5" s="6" t="s">
        <v>15</v>
      </c>
      <c r="J5" s="3"/>
      <c r="K5" s="267"/>
      <c r="L5" s="31"/>
      <c r="O5" s="31"/>
    </row>
    <row r="6" spans="1:16" x14ac:dyDescent="0.2">
      <c r="A6" s="330" t="s">
        <v>145</v>
      </c>
      <c r="B6" s="330"/>
      <c r="D6" s="151" t="s">
        <v>169</v>
      </c>
      <c r="E6" s="151" t="s">
        <v>170</v>
      </c>
      <c r="F6" s="152"/>
      <c r="G6" s="151"/>
      <c r="J6" s="3"/>
      <c r="K6" s="216"/>
      <c r="L6" s="31"/>
      <c r="O6" s="31"/>
    </row>
    <row r="7" spans="1:16" x14ac:dyDescent="0.2">
      <c r="A7" s="81" t="s">
        <v>42</v>
      </c>
      <c r="B7" s="25"/>
      <c r="J7" s="3"/>
      <c r="K7" s="185"/>
      <c r="L7" s="216"/>
      <c r="M7" s="128"/>
      <c r="O7" s="216"/>
    </row>
    <row r="8" spans="1:16" x14ac:dyDescent="0.2">
      <c r="A8" s="24" t="s">
        <v>28</v>
      </c>
      <c r="B8" s="26">
        <v>500000</v>
      </c>
      <c r="F8" s="156">
        <f>SUPUESTOS!N5</f>
        <v>5.1999999999999998E-2</v>
      </c>
      <c r="G8" s="92">
        <f>B8*(1+F8)</f>
        <v>526000</v>
      </c>
      <c r="J8" s="3"/>
      <c r="K8" s="185"/>
      <c r="L8" s="216"/>
      <c r="O8" s="216"/>
    </row>
    <row r="9" spans="1:16" x14ac:dyDescent="0.2">
      <c r="A9" s="24" t="s">
        <v>29</v>
      </c>
      <c r="B9" s="26">
        <v>-25000</v>
      </c>
      <c r="D9" s="153" t="s">
        <v>171</v>
      </c>
      <c r="E9" s="155"/>
      <c r="F9" s="178">
        <f>'SECTOR EXTERNO'!E77</f>
        <v>4.234862385321092E-2</v>
      </c>
      <c r="G9" s="92">
        <f>B9*(1+F9)</f>
        <v>-26058.715596330272</v>
      </c>
      <c r="J9" s="3"/>
      <c r="K9" s="185"/>
      <c r="L9" s="216"/>
      <c r="O9" s="216"/>
    </row>
    <row r="10" spans="1:16" x14ac:dyDescent="0.2">
      <c r="A10" s="24" t="s">
        <v>30</v>
      </c>
      <c r="B10" s="26">
        <v>475000</v>
      </c>
      <c r="G10" s="35">
        <f>G8+G9</f>
        <v>499941.28440366971</v>
      </c>
    </row>
    <row r="11" spans="1:16" x14ac:dyDescent="0.2">
      <c r="A11" s="24" t="s">
        <v>31</v>
      </c>
      <c r="B11" s="26">
        <v>-5000</v>
      </c>
      <c r="D11" s="12"/>
      <c r="E11" s="154" t="s">
        <v>51</v>
      </c>
      <c r="G11" s="93">
        <f>B11/B8*G8</f>
        <v>-5260</v>
      </c>
      <c r="P11" s="9"/>
    </row>
    <row r="12" spans="1:16" x14ac:dyDescent="0.2">
      <c r="A12" s="24" t="s">
        <v>32</v>
      </c>
      <c r="B12" s="26">
        <v>470000</v>
      </c>
      <c r="G12" s="35">
        <f>G10+G11</f>
        <v>494681.28440366971</v>
      </c>
      <c r="P12" s="20"/>
    </row>
    <row r="13" spans="1:16" x14ac:dyDescent="0.2">
      <c r="A13" s="24" t="s">
        <v>146</v>
      </c>
      <c r="B13" s="26">
        <v>7500</v>
      </c>
      <c r="D13" s="153" t="s">
        <v>171</v>
      </c>
      <c r="F13" s="178">
        <f>'SECTOR EXTERNO'!E82</f>
        <v>4.234862385321092E-2</v>
      </c>
      <c r="G13" s="93">
        <f>B13*(1+F13)</f>
        <v>7817.6146788990818</v>
      </c>
      <c r="P13" s="18"/>
    </row>
    <row r="14" spans="1:16" x14ac:dyDescent="0.2">
      <c r="A14" s="24" t="s">
        <v>147</v>
      </c>
      <c r="B14" s="26">
        <v>477500</v>
      </c>
      <c r="G14" s="35">
        <f>G12+G13</f>
        <v>502498.89908256877</v>
      </c>
      <c r="P14" s="18"/>
    </row>
    <row r="15" spans="1:16" x14ac:dyDescent="0.2">
      <c r="A15" s="81" t="s">
        <v>43</v>
      </c>
      <c r="B15" s="26"/>
      <c r="P15" s="18"/>
    </row>
    <row r="16" spans="1:16" x14ac:dyDescent="0.2">
      <c r="A16" s="24" t="s">
        <v>28</v>
      </c>
      <c r="B16" s="132">
        <f t="shared" ref="B16:B22" si="0">B8*B$54/B$8</f>
        <v>692110.90409871773</v>
      </c>
      <c r="F16" s="156">
        <f>SUPUESTOS!N8</f>
        <v>0.13616000000000006</v>
      </c>
      <c r="G16" s="93">
        <f>B16*(1+F16)</f>
        <v>786348.72480079916</v>
      </c>
      <c r="P16" s="20"/>
    </row>
    <row r="17" spans="1:16" x14ac:dyDescent="0.2">
      <c r="A17" s="24" t="s">
        <v>29</v>
      </c>
      <c r="B17" s="132">
        <f t="shared" si="0"/>
        <v>-34605.545204935894</v>
      </c>
      <c r="F17" s="185">
        <f>F16</f>
        <v>0.13616000000000006</v>
      </c>
      <c r="G17" s="93">
        <f t="shared" ref="G17:G22" si="1">B17*(1+F17)</f>
        <v>-39317.43624003997</v>
      </c>
      <c r="P17" s="18"/>
    </row>
    <row r="18" spans="1:16" x14ac:dyDescent="0.2">
      <c r="A18" s="24" t="s">
        <v>30</v>
      </c>
      <c r="B18" s="132">
        <f t="shared" si="0"/>
        <v>657505.3588937819</v>
      </c>
      <c r="F18" s="185">
        <f t="shared" ref="F18:F22" si="2">F17</f>
        <v>0.13616000000000006</v>
      </c>
      <c r="G18" s="93">
        <f t="shared" si="1"/>
        <v>747031.28856075928</v>
      </c>
      <c r="H18" s="33"/>
    </row>
    <row r="19" spans="1:16" x14ac:dyDescent="0.2">
      <c r="A19" s="24" t="s">
        <v>31</v>
      </c>
      <c r="B19" s="132">
        <f t="shared" si="0"/>
        <v>-6921.1090409871767</v>
      </c>
      <c r="F19" s="185">
        <f t="shared" si="2"/>
        <v>0.13616000000000006</v>
      </c>
      <c r="G19" s="93">
        <f t="shared" si="1"/>
        <v>-7863.4872480079912</v>
      </c>
    </row>
    <row r="20" spans="1:16" x14ac:dyDescent="0.2">
      <c r="A20" s="24" t="s">
        <v>32</v>
      </c>
      <c r="B20" s="132">
        <f t="shared" si="0"/>
        <v>650584.24985279469</v>
      </c>
      <c r="F20" s="185">
        <f t="shared" si="2"/>
        <v>0.13616000000000006</v>
      </c>
      <c r="G20" s="93">
        <f t="shared" si="1"/>
        <v>739167.80131275125</v>
      </c>
      <c r="H20" s="33"/>
    </row>
    <row r="21" spans="1:16" x14ac:dyDescent="0.2">
      <c r="A21" s="24" t="s">
        <v>33</v>
      </c>
      <c r="B21" s="132">
        <f t="shared" si="0"/>
        <v>10381.663561480766</v>
      </c>
      <c r="F21" s="185">
        <f t="shared" si="2"/>
        <v>0.13616000000000006</v>
      </c>
      <c r="G21" s="93">
        <f t="shared" si="1"/>
        <v>11795.230872011987</v>
      </c>
    </row>
    <row r="22" spans="1:16" x14ac:dyDescent="0.2">
      <c r="A22" s="24" t="s">
        <v>34</v>
      </c>
      <c r="B22" s="132">
        <f t="shared" si="0"/>
        <v>660965.91341427539</v>
      </c>
      <c r="F22" s="185">
        <f t="shared" si="2"/>
        <v>0.13616000000000006</v>
      </c>
      <c r="G22" s="93">
        <f t="shared" si="1"/>
        <v>750963.03218476311</v>
      </c>
      <c r="H22" s="33"/>
    </row>
    <row r="23" spans="1:16" x14ac:dyDescent="0.2">
      <c r="A23" s="24"/>
      <c r="B23" s="132"/>
      <c r="F23" s="185"/>
      <c r="G23" s="35"/>
      <c r="H23" s="33"/>
    </row>
    <row r="24" spans="1:16" x14ac:dyDescent="0.2">
      <c r="A24" s="81" t="s">
        <v>105</v>
      </c>
      <c r="B24" s="188">
        <v>100000</v>
      </c>
      <c r="D24" s="136"/>
      <c r="G24" s="35">
        <f>G16/G25</f>
        <v>113616</v>
      </c>
      <c r="H24" s="137"/>
    </row>
    <row r="25" spans="1:16" x14ac:dyDescent="0.2">
      <c r="A25" s="81" t="s">
        <v>151</v>
      </c>
      <c r="B25" s="187">
        <f>B16/B24</f>
        <v>6.9211090409871776</v>
      </c>
      <c r="D25" s="136"/>
      <c r="G25" s="137">
        <f>B25*(1+'SECTOR EXTERNO'!E53/100)</f>
        <v>6.9211090409871776</v>
      </c>
      <c r="H25" s="137"/>
    </row>
    <row r="26" spans="1:16" x14ac:dyDescent="0.2">
      <c r="A26" s="81"/>
      <c r="B26" s="187"/>
      <c r="D26" s="136"/>
      <c r="G26" s="137"/>
      <c r="H26" s="137"/>
    </row>
    <row r="27" spans="1:16" x14ac:dyDescent="0.2">
      <c r="A27" s="331" t="s">
        <v>148</v>
      </c>
      <c r="B27" s="331"/>
      <c r="D27" s="282"/>
      <c r="E27" s="282"/>
      <c r="F27" s="282"/>
      <c r="G27" s="283"/>
      <c r="H27" s="33"/>
    </row>
    <row r="28" spans="1:16" x14ac:dyDescent="0.2">
      <c r="A28" s="81" t="s">
        <v>42</v>
      </c>
      <c r="B28" s="26"/>
    </row>
    <row r="29" spans="1:16" x14ac:dyDescent="0.2">
      <c r="A29" s="24" t="s">
        <v>44</v>
      </c>
      <c r="B29" s="32">
        <f>B30+B31</f>
        <v>376216.63345526723</v>
      </c>
      <c r="C29" s="33"/>
      <c r="F29" s="32"/>
      <c r="G29" s="32">
        <f>G30+G31</f>
        <v>392150.9144395006</v>
      </c>
    </row>
    <row r="30" spans="1:16" x14ac:dyDescent="0.2">
      <c r="A30" s="24" t="s">
        <v>35</v>
      </c>
      <c r="B30" s="26">
        <v>320025.34029790701</v>
      </c>
      <c r="C30" s="33"/>
      <c r="D30" s="153" t="s">
        <v>172</v>
      </c>
      <c r="E30" s="179">
        <f>SUPUESTOS!H6</f>
        <v>0.7</v>
      </c>
      <c r="F30" s="177">
        <f>E30*(G14-B14)/B30</f>
        <v>5.4680761659399689E-2</v>
      </c>
      <c r="G30" s="92">
        <f>B30*(1+F30)</f>
        <v>337524.56965570513</v>
      </c>
      <c r="J30" s="113"/>
    </row>
    <row r="31" spans="1:16" x14ac:dyDescent="0.2">
      <c r="A31" s="24" t="s">
        <v>36</v>
      </c>
      <c r="B31" s="26">
        <v>56191.293157360225</v>
      </c>
      <c r="D31" s="153" t="s">
        <v>173</v>
      </c>
      <c r="E31" s="59"/>
      <c r="F31" s="178">
        <f>((1+'SECTOR FISCAL PROGRAMA'!E25)/(1+SUPUESTOS!O6)-1)</f>
        <v>-2.7850371216447845E-2</v>
      </c>
      <c r="G31" s="92">
        <f>B31*(1+F31)</f>
        <v>54626.344783795495</v>
      </c>
    </row>
    <row r="32" spans="1:16" x14ac:dyDescent="0.2">
      <c r="A32" s="24" t="s">
        <v>41</v>
      </c>
      <c r="B32" s="26">
        <v>108881.53198556937</v>
      </c>
      <c r="F32" s="32"/>
      <c r="G32" s="32">
        <f>G33+G36</f>
        <v>126969.42290960494</v>
      </c>
    </row>
    <row r="33" spans="1:10" x14ac:dyDescent="0.2">
      <c r="A33" s="24" t="s">
        <v>45</v>
      </c>
      <c r="B33" s="26">
        <v>113597.61940021702</v>
      </c>
      <c r="F33" s="273">
        <f>G33/B33-1</f>
        <v>0.11771200470564058</v>
      </c>
      <c r="G33" s="32">
        <f>G34+G35</f>
        <v>126969.42290960494</v>
      </c>
    </row>
    <row r="34" spans="1:10" x14ac:dyDescent="0.2">
      <c r="A34" s="24" t="s">
        <v>37</v>
      </c>
      <c r="B34" s="26">
        <v>90545.798411348354</v>
      </c>
      <c r="D34" s="202" t="s">
        <v>175</v>
      </c>
      <c r="E34" s="184">
        <v>2.84</v>
      </c>
      <c r="F34" s="186">
        <f>E34*F8</f>
        <v>0.14767999999999998</v>
      </c>
      <c r="G34" s="34">
        <f>B34*(1+F34)</f>
        <v>103917.60192073628</v>
      </c>
    </row>
    <row r="35" spans="1:10" x14ac:dyDescent="0.2">
      <c r="A35" s="24" t="s">
        <v>38</v>
      </c>
      <c r="B35" s="26">
        <v>23051.820988868662</v>
      </c>
      <c r="D35" s="153" t="s">
        <v>50</v>
      </c>
      <c r="E35" s="59"/>
      <c r="F35" s="178">
        <f>((1+'SECTOR FISCAL PROGRAMA'!H28/100)/(1+L8/100)-1)</f>
        <v>0</v>
      </c>
      <c r="G35" s="92">
        <f>B35*(1+F35)</f>
        <v>23051.820988868662</v>
      </c>
    </row>
    <row r="36" spans="1:10" x14ac:dyDescent="0.2">
      <c r="A36" s="24" t="s">
        <v>46</v>
      </c>
      <c r="B36" s="26">
        <v>-4716.0874146476554</v>
      </c>
      <c r="E36" s="26"/>
      <c r="F36" s="26"/>
      <c r="G36" s="18">
        <v>0</v>
      </c>
    </row>
    <row r="37" spans="1:10" x14ac:dyDescent="0.2">
      <c r="A37" s="58" t="s">
        <v>82</v>
      </c>
      <c r="B37" s="32">
        <v>485098.16544083657</v>
      </c>
      <c r="E37" s="26"/>
      <c r="F37" s="246">
        <f>(G37/B37-1)</f>
        <v>7.0134612604339619E-2</v>
      </c>
      <c r="G37" s="64">
        <f>G29+G32</f>
        <v>519120.33734910551</v>
      </c>
      <c r="H37" s="112"/>
    </row>
    <row r="38" spans="1:10" x14ac:dyDescent="0.2">
      <c r="A38" s="24" t="s">
        <v>39</v>
      </c>
      <c r="B38" s="26">
        <v>139364.39771847485</v>
      </c>
      <c r="D38" s="153" t="s">
        <v>188</v>
      </c>
      <c r="F38" s="183">
        <f>'SECTOR EXTERNO'!E67</f>
        <v>-5.7576030637151887E-2</v>
      </c>
      <c r="G38" s="92">
        <f>B38*(1+F38)</f>
        <v>131340.34888570773</v>
      </c>
    </row>
    <row r="39" spans="1:10" x14ac:dyDescent="0.2">
      <c r="A39" s="24" t="s">
        <v>40</v>
      </c>
      <c r="B39" s="26">
        <v>124462.56315931128</v>
      </c>
      <c r="D39" s="153" t="s">
        <v>188</v>
      </c>
      <c r="F39" s="183">
        <f>'SECTOR EXTERNO'!E72</f>
        <v>5.3389164546113754E-4</v>
      </c>
      <c r="G39" s="92">
        <f>B39*(1+F39)</f>
        <v>124529.01268195471</v>
      </c>
    </row>
    <row r="40" spans="1:10" x14ac:dyDescent="0.2">
      <c r="A40" s="24" t="s">
        <v>28</v>
      </c>
      <c r="B40" s="26">
        <v>500000.00000000012</v>
      </c>
      <c r="F40" s="32"/>
      <c r="G40" s="32">
        <f>G29+G32+G38-G39</f>
        <v>525931.67355285841</v>
      </c>
      <c r="H40" s="37" t="s">
        <v>52</v>
      </c>
      <c r="I40" s="38" t="str">
        <f>IF(ABS(J40)&lt;0.0011,"BIEN","ERROR")</f>
        <v>BIEN</v>
      </c>
      <c r="J40" s="140">
        <f>(G40/G8-1)</f>
        <v>-1.2989818848208046E-4</v>
      </c>
    </row>
    <row r="41" spans="1:10" x14ac:dyDescent="0.2">
      <c r="A41" s="81" t="s">
        <v>43</v>
      </c>
      <c r="B41" s="26"/>
      <c r="G41" s="33"/>
    </row>
    <row r="42" spans="1:10" x14ac:dyDescent="0.2">
      <c r="A42" s="24" t="s">
        <v>89</v>
      </c>
      <c r="B42" s="302">
        <v>529075.4610211195</v>
      </c>
    </row>
    <row r="43" spans="1:10" x14ac:dyDescent="0.2">
      <c r="A43" s="24" t="s">
        <v>44</v>
      </c>
      <c r="B43" s="302">
        <v>529075.4610211195</v>
      </c>
      <c r="G43" s="35">
        <f>G44+G45</f>
        <v>601080.5756707238</v>
      </c>
    </row>
    <row r="44" spans="1:10" x14ac:dyDescent="0.2">
      <c r="A44" s="24" t="s">
        <v>35</v>
      </c>
      <c r="B44" s="303">
        <v>449643.12374505558</v>
      </c>
      <c r="F44" s="267">
        <f>(1+F71)*(1+F30)-1</f>
        <v>0.14960203020874574</v>
      </c>
      <c r="G44" s="92">
        <f>G30*F59/100</f>
        <v>516910.64792671817</v>
      </c>
      <c r="J44" s="33"/>
    </row>
    <row r="45" spans="1:10" x14ac:dyDescent="0.2">
      <c r="A45" s="24" t="s">
        <v>36</v>
      </c>
      <c r="B45" s="303">
        <v>79432.337276063947</v>
      </c>
      <c r="F45" s="267">
        <f>(1+F72)*(1+F31)-1</f>
        <v>5.9643095374071864E-2</v>
      </c>
      <c r="G45" s="92">
        <f>G31*F60/100</f>
        <v>84169.927744005676</v>
      </c>
    </row>
    <row r="46" spans="1:10" x14ac:dyDescent="0.2">
      <c r="A46" s="24" t="s">
        <v>41</v>
      </c>
      <c r="B46" s="303">
        <v>148849.28437129318</v>
      </c>
      <c r="F46" s="273">
        <f>G46/B46-1</f>
        <v>0.10098250334500181</v>
      </c>
      <c r="G46" s="35">
        <f>G54-(G43+G52-G53)</f>
        <v>163880.4577282184</v>
      </c>
    </row>
    <row r="47" spans="1:10" x14ac:dyDescent="0.2">
      <c r="A47" s="24" t="s">
        <v>45</v>
      </c>
      <c r="B47" s="303">
        <v>155277.1361112255</v>
      </c>
      <c r="F47" s="267"/>
      <c r="G47" s="92">
        <f>(G54-(G43+G52-G53))</f>
        <v>163880.4577282184</v>
      </c>
    </row>
    <row r="48" spans="1:10" x14ac:dyDescent="0.2">
      <c r="A48" s="24" t="s">
        <v>37</v>
      </c>
      <c r="B48" s="303">
        <v>121820.45469448504</v>
      </c>
      <c r="D48" s="202" t="s">
        <v>225</v>
      </c>
      <c r="F48" s="267"/>
      <c r="G48" s="92">
        <f>G47*B48/(B48+B49)</f>
        <v>128570.06753197454</v>
      </c>
    </row>
    <row r="49" spans="1:7" x14ac:dyDescent="0.2">
      <c r="A49" s="24" t="s">
        <v>38</v>
      </c>
      <c r="B49" s="303">
        <v>33456.68141674075</v>
      </c>
      <c r="D49" s="202" t="s">
        <v>224</v>
      </c>
      <c r="G49" s="93">
        <f>G47-G48</f>
        <v>35310.390196243869</v>
      </c>
    </row>
    <row r="50" spans="1:7" x14ac:dyDescent="0.2">
      <c r="A50" s="24" t="s">
        <v>46</v>
      </c>
      <c r="B50" s="303">
        <v>-6427.85173993237</v>
      </c>
      <c r="G50" s="102">
        <v>0</v>
      </c>
    </row>
    <row r="51" spans="1:7" x14ac:dyDescent="0.2">
      <c r="A51" s="58" t="s">
        <v>82</v>
      </c>
      <c r="B51" s="302">
        <v>677924.74539241265</v>
      </c>
      <c r="G51" s="35">
        <f>G43+G46</f>
        <v>764961.03339894221</v>
      </c>
    </row>
    <row r="52" spans="1:7" x14ac:dyDescent="0.2">
      <c r="A52" s="24" t="s">
        <v>39</v>
      </c>
      <c r="B52" s="303">
        <v>173228.36635932137</v>
      </c>
      <c r="F52" s="267">
        <f>(1+F78)*(1+F38)-1</f>
        <v>-5.5691182698426211E-2</v>
      </c>
      <c r="G52" s="92">
        <f>G38*F66/100</f>
        <v>183915.24990034476</v>
      </c>
    </row>
    <row r="53" spans="1:7" x14ac:dyDescent="0.2">
      <c r="A53" s="24" t="s">
        <v>40</v>
      </c>
      <c r="B53" s="303">
        <v>159042.20765301635</v>
      </c>
      <c r="F53" s="267">
        <f>F79</f>
        <v>5.0000000000000044E-2</v>
      </c>
      <c r="G53" s="92">
        <f>G39*F67/100</f>
        <v>162527.55849848778</v>
      </c>
    </row>
    <row r="54" spans="1:7" x14ac:dyDescent="0.2">
      <c r="A54" s="24" t="s">
        <v>28</v>
      </c>
      <c r="B54" s="303">
        <v>692110.90409871773</v>
      </c>
      <c r="F54" s="273">
        <f>SUPUESTOS!N8</f>
        <v>0.13616000000000006</v>
      </c>
      <c r="G54" s="92">
        <f>B54*(1+F54)</f>
        <v>786348.72480079916</v>
      </c>
    </row>
    <row r="55" spans="1:7" x14ac:dyDescent="0.2">
      <c r="G55" s="35"/>
    </row>
    <row r="56" spans="1:7" x14ac:dyDescent="0.2">
      <c r="A56" s="331" t="s">
        <v>47</v>
      </c>
      <c r="B56" s="331"/>
      <c r="D56" s="333" t="s">
        <v>47</v>
      </c>
      <c r="E56" s="333"/>
      <c r="F56" s="333"/>
      <c r="G56" s="333"/>
    </row>
    <row r="57" spans="1:7" x14ac:dyDescent="0.2">
      <c r="A57" s="332" t="s">
        <v>48</v>
      </c>
      <c r="B57" s="332"/>
      <c r="D57" s="332" t="s">
        <v>48</v>
      </c>
      <c r="E57" s="332"/>
      <c r="F57" s="332"/>
      <c r="G57" s="332"/>
    </row>
    <row r="58" spans="1:7" x14ac:dyDescent="0.2">
      <c r="A58" s="24" t="s">
        <v>44</v>
      </c>
      <c r="B58" s="304">
        <f t="shared" ref="B58:B68" si="3">B43/B29*100</f>
        <v>140.63053410529957</v>
      </c>
    </row>
    <row r="59" spans="1:7" x14ac:dyDescent="0.2">
      <c r="A59" s="24" t="s">
        <v>35</v>
      </c>
      <c r="B59" s="304">
        <f t="shared" si="3"/>
        <v>140.5023500096865</v>
      </c>
      <c r="F59" s="304">
        <f>B59*(1+F71)</f>
        <v>153.14756151055829</v>
      </c>
      <c r="G59" s="117"/>
    </row>
    <row r="60" spans="1:7" x14ac:dyDescent="0.2">
      <c r="A60" s="24" t="s">
        <v>36</v>
      </c>
      <c r="B60" s="304">
        <f t="shared" si="3"/>
        <v>141.36057885982197</v>
      </c>
      <c r="F60" s="304">
        <f>B60*(1+F72)</f>
        <v>154.08303095720595</v>
      </c>
      <c r="G60" s="117"/>
    </row>
    <row r="61" spans="1:7" x14ac:dyDescent="0.2">
      <c r="A61" s="24" t="s">
        <v>41</v>
      </c>
      <c r="B61" s="304">
        <f t="shared" si="3"/>
        <v>136.70755880898236</v>
      </c>
      <c r="F61" s="31">
        <f>G46/G32*100</f>
        <v>129.07080616164731</v>
      </c>
    </row>
    <row r="62" spans="1:7" x14ac:dyDescent="0.2">
      <c r="A62" s="24" t="s">
        <v>45</v>
      </c>
      <c r="B62" s="304">
        <f t="shared" si="3"/>
        <v>136.69048429982226</v>
      </c>
      <c r="F62" s="31">
        <f>B62*F61/B61</f>
        <v>129.05468546809308</v>
      </c>
    </row>
    <row r="63" spans="1:7" x14ac:dyDescent="0.2">
      <c r="A63" s="24" t="s">
        <v>37</v>
      </c>
      <c r="B63" s="304">
        <f t="shared" si="3"/>
        <v>134.54015186994801</v>
      </c>
      <c r="F63" s="31">
        <f>B63*(F61/B61)</f>
        <v>127.02447482972441</v>
      </c>
    </row>
    <row r="64" spans="1:7" x14ac:dyDescent="0.2">
      <c r="A64" s="24" t="s">
        <v>38</v>
      </c>
      <c r="B64" s="304">
        <f t="shared" si="3"/>
        <v>145.13682642640867</v>
      </c>
      <c r="F64" s="31">
        <f>B64*(F61/B61)</f>
        <v>137.02919833990043</v>
      </c>
    </row>
    <row r="65" spans="1:9" x14ac:dyDescent="0.2">
      <c r="A65" s="24" t="s">
        <v>46</v>
      </c>
      <c r="B65" s="304">
        <f t="shared" si="3"/>
        <v>136.29628068318158</v>
      </c>
      <c r="F65" s="3"/>
    </row>
    <row r="66" spans="1:9" x14ac:dyDescent="0.2">
      <c r="A66" s="24" t="s">
        <v>39</v>
      </c>
      <c r="B66" s="304">
        <f t="shared" si="3"/>
        <v>139.75001220141564</v>
      </c>
      <c r="F66" s="304">
        <f t="shared" ref="F66:F67" si="4">B66*(1+F78)</f>
        <v>140.02951222581848</v>
      </c>
    </row>
    <row r="67" spans="1:9" x14ac:dyDescent="0.2">
      <c r="A67" s="24" t="s">
        <v>40</v>
      </c>
      <c r="B67" s="304">
        <f t="shared" si="3"/>
        <v>124.29886627806761</v>
      </c>
      <c r="F67" s="304">
        <f t="shared" si="4"/>
        <v>130.51380959197098</v>
      </c>
    </row>
    <row r="68" spans="1:9" x14ac:dyDescent="0.2">
      <c r="A68" s="24" t="s">
        <v>28</v>
      </c>
      <c r="B68" s="304">
        <f t="shared" si="3"/>
        <v>127.78316918433003</v>
      </c>
      <c r="F68" s="105">
        <f>B68*(1+F80)</f>
        <v>138.00582271907643</v>
      </c>
      <c r="G68" s="281"/>
    </row>
    <row r="69" spans="1:9" x14ac:dyDescent="0.2">
      <c r="A69" s="332" t="s">
        <v>49</v>
      </c>
      <c r="B69" s="332"/>
      <c r="D69" s="332" t="s">
        <v>49</v>
      </c>
      <c r="E69" s="332"/>
      <c r="F69" s="332"/>
      <c r="G69" s="332"/>
    </row>
    <row r="70" spans="1:9" x14ac:dyDescent="0.2">
      <c r="A70" s="24" t="s">
        <v>44</v>
      </c>
      <c r="B70" s="31"/>
      <c r="F70" s="156"/>
    </row>
    <row r="71" spans="1:9" x14ac:dyDescent="0.2">
      <c r="A71" s="24" t="s">
        <v>35</v>
      </c>
      <c r="B71" s="31"/>
      <c r="F71" s="156">
        <f>SUPUESTOS!N6</f>
        <v>0.09</v>
      </c>
      <c r="I71" s="366">
        <f>F71</f>
        <v>0.09</v>
      </c>
    </row>
    <row r="72" spans="1:9" x14ac:dyDescent="0.2">
      <c r="A72" s="24" t="s">
        <v>36</v>
      </c>
      <c r="B72" s="31"/>
      <c r="F72" s="156">
        <f>SUPUESTOS!N6</f>
        <v>0.09</v>
      </c>
    </row>
    <row r="73" spans="1:9" x14ac:dyDescent="0.2">
      <c r="A73" s="24" t="s">
        <v>41</v>
      </c>
      <c r="B73" s="31"/>
      <c r="F73" s="156">
        <f>F61/B61-1</f>
        <v>-5.5861963404713166E-2</v>
      </c>
    </row>
    <row r="74" spans="1:9" x14ac:dyDescent="0.2">
      <c r="A74" s="24" t="s">
        <v>45</v>
      </c>
      <c r="B74" s="31"/>
      <c r="F74" s="264"/>
    </row>
    <row r="75" spans="1:9" x14ac:dyDescent="0.2">
      <c r="A75" s="24" t="s">
        <v>37</v>
      </c>
      <c r="B75" s="31"/>
      <c r="F75" s="264"/>
    </row>
    <row r="76" spans="1:9" x14ac:dyDescent="0.2">
      <c r="A76" s="24" t="s">
        <v>38</v>
      </c>
      <c r="B76" s="31"/>
      <c r="F76" s="264"/>
    </row>
    <row r="77" spans="1:9" x14ac:dyDescent="0.2">
      <c r="A77" s="24" t="s">
        <v>46</v>
      </c>
      <c r="B77" s="31"/>
      <c r="F77" s="264"/>
    </row>
    <row r="78" spans="1:9" x14ac:dyDescent="0.2">
      <c r="A78" s="24" t="s">
        <v>39</v>
      </c>
      <c r="B78" s="31"/>
      <c r="F78" s="156">
        <f>(1+SUPUESTOS!N13)*(1+SUPUESTOS!N9)-1</f>
        <v>2.0000000000000018E-3</v>
      </c>
    </row>
    <row r="79" spans="1:9" x14ac:dyDescent="0.2">
      <c r="A79" s="24" t="s">
        <v>40</v>
      </c>
      <c r="B79" s="31"/>
      <c r="F79" s="156">
        <f>(1+SUPUESTOS!N14)*(1+SUPUESTOS!N9)-1</f>
        <v>5.0000000000000044E-2</v>
      </c>
    </row>
    <row r="80" spans="1:9" x14ac:dyDescent="0.2">
      <c r="A80" s="24" t="s">
        <v>28</v>
      </c>
      <c r="B80" s="31"/>
      <c r="F80" s="156">
        <f>SUPUESTOS!N7</f>
        <v>0.08</v>
      </c>
    </row>
    <row r="81" spans="1:7" x14ac:dyDescent="0.2">
      <c r="A81" s="5"/>
      <c r="B81" s="5"/>
      <c r="C81" s="5"/>
      <c r="D81" s="5"/>
      <c r="E81" s="5"/>
      <c r="F81" s="5"/>
      <c r="G81" s="5"/>
    </row>
    <row r="83" spans="1:7" x14ac:dyDescent="0.2">
      <c r="A83" s="24"/>
      <c r="B83" s="30"/>
      <c r="C83" s="30"/>
    </row>
    <row r="84" spans="1:7" x14ac:dyDescent="0.2">
      <c r="A84" s="24"/>
      <c r="B84" s="30"/>
      <c r="C84" s="30"/>
    </row>
  </sheetData>
  <mergeCells count="11">
    <mergeCell ref="A57:B57"/>
    <mergeCell ref="A69:B69"/>
    <mergeCell ref="D69:G69"/>
    <mergeCell ref="D57:G57"/>
    <mergeCell ref="A56:B56"/>
    <mergeCell ref="D56:G56"/>
    <mergeCell ref="D4:G4"/>
    <mergeCell ref="D5:E5"/>
    <mergeCell ref="D3:G3"/>
    <mergeCell ref="A6:B6"/>
    <mergeCell ref="A27:B2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FF7C-BDCA-4F88-AAB5-3E6248A60073}">
  <dimension ref="A1:L82"/>
  <sheetViews>
    <sheetView topLeftCell="A34" zoomScale="150" zoomScaleNormal="150" workbookViewId="0">
      <selection activeCell="D47" sqref="D47"/>
    </sheetView>
  </sheetViews>
  <sheetFormatPr baseColWidth="10" defaultColWidth="8.83203125" defaultRowHeight="15" x14ac:dyDescent="0.2"/>
  <cols>
    <col min="1" max="1" width="49.1640625" customWidth="1"/>
    <col min="2" max="2" width="11.33203125" bestFit="1" customWidth="1"/>
    <col min="3" max="3" width="2.5" customWidth="1"/>
    <col min="4" max="4" width="32.5" customWidth="1"/>
    <col min="7" max="7" width="12.5" customWidth="1"/>
    <col min="10" max="10" width="29.83203125" customWidth="1"/>
    <col min="11" max="11" width="11.5" bestFit="1" customWidth="1"/>
    <col min="12" max="12" width="10.1640625" bestFit="1" customWidth="1"/>
  </cols>
  <sheetData>
    <row r="1" spans="1:12" x14ac:dyDescent="0.2">
      <c r="A1" s="25" t="s">
        <v>53</v>
      </c>
    </row>
    <row r="2" spans="1:12" x14ac:dyDescent="0.2">
      <c r="D2" s="5"/>
      <c r="E2" s="5"/>
      <c r="F2" s="5"/>
      <c r="G2" s="5"/>
    </row>
    <row r="3" spans="1:12" x14ac:dyDescent="0.2">
      <c r="A3" s="8"/>
      <c r="B3" s="8"/>
      <c r="D3" s="328" t="s">
        <v>162</v>
      </c>
      <c r="E3" s="328"/>
      <c r="F3" s="328"/>
      <c r="G3" s="328"/>
    </row>
    <row r="4" spans="1:12" x14ac:dyDescent="0.2">
      <c r="A4" s="133" t="s">
        <v>54</v>
      </c>
      <c r="B4" s="39">
        <v>2024</v>
      </c>
      <c r="C4" s="39"/>
      <c r="D4" s="328" t="s">
        <v>190</v>
      </c>
      <c r="E4" s="328"/>
      <c r="F4" s="328"/>
      <c r="G4" s="328"/>
      <c r="H4" s="3"/>
    </row>
    <row r="5" spans="1:12" x14ac:dyDescent="0.2">
      <c r="A5" s="5"/>
      <c r="B5" s="5"/>
      <c r="D5" s="329" t="s">
        <v>13</v>
      </c>
      <c r="E5" s="329"/>
      <c r="F5" s="7" t="s">
        <v>14</v>
      </c>
      <c r="G5" s="6" t="s">
        <v>15</v>
      </c>
    </row>
    <row r="6" spans="1:12" x14ac:dyDescent="0.2">
      <c r="A6" s="25" t="s">
        <v>55</v>
      </c>
      <c r="B6" s="89">
        <f>B7+B15+B18+B21</f>
        <v>-3821.0933164865401</v>
      </c>
      <c r="C6" s="50"/>
      <c r="G6" s="32">
        <f>G7+G15+G18+G21</f>
        <v>-10834.238507112439</v>
      </c>
    </row>
    <row r="7" spans="1:12" ht="18" x14ac:dyDescent="0.35">
      <c r="A7" s="41" t="s">
        <v>56</v>
      </c>
      <c r="B7" s="134">
        <f>B8+B11</f>
        <v>7196.5346967562</v>
      </c>
      <c r="C7" s="51"/>
      <c r="G7" s="66">
        <f>G8+G11</f>
        <v>2527.5021062384403</v>
      </c>
    </row>
    <row r="8" spans="1:12" x14ac:dyDescent="0.2">
      <c r="A8" s="43" t="s">
        <v>57</v>
      </c>
      <c r="B8" s="26">
        <v>49066.4758077562</v>
      </c>
      <c r="C8" s="52"/>
      <c r="D8" s="194" t="s">
        <v>196</v>
      </c>
      <c r="E8" s="195">
        <f>SUPUESTOS!H7</f>
        <v>1</v>
      </c>
      <c r="F8" s="218">
        <f>E51*E8</f>
        <v>0.04</v>
      </c>
      <c r="G8" s="92">
        <f>B8*(1+SUM(F8:F10))*(1+E57)</f>
        <v>50403.15095379702</v>
      </c>
      <c r="J8" s="265"/>
      <c r="K8" s="113"/>
      <c r="L8" s="113"/>
    </row>
    <row r="9" spans="1:12" x14ac:dyDescent="0.2">
      <c r="A9" s="43"/>
      <c r="B9" s="26"/>
      <c r="C9" s="52"/>
      <c r="D9" s="194" t="s">
        <v>197</v>
      </c>
      <c r="E9" s="195">
        <f>SUPUESTOS!H9</f>
        <v>0.25</v>
      </c>
      <c r="F9" s="218">
        <f>E55*E9</f>
        <v>-1.4908256880733994E-2</v>
      </c>
      <c r="J9" s="265"/>
    </row>
    <row r="10" spans="1:12" x14ac:dyDescent="0.2">
      <c r="A10" s="43"/>
      <c r="B10" s="26"/>
      <c r="C10" s="52"/>
      <c r="D10" s="194" t="s">
        <v>198</v>
      </c>
      <c r="E10" s="195">
        <f>SUPUESTOS!H8</f>
        <v>0.05</v>
      </c>
      <c r="F10" s="218">
        <f>E10*E57</f>
        <v>1E-4</v>
      </c>
      <c r="J10" s="265"/>
    </row>
    <row r="11" spans="1:12" x14ac:dyDescent="0.2">
      <c r="A11" s="43" t="s">
        <v>58</v>
      </c>
      <c r="B11" s="26">
        <v>-41869.941111</v>
      </c>
      <c r="C11" s="52"/>
      <c r="D11" s="194" t="s">
        <v>199</v>
      </c>
      <c r="E11" s="245">
        <f>SUPUESTOS!H10</f>
        <v>1</v>
      </c>
      <c r="F11" s="274">
        <f>'SECTOR REAL'!F37*E11</f>
        <v>7.0134612604339619E-2</v>
      </c>
      <c r="G11" s="92">
        <f>B11*(1+SUM(F11:F13))*(1+E58)</f>
        <v>-47875.648847558579</v>
      </c>
    </row>
    <row r="12" spans="1:12" x14ac:dyDescent="0.2">
      <c r="A12" s="43"/>
      <c r="B12" s="26"/>
      <c r="C12" s="52"/>
      <c r="D12" s="194" t="s">
        <v>197</v>
      </c>
      <c r="E12" s="195">
        <f>SUPUESTOS!H12</f>
        <v>-0.4</v>
      </c>
      <c r="F12" s="218">
        <f>E55*E12</f>
        <v>2.3853211009174393E-2</v>
      </c>
    </row>
    <row r="13" spans="1:12" x14ac:dyDescent="0.2">
      <c r="A13" s="43"/>
      <c r="B13" s="26"/>
      <c r="C13" s="52"/>
      <c r="D13" s="194" t="s">
        <v>200</v>
      </c>
      <c r="E13" s="195">
        <f>SUPUESTOS!H11</f>
        <v>-0.1</v>
      </c>
      <c r="F13" s="218">
        <f>E58*E13</f>
        <v>-5.000000000000001E-3</v>
      </c>
    </row>
    <row r="14" spans="1:12" x14ac:dyDescent="0.2">
      <c r="A14" s="43"/>
      <c r="B14" s="26"/>
      <c r="C14" s="52"/>
      <c r="F14" s="272"/>
    </row>
    <row r="15" spans="1:12" ht="18" x14ac:dyDescent="0.35">
      <c r="A15" s="41" t="s">
        <v>59</v>
      </c>
      <c r="B15" s="134">
        <f>B16+B17</f>
        <v>-2759.47801936627</v>
      </c>
      <c r="C15" s="51"/>
      <c r="F15" s="272"/>
      <c r="G15" s="66">
        <f>G16+G17</f>
        <v>-3979.1609163081894</v>
      </c>
    </row>
    <row r="16" spans="1:12" x14ac:dyDescent="0.2">
      <c r="A16" s="43" t="s">
        <v>60</v>
      </c>
      <c r="B16" s="26">
        <v>7090.4120681967197</v>
      </c>
      <c r="C16" s="52"/>
      <c r="D16" s="270" t="s">
        <v>85</v>
      </c>
      <c r="E16" s="269"/>
      <c r="F16" s="218">
        <f>G8/B8-1</f>
        <v>2.7242126605504513E-2</v>
      </c>
      <c r="G16" s="93">
        <f>B16*(1+F16)</f>
        <v>7283.5699714437314</v>
      </c>
    </row>
    <row r="17" spans="1:7" x14ac:dyDescent="0.2">
      <c r="A17" s="43" t="s">
        <v>61</v>
      </c>
      <c r="B17" s="26">
        <v>-9849.8900875629897</v>
      </c>
      <c r="C17" s="52"/>
      <c r="D17" s="270" t="s">
        <v>86</v>
      </c>
      <c r="E17" s="269"/>
      <c r="F17" s="218">
        <f>G11/B11-1</f>
        <v>0.14343721479418958</v>
      </c>
      <c r="G17" s="93">
        <f>B17*(1+F17)</f>
        <v>-11262.730887751921</v>
      </c>
    </row>
    <row r="18" spans="1:7" ht="18" x14ac:dyDescent="0.35">
      <c r="A18" s="41" t="s">
        <v>62</v>
      </c>
      <c r="B18" s="134">
        <f>B19+B20</f>
        <v>-11813.9251507516</v>
      </c>
      <c r="C18" s="51"/>
      <c r="D18" s="275"/>
      <c r="E18" s="276"/>
      <c r="G18" s="66">
        <f>G19+G20</f>
        <v>-13422.509199277938</v>
      </c>
    </row>
    <row r="19" spans="1:7" x14ac:dyDescent="0.2">
      <c r="A19" s="43" t="s">
        <v>63</v>
      </c>
      <c r="B19" s="26">
        <v>-10694.3162929468</v>
      </c>
      <c r="C19" s="52"/>
      <c r="D19" s="270" t="s">
        <v>87</v>
      </c>
      <c r="E19" s="271"/>
      <c r="F19" s="274">
        <f>'SECTOR REAL'!G24/'SECTOR REAL'!B24-1</f>
        <v>0.13616000000000006</v>
      </c>
      <c r="G19" s="93">
        <f>B19*(1+F19)</f>
        <v>-12150.454399394437</v>
      </c>
    </row>
    <row r="20" spans="1:7" x14ac:dyDescent="0.2">
      <c r="A20" s="43" t="s">
        <v>64</v>
      </c>
      <c r="B20" s="26">
        <v>-1119.6088578048</v>
      </c>
      <c r="C20" s="52"/>
      <c r="D20" s="270" t="s">
        <v>87</v>
      </c>
      <c r="E20" s="271"/>
      <c r="F20" s="274">
        <f>'SECTOR REAL'!G24/'SECTOR REAL'!B24-1</f>
        <v>0.13616000000000006</v>
      </c>
      <c r="G20" s="93">
        <f>B20*(1+F20)</f>
        <v>-1272.0547998835016</v>
      </c>
    </row>
    <row r="21" spans="1:7" ht="18" x14ac:dyDescent="0.35">
      <c r="A21" s="41" t="s">
        <v>65</v>
      </c>
      <c r="B21" s="42">
        <v>3555.7751568751301</v>
      </c>
      <c r="C21" s="51"/>
      <c r="G21" s="277">
        <f>B21*$E$56/'SECTOR REAL'!$B$24</f>
        <v>4039.9295022352476</v>
      </c>
    </row>
    <row r="22" spans="1:7" x14ac:dyDescent="0.2">
      <c r="A22" s="43" t="s">
        <v>66</v>
      </c>
      <c r="B22" s="26">
        <v>3224.75405474744</v>
      </c>
      <c r="C22" s="52"/>
    </row>
    <row r="23" spans="1:7" x14ac:dyDescent="0.2">
      <c r="A23" s="25" t="s">
        <v>67</v>
      </c>
      <c r="B23" s="32">
        <f>B24+B27+B30+B33+B34</f>
        <v>1536.8765724500099</v>
      </c>
      <c r="C23" s="52"/>
      <c r="G23" s="32">
        <f>G24+G27+G30+G33+G34</f>
        <v>1752.0891397122041</v>
      </c>
    </row>
    <row r="24" spans="1:7" ht="18" x14ac:dyDescent="0.35">
      <c r="A24" s="44" t="s">
        <v>68</v>
      </c>
      <c r="B24" s="42">
        <v>6468.7452150579138</v>
      </c>
      <c r="C24" s="51"/>
      <c r="G24" s="66">
        <f>G25+G26</f>
        <v>4866.326934339334</v>
      </c>
    </row>
    <row r="25" spans="1:7" x14ac:dyDescent="0.2">
      <c r="A25" s="45" t="s">
        <v>69</v>
      </c>
      <c r="B25" s="47">
        <v>-19.1610656606662</v>
      </c>
      <c r="C25" s="53"/>
      <c r="D25" s="270" t="s">
        <v>149</v>
      </c>
      <c r="E25" s="170"/>
      <c r="F25" s="278">
        <v>0</v>
      </c>
      <c r="G25" s="92">
        <f>B25*(1+F25)</f>
        <v>-19.1610656606662</v>
      </c>
    </row>
    <row r="26" spans="1:7" x14ac:dyDescent="0.2">
      <c r="A26" s="45" t="s">
        <v>70</v>
      </c>
      <c r="B26" s="47">
        <v>6487.9062807185801</v>
      </c>
      <c r="C26" s="53"/>
      <c r="D26" s="280" t="s">
        <v>226</v>
      </c>
      <c r="E26" s="170"/>
      <c r="G26" s="93">
        <f>0.2*(0.215*E56)</f>
        <v>4885.4880000000003</v>
      </c>
    </row>
    <row r="27" spans="1:7" ht="18" x14ac:dyDescent="0.35">
      <c r="A27" s="44" t="s">
        <v>71</v>
      </c>
      <c r="B27" s="42">
        <v>-3950.2377946271299</v>
      </c>
      <c r="C27" s="51"/>
      <c r="D27" s="270" t="s">
        <v>149</v>
      </c>
      <c r="E27" s="170"/>
      <c r="F27" s="278">
        <v>0</v>
      </c>
      <c r="G27" s="279">
        <f>B27*(1+F27)</f>
        <v>-3950.2377946271299</v>
      </c>
    </row>
    <row r="28" spans="1:7" x14ac:dyDescent="0.2">
      <c r="A28" s="45" t="s">
        <v>72</v>
      </c>
      <c r="B28" s="47">
        <v>-3539.01568995052</v>
      </c>
      <c r="C28" s="53"/>
    </row>
    <row r="29" spans="1:7" x14ac:dyDescent="0.2">
      <c r="A29" s="45" t="s">
        <v>73</v>
      </c>
      <c r="B29" s="47">
        <v>-411.22210467661</v>
      </c>
      <c r="C29" s="53"/>
    </row>
    <row r="30" spans="1:7" x14ac:dyDescent="0.2">
      <c r="A30" s="48" t="s">
        <v>74</v>
      </c>
      <c r="B30" s="42">
        <v>-1616.359360765767</v>
      </c>
      <c r="C30" s="51"/>
      <c r="G30" s="67">
        <f>G31+G32</f>
        <v>0</v>
      </c>
    </row>
    <row r="31" spans="1:7" x14ac:dyDescent="0.2">
      <c r="A31" s="45" t="s">
        <v>75</v>
      </c>
      <c r="B31" s="47">
        <v>-1601.13626040076</v>
      </c>
      <c r="C31" s="53"/>
      <c r="G31" s="65">
        <v>0</v>
      </c>
    </row>
    <row r="32" spans="1:7" x14ac:dyDescent="0.2">
      <c r="A32" s="45" t="s">
        <v>76</v>
      </c>
      <c r="B32" s="26">
        <v>-15.223100365006957</v>
      </c>
      <c r="C32" s="52"/>
      <c r="G32">
        <v>0</v>
      </c>
    </row>
    <row r="33" spans="1:7" ht="18" x14ac:dyDescent="0.35">
      <c r="A33" s="48" t="s">
        <v>77</v>
      </c>
      <c r="B33" s="42">
        <v>836</v>
      </c>
      <c r="C33" s="54"/>
      <c r="D33" s="270" t="s">
        <v>149</v>
      </c>
      <c r="E33" s="170"/>
      <c r="G33" s="279">
        <f>AVERAGE(B33:B33)</f>
        <v>836</v>
      </c>
    </row>
    <row r="34" spans="1:7" x14ac:dyDescent="0.2">
      <c r="A34" s="48" t="s">
        <v>78</v>
      </c>
      <c r="B34" s="49">
        <v>-201.271487215007</v>
      </c>
      <c r="C34" s="49"/>
      <c r="G34" s="284">
        <v>0</v>
      </c>
    </row>
    <row r="35" spans="1:7" x14ac:dyDescent="0.2">
      <c r="A35" s="25" t="s">
        <v>79</v>
      </c>
      <c r="B35" s="40">
        <v>0</v>
      </c>
      <c r="C35" s="50"/>
      <c r="G35" s="12">
        <v>0</v>
      </c>
    </row>
    <row r="36" spans="1:7" x14ac:dyDescent="0.2">
      <c r="A36" s="25" t="s">
        <v>80</v>
      </c>
      <c r="B36" s="40">
        <v>-1345.18919720801</v>
      </c>
      <c r="C36" s="50"/>
      <c r="G36" s="12">
        <v>0</v>
      </c>
    </row>
    <row r="37" spans="1:7" x14ac:dyDescent="0.2">
      <c r="A37" s="28" t="s">
        <v>81</v>
      </c>
      <c r="B37" s="135">
        <f>B6+B23+B35+B36</f>
        <v>-3629.4059412445404</v>
      </c>
      <c r="C37" s="50"/>
      <c r="G37" s="55">
        <f>G36+G35+G23+G6</f>
        <v>-9082.149367400234</v>
      </c>
    </row>
    <row r="38" spans="1:7" x14ac:dyDescent="0.2">
      <c r="A38" s="46" t="s">
        <v>100</v>
      </c>
      <c r="B38" s="26">
        <v>-3499.7797300000002</v>
      </c>
      <c r="C38" s="26"/>
      <c r="G38" s="36">
        <f>G37</f>
        <v>-9082.149367400234</v>
      </c>
    </row>
    <row r="39" spans="1:7" x14ac:dyDescent="0.2">
      <c r="A39" s="46" t="s">
        <v>101</v>
      </c>
      <c r="B39" s="26">
        <v>129.61569</v>
      </c>
      <c r="C39" s="26"/>
      <c r="G39" s="84">
        <v>0</v>
      </c>
    </row>
    <row r="40" spans="1:7" x14ac:dyDescent="0.2">
      <c r="A40" s="81"/>
    </row>
    <row r="41" spans="1:7" x14ac:dyDescent="0.2">
      <c r="A41" s="46" t="s">
        <v>102</v>
      </c>
      <c r="B41" s="26">
        <v>60287.783380000001</v>
      </c>
      <c r="C41" s="26"/>
    </row>
    <row r="42" spans="1:7" x14ac:dyDescent="0.2">
      <c r="A42" s="46" t="s">
        <v>103</v>
      </c>
      <c r="B42" s="26">
        <v>166.51517000000001</v>
      </c>
      <c r="C42" s="26"/>
    </row>
    <row r="43" spans="1:7" x14ac:dyDescent="0.2">
      <c r="A43" s="46" t="s">
        <v>104</v>
      </c>
      <c r="B43" s="26">
        <f t="shared" ref="B43" si="0">B41-B42</f>
        <v>60121.268210000002</v>
      </c>
      <c r="C43" s="26"/>
      <c r="G43" s="36">
        <f>B43+G38</f>
        <v>51039.118842599768</v>
      </c>
    </row>
    <row r="44" spans="1:7" x14ac:dyDescent="0.2">
      <c r="A44" s="29"/>
      <c r="B44" s="83"/>
      <c r="C44" s="82"/>
      <c r="D44" s="154"/>
      <c r="E44" s="315"/>
      <c r="G44" s="296">
        <f>'SECTOR REAL'!G25</f>
        <v>6.9211090409871776</v>
      </c>
    </row>
    <row r="45" spans="1:7" x14ac:dyDescent="0.2">
      <c r="A45" s="29"/>
      <c r="B45" s="83"/>
      <c r="C45" s="82"/>
      <c r="D45" s="154"/>
      <c r="E45" s="315"/>
      <c r="G45" s="296"/>
    </row>
    <row r="46" spans="1:7" x14ac:dyDescent="0.2">
      <c r="A46" s="46"/>
      <c r="B46" s="230"/>
      <c r="D46" s="170" t="s">
        <v>135</v>
      </c>
      <c r="E46" s="170"/>
      <c r="F46" s="170"/>
      <c r="G46" s="314">
        <f>G43*G44</f>
        <v>353247.30686553626</v>
      </c>
    </row>
    <row r="47" spans="1:7" x14ac:dyDescent="0.2">
      <c r="A47" s="91"/>
      <c r="B47" s="247"/>
      <c r="C47" s="5"/>
      <c r="D47" s="248"/>
      <c r="E47" s="5"/>
      <c r="F47" s="5"/>
      <c r="G47" s="249"/>
    </row>
    <row r="48" spans="1:7" ht="16" thickBot="1" x14ac:dyDescent="0.25">
      <c r="A48" s="46"/>
      <c r="B48" s="230"/>
      <c r="D48" s="10"/>
      <c r="G48" s="221"/>
    </row>
    <row r="49" spans="1:7" x14ac:dyDescent="0.2">
      <c r="A49" s="336" t="s">
        <v>222</v>
      </c>
      <c r="B49" s="337"/>
      <c r="C49" s="337"/>
      <c r="D49" s="337"/>
      <c r="E49" s="337"/>
      <c r="F49" s="337"/>
      <c r="G49" s="338"/>
    </row>
    <row r="50" spans="1:7" x14ac:dyDescent="0.2">
      <c r="A50" s="252"/>
      <c r="B50" s="253"/>
      <c r="C50" s="170"/>
      <c r="D50" s="254"/>
      <c r="E50" s="170"/>
      <c r="F50" s="170"/>
      <c r="G50" s="235"/>
    </row>
    <row r="51" spans="1:7" x14ac:dyDescent="0.2">
      <c r="A51" s="157"/>
      <c r="B51" s="170"/>
      <c r="C51" s="170"/>
      <c r="D51" s="255"/>
      <c r="E51" s="256">
        <f>SUPUESTOS!N12</f>
        <v>0.04</v>
      </c>
      <c r="F51" s="170"/>
      <c r="G51" s="158"/>
    </row>
    <row r="52" spans="1:7" x14ac:dyDescent="0.2">
      <c r="A52" s="157"/>
      <c r="B52" s="170"/>
      <c r="C52" s="170"/>
      <c r="D52" s="257"/>
      <c r="E52" s="256">
        <f>SUPUESTOS!N10</f>
        <v>2.5000000000000001E-2</v>
      </c>
      <c r="F52" s="170"/>
      <c r="G52" s="158"/>
    </row>
    <row r="53" spans="1:7" x14ac:dyDescent="0.2">
      <c r="A53" s="157"/>
      <c r="B53" s="170"/>
      <c r="C53" s="170"/>
      <c r="D53" s="257"/>
      <c r="E53" s="256">
        <f>SUPUESTOS!N9</f>
        <v>0</v>
      </c>
      <c r="F53" s="170"/>
      <c r="G53" s="158"/>
    </row>
    <row r="54" spans="1:7" x14ac:dyDescent="0.2">
      <c r="A54" s="157"/>
      <c r="B54" s="170"/>
      <c r="C54" s="170"/>
      <c r="D54" s="257"/>
      <c r="E54" s="256">
        <f>SUPUESTOS!N6</f>
        <v>0.09</v>
      </c>
      <c r="F54" s="170"/>
      <c r="G54" s="158"/>
    </row>
    <row r="55" spans="1:7" x14ac:dyDescent="0.2">
      <c r="A55" s="157"/>
      <c r="B55" s="170"/>
      <c r="C55" s="170"/>
      <c r="D55" s="257"/>
      <c r="E55" s="258">
        <f>SUPUESTOS!N11</f>
        <v>-5.9633027522935977E-2</v>
      </c>
      <c r="F55" s="170"/>
      <c r="G55" s="158"/>
    </row>
    <row r="56" spans="1:7" x14ac:dyDescent="0.2">
      <c r="A56" s="259" t="s">
        <v>223</v>
      </c>
      <c r="B56" s="170"/>
      <c r="C56" s="170"/>
      <c r="D56" s="257"/>
      <c r="E56" s="260">
        <f>'SECTOR REAL'!G24</f>
        <v>113616</v>
      </c>
      <c r="F56" s="170"/>
      <c r="G56" s="158"/>
    </row>
    <row r="57" spans="1:7" x14ac:dyDescent="0.2">
      <c r="A57" s="157"/>
      <c r="B57" s="170"/>
      <c r="C57" s="170"/>
      <c r="D57" s="261"/>
      <c r="E57" s="266">
        <f>SUPUESTOS!$N$13</f>
        <v>2E-3</v>
      </c>
      <c r="F57" s="170"/>
      <c r="G57" s="158"/>
    </row>
    <row r="58" spans="1:7" x14ac:dyDescent="0.2">
      <c r="A58" s="157"/>
      <c r="B58" s="170"/>
      <c r="C58" s="170"/>
      <c r="D58" s="261"/>
      <c r="E58" s="266">
        <f>SUPUESTOS!$N$14</f>
        <v>0.05</v>
      </c>
      <c r="F58" s="170"/>
      <c r="G58" s="158"/>
    </row>
    <row r="59" spans="1:7" ht="16" thickBot="1" x14ac:dyDescent="0.25">
      <c r="A59" s="172"/>
      <c r="B59" s="173"/>
      <c r="C59" s="173"/>
      <c r="D59" s="262"/>
      <c r="E59" s="263">
        <f>('SECTOR REAL'!G46/'SECTOR REAL'!G25)/('SECTOR REAL'!B46/'SECTOR REAL'!B25)-1</f>
        <v>0.10098250334500181</v>
      </c>
      <c r="F59" s="173"/>
      <c r="G59" s="174"/>
    </row>
    <row r="60" spans="1:7" x14ac:dyDescent="0.2">
      <c r="D60" s="251"/>
      <c r="E60" s="250"/>
    </row>
    <row r="61" spans="1:7" ht="16" thickBot="1" x14ac:dyDescent="0.25"/>
    <row r="62" spans="1:7" ht="16" x14ac:dyDescent="0.2">
      <c r="D62" s="334" t="s">
        <v>134</v>
      </c>
      <c r="E62" s="335"/>
    </row>
    <row r="63" spans="1:7" x14ac:dyDescent="0.2">
      <c r="D63" s="157"/>
      <c r="E63" s="158"/>
    </row>
    <row r="64" spans="1:7" x14ac:dyDescent="0.2">
      <c r="D64" s="157" t="s">
        <v>129</v>
      </c>
      <c r="E64" s="159">
        <f>G8+G16</f>
        <v>57686.720925240748</v>
      </c>
    </row>
    <row r="65" spans="4:5" x14ac:dyDescent="0.2">
      <c r="D65" s="160" t="s">
        <v>131</v>
      </c>
      <c r="E65" s="180">
        <f>(E64/(B8+B16)-1)</f>
        <v>2.7242126605504513E-2</v>
      </c>
    </row>
    <row r="66" spans="4:5" x14ac:dyDescent="0.2">
      <c r="D66" s="160" t="s">
        <v>133</v>
      </c>
      <c r="E66" s="180">
        <f>((1+E65)*(1+E53)-1)</f>
        <v>2.7242126605504513E-2</v>
      </c>
    </row>
    <row r="67" spans="4:5" x14ac:dyDescent="0.2">
      <c r="D67" s="160" t="s">
        <v>132</v>
      </c>
      <c r="E67" s="180">
        <f>((1+E66)/(1+E$54)-1)</f>
        <v>-5.7576030637151887E-2</v>
      </c>
    </row>
    <row r="68" spans="4:5" x14ac:dyDescent="0.2">
      <c r="D68" s="157"/>
      <c r="E68" s="162"/>
    </row>
    <row r="69" spans="4:5" x14ac:dyDescent="0.2">
      <c r="D69" s="157" t="s">
        <v>130</v>
      </c>
      <c r="E69" s="159">
        <f>G11+G17</f>
        <v>-59138.379735310504</v>
      </c>
    </row>
    <row r="70" spans="4:5" x14ac:dyDescent="0.2">
      <c r="D70" s="160" t="s">
        <v>131</v>
      </c>
      <c r="E70" s="161">
        <f>(E69/(B11+B17)-1)</f>
        <v>0.14343721479418958</v>
      </c>
    </row>
    <row r="71" spans="4:5" x14ac:dyDescent="0.2">
      <c r="D71" s="160" t="s">
        <v>133</v>
      </c>
      <c r="E71" s="161">
        <f>((1+E70)*(1+E53)-1)</f>
        <v>0.14343721479418958</v>
      </c>
    </row>
    <row r="72" spans="4:5" x14ac:dyDescent="0.2">
      <c r="D72" s="160" t="s">
        <v>132</v>
      </c>
      <c r="E72" s="161">
        <f>((1+E71/100)/(1+E$54/100)-1)</f>
        <v>5.3389164546113754E-4</v>
      </c>
    </row>
    <row r="73" spans="4:5" x14ac:dyDescent="0.2">
      <c r="D73" s="157"/>
      <c r="E73" s="162"/>
    </row>
    <row r="74" spans="4:5" x14ac:dyDescent="0.2">
      <c r="D74" s="163" t="s">
        <v>62</v>
      </c>
      <c r="E74" s="159">
        <f>G18</f>
        <v>-13422.509199277938</v>
      </c>
    </row>
    <row r="75" spans="4:5" x14ac:dyDescent="0.2">
      <c r="D75" s="160" t="s">
        <v>131</v>
      </c>
      <c r="E75" s="161">
        <f>(E74/B18-1)</f>
        <v>0.13616000000000006</v>
      </c>
    </row>
    <row r="76" spans="4:5" x14ac:dyDescent="0.2">
      <c r="D76" s="160" t="s">
        <v>133</v>
      </c>
      <c r="E76" s="161">
        <f>((1+E75)*(1+E53)-1)</f>
        <v>0.13616000000000006</v>
      </c>
    </row>
    <row r="77" spans="4:5" x14ac:dyDescent="0.2">
      <c r="D77" s="160" t="s">
        <v>132</v>
      </c>
      <c r="E77" s="161">
        <f>((1+E76)/(1+E$54)-1)</f>
        <v>4.234862385321092E-2</v>
      </c>
    </row>
    <row r="78" spans="4:5" x14ac:dyDescent="0.2">
      <c r="D78" s="157"/>
      <c r="E78" s="162"/>
    </row>
    <row r="79" spans="4:5" x14ac:dyDescent="0.2">
      <c r="D79" s="163" t="s">
        <v>65</v>
      </c>
      <c r="E79" s="164">
        <f>G21</f>
        <v>4039.9295022352476</v>
      </c>
    </row>
    <row r="80" spans="4:5" x14ac:dyDescent="0.2">
      <c r="D80" s="160" t="s">
        <v>131</v>
      </c>
      <c r="E80" s="161">
        <f>(G21/B21-1)</f>
        <v>0.13616000000000006</v>
      </c>
    </row>
    <row r="81" spans="4:5" x14ac:dyDescent="0.2">
      <c r="D81" s="160" t="s">
        <v>133</v>
      </c>
      <c r="E81" s="161">
        <f>((1+E80)*(1+E53)-1)</f>
        <v>0.13616000000000006</v>
      </c>
    </row>
    <row r="82" spans="4:5" ht="16" thickBot="1" x14ac:dyDescent="0.25">
      <c r="D82" s="165" t="s">
        <v>132</v>
      </c>
      <c r="E82" s="166">
        <f>((1+E81)/(1+E54)-1)</f>
        <v>4.234862385321092E-2</v>
      </c>
    </row>
  </sheetData>
  <mergeCells count="5">
    <mergeCell ref="D3:G3"/>
    <mergeCell ref="D5:E5"/>
    <mergeCell ref="D62:E62"/>
    <mergeCell ref="A49:G49"/>
    <mergeCell ref="D4:G4"/>
  </mergeCells>
  <pageMargins left="0.7" right="0.7" top="0.75" bottom="0.75" header="0.3" footer="0.3"/>
  <pageSetup orientation="portrait" r:id="rId1"/>
  <ignoredErrors>
    <ignoredError sqref="G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2642-8BE0-4EE9-9961-46BC93BAF79F}">
  <dimension ref="A1:K41"/>
  <sheetViews>
    <sheetView tabSelected="1" zoomScale="150" zoomScaleNormal="150" workbookViewId="0">
      <selection activeCell="J14" sqref="J14"/>
    </sheetView>
  </sheetViews>
  <sheetFormatPr baseColWidth="10" defaultColWidth="8.83203125" defaultRowHeight="15" x14ac:dyDescent="0.2"/>
  <cols>
    <col min="1" max="1" width="58.5" customWidth="1"/>
    <col min="2" max="2" width="11.6640625" bestFit="1" customWidth="1"/>
    <col min="4" max="4" width="14.5" customWidth="1"/>
    <col min="6" max="6" width="10.1640625" bestFit="1" customWidth="1"/>
    <col min="7" max="7" width="11.6640625" bestFit="1" customWidth="1"/>
    <col min="8" max="8" width="11.33203125" customWidth="1"/>
  </cols>
  <sheetData>
    <row r="1" spans="1:11" s="3" customFormat="1" x14ac:dyDescent="0.2">
      <c r="A1" s="3" t="s">
        <v>228</v>
      </c>
    </row>
    <row r="2" spans="1:11" x14ac:dyDescent="0.2">
      <c r="A2" s="25" t="s">
        <v>106</v>
      </c>
    </row>
    <row r="3" spans="1:11" x14ac:dyDescent="0.2">
      <c r="A3" s="29" t="s">
        <v>107</v>
      </c>
    </row>
    <row r="5" spans="1:11" x14ac:dyDescent="0.2">
      <c r="A5" s="8"/>
      <c r="B5" s="8"/>
      <c r="D5" s="339" t="s">
        <v>162</v>
      </c>
      <c r="E5" s="339"/>
      <c r="F5" s="339"/>
      <c r="G5" s="339"/>
    </row>
    <row r="6" spans="1:11" x14ac:dyDescent="0.2">
      <c r="B6" s="39">
        <v>2024</v>
      </c>
      <c r="D6" s="328" t="s">
        <v>190</v>
      </c>
      <c r="E6" s="328"/>
      <c r="F6" s="328"/>
      <c r="G6" s="328"/>
    </row>
    <row r="7" spans="1:11" x14ac:dyDescent="0.2">
      <c r="A7" s="5"/>
      <c r="B7" s="5"/>
      <c r="D7" s="329" t="s">
        <v>230</v>
      </c>
      <c r="E7" s="329"/>
      <c r="F7" s="7" t="s">
        <v>229</v>
      </c>
      <c r="G7" s="6" t="s">
        <v>15</v>
      </c>
    </row>
    <row r="8" spans="1:11" ht="16" x14ac:dyDescent="0.2">
      <c r="A8" s="95" t="s">
        <v>120</v>
      </c>
    </row>
    <row r="9" spans="1:11" x14ac:dyDescent="0.2">
      <c r="A9" s="25" t="s">
        <v>108</v>
      </c>
      <c r="B9" s="86">
        <v>300000</v>
      </c>
      <c r="G9" s="35">
        <f>G16</f>
        <v>327645.30200033297</v>
      </c>
      <c r="I9" s="113"/>
    </row>
    <row r="10" spans="1:11" x14ac:dyDescent="0.2">
      <c r="A10" s="44" t="s">
        <v>109</v>
      </c>
      <c r="B10" s="87">
        <v>170000</v>
      </c>
      <c r="G10" s="35">
        <f>G9-G11-G14</f>
        <v>9521.6652336183324</v>
      </c>
      <c r="H10" s="108"/>
    </row>
    <row r="11" spans="1:11" x14ac:dyDescent="0.2">
      <c r="A11" s="44" t="s">
        <v>110</v>
      </c>
      <c r="B11" s="88">
        <f>B12+B13</f>
        <v>367000</v>
      </c>
      <c r="D11" s="200" t="s">
        <v>203</v>
      </c>
      <c r="E11" s="316">
        <f>SUPUESTOS!H23</f>
        <v>0.495</v>
      </c>
      <c r="G11" s="93">
        <f>G37*E11</f>
        <v>389242.61877639557</v>
      </c>
    </row>
    <row r="12" spans="1:11" x14ac:dyDescent="0.2">
      <c r="A12" s="46" t="s">
        <v>111</v>
      </c>
      <c r="B12" s="86">
        <v>57000</v>
      </c>
      <c r="F12" s="228">
        <f>'SECTOR FISCAL PROGRAMA'!G33+'SECTOR FISCAL PROGRAMA'!G34</f>
        <v>5204.5439205000293</v>
      </c>
      <c r="G12" s="92">
        <f>B12+F12</f>
        <v>62204.543920500029</v>
      </c>
    </row>
    <row r="13" spans="1:11" x14ac:dyDescent="0.2">
      <c r="A13" s="46" t="s">
        <v>112</v>
      </c>
      <c r="B13" s="86">
        <v>310000</v>
      </c>
      <c r="G13" s="35">
        <f>G11-G12</f>
        <v>327038.07485589554</v>
      </c>
      <c r="H13" s="111" t="s">
        <v>136</v>
      </c>
      <c r="I13" s="85">
        <f>(G13/B13-1)*100</f>
        <v>5.4961531793211504</v>
      </c>
      <c r="J13" s="115" t="str">
        <f>IF(I13/100&lt;0.75*(SUPUESTOS!O8),"INSUFICIENTE",IF(I13/100&gt;1.25*(SUPUESTOS!O8),"EXCESIVO","BIEN"))</f>
        <v>BIEN</v>
      </c>
      <c r="K13" s="116"/>
    </row>
    <row r="14" spans="1:11" x14ac:dyDescent="0.2">
      <c r="A14" s="48" t="s">
        <v>113</v>
      </c>
      <c r="B14" s="89">
        <f>B9-B11</f>
        <v>-67000</v>
      </c>
      <c r="D14" s="200" t="s">
        <v>203</v>
      </c>
      <c r="G14" s="35">
        <f>B14/B27*G27</f>
        <v>-71118.982009680927</v>
      </c>
    </row>
    <row r="15" spans="1:11" x14ac:dyDescent="0.2">
      <c r="A15" s="25" t="s">
        <v>114</v>
      </c>
      <c r="B15" s="90">
        <f>B16</f>
        <v>300000</v>
      </c>
      <c r="E15" s="3"/>
      <c r="G15" s="35"/>
    </row>
    <row r="16" spans="1:11" x14ac:dyDescent="0.2">
      <c r="A16" s="46" t="s">
        <v>128</v>
      </c>
      <c r="B16" s="86">
        <v>300000</v>
      </c>
      <c r="D16" s="294"/>
      <c r="E16" s="295">
        <f>SUPUESTOS!H21</f>
        <v>2.4</v>
      </c>
      <c r="G16" s="92">
        <f>G37/E16</f>
        <v>327645.30200033297</v>
      </c>
      <c r="H16" s="131"/>
    </row>
    <row r="17" spans="1:9" x14ac:dyDescent="0.2">
      <c r="A17" s="96" t="s">
        <v>121</v>
      </c>
      <c r="B17" s="26"/>
    </row>
    <row r="18" spans="1:9" x14ac:dyDescent="0.2">
      <c r="A18" s="25" t="s">
        <v>108</v>
      </c>
      <c r="B18" s="90">
        <f t="shared" ref="B18" si="0">B25</f>
        <v>60000</v>
      </c>
      <c r="G18" s="35">
        <f>G25</f>
        <v>65529.060400066592</v>
      </c>
    </row>
    <row r="19" spans="1:9" x14ac:dyDescent="0.2">
      <c r="A19" s="25" t="s">
        <v>122</v>
      </c>
      <c r="B19" s="99">
        <v>200000</v>
      </c>
      <c r="D19" s="340" t="s">
        <v>171</v>
      </c>
      <c r="E19" s="340"/>
      <c r="G19" s="297">
        <f>'SECTOR EXTERNO'!G46</f>
        <v>353247.30686553626</v>
      </c>
    </row>
    <row r="20" spans="1:9" x14ac:dyDescent="0.2">
      <c r="A20" s="100" t="s">
        <v>123</v>
      </c>
      <c r="B20" s="35">
        <f>B21+B22</f>
        <v>-54000</v>
      </c>
      <c r="G20" s="35">
        <f>G18-G19-G23</f>
        <v>-201718.24646546965</v>
      </c>
    </row>
    <row r="21" spans="1:9" x14ac:dyDescent="0.2">
      <c r="A21" s="43" t="s">
        <v>124</v>
      </c>
      <c r="B21" s="98">
        <v>-55000</v>
      </c>
      <c r="F21" s="102">
        <v>0</v>
      </c>
      <c r="G21" s="93">
        <f>B21+F21</f>
        <v>-55000</v>
      </c>
    </row>
    <row r="22" spans="1:9" x14ac:dyDescent="0.2">
      <c r="A22" s="43" t="s">
        <v>125</v>
      </c>
      <c r="B22" s="98">
        <v>1000</v>
      </c>
      <c r="G22" s="35">
        <f>G20-G21</f>
        <v>-146718.24646546965</v>
      </c>
      <c r="H22" s="109"/>
      <c r="I22" s="110"/>
    </row>
    <row r="23" spans="1:9" x14ac:dyDescent="0.2">
      <c r="A23" s="103" t="s">
        <v>126</v>
      </c>
      <c r="B23" s="90">
        <f t="shared" ref="B23" si="1">B18-B19-B20</f>
        <v>-86000</v>
      </c>
      <c r="F23" s="102">
        <v>0</v>
      </c>
      <c r="G23" s="93">
        <f>B23+F23</f>
        <v>-86000</v>
      </c>
    </row>
    <row r="24" spans="1:9" x14ac:dyDescent="0.2">
      <c r="A24" s="25" t="s">
        <v>114</v>
      </c>
      <c r="B24" s="99"/>
      <c r="I24" s="101"/>
    </row>
    <row r="25" spans="1:9" x14ac:dyDescent="0.2">
      <c r="A25" s="46" t="s">
        <v>119</v>
      </c>
      <c r="B25" s="94">
        <v>60000</v>
      </c>
      <c r="D25" s="15"/>
      <c r="E25" s="298">
        <f>SUPUESTOS!$H$22</f>
        <v>5</v>
      </c>
      <c r="G25" s="92">
        <f>G16/E25</f>
        <v>65529.060400066592</v>
      </c>
      <c r="H25" s="111" t="s">
        <v>136</v>
      </c>
      <c r="I25" s="104">
        <f>(G25/B25-1)</f>
        <v>9.2151006667776425E-2</v>
      </c>
    </row>
    <row r="26" spans="1:9" x14ac:dyDescent="0.2">
      <c r="A26" s="96" t="s">
        <v>127</v>
      </c>
      <c r="B26" s="97"/>
    </row>
    <row r="27" spans="1:9" x14ac:dyDescent="0.2">
      <c r="A27" s="46" t="s">
        <v>118</v>
      </c>
      <c r="B27" s="86">
        <v>740805.94340455905</v>
      </c>
      <c r="G27" s="107">
        <f>'SECTOR REAL'!G54</f>
        <v>786348.72480079916</v>
      </c>
    </row>
    <row r="28" spans="1:9" x14ac:dyDescent="0.2">
      <c r="A28" s="46" t="s">
        <v>115</v>
      </c>
      <c r="B28" s="141">
        <f>B11/B27</f>
        <v>0.49540639254776991</v>
      </c>
      <c r="G28" s="317">
        <f>G11/G$27*100</f>
        <v>49.5</v>
      </c>
    </row>
    <row r="29" spans="1:9" x14ac:dyDescent="0.2">
      <c r="A29" s="43" t="s">
        <v>116</v>
      </c>
      <c r="B29" s="138">
        <v>7.7</v>
      </c>
      <c r="G29" s="317">
        <f>G12/G$27*100</f>
        <v>7.910554434517322</v>
      </c>
    </row>
    <row r="30" spans="1:9" x14ac:dyDescent="0.2">
      <c r="A30" s="43" t="s">
        <v>117</v>
      </c>
      <c r="B30" s="138">
        <v>41.8</v>
      </c>
      <c r="D30" s="10"/>
      <c r="G30" s="317">
        <f>G13/G$27*100</f>
        <v>41.589445565482677</v>
      </c>
    </row>
    <row r="31" spans="1:9" x14ac:dyDescent="0.2">
      <c r="A31" s="46"/>
      <c r="B31" s="306"/>
      <c r="E31" s="307"/>
      <c r="G31" s="308"/>
    </row>
    <row r="32" spans="1:9" x14ac:dyDescent="0.2">
      <c r="A32" s="46"/>
      <c r="B32" s="306"/>
      <c r="E32" s="309"/>
      <c r="G32" s="308"/>
    </row>
    <row r="33" spans="1:9" x14ac:dyDescent="0.2">
      <c r="A33" s="91"/>
      <c r="B33" s="5"/>
      <c r="C33" s="5"/>
      <c r="D33" s="5"/>
      <c r="E33" s="5"/>
      <c r="F33" s="5"/>
      <c r="G33" s="5"/>
      <c r="H33" s="5"/>
      <c r="I33" s="5"/>
    </row>
    <row r="34" spans="1:9" ht="16" thickBot="1" x14ac:dyDescent="0.25"/>
    <row r="35" spans="1:9" x14ac:dyDescent="0.2">
      <c r="A35" s="336" t="s">
        <v>232</v>
      </c>
      <c r="B35" s="337"/>
      <c r="C35" s="337"/>
      <c r="D35" s="337"/>
      <c r="E35" s="337"/>
      <c r="F35" s="337"/>
      <c r="G35" s="338"/>
    </row>
    <row r="36" spans="1:9" x14ac:dyDescent="0.2">
      <c r="A36" s="157"/>
      <c r="B36" s="170"/>
      <c r="C36" s="170"/>
      <c r="D36" s="170"/>
      <c r="E36" s="170"/>
      <c r="F36" s="170"/>
      <c r="G36" s="158"/>
    </row>
    <row r="37" spans="1:9" x14ac:dyDescent="0.2">
      <c r="A37" s="157"/>
      <c r="B37" s="260">
        <f>'SECTOR REAL'!B16</f>
        <v>692110.90409871773</v>
      </c>
      <c r="C37" s="170"/>
      <c r="D37" s="170"/>
      <c r="E37" s="170"/>
      <c r="F37" s="170"/>
      <c r="G37" s="310">
        <f>'SECTOR REAL'!G16</f>
        <v>786348.72480079916</v>
      </c>
    </row>
    <row r="38" spans="1:9" x14ac:dyDescent="0.2">
      <c r="A38" s="311" t="s">
        <v>231</v>
      </c>
      <c r="B38" s="301">
        <f>SUPUESTOS!H23</f>
        <v>0.495</v>
      </c>
      <c r="C38" s="170"/>
      <c r="D38" s="170"/>
      <c r="E38" s="170"/>
      <c r="F38" s="170"/>
      <c r="G38" s="312">
        <f>B38</f>
        <v>0.495</v>
      </c>
    </row>
    <row r="39" spans="1:9" x14ac:dyDescent="0.2">
      <c r="A39" s="157"/>
      <c r="B39" s="299">
        <f>SUPUESTOS!H21</f>
        <v>2.4</v>
      </c>
      <c r="C39" s="170"/>
      <c r="D39" s="170"/>
      <c r="E39" s="170"/>
      <c r="F39" s="170"/>
      <c r="G39" s="312">
        <f t="shared" ref="G39:G40" si="2">B39</f>
        <v>2.4</v>
      </c>
    </row>
    <row r="40" spans="1:9" x14ac:dyDescent="0.2">
      <c r="A40" s="157"/>
      <c r="B40" s="299">
        <f>SUPUESTOS!H22</f>
        <v>5</v>
      </c>
      <c r="C40" s="170"/>
      <c r="D40" s="170"/>
      <c r="E40" s="170"/>
      <c r="F40" s="170"/>
      <c r="G40" s="313">
        <f t="shared" si="2"/>
        <v>5</v>
      </c>
    </row>
    <row r="41" spans="1:9" ht="16" thickBot="1" x14ac:dyDescent="0.25">
      <c r="A41" s="172"/>
      <c r="B41" s="173"/>
      <c r="C41" s="173"/>
      <c r="D41" s="173"/>
      <c r="E41" s="173"/>
      <c r="F41" s="173"/>
      <c r="G41" s="174"/>
    </row>
  </sheetData>
  <mergeCells count="5">
    <mergeCell ref="D5:G5"/>
    <mergeCell ref="D6:G6"/>
    <mergeCell ref="D7:E7"/>
    <mergeCell ref="A35:G35"/>
    <mergeCell ref="D19:E19"/>
  </mergeCells>
  <pageMargins left="0.7" right="0.7" top="0.75" bottom="0.75" header="0.3" footer="0.3"/>
  <pageSetup orientation="portrait" r:id="rId1"/>
  <ignoredErrors>
    <ignoredError sqref="G22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38A1-1D08-E040-A5CE-F6FADB86B2F8}">
  <dimension ref="A1:M56"/>
  <sheetViews>
    <sheetView topLeftCell="A12" zoomScale="150" zoomScaleNormal="150" workbookViewId="0">
      <selection activeCell="E25" sqref="E25"/>
    </sheetView>
  </sheetViews>
  <sheetFormatPr baseColWidth="10" defaultColWidth="8.83203125" defaultRowHeight="15" x14ac:dyDescent="0.2"/>
  <cols>
    <col min="1" max="1" width="41" customWidth="1"/>
    <col min="2" max="2" width="11.5" bestFit="1" customWidth="1"/>
    <col min="3" max="3" width="14.6640625" customWidth="1"/>
    <col min="4" max="4" width="6" customWidth="1"/>
    <col min="5" max="5" width="9.6640625" bestFit="1" customWidth="1"/>
    <col min="6" max="6" width="11.33203125" customWidth="1"/>
    <col min="7" max="7" width="9.1640625" bestFit="1" customWidth="1"/>
    <col min="8" max="8" width="11.33203125" customWidth="1"/>
    <col min="9" max="9" width="9.1640625" customWidth="1"/>
    <col min="11" max="11" width="11.1640625" bestFit="1" customWidth="1"/>
    <col min="12" max="12" width="10.1640625" bestFit="1" customWidth="1"/>
  </cols>
  <sheetData>
    <row r="1" spans="1:9" x14ac:dyDescent="0.2">
      <c r="A1" s="3" t="s">
        <v>173</v>
      </c>
      <c r="B1" s="3"/>
      <c r="C1" s="3"/>
      <c r="D1" s="3"/>
      <c r="E1" s="3"/>
      <c r="F1" s="3"/>
      <c r="G1" s="3"/>
    </row>
    <row r="2" spans="1:9" x14ac:dyDescent="0.2">
      <c r="A2" s="10"/>
    </row>
    <row r="3" spans="1:9" x14ac:dyDescent="0.2">
      <c r="A3" s="8"/>
      <c r="B3" s="8"/>
      <c r="C3" s="8"/>
      <c r="D3" s="8"/>
      <c r="E3" s="8"/>
      <c r="F3" s="8"/>
    </row>
    <row r="4" spans="1:9" x14ac:dyDescent="0.2">
      <c r="B4" s="4">
        <v>2024</v>
      </c>
      <c r="C4" s="328" t="s">
        <v>162</v>
      </c>
      <c r="D4" s="328"/>
      <c r="E4" s="328"/>
      <c r="F4" s="328"/>
    </row>
    <row r="5" spans="1:9" x14ac:dyDescent="0.2">
      <c r="B5" s="4"/>
      <c r="C5" s="328" t="s">
        <v>27</v>
      </c>
      <c r="D5" s="328"/>
      <c r="E5" s="328"/>
      <c r="F5" s="328"/>
    </row>
    <row r="6" spans="1:9" x14ac:dyDescent="0.2">
      <c r="A6" s="5"/>
      <c r="B6" s="6"/>
      <c r="C6" s="329" t="s">
        <v>13</v>
      </c>
      <c r="D6" s="329"/>
      <c r="E6" s="7" t="s">
        <v>14</v>
      </c>
      <c r="F6" s="4" t="s">
        <v>238</v>
      </c>
      <c r="G6" s="6" t="s">
        <v>15</v>
      </c>
      <c r="H6" s="4"/>
    </row>
    <row r="7" spans="1:9" x14ac:dyDescent="0.2">
      <c r="B7" s="4"/>
      <c r="C7" s="4"/>
      <c r="D7" s="4"/>
      <c r="E7" s="16"/>
      <c r="G7" s="4"/>
    </row>
    <row r="8" spans="1:9" x14ac:dyDescent="0.2">
      <c r="A8" s="344" t="s">
        <v>94</v>
      </c>
      <c r="B8" s="344"/>
      <c r="C8" s="344"/>
      <c r="D8" s="344"/>
      <c r="E8" s="344"/>
      <c r="F8" s="344"/>
    </row>
    <row r="9" spans="1:9" x14ac:dyDescent="0.2">
      <c r="B9" s="26"/>
    </row>
    <row r="10" spans="1:9" x14ac:dyDescent="0.2">
      <c r="A10" s="3" t="s">
        <v>9</v>
      </c>
      <c r="B10" s="69">
        <f>B11+B19+B20</f>
        <v>170200</v>
      </c>
      <c r="F10" s="69">
        <f>F11+F19+F20</f>
        <v>7500</v>
      </c>
      <c r="G10" s="69">
        <f>G11+G19+G20</f>
        <v>189049.57614999998</v>
      </c>
      <c r="H10" s="225"/>
      <c r="I10" s="33"/>
    </row>
    <row r="11" spans="1:9" x14ac:dyDescent="0.2">
      <c r="A11" s="1" t="s">
        <v>1</v>
      </c>
      <c r="B11" s="132">
        <f>B12+B15</f>
        <v>134000</v>
      </c>
      <c r="C11" s="198"/>
      <c r="D11" s="199"/>
      <c r="E11" s="23"/>
      <c r="F11" s="132">
        <f>F12+F15</f>
        <v>7500</v>
      </c>
      <c r="G11" s="132">
        <f>G12+G15</f>
        <v>150875.49414999998</v>
      </c>
      <c r="H11" s="226"/>
      <c r="I11" s="33"/>
    </row>
    <row r="12" spans="1:9" x14ac:dyDescent="0.2">
      <c r="A12" s="2" t="s">
        <v>157</v>
      </c>
      <c r="B12" s="132">
        <f>B13+B14</f>
        <v>53600</v>
      </c>
      <c r="C12" s="198"/>
      <c r="D12" s="199"/>
      <c r="E12" s="23"/>
      <c r="F12" s="132">
        <f>F13+F14</f>
        <v>4000</v>
      </c>
      <c r="G12" s="132">
        <f>G13+G14</f>
        <v>62036.19049999999</v>
      </c>
      <c r="H12" s="226"/>
      <c r="I12" s="33"/>
    </row>
    <row r="13" spans="1:9" x14ac:dyDescent="0.2">
      <c r="A13" s="145" t="s">
        <v>155</v>
      </c>
      <c r="B13" s="146">
        <v>50000</v>
      </c>
      <c r="C13" s="197"/>
      <c r="D13" s="219">
        <f>SUPUESTOS!$H$15</f>
        <v>1.3</v>
      </c>
      <c r="E13" s="218">
        <f>D13*F$56</f>
        <v>8.4067749999999844E-2</v>
      </c>
      <c r="F13" s="26">
        <v>3500</v>
      </c>
      <c r="G13" s="92">
        <f>B13*(1+E13)+F13</f>
        <v>57703.38749999999</v>
      </c>
      <c r="H13" s="130"/>
    </row>
    <row r="14" spans="1:9" x14ac:dyDescent="0.2">
      <c r="A14" s="145" t="s">
        <v>156</v>
      </c>
      <c r="B14" s="146">
        <v>3600</v>
      </c>
      <c r="C14" s="197"/>
      <c r="D14" s="219">
        <f>SUPUESTOS!$H$16</f>
        <v>1</v>
      </c>
      <c r="E14" s="218">
        <f>D14*F$56</f>
        <v>6.4667499999999878E-2</v>
      </c>
      <c r="F14" s="26">
        <v>500</v>
      </c>
      <c r="G14" s="92">
        <f>B14*(1+E14)+F14</f>
        <v>4332.8029999999999</v>
      </c>
      <c r="H14" s="130"/>
    </row>
    <row r="15" spans="1:9" x14ac:dyDescent="0.2">
      <c r="A15" s="2" t="s">
        <v>158</v>
      </c>
      <c r="B15" s="132">
        <f>B16+B17+B18</f>
        <v>80400</v>
      </c>
      <c r="C15" s="198"/>
      <c r="D15" s="139"/>
      <c r="E15" s="23"/>
      <c r="F15" s="132">
        <f>F16+F17+F18</f>
        <v>3500</v>
      </c>
      <c r="G15" s="132">
        <f>G16+G17+G18</f>
        <v>88839.303650000002</v>
      </c>
      <c r="H15" s="130"/>
    </row>
    <row r="16" spans="1:9" x14ac:dyDescent="0.2">
      <c r="A16" s="145" t="s">
        <v>159</v>
      </c>
      <c r="B16" s="146">
        <v>77000</v>
      </c>
      <c r="C16" s="197"/>
      <c r="D16" s="219">
        <f>SUPUESTOS!$H$17</f>
        <v>0.95</v>
      </c>
      <c r="E16" s="218">
        <f>D16*F$56</f>
        <v>6.1434124999999881E-2</v>
      </c>
      <c r="F16" s="26">
        <v>2500</v>
      </c>
      <c r="G16" s="92">
        <f>B16*(1+E16)+F16</f>
        <v>84230.427624999997</v>
      </c>
      <c r="H16" s="130"/>
    </row>
    <row r="17" spans="1:13" x14ac:dyDescent="0.2">
      <c r="A17" s="145" t="s">
        <v>160</v>
      </c>
      <c r="B17" s="146">
        <v>3400</v>
      </c>
      <c r="C17" s="197"/>
      <c r="D17" s="219">
        <f>SUPUESTOS!$H$17</f>
        <v>0.95</v>
      </c>
      <c r="E17" s="218">
        <f>D17*F$56</f>
        <v>6.1434124999999881E-2</v>
      </c>
      <c r="F17" s="26">
        <v>1000</v>
      </c>
      <c r="G17" s="92">
        <f>B17*(1+E17)+F17</f>
        <v>4608.8760249999996</v>
      </c>
      <c r="H17" s="130"/>
    </row>
    <row r="18" spans="1:13" x14ac:dyDescent="0.2">
      <c r="A18" s="145" t="s">
        <v>161</v>
      </c>
      <c r="B18" s="75">
        <v>0</v>
      </c>
      <c r="C18" s="197"/>
      <c r="D18" s="219">
        <f>SUPUESTOS!$H$17</f>
        <v>0.95</v>
      </c>
      <c r="E18" s="218">
        <f>D18*F$56</f>
        <v>6.1434124999999881E-2</v>
      </c>
      <c r="F18" s="26"/>
      <c r="G18" s="92">
        <f>B18*(1+E18)</f>
        <v>0</v>
      </c>
      <c r="H18" s="130"/>
    </row>
    <row r="19" spans="1:13" x14ac:dyDescent="0.2">
      <c r="A19" s="1" t="s">
        <v>2</v>
      </c>
      <c r="B19" s="75">
        <v>35000</v>
      </c>
      <c r="C19" s="197"/>
      <c r="D19" s="219">
        <f>SUPUESTOS!$H$18</f>
        <v>0.8</v>
      </c>
      <c r="E19" s="218">
        <f>D19*F$56</f>
        <v>5.1733999999999905E-2</v>
      </c>
      <c r="F19" s="26"/>
      <c r="G19" s="92">
        <f>B19*(1+E19)</f>
        <v>36810.689999999995</v>
      </c>
    </row>
    <row r="20" spans="1:13" x14ac:dyDescent="0.2">
      <c r="A20" s="1" t="s">
        <v>7</v>
      </c>
      <c r="B20" s="47">
        <v>1200</v>
      </c>
      <c r="C20" s="345" t="s">
        <v>203</v>
      </c>
      <c r="D20" s="345"/>
      <c r="E20" s="201"/>
      <c r="F20" s="26"/>
      <c r="G20" s="92">
        <f>B20/B51*F51</f>
        <v>1363.3920000000001</v>
      </c>
      <c r="H20" s="117"/>
    </row>
    <row r="21" spans="1:13" x14ac:dyDescent="0.2">
      <c r="A21" s="3" t="s">
        <v>10</v>
      </c>
      <c r="B21" s="69">
        <f>B22+B28</f>
        <v>195400</v>
      </c>
      <c r="C21" s="11"/>
      <c r="D21" s="57"/>
      <c r="F21" s="32">
        <f>F22+F28</f>
        <v>-9500</v>
      </c>
      <c r="G21" s="70">
        <f>G22+G28</f>
        <v>200254.12007050001</v>
      </c>
      <c r="H21" s="35"/>
    </row>
    <row r="22" spans="1:13" x14ac:dyDescent="0.2">
      <c r="A22" s="1" t="s">
        <v>3</v>
      </c>
      <c r="B22" s="69">
        <f>B23+B24+B26+B27</f>
        <v>120000</v>
      </c>
      <c r="C22" s="11"/>
      <c r="D22" s="57"/>
      <c r="F22" s="69">
        <f>F23+F24+F26+F27</f>
        <v>-4500</v>
      </c>
      <c r="G22" s="69">
        <f>G23+G24+G26+G27</f>
        <v>124490.5976205</v>
      </c>
      <c r="H22" s="117"/>
    </row>
    <row r="23" spans="1:13" x14ac:dyDescent="0.2">
      <c r="A23" s="2" t="s">
        <v>4</v>
      </c>
      <c r="B23" s="75">
        <v>45000</v>
      </c>
      <c r="C23" s="202" t="s">
        <v>204</v>
      </c>
      <c r="D23" s="203"/>
      <c r="E23" s="220">
        <v>4.4999999999999998E-2</v>
      </c>
      <c r="F23" s="26">
        <v>-2000</v>
      </c>
      <c r="G23" s="92">
        <f>B23*(1+E23)+F23</f>
        <v>45025</v>
      </c>
      <c r="H23" s="117"/>
      <c r="K23" s="113"/>
    </row>
    <row r="24" spans="1:13" x14ac:dyDescent="0.2">
      <c r="A24" s="2" t="s">
        <v>5</v>
      </c>
      <c r="B24" s="75">
        <v>40000</v>
      </c>
      <c r="C24" s="197"/>
      <c r="D24" s="219">
        <f>SUPUESTOS!$H$19</f>
        <v>1</v>
      </c>
      <c r="E24" s="218">
        <f>D24*F$56</f>
        <v>6.4667499999999878E-2</v>
      </c>
      <c r="F24" s="26">
        <v>-2500</v>
      </c>
      <c r="G24" s="92">
        <f>B24*(1+E24)+F24</f>
        <v>40086.699999999997</v>
      </c>
      <c r="H24" s="117"/>
      <c r="K24" s="113"/>
    </row>
    <row r="25" spans="1:13" x14ac:dyDescent="0.2">
      <c r="A25" s="60" t="s">
        <v>205</v>
      </c>
      <c r="B25" s="142">
        <f>B23+B24</f>
        <v>85000</v>
      </c>
      <c r="C25" s="204" t="s">
        <v>206</v>
      </c>
      <c r="D25" s="128"/>
      <c r="E25" s="365">
        <f>(G25/B25-1)</f>
        <v>1.314117647058799E-3</v>
      </c>
      <c r="F25" s="26"/>
      <c r="G25" s="210">
        <f>G23+G24</f>
        <v>85111.7</v>
      </c>
      <c r="H25" s="117"/>
    </row>
    <row r="26" spans="1:13" ht="16" thickBot="1" x14ac:dyDescent="0.25">
      <c r="A26" s="2" t="s">
        <v>93</v>
      </c>
      <c r="B26" s="75">
        <v>25000</v>
      </c>
      <c r="C26" s="200" t="s">
        <v>203</v>
      </c>
      <c r="D26" s="200"/>
      <c r="E26" s="78"/>
      <c r="F26" s="26"/>
      <c r="G26" s="92">
        <f>B26*(1+E26)+F26</f>
        <v>25000</v>
      </c>
      <c r="H26" s="117"/>
    </row>
    <row r="27" spans="1:13" x14ac:dyDescent="0.2">
      <c r="A27" s="2" t="s">
        <v>6</v>
      </c>
      <c r="B27" s="26">
        <v>10000</v>
      </c>
      <c r="F27" s="26"/>
      <c r="G27" s="79">
        <f>L30</f>
        <v>14378.897620500002</v>
      </c>
      <c r="H27" s="117"/>
      <c r="I27" s="341" t="s">
        <v>217</v>
      </c>
      <c r="J27" s="342"/>
      <c r="K27" s="342"/>
      <c r="L27" s="343"/>
    </row>
    <row r="28" spans="1:13" x14ac:dyDescent="0.2">
      <c r="A28" s="1" t="s">
        <v>7</v>
      </c>
      <c r="B28" s="75">
        <v>75400</v>
      </c>
      <c r="C28" s="193"/>
      <c r="D28" s="195">
        <f>SUPUESTOS!$H$20</f>
        <v>1.1000000000000001</v>
      </c>
      <c r="E28" s="218">
        <f>D28*F$56</f>
        <v>7.1134249999999871E-2</v>
      </c>
      <c r="F28" s="26">
        <v>-5000</v>
      </c>
      <c r="G28" s="92">
        <f>B28*(1+E28)+F28</f>
        <v>75763.522449999989</v>
      </c>
      <c r="H28" s="216"/>
      <c r="I28" s="237" t="s">
        <v>218</v>
      </c>
      <c r="J28" s="238" t="s">
        <v>219</v>
      </c>
      <c r="K28" s="239" t="s">
        <v>220</v>
      </c>
      <c r="L28" s="240" t="s">
        <v>221</v>
      </c>
      <c r="M28" s="217"/>
    </row>
    <row r="29" spans="1:13" x14ac:dyDescent="0.2">
      <c r="A29" s="3" t="s">
        <v>11</v>
      </c>
      <c r="B29" s="72">
        <f>B10-B21+B27</f>
        <v>-15200</v>
      </c>
      <c r="F29" s="72">
        <f>F10-F21+F27</f>
        <v>17000</v>
      </c>
      <c r="G29" s="72">
        <f>G10-G21+G27</f>
        <v>3174.3536999999724</v>
      </c>
      <c r="H29" s="117"/>
      <c r="I29" s="241">
        <v>0</v>
      </c>
      <c r="J29" s="170"/>
      <c r="K29" s="170"/>
      <c r="L29" s="242">
        <f>F52*B39</f>
        <v>14000.000000000002</v>
      </c>
    </row>
    <row r="30" spans="1:13" x14ac:dyDescent="0.2">
      <c r="A30" s="149" t="s">
        <v>8</v>
      </c>
      <c r="B30" s="211">
        <f>B10-B21</f>
        <v>-25200</v>
      </c>
      <c r="C30" s="5"/>
      <c r="D30" s="5"/>
      <c r="E30" s="5"/>
      <c r="F30" s="211">
        <f>F29</f>
        <v>17000</v>
      </c>
      <c r="G30" s="211">
        <f>G10-G21</f>
        <v>-11204.543920500029</v>
      </c>
      <c r="H30" s="117"/>
      <c r="I30" s="241">
        <v>1</v>
      </c>
      <c r="J30" s="243">
        <f>B39+((G23+G24+G26+G28)-G10)+L29</f>
        <v>210825.64630000002</v>
      </c>
      <c r="K30" s="243">
        <f>(B39+J30)/2</f>
        <v>205412.82315000001</v>
      </c>
      <c r="L30" s="159">
        <f>F52*K30</f>
        <v>14378.897620500002</v>
      </c>
    </row>
    <row r="31" spans="1:13" x14ac:dyDescent="0.2">
      <c r="A31" s="3" t="s">
        <v>12</v>
      </c>
      <c r="B31" s="35">
        <f>SUM(B32:B33)</f>
        <v>25200</v>
      </c>
      <c r="G31" s="73">
        <f>-G30</f>
        <v>11204.543920500029</v>
      </c>
      <c r="H31" s="117"/>
      <c r="I31" s="241">
        <v>2</v>
      </c>
      <c r="J31" s="244">
        <f>B39+((G23+G24+G26+G28)-G10)+L30</f>
        <v>211204.54392050003</v>
      </c>
      <c r="K31" s="170"/>
      <c r="L31" s="158"/>
    </row>
    <row r="32" spans="1:13" ht="16" thickBot="1" x14ac:dyDescent="0.25">
      <c r="A32" s="1" t="s">
        <v>17</v>
      </c>
      <c r="B32" s="143">
        <v>10900</v>
      </c>
      <c r="G32" s="228">
        <f>SUPUESTOS!N19</f>
        <v>6000</v>
      </c>
      <c r="I32" s="172"/>
      <c r="J32" s="173"/>
      <c r="K32" s="173"/>
      <c r="L32" s="174"/>
    </row>
    <row r="33" spans="1:11" x14ac:dyDescent="0.2">
      <c r="A33" s="1" t="s">
        <v>18</v>
      </c>
      <c r="B33" s="26">
        <v>14300</v>
      </c>
      <c r="G33" s="228">
        <f>SUPUESTOS!N18</f>
        <v>5000</v>
      </c>
    </row>
    <row r="34" spans="1:11" x14ac:dyDescent="0.2">
      <c r="A34" s="223" t="s">
        <v>211</v>
      </c>
      <c r="B34" s="222">
        <f>-(B31+B30)</f>
        <v>0</v>
      </c>
      <c r="G34" s="229">
        <f>G31-SUM(G32:G33)</f>
        <v>204.54392050002934</v>
      </c>
      <c r="H34" s="139"/>
      <c r="I34" s="127"/>
      <c r="K34" s="113"/>
    </row>
    <row r="35" spans="1:11" x14ac:dyDescent="0.2">
      <c r="A35" s="223" t="s">
        <v>212</v>
      </c>
      <c r="B35" s="224">
        <f>B34/B51</f>
        <v>0</v>
      </c>
      <c r="G35" s="268">
        <f>G34/F51</f>
        <v>2.6011858867304092E-4</v>
      </c>
      <c r="H35" s="139"/>
      <c r="I35" s="127"/>
      <c r="K35" s="113"/>
    </row>
    <row r="36" spans="1:11" x14ac:dyDescent="0.2">
      <c r="A36" s="212" t="s">
        <v>20</v>
      </c>
      <c r="B36" s="205"/>
      <c r="F36" s="225"/>
      <c r="G36" s="112"/>
      <c r="K36" s="26"/>
    </row>
    <row r="37" spans="1:11" x14ac:dyDescent="0.2">
      <c r="A37" s="213" t="s">
        <v>210</v>
      </c>
      <c r="B37" s="215">
        <f>B29/B51</f>
        <v>-2.1961798188678706E-2</v>
      </c>
      <c r="F37" s="225"/>
      <c r="G37" s="112"/>
      <c r="K37" s="26"/>
    </row>
    <row r="38" spans="1:11" x14ac:dyDescent="0.2">
      <c r="A38" s="213" t="s">
        <v>213</v>
      </c>
      <c r="B38" s="215">
        <f>B30/B51</f>
        <v>-3.6410349628598904E-2</v>
      </c>
      <c r="F38" s="225"/>
      <c r="G38" s="112"/>
      <c r="K38" s="26"/>
    </row>
    <row r="39" spans="1:11" x14ac:dyDescent="0.2">
      <c r="A39" s="213" t="s">
        <v>92</v>
      </c>
      <c r="B39" s="214">
        <v>200000</v>
      </c>
      <c r="F39" s="225"/>
      <c r="G39" s="112"/>
      <c r="K39" s="26"/>
    </row>
    <row r="40" spans="1:11" x14ac:dyDescent="0.2">
      <c r="A40" s="231" t="s">
        <v>21</v>
      </c>
      <c r="B40" s="232">
        <f>B39/B51</f>
        <v>0.28897102879840403</v>
      </c>
      <c r="C40" s="5"/>
      <c r="D40" s="5"/>
      <c r="E40" s="5"/>
      <c r="F40" s="233"/>
      <c r="G40" s="112"/>
      <c r="K40" s="26"/>
    </row>
    <row r="41" spans="1:11" s="10" customFormat="1" x14ac:dyDescent="0.2">
      <c r="B41" s="206"/>
      <c r="F41" s="230"/>
      <c r="G41" s="207"/>
      <c r="K41" s="208"/>
    </row>
    <row r="42" spans="1:11" x14ac:dyDescent="0.2">
      <c r="A42" s="344"/>
      <c r="B42" s="344"/>
      <c r="C42" s="344"/>
      <c r="D42" s="344"/>
      <c r="E42" s="344"/>
      <c r="F42" s="344"/>
    </row>
    <row r="43" spans="1:11" x14ac:dyDescent="0.2">
      <c r="A43" s="347" t="s">
        <v>237</v>
      </c>
      <c r="B43" s="347"/>
      <c r="C43" s="347"/>
      <c r="D43" s="347"/>
      <c r="E43" s="347"/>
      <c r="F43" s="347"/>
    </row>
    <row r="44" spans="1:11" x14ac:dyDescent="0.2">
      <c r="A44" s="157"/>
      <c r="B44" s="360">
        <f>SUPUESTOS!H13</f>
        <v>1.1000000000000001</v>
      </c>
      <c r="C44" s="170"/>
      <c r="D44" s="355"/>
      <c r="E44" s="355"/>
      <c r="F44" s="355"/>
    </row>
    <row r="45" spans="1:11" x14ac:dyDescent="0.2">
      <c r="A45" s="157"/>
      <c r="B45" s="360">
        <f>SUPUESTOS!H14</f>
        <v>-0.5</v>
      </c>
      <c r="C45" s="170" t="s">
        <v>163</v>
      </c>
      <c r="D45" s="355"/>
      <c r="E45" s="355"/>
      <c r="F45" s="355"/>
    </row>
    <row r="46" spans="1:11" x14ac:dyDescent="0.2">
      <c r="A46" s="357" t="s">
        <v>233</v>
      </c>
      <c r="B46" s="357">
        <v>1.7</v>
      </c>
      <c r="C46" s="355"/>
      <c r="D46" s="355"/>
      <c r="E46" s="355"/>
      <c r="F46" s="355"/>
    </row>
    <row r="47" spans="1:11" x14ac:dyDescent="0.2">
      <c r="A47" s="359" t="s">
        <v>234</v>
      </c>
      <c r="B47" s="361">
        <v>-0.8</v>
      </c>
      <c r="C47" s="355"/>
      <c r="D47" s="359" t="s">
        <v>239</v>
      </c>
      <c r="E47" s="364">
        <f>B47/100*F51</f>
        <v>-6290.7897984063929</v>
      </c>
      <c r="F47" s="355"/>
    </row>
    <row r="48" spans="1:11" x14ac:dyDescent="0.2">
      <c r="A48" s="359" t="s">
        <v>235</v>
      </c>
      <c r="B48" s="361">
        <v>0.9</v>
      </c>
      <c r="C48" s="355"/>
      <c r="D48" s="359" t="s">
        <v>240</v>
      </c>
      <c r="E48" s="364">
        <f>B48*F51/100</f>
        <v>7077.1385232071925</v>
      </c>
      <c r="F48" s="355"/>
    </row>
    <row r="49" spans="1:9" x14ac:dyDescent="0.2">
      <c r="A49" s="359" t="s">
        <v>236</v>
      </c>
      <c r="B49" s="362">
        <f>(B44*B47+B45*B48)/100</f>
        <v>-1.3300000000000001E-2</v>
      </c>
      <c r="C49" s="355"/>
      <c r="D49" s="355"/>
      <c r="E49" s="355"/>
      <c r="F49" s="355"/>
    </row>
    <row r="50" spans="1:9" s="356" customFormat="1" x14ac:dyDescent="0.2">
      <c r="A50" s="358"/>
      <c r="B50" s="355"/>
      <c r="C50" s="355"/>
      <c r="D50" s="355"/>
      <c r="E50" s="355"/>
      <c r="F50" s="355"/>
    </row>
    <row r="51" spans="1:9" x14ac:dyDescent="0.2">
      <c r="A51" s="348"/>
      <c r="B51" s="234">
        <f>'SECTOR REAL'!B54</f>
        <v>692110.90409871773</v>
      </c>
      <c r="C51" s="349"/>
      <c r="D51" s="349"/>
      <c r="E51" s="349"/>
      <c r="F51" s="234">
        <f>'SECTOR REAL'!G54</f>
        <v>786348.72480079916</v>
      </c>
    </row>
    <row r="52" spans="1:9" x14ac:dyDescent="0.2">
      <c r="A52" s="349"/>
      <c r="B52" s="192">
        <v>0.05</v>
      </c>
      <c r="C52" s="349"/>
      <c r="D52" s="349"/>
      <c r="E52" s="349"/>
      <c r="F52" s="350">
        <f>SUPUESTOS!O15</f>
        <v>7.0000000000000007E-2</v>
      </c>
    </row>
    <row r="53" spans="1:9" x14ac:dyDescent="0.2">
      <c r="A53" s="349"/>
      <c r="B53" s="351"/>
      <c r="C53" s="349"/>
      <c r="D53" s="349"/>
      <c r="E53" s="349"/>
      <c r="F53" s="258">
        <f>SUPUESTOS!O5</f>
        <v>3.8699999999999998E-2</v>
      </c>
    </row>
    <row r="54" spans="1:9" x14ac:dyDescent="0.2">
      <c r="A54" s="352"/>
      <c r="B54" s="351"/>
      <c r="C54" s="349"/>
      <c r="D54" s="349"/>
      <c r="E54" s="349"/>
      <c r="F54" s="350">
        <f>SUPUESTOS!O6</f>
        <v>0.03</v>
      </c>
    </row>
    <row r="55" spans="1:9" x14ac:dyDescent="0.2">
      <c r="A55" s="349"/>
      <c r="B55" s="351"/>
      <c r="C55" s="349"/>
      <c r="D55" s="353"/>
      <c r="E55" s="349"/>
      <c r="F55" s="350">
        <f>SUPUESTOS!O7</f>
        <v>2.5000000000000001E-2</v>
      </c>
      <c r="H55" s="221"/>
      <c r="I55" s="26"/>
    </row>
    <row r="56" spans="1:9" x14ac:dyDescent="0.2">
      <c r="A56" s="349"/>
      <c r="B56" s="354"/>
      <c r="C56" s="349"/>
      <c r="D56" s="349"/>
      <c r="E56" s="349"/>
      <c r="F56" s="350">
        <f>SUPUESTOS!O8</f>
        <v>6.4667499999999878E-2</v>
      </c>
    </row>
  </sheetData>
  <mergeCells count="8">
    <mergeCell ref="I27:L27"/>
    <mergeCell ref="A43:F43"/>
    <mergeCell ref="C4:F4"/>
    <mergeCell ref="C5:F5"/>
    <mergeCell ref="C6:D6"/>
    <mergeCell ref="A8:F8"/>
    <mergeCell ref="A42:F42"/>
    <mergeCell ref="C20:D20"/>
  </mergeCells>
  <pageMargins left="0.7" right="0.7" top="0.75" bottom="0.75" header="0.3" footer="0.3"/>
  <pageSetup orientation="portrait" r:id="rId1"/>
  <ignoredErrors>
    <ignoredError sqref="G15 G27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4F3-3777-4439-A184-370DC5687B7A}">
  <dimension ref="A1:S41"/>
  <sheetViews>
    <sheetView topLeftCell="A24" zoomScale="150" zoomScaleNormal="150" workbookViewId="0">
      <selection activeCell="F7" sqref="F7"/>
    </sheetView>
  </sheetViews>
  <sheetFormatPr baseColWidth="10" defaultColWidth="8.83203125" defaultRowHeight="15" x14ac:dyDescent="0.2"/>
  <cols>
    <col min="1" max="1" width="41" customWidth="1"/>
    <col min="2" max="2" width="11.5" bestFit="1" customWidth="1"/>
    <col min="6" max="6" width="10.1640625" bestFit="1" customWidth="1"/>
    <col min="7" max="7" width="11.33203125" customWidth="1"/>
    <col min="8" max="8" width="9.1640625" bestFit="1" customWidth="1"/>
    <col min="9" max="9" width="11.33203125" customWidth="1"/>
    <col min="10" max="10" width="9.1640625" customWidth="1"/>
    <col min="12" max="12" width="10.5" bestFit="1" customWidth="1"/>
  </cols>
  <sheetData>
    <row r="1" spans="1:19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19" x14ac:dyDescent="0.2">
      <c r="A2" s="10"/>
    </row>
    <row r="3" spans="1:19" x14ac:dyDescent="0.2">
      <c r="A3" s="8"/>
      <c r="B3" s="8"/>
      <c r="C3" s="8"/>
      <c r="D3" s="8"/>
      <c r="E3" s="8"/>
      <c r="F3" s="8"/>
      <c r="G3" s="8"/>
    </row>
    <row r="4" spans="1:19" x14ac:dyDescent="0.2">
      <c r="B4" s="4">
        <v>2024</v>
      </c>
      <c r="C4" s="328" t="s">
        <v>162</v>
      </c>
      <c r="D4" s="328"/>
      <c r="E4" s="328"/>
      <c r="F4" s="328"/>
      <c r="G4" s="328"/>
    </row>
    <row r="5" spans="1:19" x14ac:dyDescent="0.2">
      <c r="B5" s="4"/>
      <c r="C5" s="328" t="s">
        <v>27</v>
      </c>
      <c r="D5" s="328"/>
      <c r="E5" s="328"/>
      <c r="F5" s="328"/>
      <c r="G5" s="328"/>
    </row>
    <row r="6" spans="1:19" x14ac:dyDescent="0.2">
      <c r="A6" s="5"/>
      <c r="B6" s="6"/>
      <c r="C6" s="329" t="s">
        <v>13</v>
      </c>
      <c r="D6" s="329"/>
      <c r="E6" s="7" t="s">
        <v>14</v>
      </c>
      <c r="F6" s="7" t="s">
        <v>138</v>
      </c>
      <c r="G6" s="6" t="s">
        <v>15</v>
      </c>
      <c r="H6" s="6"/>
      <c r="I6" s="6"/>
    </row>
    <row r="7" spans="1:19" x14ac:dyDescent="0.2">
      <c r="B7" s="4"/>
      <c r="C7" s="4"/>
      <c r="D7" s="4"/>
      <c r="E7" s="16"/>
      <c r="F7" s="144">
        <f>'SECTOR FISCAL PROGRAMA'!G34</f>
        <v>204.54392050002934</v>
      </c>
      <c r="G7" s="4"/>
    </row>
    <row r="8" spans="1:19" x14ac:dyDescent="0.2">
      <c r="A8" s="344" t="s">
        <v>94</v>
      </c>
      <c r="B8" s="344"/>
      <c r="C8" s="344"/>
      <c r="D8" s="344"/>
      <c r="E8" s="344"/>
      <c r="F8" s="344"/>
      <c r="G8" s="344"/>
    </row>
    <row r="10" spans="1:19" x14ac:dyDescent="0.2">
      <c r="A10" t="s">
        <v>9</v>
      </c>
      <c r="B10" s="69">
        <f>B11+B12+B13</f>
        <v>146200</v>
      </c>
      <c r="G10" s="69">
        <f>G11+G12+G13</f>
        <v>149713.39199999999</v>
      </c>
      <c r="I10" s="35"/>
    </row>
    <row r="11" spans="1:19" x14ac:dyDescent="0.2">
      <c r="A11" s="1" t="s">
        <v>1</v>
      </c>
      <c r="B11" s="75">
        <v>110000</v>
      </c>
      <c r="C11" s="14" t="s">
        <v>16</v>
      </c>
      <c r="D11" s="56">
        <v>0.9</v>
      </c>
      <c r="E11" s="22">
        <f>D11*G38</f>
        <v>0</v>
      </c>
      <c r="F11" s="129">
        <v>3350</v>
      </c>
      <c r="G11" s="92">
        <f>B11*(1+E11/100)+F11</f>
        <v>113350</v>
      </c>
      <c r="H11" s="117"/>
    </row>
    <row r="12" spans="1:19" x14ac:dyDescent="0.2">
      <c r="A12" s="1" t="s">
        <v>2</v>
      </c>
      <c r="B12" s="75">
        <v>35000</v>
      </c>
      <c r="C12" s="14" t="s">
        <v>16</v>
      </c>
      <c r="D12" s="56">
        <v>0.8</v>
      </c>
      <c r="E12" s="22">
        <f>D12*G38</f>
        <v>0</v>
      </c>
      <c r="F12" s="23"/>
      <c r="G12" s="92">
        <f>B12*(1+E12/100)+F12</f>
        <v>35000</v>
      </c>
      <c r="I12" s="117"/>
      <c r="S12" t="s">
        <v>97</v>
      </c>
    </row>
    <row r="13" spans="1:19" x14ac:dyDescent="0.2">
      <c r="A13" s="1" t="s">
        <v>7</v>
      </c>
      <c r="B13" s="47">
        <v>1200</v>
      </c>
      <c r="C13" s="77" t="s">
        <v>95</v>
      </c>
      <c r="D13" s="76"/>
      <c r="E13" s="78" t="s">
        <v>96</v>
      </c>
      <c r="F13" s="118"/>
      <c r="G13" s="120">
        <f>B13/B31*G31</f>
        <v>1363.3920000000001</v>
      </c>
      <c r="I13" s="117"/>
    </row>
    <row r="14" spans="1:19" x14ac:dyDescent="0.2">
      <c r="A14" t="s">
        <v>10</v>
      </c>
      <c r="B14" s="69">
        <f>B15+B21</f>
        <v>155500</v>
      </c>
      <c r="C14" s="11"/>
      <c r="D14" s="57"/>
      <c r="G14" s="70">
        <f>G15+G21</f>
        <v>160880.89870539162</v>
      </c>
      <c r="I14" s="35"/>
      <c r="S14" t="s">
        <v>98</v>
      </c>
    </row>
    <row r="15" spans="1:19" x14ac:dyDescent="0.2">
      <c r="A15" s="1" t="s">
        <v>3</v>
      </c>
      <c r="B15" s="69">
        <f>B16+B17+B19+B20</f>
        <v>120000</v>
      </c>
      <c r="C15" s="11"/>
      <c r="D15" s="57"/>
      <c r="G15" s="69">
        <f>G16+G17+G19+G20</f>
        <v>126680.89870539161</v>
      </c>
      <c r="I15" s="117"/>
      <c r="J15" t="s">
        <v>144</v>
      </c>
      <c r="K15">
        <v>1.25</v>
      </c>
      <c r="L15" t="s">
        <v>152</v>
      </c>
      <c r="M15">
        <f>1.25*(-0.75)-0.8*(0.75)</f>
        <v>-1.5375000000000001</v>
      </c>
      <c r="N15" s="3">
        <f>5.2+M15</f>
        <v>3.6625000000000001</v>
      </c>
      <c r="S15" t="s">
        <v>99</v>
      </c>
    </row>
    <row r="16" spans="1:19" x14ac:dyDescent="0.2">
      <c r="A16" s="2" t="s">
        <v>4</v>
      </c>
      <c r="B16" s="75">
        <v>45000</v>
      </c>
      <c r="C16" s="346" t="s">
        <v>150</v>
      </c>
      <c r="D16" s="346"/>
      <c r="E16" s="22">
        <v>4.5</v>
      </c>
      <c r="F16" s="106">
        <v>-1000</v>
      </c>
      <c r="G16" s="34">
        <f>B16*(1+E16/100)+F16</f>
        <v>46025</v>
      </c>
      <c r="H16" s="117"/>
      <c r="I16" s="117"/>
      <c r="J16" t="s">
        <v>143</v>
      </c>
      <c r="K16">
        <v>-0.8</v>
      </c>
      <c r="L16" s="113"/>
    </row>
    <row r="17" spans="1:14" x14ac:dyDescent="0.2">
      <c r="A17" s="2" t="s">
        <v>5</v>
      </c>
      <c r="B17" s="75">
        <v>40000</v>
      </c>
      <c r="C17" s="14" t="s">
        <v>16</v>
      </c>
      <c r="D17" s="56">
        <v>1</v>
      </c>
      <c r="E17" s="22">
        <f>D17*G38</f>
        <v>0</v>
      </c>
      <c r="F17" s="106">
        <v>-1100</v>
      </c>
      <c r="G17" s="34">
        <f>B17*(1+E17/100)+F17</f>
        <v>38900</v>
      </c>
      <c r="I17" s="117"/>
      <c r="L17" s="113">
        <f>B17*0.05</f>
        <v>2000</v>
      </c>
    </row>
    <row r="18" spans="1:14" x14ac:dyDescent="0.2">
      <c r="A18" s="60" t="s">
        <v>84</v>
      </c>
      <c r="B18" s="71">
        <f>B16+B17</f>
        <v>85000</v>
      </c>
      <c r="C18" s="61"/>
      <c r="D18" s="62"/>
      <c r="E18" s="63">
        <f>(G18/B18-1)*100</f>
        <v>-8.8235294117644525E-2</v>
      </c>
      <c r="F18" s="119"/>
      <c r="G18" s="71">
        <f>G16+G17</f>
        <v>84925</v>
      </c>
      <c r="I18" s="117"/>
    </row>
    <row r="19" spans="1:14" x14ac:dyDescent="0.2">
      <c r="A19" s="2" t="s">
        <v>93</v>
      </c>
      <c r="B19" s="75">
        <v>25000</v>
      </c>
      <c r="C19" s="77" t="s">
        <v>95</v>
      </c>
      <c r="D19" s="76"/>
      <c r="E19" s="78" t="s">
        <v>96</v>
      </c>
      <c r="F19" s="118"/>
      <c r="G19" s="34">
        <f>B19/B31*G31</f>
        <v>28404.000000000004</v>
      </c>
      <c r="I19" s="117"/>
    </row>
    <row r="20" spans="1:14" x14ac:dyDescent="0.2">
      <c r="A20" s="2" t="s">
        <v>6</v>
      </c>
      <c r="B20" s="26">
        <v>10000</v>
      </c>
      <c r="G20" s="79">
        <f>G37*B35/100</f>
        <v>13351.89870539161</v>
      </c>
      <c r="I20" s="117"/>
    </row>
    <row r="21" spans="1:14" x14ac:dyDescent="0.2">
      <c r="A21" s="1" t="s">
        <v>7</v>
      </c>
      <c r="B21" s="75">
        <v>35500</v>
      </c>
      <c r="C21" s="14" t="s">
        <v>16</v>
      </c>
      <c r="D21" s="15">
        <v>1</v>
      </c>
      <c r="E21" s="22">
        <f>D21*G38</f>
        <v>0</v>
      </c>
      <c r="F21" s="106">
        <v>-1300</v>
      </c>
      <c r="G21" s="34">
        <f>B21*(1+E21/100)+F21</f>
        <v>34200</v>
      </c>
      <c r="I21" s="121">
        <f>((G21/B21)-1)*100</f>
        <v>-3.6619718309859106</v>
      </c>
      <c r="J21" s="122" t="s">
        <v>139</v>
      </c>
      <c r="K21" s="123"/>
      <c r="L21" s="123"/>
      <c r="M21" s="123"/>
      <c r="N21" s="123"/>
    </row>
    <row r="22" spans="1:14" x14ac:dyDescent="0.2">
      <c r="A22" t="s">
        <v>11</v>
      </c>
      <c r="B22" s="72">
        <f>B10-B14+B20</f>
        <v>700</v>
      </c>
      <c r="G22" s="72">
        <f>G10-G14+G20</f>
        <v>2184.3919999999816</v>
      </c>
      <c r="I22" s="117"/>
    </row>
    <row r="23" spans="1:14" x14ac:dyDescent="0.2">
      <c r="A23" t="s">
        <v>8</v>
      </c>
      <c r="B23" s="72">
        <f>B10-B14</f>
        <v>-9300</v>
      </c>
      <c r="G23" s="72">
        <f>G10-G14</f>
        <v>-11167.506705391628</v>
      </c>
      <c r="I23" s="117"/>
    </row>
    <row r="24" spans="1:14" x14ac:dyDescent="0.2">
      <c r="A24" t="s">
        <v>12</v>
      </c>
      <c r="B24" s="35">
        <f>SUM(B25:B26)</f>
        <v>9300</v>
      </c>
      <c r="G24" s="73">
        <f>-G23</f>
        <v>11167.506705391628</v>
      </c>
      <c r="I24" s="117"/>
    </row>
    <row r="25" spans="1:14" x14ac:dyDescent="0.2">
      <c r="A25" s="1" t="s">
        <v>17</v>
      </c>
      <c r="B25" s="143">
        <v>-5000</v>
      </c>
      <c r="G25" s="74">
        <v>0</v>
      </c>
    </row>
    <row r="26" spans="1:14" x14ac:dyDescent="0.2">
      <c r="A26" s="1" t="s">
        <v>18</v>
      </c>
      <c r="B26" s="26">
        <v>14300</v>
      </c>
      <c r="G26" s="74">
        <v>2000</v>
      </c>
    </row>
    <row r="27" spans="1:14" x14ac:dyDescent="0.2">
      <c r="A27" s="13" t="s">
        <v>19</v>
      </c>
      <c r="B27" s="80">
        <f>B23+B24</f>
        <v>0</v>
      </c>
      <c r="G27" s="35">
        <f>G24-SUM(G25:G26)</f>
        <v>9167.5067053916282</v>
      </c>
      <c r="H27" s="112" t="s">
        <v>141</v>
      </c>
      <c r="I27" s="139">
        <f>G27/G31*100</f>
        <v>1.1658322085680211</v>
      </c>
      <c r="J27" s="127" t="s">
        <v>142</v>
      </c>
    </row>
    <row r="28" spans="1:14" x14ac:dyDescent="0.2">
      <c r="B28" s="9"/>
      <c r="G28" s="114">
        <f>G26+G27</f>
        <v>11167.506705391628</v>
      </c>
      <c r="H28" s="112" t="s">
        <v>83</v>
      </c>
      <c r="I28" t="s">
        <v>137</v>
      </c>
      <c r="L28" s="26"/>
    </row>
    <row r="29" spans="1:14" x14ac:dyDescent="0.2">
      <c r="A29" s="344"/>
      <c r="B29" s="344"/>
      <c r="C29" s="344"/>
      <c r="D29" s="344"/>
      <c r="E29" s="344"/>
      <c r="F29" s="344"/>
      <c r="G29" s="344"/>
    </row>
    <row r="31" spans="1:14" x14ac:dyDescent="0.2">
      <c r="A31" t="s">
        <v>88</v>
      </c>
      <c r="B31" s="68">
        <f>'SECTOR REAL'!B54</f>
        <v>692110.90409871773</v>
      </c>
      <c r="G31" s="32">
        <f>'SECTOR REAL'!G54</f>
        <v>786348.72480079916</v>
      </c>
    </row>
    <row r="32" spans="1:14" x14ac:dyDescent="0.2">
      <c r="A32" t="s">
        <v>90</v>
      </c>
      <c r="B32" s="124">
        <f>B22/B31*100</f>
        <v>0.10113986007944141</v>
      </c>
      <c r="G32" s="26"/>
    </row>
    <row r="33" spans="1:7" x14ac:dyDescent="0.2">
      <c r="A33" t="s">
        <v>91</v>
      </c>
      <c r="B33" s="19">
        <f>B23/B31*100</f>
        <v>-1.3437152839125788</v>
      </c>
      <c r="G33" s="26"/>
    </row>
    <row r="34" spans="1:7" x14ac:dyDescent="0.2">
      <c r="A34" s="17" t="s">
        <v>20</v>
      </c>
      <c r="B34" s="9"/>
      <c r="G34" s="26"/>
    </row>
    <row r="35" spans="1:7" x14ac:dyDescent="0.2">
      <c r="A35" t="s">
        <v>92</v>
      </c>
      <c r="B35" s="47">
        <v>190741.410077023</v>
      </c>
      <c r="G35" s="34">
        <f>B35+G24</f>
        <v>201908.91678241463</v>
      </c>
    </row>
    <row r="36" spans="1:7" x14ac:dyDescent="0.2">
      <c r="A36" t="s">
        <v>21</v>
      </c>
      <c r="B36" s="20">
        <f>B35/B31*100</f>
        <v>27.559370752207801</v>
      </c>
      <c r="G36" s="9"/>
    </row>
    <row r="37" spans="1:7" x14ac:dyDescent="0.2">
      <c r="A37" t="s">
        <v>22</v>
      </c>
      <c r="B37" s="18">
        <v>5</v>
      </c>
      <c r="G37" s="21">
        <v>7</v>
      </c>
    </row>
    <row r="38" spans="1:7" x14ac:dyDescent="0.2">
      <c r="A38" s="125" t="s">
        <v>23</v>
      </c>
      <c r="B38" s="126">
        <f>'SECTOR REAL'!L5</f>
        <v>0</v>
      </c>
      <c r="G38" s="21">
        <f t="shared" ref="G38:G41" si="0">B38</f>
        <v>0</v>
      </c>
    </row>
    <row r="39" spans="1:7" x14ac:dyDescent="0.2">
      <c r="A39" s="125" t="s">
        <v>24</v>
      </c>
      <c r="B39" s="126">
        <f>'SECTOR REAL'!L7</f>
        <v>0</v>
      </c>
      <c r="G39" s="21">
        <v>4.0999999999999996</v>
      </c>
    </row>
    <row r="40" spans="1:7" x14ac:dyDescent="0.2">
      <c r="A40" s="125" t="s">
        <v>25</v>
      </c>
      <c r="B40" s="126">
        <f>'SECTOR REAL'!L9</f>
        <v>0</v>
      </c>
      <c r="G40" s="21">
        <f t="shared" si="0"/>
        <v>0</v>
      </c>
    </row>
    <row r="41" spans="1:7" x14ac:dyDescent="0.2">
      <c r="A41" s="125" t="s">
        <v>26</v>
      </c>
      <c r="B41" s="126">
        <f>'SECTOR REAL'!L8</f>
        <v>0</v>
      </c>
      <c r="G41" s="21">
        <f t="shared" si="0"/>
        <v>0</v>
      </c>
    </row>
  </sheetData>
  <mergeCells count="6">
    <mergeCell ref="C4:G4"/>
    <mergeCell ref="C5:G5"/>
    <mergeCell ref="C6:D6"/>
    <mergeCell ref="A8:G8"/>
    <mergeCell ref="A29:G29"/>
    <mergeCell ref="C16:D1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CONVENCIONES</vt:lpstr>
      <vt:lpstr>SUPUESTOS</vt:lpstr>
      <vt:lpstr>VERIFICACION CONSISTENCIA</vt:lpstr>
      <vt:lpstr>SECTOR REAL</vt:lpstr>
      <vt:lpstr>SECTOR EXTERNO</vt:lpstr>
      <vt:lpstr>SECTOR MONETARIO</vt:lpstr>
      <vt:lpstr>SECTOR FISCAL PROGRAMA</vt:lpstr>
      <vt:lpstr>REPLACE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Hamann, A. Javier</dc:creator>
  <cp:lastModifiedBy>Javier Hamann</cp:lastModifiedBy>
  <dcterms:created xsi:type="dcterms:W3CDTF">2020-02-26T23:32:15Z</dcterms:created>
  <dcterms:modified xsi:type="dcterms:W3CDTF">2025-03-13T19:54:21Z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20200314204606348</vt:lpwstr>
  </property>
</Properties>
</file>