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ar\Desktop\MPOWER\Maquinas Electricas\trabajo\"/>
    </mc:Choice>
  </mc:AlternateContent>
  <xr:revisionPtr revIDLastSave="0" documentId="13_ncr:1_{4DBFB96B-2B93-4498-988E-81D0CA8139E7}" xr6:coauthVersionLast="47" xr6:coauthVersionMax="47" xr10:uidLastSave="{00000000-0000-0000-0000-000000000000}"/>
  <bookViews>
    <workbookView xWindow="-108" yWindow="-108" windowWidth="23256" windowHeight="12456" activeTab="1" xr2:uid="{1C71D7C5-BAF8-49DC-BB4E-6F0DE6C3C229}"/>
  </bookViews>
  <sheets>
    <sheet name="Datos" sheetId="1" r:id="rId1"/>
    <sheet name="Grafica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4" i="1"/>
  <c r="R5" i="1"/>
  <c r="R6" i="1"/>
  <c r="R7" i="1"/>
  <c r="R8" i="1"/>
  <c r="R9" i="1"/>
  <c r="R10" i="1"/>
  <c r="R11" i="1"/>
  <c r="R12" i="1"/>
  <c r="T12" i="1" s="1"/>
  <c r="V12" i="1" s="1"/>
  <c r="W12" i="1" s="1"/>
  <c r="R13" i="1"/>
  <c r="T13" i="1" s="1"/>
  <c r="V13" i="1" s="1"/>
  <c r="W13" i="1" s="1"/>
  <c r="R14" i="1"/>
  <c r="T14" i="1" s="1"/>
  <c r="V14" i="1" s="1"/>
  <c r="W14" i="1" s="1"/>
  <c r="R15" i="1"/>
  <c r="T15" i="1" s="1"/>
  <c r="V15" i="1" s="1"/>
  <c r="W15" i="1" s="1"/>
  <c r="R16" i="1"/>
  <c r="T16" i="1" s="1"/>
  <c r="V16" i="1" s="1"/>
  <c r="W16" i="1" s="1"/>
  <c r="R17" i="1"/>
  <c r="T17" i="1" s="1"/>
  <c r="V17" i="1" s="1"/>
  <c r="W17" i="1" s="1"/>
  <c r="R18" i="1"/>
  <c r="T18" i="1" s="1"/>
  <c r="V18" i="1" s="1"/>
  <c r="W18" i="1" s="1"/>
  <c r="R19" i="1"/>
  <c r="T19" i="1" s="1"/>
  <c r="V19" i="1" s="1"/>
  <c r="W19" i="1" s="1"/>
  <c r="R20" i="1"/>
  <c r="T20" i="1" s="1"/>
  <c r="V20" i="1" s="1"/>
  <c r="W20" i="1" s="1"/>
  <c r="R21" i="1"/>
  <c r="R22" i="1"/>
  <c r="R23" i="1"/>
  <c r="R24" i="1"/>
  <c r="R25" i="1"/>
  <c r="R26" i="1"/>
  <c r="R27" i="1"/>
  <c r="R28" i="1"/>
  <c r="T28" i="1" s="1"/>
  <c r="V28" i="1" s="1"/>
  <c r="W28" i="1" s="1"/>
  <c r="R29" i="1"/>
  <c r="T29" i="1" s="1"/>
  <c r="V29" i="1" s="1"/>
  <c r="W29" i="1" s="1"/>
  <c r="R30" i="1"/>
  <c r="T30" i="1" s="1"/>
  <c r="V30" i="1" s="1"/>
  <c r="W30" i="1" s="1"/>
  <c r="R31" i="1"/>
  <c r="T31" i="1" s="1"/>
  <c r="V31" i="1" s="1"/>
  <c r="W31" i="1" s="1"/>
  <c r="R32" i="1"/>
  <c r="T32" i="1" s="1"/>
  <c r="V32" i="1" s="1"/>
  <c r="W32" i="1" s="1"/>
  <c r="R33" i="1"/>
  <c r="T33" i="1" s="1"/>
  <c r="V33" i="1" s="1"/>
  <c r="W33" i="1" s="1"/>
  <c r="R34" i="1"/>
  <c r="T34" i="1" s="1"/>
  <c r="V34" i="1" s="1"/>
  <c r="W34" i="1" s="1"/>
  <c r="R35" i="1"/>
  <c r="T35" i="1" s="1"/>
  <c r="V35" i="1" s="1"/>
  <c r="W35" i="1" s="1"/>
  <c r="R36" i="1"/>
  <c r="T36" i="1" s="1"/>
  <c r="V36" i="1" s="1"/>
  <c r="W36" i="1" s="1"/>
  <c r="R37" i="1"/>
  <c r="R38" i="1"/>
  <c r="R39" i="1"/>
  <c r="R40" i="1"/>
  <c r="R41" i="1"/>
  <c r="R42" i="1"/>
  <c r="R43" i="1"/>
  <c r="R44" i="1"/>
  <c r="T44" i="1" s="1"/>
  <c r="V44" i="1" s="1"/>
  <c r="W44" i="1" s="1"/>
  <c r="R45" i="1"/>
  <c r="T45" i="1" s="1"/>
  <c r="V45" i="1" s="1"/>
  <c r="W45" i="1" s="1"/>
  <c r="R46" i="1"/>
  <c r="T46" i="1" s="1"/>
  <c r="V46" i="1" s="1"/>
  <c r="W46" i="1" s="1"/>
  <c r="R47" i="1"/>
  <c r="T47" i="1" s="1"/>
  <c r="V47" i="1" s="1"/>
  <c r="W47" i="1" s="1"/>
  <c r="R48" i="1"/>
  <c r="T48" i="1" s="1"/>
  <c r="V48" i="1" s="1"/>
  <c r="W48" i="1" s="1"/>
  <c r="R49" i="1"/>
  <c r="T49" i="1" s="1"/>
  <c r="V49" i="1" s="1"/>
  <c r="W49" i="1" s="1"/>
  <c r="R50" i="1"/>
  <c r="T50" i="1" s="1"/>
  <c r="V50" i="1" s="1"/>
  <c r="W50" i="1" s="1"/>
  <c r="R51" i="1"/>
  <c r="T51" i="1" s="1"/>
  <c r="V51" i="1" s="1"/>
  <c r="W51" i="1" s="1"/>
  <c r="R52" i="1"/>
  <c r="T52" i="1" s="1"/>
  <c r="V52" i="1" s="1"/>
  <c r="W52" i="1" s="1"/>
  <c r="R53" i="1"/>
  <c r="R54" i="1"/>
  <c r="R4" i="1"/>
  <c r="T4" i="1" s="1"/>
  <c r="V4" i="1" s="1"/>
  <c r="W5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" i="1"/>
  <c r="U6" i="1"/>
  <c r="U4" i="1"/>
  <c r="T5" i="1"/>
  <c r="V5" i="1" s="1"/>
  <c r="W5" i="1" s="1"/>
  <c r="T6" i="1"/>
  <c r="V6" i="1" s="1"/>
  <c r="W6" i="1" s="1"/>
  <c r="T7" i="1"/>
  <c r="V7" i="1" s="1"/>
  <c r="W7" i="1" s="1"/>
  <c r="T8" i="1"/>
  <c r="V8" i="1" s="1"/>
  <c r="W8" i="1" s="1"/>
  <c r="T9" i="1"/>
  <c r="V9" i="1" s="1"/>
  <c r="W9" i="1" s="1"/>
  <c r="T10" i="1"/>
  <c r="V10" i="1" s="1"/>
  <c r="W10" i="1" s="1"/>
  <c r="T11" i="1"/>
  <c r="V11" i="1" s="1"/>
  <c r="W11" i="1" s="1"/>
  <c r="T21" i="1"/>
  <c r="V21" i="1" s="1"/>
  <c r="W21" i="1" s="1"/>
  <c r="T22" i="1"/>
  <c r="V22" i="1" s="1"/>
  <c r="W22" i="1" s="1"/>
  <c r="T23" i="1"/>
  <c r="V23" i="1" s="1"/>
  <c r="W23" i="1" s="1"/>
  <c r="T24" i="1"/>
  <c r="V24" i="1" s="1"/>
  <c r="W24" i="1" s="1"/>
  <c r="T25" i="1"/>
  <c r="V25" i="1" s="1"/>
  <c r="W25" i="1" s="1"/>
  <c r="T26" i="1"/>
  <c r="V26" i="1" s="1"/>
  <c r="W26" i="1" s="1"/>
  <c r="T27" i="1"/>
  <c r="V27" i="1" s="1"/>
  <c r="W27" i="1" s="1"/>
  <c r="T37" i="1"/>
  <c r="V37" i="1" s="1"/>
  <c r="W37" i="1" s="1"/>
  <c r="T38" i="1"/>
  <c r="V38" i="1" s="1"/>
  <c r="W38" i="1" s="1"/>
  <c r="T39" i="1"/>
  <c r="V39" i="1" s="1"/>
  <c r="W39" i="1" s="1"/>
  <c r="T40" i="1"/>
  <c r="V40" i="1" s="1"/>
  <c r="W40" i="1" s="1"/>
  <c r="T41" i="1"/>
  <c r="V41" i="1" s="1"/>
  <c r="W41" i="1" s="1"/>
  <c r="T42" i="1"/>
  <c r="V42" i="1" s="1"/>
  <c r="W42" i="1" s="1"/>
  <c r="T43" i="1"/>
  <c r="V43" i="1" s="1"/>
  <c r="W43" i="1" s="1"/>
  <c r="T53" i="1"/>
  <c r="V53" i="1" s="1"/>
  <c r="W53" i="1" s="1"/>
  <c r="T54" i="1"/>
  <c r="P46" i="1"/>
  <c r="P47" i="1"/>
  <c r="P48" i="1"/>
  <c r="P49" i="1"/>
  <c r="P50" i="1"/>
  <c r="P51" i="1"/>
  <c r="P52" i="1"/>
  <c r="P53" i="1"/>
  <c r="P54" i="1"/>
  <c r="O46" i="1"/>
  <c r="O47" i="1"/>
  <c r="O48" i="1"/>
  <c r="O49" i="1"/>
  <c r="O50" i="1"/>
  <c r="O51" i="1"/>
  <c r="O52" i="1"/>
  <c r="O53" i="1"/>
  <c r="O54" i="1"/>
  <c r="N46" i="1"/>
  <c r="N47" i="1"/>
  <c r="N48" i="1"/>
  <c r="N49" i="1"/>
  <c r="N50" i="1"/>
  <c r="N51" i="1"/>
  <c r="N52" i="1"/>
  <c r="N53" i="1"/>
  <c r="N54" i="1"/>
  <c r="M46" i="1"/>
  <c r="M47" i="1"/>
  <c r="M48" i="1"/>
  <c r="M49" i="1"/>
  <c r="M50" i="1"/>
  <c r="M51" i="1"/>
  <c r="M52" i="1"/>
  <c r="M53" i="1"/>
  <c r="M54" i="1"/>
  <c r="L53" i="1"/>
  <c r="L50" i="1"/>
  <c r="L51" i="1" s="1"/>
  <c r="L52" i="1" s="1"/>
  <c r="L44" i="1"/>
  <c r="L45" i="1"/>
  <c r="L46" i="1"/>
  <c r="L47" i="1" s="1"/>
  <c r="L48" i="1" s="1"/>
  <c r="L49" i="1" s="1"/>
  <c r="L43" i="1"/>
  <c r="L40" i="1"/>
  <c r="L41" i="1"/>
  <c r="L37" i="1"/>
  <c r="L38" i="1" s="1"/>
  <c r="L39" i="1" s="1"/>
  <c r="L32" i="1"/>
  <c r="L33" i="1" s="1"/>
  <c r="L34" i="1" s="1"/>
  <c r="L35" i="1" s="1"/>
  <c r="L36" i="1" s="1"/>
  <c r="L24" i="1"/>
  <c r="L25" i="1" s="1"/>
  <c r="L26" i="1" s="1"/>
  <c r="L27" i="1" s="1"/>
  <c r="L28" i="1" s="1"/>
  <c r="L29" i="1" s="1"/>
  <c r="L30" i="1" s="1"/>
  <c r="L31" i="1" s="1"/>
  <c r="L21" i="1"/>
  <c r="L22" i="1" s="1"/>
  <c r="L23" i="1" s="1"/>
  <c r="L20" i="1"/>
  <c r="L11" i="1"/>
  <c r="L12" i="1" s="1"/>
  <c r="L13" i="1" s="1"/>
  <c r="L14" i="1" s="1"/>
  <c r="L15" i="1" s="1"/>
  <c r="L16" i="1" s="1"/>
  <c r="L17" i="1" s="1"/>
  <c r="L18" i="1" s="1"/>
  <c r="L19" i="1" s="1"/>
  <c r="L6" i="1"/>
  <c r="L7" i="1" s="1"/>
  <c r="L8" i="1" s="1"/>
  <c r="L9" i="1" s="1"/>
  <c r="L10" i="1" s="1"/>
  <c r="L5" i="1"/>
  <c r="P4" i="1"/>
  <c r="O4" i="1"/>
  <c r="N4" i="1"/>
  <c r="F9" i="1"/>
  <c r="F8" i="1"/>
  <c r="F7" i="1"/>
  <c r="F6" i="1"/>
  <c r="F5" i="1"/>
  <c r="F4" i="1"/>
  <c r="M5" i="1"/>
  <c r="N5" i="1" s="1"/>
  <c r="O5" i="1" s="1"/>
  <c r="P5" i="1" s="1"/>
  <c r="M4" i="1"/>
  <c r="F3" i="1"/>
  <c r="W4" i="1" l="1"/>
  <c r="M10" i="1"/>
  <c r="N10" i="1" s="1"/>
  <c r="O10" i="1" s="1"/>
  <c r="P10" i="1" s="1"/>
  <c r="M7" i="1"/>
  <c r="N7" i="1" s="1"/>
  <c r="O7" i="1" s="1"/>
  <c r="P7" i="1" s="1"/>
  <c r="M6" i="1"/>
  <c r="N6" i="1" s="1"/>
  <c r="O6" i="1" s="1"/>
  <c r="P6" i="1" s="1"/>
  <c r="M8" i="1"/>
  <c r="N8" i="1" s="1"/>
  <c r="O8" i="1" s="1"/>
  <c r="P8" i="1" s="1"/>
  <c r="M9" i="1"/>
  <c r="N9" i="1" s="1"/>
  <c r="O9" i="1" s="1"/>
  <c r="P9" i="1" s="1"/>
  <c r="M11" i="1" l="1"/>
  <c r="N11" i="1" s="1"/>
  <c r="O11" i="1" s="1"/>
  <c r="P11" i="1" s="1"/>
  <c r="M12" i="1" l="1"/>
  <c r="N12" i="1" s="1"/>
  <c r="O12" i="1" s="1"/>
  <c r="P12" i="1" s="1"/>
  <c r="M13" i="1" l="1"/>
  <c r="N13" i="1" s="1"/>
  <c r="O13" i="1" s="1"/>
  <c r="P13" i="1" s="1"/>
  <c r="M14" i="1" l="1"/>
  <c r="N14" i="1" s="1"/>
  <c r="O14" i="1" s="1"/>
  <c r="P14" i="1" s="1"/>
  <c r="M15" i="1" l="1"/>
  <c r="N15" i="1" s="1"/>
  <c r="O15" i="1" s="1"/>
  <c r="P15" i="1" s="1"/>
  <c r="M16" i="1" l="1"/>
  <c r="N16" i="1" s="1"/>
  <c r="O16" i="1" s="1"/>
  <c r="P16" i="1" s="1"/>
  <c r="M17" i="1" l="1"/>
  <c r="N17" i="1" s="1"/>
  <c r="O17" i="1" s="1"/>
  <c r="P17" i="1" s="1"/>
  <c r="M18" i="1" l="1"/>
  <c r="N18" i="1" s="1"/>
  <c r="O18" i="1" s="1"/>
  <c r="P18" i="1" s="1"/>
  <c r="M19" i="1" l="1"/>
  <c r="N19" i="1" s="1"/>
  <c r="O19" i="1" s="1"/>
  <c r="P19" i="1" s="1"/>
  <c r="M20" i="1" l="1"/>
  <c r="N20" i="1" s="1"/>
  <c r="O20" i="1" s="1"/>
  <c r="P20" i="1" s="1"/>
  <c r="M21" i="1" l="1"/>
  <c r="N21" i="1" s="1"/>
  <c r="O21" i="1" s="1"/>
  <c r="P21" i="1" s="1"/>
  <c r="M22" i="1" l="1"/>
  <c r="N22" i="1" s="1"/>
  <c r="O22" i="1" s="1"/>
  <c r="P22" i="1" s="1"/>
  <c r="M23" i="1" l="1"/>
  <c r="N23" i="1" s="1"/>
  <c r="O23" i="1" s="1"/>
  <c r="P23" i="1" s="1"/>
  <c r="M24" i="1" l="1"/>
  <c r="N24" i="1" s="1"/>
  <c r="O24" i="1" s="1"/>
  <c r="P24" i="1" s="1"/>
  <c r="M25" i="1" l="1"/>
  <c r="N25" i="1" s="1"/>
  <c r="O25" i="1" s="1"/>
  <c r="P25" i="1" s="1"/>
  <c r="M26" i="1" l="1"/>
  <c r="N26" i="1" s="1"/>
  <c r="O26" i="1" s="1"/>
  <c r="P26" i="1" s="1"/>
  <c r="M27" i="1" l="1"/>
  <c r="N27" i="1" s="1"/>
  <c r="O27" i="1" s="1"/>
  <c r="P27" i="1" s="1"/>
  <c r="M28" i="1" l="1"/>
  <c r="N28" i="1" s="1"/>
  <c r="O28" i="1" s="1"/>
  <c r="P28" i="1" s="1"/>
  <c r="M29" i="1" l="1"/>
  <c r="N29" i="1" s="1"/>
  <c r="O29" i="1" s="1"/>
  <c r="P29" i="1" s="1"/>
  <c r="M30" i="1" l="1"/>
  <c r="N30" i="1" s="1"/>
  <c r="O30" i="1" s="1"/>
  <c r="P30" i="1" s="1"/>
  <c r="M31" i="1" l="1"/>
  <c r="N31" i="1" s="1"/>
  <c r="O31" i="1" s="1"/>
  <c r="P31" i="1" s="1"/>
  <c r="M32" i="1" l="1"/>
  <c r="N32" i="1" s="1"/>
  <c r="O32" i="1" s="1"/>
  <c r="P32" i="1" s="1"/>
  <c r="M33" i="1" l="1"/>
  <c r="N33" i="1" s="1"/>
  <c r="O33" i="1" s="1"/>
  <c r="P33" i="1" s="1"/>
  <c r="M34" i="1" l="1"/>
  <c r="N34" i="1" s="1"/>
  <c r="O34" i="1" s="1"/>
  <c r="P34" i="1" s="1"/>
  <c r="M35" i="1" l="1"/>
  <c r="N35" i="1" s="1"/>
  <c r="O35" i="1" s="1"/>
  <c r="P35" i="1" s="1"/>
  <c r="M36" i="1" l="1"/>
  <c r="N36" i="1" s="1"/>
  <c r="O36" i="1" s="1"/>
  <c r="P36" i="1" s="1"/>
  <c r="M37" i="1" l="1"/>
  <c r="N37" i="1" s="1"/>
  <c r="O37" i="1" s="1"/>
  <c r="P37" i="1" s="1"/>
  <c r="M38" i="1" l="1"/>
  <c r="N38" i="1" s="1"/>
  <c r="O38" i="1" s="1"/>
  <c r="P38" i="1" s="1"/>
  <c r="M39" i="1" l="1"/>
  <c r="N39" i="1" s="1"/>
  <c r="O39" i="1" s="1"/>
  <c r="P39" i="1" s="1"/>
  <c r="M40" i="1" l="1"/>
  <c r="N40" i="1" s="1"/>
  <c r="O40" i="1" s="1"/>
  <c r="P40" i="1" s="1"/>
  <c r="M41" i="1" l="1"/>
  <c r="N41" i="1" s="1"/>
  <c r="O41" i="1" s="1"/>
  <c r="P41" i="1" s="1"/>
  <c r="M42" i="1" l="1"/>
  <c r="N42" i="1" s="1"/>
  <c r="O42" i="1" s="1"/>
  <c r="P42" i="1" s="1"/>
  <c r="M43" i="1" l="1"/>
  <c r="N43" i="1" s="1"/>
  <c r="O43" i="1" s="1"/>
  <c r="P43" i="1" s="1"/>
  <c r="M44" i="1" l="1"/>
  <c r="N44" i="1" s="1"/>
  <c r="O44" i="1" s="1"/>
  <c r="P44" i="1" s="1"/>
  <c r="M45" i="1" l="1"/>
  <c r="N45" i="1" s="1"/>
  <c r="O45" i="1" s="1"/>
  <c r="P45" i="1" s="1"/>
</calcChain>
</file>

<file path=xl/sharedStrings.xml><?xml version="1.0" encoding="utf-8"?>
<sst xmlns="http://schemas.openxmlformats.org/spreadsheetml/2006/main" count="45" uniqueCount="44">
  <si>
    <t>p</t>
  </si>
  <si>
    <t>Vn (V)</t>
  </si>
  <si>
    <t>Pn (W)</t>
  </si>
  <si>
    <t>Pmec (W)</t>
  </si>
  <si>
    <t>Xmu (Ohms)</t>
  </si>
  <si>
    <t>Xrot (Ohms)</t>
  </si>
  <si>
    <t>Rrot (Ohms)</t>
  </si>
  <si>
    <t>Xest (Ohms)</t>
  </si>
  <si>
    <t>Rest (Ohms)</t>
  </si>
  <si>
    <t>Nn (rpm)</t>
  </si>
  <si>
    <t>rend100</t>
  </si>
  <si>
    <t>rend75</t>
  </si>
  <si>
    <t>rend50</t>
  </si>
  <si>
    <t>FPn</t>
  </si>
  <si>
    <t>Is/In</t>
  </si>
  <si>
    <t>Ts/Tn</t>
  </si>
  <si>
    <t>Tm/Tn</t>
  </si>
  <si>
    <t>Tn (Nm)</t>
  </si>
  <si>
    <t>In (A)</t>
  </si>
  <si>
    <t>Parámetros motor</t>
  </si>
  <si>
    <t>n (rpm)</t>
  </si>
  <si>
    <t>s</t>
  </si>
  <si>
    <t>Parámetros calculados</t>
  </si>
  <si>
    <t>omega_est</t>
  </si>
  <si>
    <t>Parámetros generales</t>
  </si>
  <si>
    <t>f (Hz)</t>
  </si>
  <si>
    <t>Tn (exacto) (Nm)</t>
  </si>
  <si>
    <t>FPn (rend100)</t>
  </si>
  <si>
    <t>FPn (rend75)</t>
  </si>
  <si>
    <t>FPn (rend50)</t>
  </si>
  <si>
    <t>Rfe (Ohms)</t>
  </si>
  <si>
    <t>Zeq (estator)</t>
  </si>
  <si>
    <t>Zeq (hierro)</t>
  </si>
  <si>
    <t>Zeq (Ohms)</t>
  </si>
  <si>
    <t>Ifase (A)</t>
  </si>
  <si>
    <t>Ifase (mod) (A)</t>
  </si>
  <si>
    <t>Ifase rotor (mod) (A)</t>
  </si>
  <si>
    <t>Putil (W)</t>
  </si>
  <si>
    <t>Pmec_int (W)</t>
  </si>
  <si>
    <t>Tutil</t>
  </si>
  <si>
    <t>Ilinea (mod) (A)</t>
  </si>
  <si>
    <t>Pabs (W)</t>
  </si>
  <si>
    <t>Ired Arr (A)</t>
  </si>
  <si>
    <t>T Arr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</si>
</sst>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0" fontId="0" fillId="5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Ired</a:t>
            </a:r>
            <a:r>
              <a:rPr lang="es-ES" baseline="0"/>
              <a:t> frente a 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Datos!$L$4:$L$54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760</c:v>
                </c:pt>
                <c:pt idx="17">
                  <c:v>770</c:v>
                </c:pt>
                <c:pt idx="18">
                  <c:v>780</c:v>
                </c:pt>
                <c:pt idx="19">
                  <c:v>790</c:v>
                </c:pt>
                <c:pt idx="20">
                  <c:v>800</c:v>
                </c:pt>
                <c:pt idx="21">
                  <c:v>810</c:v>
                </c:pt>
                <c:pt idx="22">
                  <c:v>820</c:v>
                </c:pt>
                <c:pt idx="23">
                  <c:v>830</c:v>
                </c:pt>
                <c:pt idx="24">
                  <c:v>840</c:v>
                </c:pt>
                <c:pt idx="25">
                  <c:v>850</c:v>
                </c:pt>
                <c:pt idx="26">
                  <c:v>860</c:v>
                </c:pt>
                <c:pt idx="27">
                  <c:v>870</c:v>
                </c:pt>
                <c:pt idx="28">
                  <c:v>880</c:v>
                </c:pt>
                <c:pt idx="29">
                  <c:v>890</c:v>
                </c:pt>
                <c:pt idx="30">
                  <c:v>900</c:v>
                </c:pt>
                <c:pt idx="31">
                  <c:v>910</c:v>
                </c:pt>
                <c:pt idx="32">
                  <c:v>920</c:v>
                </c:pt>
                <c:pt idx="33">
                  <c:v>930</c:v>
                </c:pt>
                <c:pt idx="34">
                  <c:v>940</c:v>
                </c:pt>
                <c:pt idx="35">
                  <c:v>950</c:v>
                </c:pt>
                <c:pt idx="36">
                  <c:v>960</c:v>
                </c:pt>
                <c:pt idx="37">
                  <c:v>970</c:v>
                </c:pt>
                <c:pt idx="38">
                  <c:v>977</c:v>
                </c:pt>
                <c:pt idx="39">
                  <c:v>979</c:v>
                </c:pt>
                <c:pt idx="40">
                  <c:v>981</c:v>
                </c:pt>
                <c:pt idx="41">
                  <c:v>983</c:v>
                </c:pt>
                <c:pt idx="42">
                  <c:v>985</c:v>
                </c:pt>
                <c:pt idx="43">
                  <c:v>987</c:v>
                </c:pt>
                <c:pt idx="44">
                  <c:v>989</c:v>
                </c:pt>
                <c:pt idx="45">
                  <c:v>991</c:v>
                </c:pt>
                <c:pt idx="46">
                  <c:v>993</c:v>
                </c:pt>
                <c:pt idx="47">
                  <c:v>995</c:v>
                </c:pt>
                <c:pt idx="48">
                  <c:v>997</c:v>
                </c:pt>
                <c:pt idx="49">
                  <c:v>999</c:v>
                </c:pt>
                <c:pt idx="50">
                  <c:v>1000</c:v>
                </c:pt>
              </c:numCache>
            </c:numRef>
          </c:xVal>
          <c:yVal>
            <c:numRef>
              <c:f>Datos!$Q$4:$Q$54</c:f>
              <c:numCache>
                <c:formatCode>General</c:formatCode>
                <c:ptCount val="51"/>
                <c:pt idx="0">
                  <c:v>161.61808490264238</c:v>
                </c:pt>
                <c:pt idx="1">
                  <c:v>161.17873196609855</c:v>
                </c:pt>
                <c:pt idx="2">
                  <c:v>160.68550978017961</c:v>
                </c:pt>
                <c:pt idx="3">
                  <c:v>160.12820980184074</c:v>
                </c:pt>
                <c:pt idx="4">
                  <c:v>159.49395026190643</c:v>
                </c:pt>
                <c:pt idx="5">
                  <c:v>158.76626521459011</c:v>
                </c:pt>
                <c:pt idx="6">
                  <c:v>157.92380437176655</c:v>
                </c:pt>
                <c:pt idx="7">
                  <c:v>156.93844043403288</c:v>
                </c:pt>
                <c:pt idx="8">
                  <c:v>155.77245324804133</c:v>
                </c:pt>
                <c:pt idx="9">
                  <c:v>154.37423843677496</c:v>
                </c:pt>
                <c:pt idx="10">
                  <c:v>152.67159089050523</c:v>
                </c:pt>
                <c:pt idx="11">
                  <c:v>150.56087925340194</c:v>
                </c:pt>
                <c:pt idx="12">
                  <c:v>147.88902679578811</c:v>
                </c:pt>
                <c:pt idx="13">
                  <c:v>144.42246015579971</c:v>
                </c:pt>
                <c:pt idx="14">
                  <c:v>139.79164643358629</c:v>
                </c:pt>
                <c:pt idx="15">
                  <c:v>133.38866776192822</c:v>
                </c:pt>
                <c:pt idx="16">
                  <c:v>131.81482584691267</c:v>
                </c:pt>
                <c:pt idx="17">
                  <c:v>130.11976027349033</c:v>
                </c:pt>
                <c:pt idx="18">
                  <c:v>128.2909430573803</c:v>
                </c:pt>
                <c:pt idx="19">
                  <c:v>126.31432382929241</c:v>
                </c:pt>
                <c:pt idx="20">
                  <c:v>124.17414065609762</c:v>
                </c:pt>
                <c:pt idx="21">
                  <c:v>121.85271472725064</c:v>
                </c:pt>
                <c:pt idx="22">
                  <c:v>119.33023219951555</c:v>
                </c:pt>
                <c:pt idx="23">
                  <c:v>116.58451965017838</c:v>
                </c:pt>
                <c:pt idx="24">
                  <c:v>113.59082440549398</c:v>
                </c:pt>
                <c:pt idx="25">
                  <c:v>110.32161824421284</c:v>
                </c:pt>
                <c:pt idx="26">
                  <c:v>106.74645371493477</c:v>
                </c:pt>
                <c:pt idx="27">
                  <c:v>102.83191813683956</c:v>
                </c:pt>
                <c:pt idx="28">
                  <c:v>98.541753652821669</c:v>
                </c:pt>
                <c:pt idx="29">
                  <c:v>93.837246235829298</c:v>
                </c:pt>
                <c:pt idx="30">
                  <c:v>88.678038823084876</c:v>
                </c:pt>
                <c:pt idx="31">
                  <c:v>83.023606417833776</c:v>
                </c:pt>
                <c:pt idx="32">
                  <c:v>76.835771895725046</c:v>
                </c:pt>
                <c:pt idx="33">
                  <c:v>70.08290899179201</c:v>
                </c:pt>
                <c:pt idx="34">
                  <c:v>62.747059700210436</c:v>
                </c:pt>
                <c:pt idx="35">
                  <c:v>54.836639262968966</c:v>
                </c:pt>
                <c:pt idx="36">
                  <c:v>46.411511046277838</c:v>
                </c:pt>
                <c:pt idx="37">
                  <c:v>37.640461872229309</c:v>
                </c:pt>
                <c:pt idx="38">
                  <c:v>31.506842680863684</c:v>
                </c:pt>
                <c:pt idx="39">
                  <c:v>29.798977524608741</c:v>
                </c:pt>
                <c:pt idx="40">
                  <c:v>28.129480923802273</c:v>
                </c:pt>
                <c:pt idx="41">
                  <c:v>26.512429916118712</c:v>
                </c:pt>
                <c:pt idx="42">
                  <c:v>24.965195371285397</c:v>
                </c:pt>
                <c:pt idx="43">
                  <c:v>23.50907784091007</c:v>
                </c:pt>
                <c:pt idx="44">
                  <c:v>22.169850238521576</c:v>
                </c:pt>
                <c:pt idx="45">
                  <c:v>20.977964739545286</c:v>
                </c:pt>
                <c:pt idx="46">
                  <c:v>19.968028172095263</c:v>
                </c:pt>
                <c:pt idx="47">
                  <c:v>19.177038517301639</c:v>
                </c:pt>
                <c:pt idx="48">
                  <c:v>18.640982842588581</c:v>
                </c:pt>
                <c:pt idx="49">
                  <c:v>18.38994486369165</c:v>
                </c:pt>
                <c:pt idx="50">
                  <c:v>18.377776547745786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7-4423-A3FE-9FB75F168749}"/>
            </c:ext>
          </c:extLst>
        </c:ser>
        <c:ser>
          <c:idx val="1"/>
          <c:order val="1"/>
          <c:tx>
            <c:v>Iredn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Datos!$L$42:$L$54</c:f>
              <c:numCache>
                <c:formatCode>General</c:formatCode>
                <c:ptCount val="13"/>
                <c:pt idx="0">
                  <c:v>977</c:v>
                </c:pt>
                <c:pt idx="1">
                  <c:v>979</c:v>
                </c:pt>
                <c:pt idx="2">
                  <c:v>981</c:v>
                </c:pt>
                <c:pt idx="3">
                  <c:v>983</c:v>
                </c:pt>
                <c:pt idx="4">
                  <c:v>985</c:v>
                </c:pt>
                <c:pt idx="5">
                  <c:v>987</c:v>
                </c:pt>
                <c:pt idx="6">
                  <c:v>989</c:v>
                </c:pt>
                <c:pt idx="7">
                  <c:v>991</c:v>
                </c:pt>
                <c:pt idx="8">
                  <c:v>993</c:v>
                </c:pt>
                <c:pt idx="9">
                  <c:v>995</c:v>
                </c:pt>
                <c:pt idx="10">
                  <c:v>997</c:v>
                </c:pt>
                <c:pt idx="11">
                  <c:v>999</c:v>
                </c:pt>
                <c:pt idx="12">
                  <c:v>1000</c:v>
                </c:pt>
              </c:numCache>
            </c:numRef>
          </c:xVal>
          <c:yVal>
            <c:numRef>
              <c:f>Datos!$Q$42:$Q$54</c:f>
              <c:numCache>
                <c:formatCode>General</c:formatCode>
                <c:ptCount val="13"/>
                <c:pt idx="0">
                  <c:v>31.506842680863684</c:v>
                </c:pt>
                <c:pt idx="1">
                  <c:v>29.798977524608741</c:v>
                </c:pt>
                <c:pt idx="2">
                  <c:v>28.129480923802273</c:v>
                </c:pt>
                <c:pt idx="3">
                  <c:v>26.512429916118712</c:v>
                </c:pt>
                <c:pt idx="4">
                  <c:v>24.965195371285397</c:v>
                </c:pt>
                <c:pt idx="5">
                  <c:v>23.50907784091007</c:v>
                </c:pt>
                <c:pt idx="6">
                  <c:v>22.169850238521576</c:v>
                </c:pt>
                <c:pt idx="7">
                  <c:v>20.977964739545286</c:v>
                </c:pt>
                <c:pt idx="8">
                  <c:v>19.968028172095263</c:v>
                </c:pt>
                <c:pt idx="9">
                  <c:v>19.177038517301639</c:v>
                </c:pt>
                <c:pt idx="10">
                  <c:v>18.640982842588581</c:v>
                </c:pt>
                <c:pt idx="11">
                  <c:v>18.38994486369165</c:v>
                </c:pt>
                <c:pt idx="12">
                  <c:v>18.377776547745786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B7-4423-A3FE-9FB75F168749}"/>
            </c:ext>
          </c:extLst>
        </c:ser>
        <c:ser>
          <c:idx val="2"/>
          <c:order val="2"/>
          <c:tx>
            <c:v>Ired nom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Datos!$L$42</c:f>
              <c:numCache>
                <c:formatCode>General</c:formatCode>
                <c:ptCount val="1"/>
                <c:pt idx="0">
                  <c:v>977</c:v>
                </c:pt>
              </c:numCache>
            </c:numRef>
          </c:xVal>
          <c:yVal>
            <c:numRef>
              <c:f>Datos!$Q$42</c:f>
              <c:numCache>
                <c:formatCode>General</c:formatCode>
                <c:ptCount val="1"/>
                <c:pt idx="0">
                  <c:v>31.506842680863684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B-41A8-A2F4-5EA290BA6A4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Datos!$L$4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Datos!$B$23</c:f>
              <c:numCache>
                <c:formatCode>General</c:formatCode>
                <c:ptCount val="1"/>
                <c:pt idx="0">
                  <c:v>182.7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1B-41A8-A2F4-5EA290BA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61200"/>
        <c:axId val="296162160"/>
      </c:scatterChart>
      <c:valAx>
        <c:axId val="2961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(rpm)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162160"/>
        <c:crosses val="autoZero"/>
        <c:crossBetween val="midCat"/>
      </c:valAx>
      <c:valAx>
        <c:axId val="2961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  <a:r>
                  <a:rPr lang="es-ES" baseline="0"/>
                  <a:t> (A)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16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Tutil</a:t>
            </a:r>
            <a:r>
              <a:rPr lang="es-ES" baseline="0"/>
              <a:t> frente a 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Tutil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Datos!$L$4:$L$54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760</c:v>
                </c:pt>
                <c:pt idx="17">
                  <c:v>770</c:v>
                </c:pt>
                <c:pt idx="18">
                  <c:v>780</c:v>
                </c:pt>
                <c:pt idx="19">
                  <c:v>790</c:v>
                </c:pt>
                <c:pt idx="20">
                  <c:v>800</c:v>
                </c:pt>
                <c:pt idx="21">
                  <c:v>810</c:v>
                </c:pt>
                <c:pt idx="22">
                  <c:v>820</c:v>
                </c:pt>
                <c:pt idx="23">
                  <c:v>830</c:v>
                </c:pt>
                <c:pt idx="24">
                  <c:v>840</c:v>
                </c:pt>
                <c:pt idx="25">
                  <c:v>850</c:v>
                </c:pt>
                <c:pt idx="26">
                  <c:v>860</c:v>
                </c:pt>
                <c:pt idx="27">
                  <c:v>870</c:v>
                </c:pt>
                <c:pt idx="28">
                  <c:v>880</c:v>
                </c:pt>
                <c:pt idx="29">
                  <c:v>890</c:v>
                </c:pt>
                <c:pt idx="30">
                  <c:v>900</c:v>
                </c:pt>
                <c:pt idx="31">
                  <c:v>910</c:v>
                </c:pt>
                <c:pt idx="32">
                  <c:v>920</c:v>
                </c:pt>
                <c:pt idx="33">
                  <c:v>930</c:v>
                </c:pt>
                <c:pt idx="34">
                  <c:v>940</c:v>
                </c:pt>
                <c:pt idx="35">
                  <c:v>950</c:v>
                </c:pt>
                <c:pt idx="36">
                  <c:v>960</c:v>
                </c:pt>
                <c:pt idx="37">
                  <c:v>970</c:v>
                </c:pt>
                <c:pt idx="38">
                  <c:v>977</c:v>
                </c:pt>
                <c:pt idx="39">
                  <c:v>979</c:v>
                </c:pt>
                <c:pt idx="40">
                  <c:v>981</c:v>
                </c:pt>
                <c:pt idx="41">
                  <c:v>983</c:v>
                </c:pt>
                <c:pt idx="42">
                  <c:v>985</c:v>
                </c:pt>
                <c:pt idx="43">
                  <c:v>987</c:v>
                </c:pt>
                <c:pt idx="44">
                  <c:v>989</c:v>
                </c:pt>
                <c:pt idx="45">
                  <c:v>991</c:v>
                </c:pt>
                <c:pt idx="46">
                  <c:v>993</c:v>
                </c:pt>
                <c:pt idx="47">
                  <c:v>995</c:v>
                </c:pt>
                <c:pt idx="48">
                  <c:v>997</c:v>
                </c:pt>
                <c:pt idx="49">
                  <c:v>999</c:v>
                </c:pt>
                <c:pt idx="50">
                  <c:v>1000</c:v>
                </c:pt>
              </c:numCache>
            </c:numRef>
          </c:xVal>
          <c:yVal>
            <c:numRef>
              <c:f>Datos!$W$4:$W$54</c:f>
              <c:numCache>
                <c:formatCode>General</c:formatCode>
                <c:ptCount val="51"/>
                <c:pt idx="0">
                  <c:v>128.5061803600814</c:v>
                </c:pt>
                <c:pt idx="1">
                  <c:v>135.12477878034571</c:v>
                </c:pt>
                <c:pt idx="2">
                  <c:v>141.74337720061001</c:v>
                </c:pt>
                <c:pt idx="3">
                  <c:v>149.02456635360917</c:v>
                </c:pt>
                <c:pt idx="4">
                  <c:v>157.06830769712445</c:v>
                </c:pt>
                <c:pt idx="5">
                  <c:v>165.99429363785896</c:v>
                </c:pt>
                <c:pt idx="6">
                  <c:v>175.94643074964421</c:v>
                </c:pt>
                <c:pt idx="7">
                  <c:v>187.09820961099169</c:v>
                </c:pt>
                <c:pt idx="8">
                  <c:v>199.65881949016548</c:v>
                </c:pt>
                <c:pt idx="9">
                  <c:v>213.87933262275817</c:v>
                </c:pt>
                <c:pt idx="10">
                  <c:v>230.05695287919389</c:v>
                </c:pt>
                <c:pt idx="11">
                  <c:v>248.53207150240428</c:v>
                </c:pt>
                <c:pt idx="12">
                  <c:v>269.66488710469395</c:v>
                </c:pt>
                <c:pt idx="13">
                  <c:v>293.75838750766724</c:v>
                </c:pt>
                <c:pt idx="14">
                  <c:v>320.84334500366248</c:v>
                </c:pt>
                <c:pt idx="15">
                  <c:v>350.10673156516049</c:v>
                </c:pt>
                <c:pt idx="16">
                  <c:v>356.01500849683248</c:v>
                </c:pt>
                <c:pt idx="17">
                  <c:v>361.85824798868953</c:v>
                </c:pt>
                <c:pt idx="18">
                  <c:v>367.58234506571205</c:v>
                </c:pt>
                <c:pt idx="19">
                  <c:v>373.12045650405821</c:v>
                </c:pt>
                <c:pt idx="20">
                  <c:v>378.390323269112</c:v>
                </c:pt>
                <c:pt idx="21">
                  <c:v>383.29107495486051</c:v>
                </c:pt>
                <c:pt idx="22">
                  <c:v>387.69944248949378</c:v>
                </c:pt>
                <c:pt idx="23">
                  <c:v>391.46531196420528</c:v>
                </c:pt>
                <c:pt idx="24">
                  <c:v>394.40657249438573</c:v>
                </c:pt>
                <c:pt idx="25">
                  <c:v>396.30325308826076</c:v>
                </c:pt>
                <c:pt idx="26">
                  <c:v>396.89102002386448</c:v>
                </c:pt>
                <c:pt idx="27">
                  <c:v>395.85423459022496</c:v>
                </c:pt>
                <c:pt idx="28">
                  <c:v>392.81897413721356</c:v>
                </c:pt>
                <c:pt idx="29">
                  <c:v>387.34672495334576</c:v>
                </c:pt>
                <c:pt idx="30">
                  <c:v>378.92989245258804</c:v>
                </c:pt>
                <c:pt idx="31">
                  <c:v>366.99086300917691</c:v>
                </c:pt>
                <c:pt idx="32">
                  <c:v>350.88708516575184</c:v>
                </c:pt>
                <c:pt idx="33">
                  <c:v>329.92544659529773</c:v>
                </c:pt>
                <c:pt idx="34">
                  <c:v>303.38992531512804</c:v>
                </c:pt>
                <c:pt idx="35">
                  <c:v>270.58673494593086</c:v>
                </c:pt>
                <c:pt idx="36">
                  <c:v>230.91039738148467</c:v>
                </c:pt>
                <c:pt idx="37">
                  <c:v>183.93162695165876</c:v>
                </c:pt>
                <c:pt idx="38">
                  <c:v>146.60787923244217</c:v>
                </c:pt>
                <c:pt idx="39">
                  <c:v>135.27760318564265</c:v>
                </c:pt>
                <c:pt idx="40">
                  <c:v>123.65579604998335</c:v>
                </c:pt>
                <c:pt idx="41">
                  <c:v>111.74622528187736</c:v>
                </c:pt>
                <c:pt idx="42">
                  <c:v>99.553467587597098</c:v>
                </c:pt>
                <c:pt idx="43">
                  <c:v>87.082933597273865</c:v>
                </c:pt>
                <c:pt idx="44">
                  <c:v>74.340889257957457</c:v>
                </c:pt>
                <c:pt idx="45">
                  <c:v>61.334473537061939</c:v>
                </c:pt>
                <c:pt idx="46">
                  <c:v>48.071712034913148</c:v>
                </c:pt>
                <c:pt idx="47">
                  <c:v>34.561526118815998</c:v>
                </c:pt>
                <c:pt idx="48">
                  <c:v>20.81373721159418</c:v>
                </c:pt>
                <c:pt idx="49">
                  <c:v>6.8390658950488641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B-4B4A-9735-B20B9DF3F885}"/>
            </c:ext>
          </c:extLst>
        </c:ser>
        <c:ser>
          <c:idx val="1"/>
          <c:order val="1"/>
          <c:tx>
            <c:v>Tutiln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Datos!$L$42:$L$54</c:f>
              <c:numCache>
                <c:formatCode>General</c:formatCode>
                <c:ptCount val="13"/>
                <c:pt idx="0">
                  <c:v>977</c:v>
                </c:pt>
                <c:pt idx="1">
                  <c:v>979</c:v>
                </c:pt>
                <c:pt idx="2">
                  <c:v>981</c:v>
                </c:pt>
                <c:pt idx="3">
                  <c:v>983</c:v>
                </c:pt>
                <c:pt idx="4">
                  <c:v>985</c:v>
                </c:pt>
                <c:pt idx="5">
                  <c:v>987</c:v>
                </c:pt>
                <c:pt idx="6">
                  <c:v>989</c:v>
                </c:pt>
                <c:pt idx="7">
                  <c:v>991</c:v>
                </c:pt>
                <c:pt idx="8">
                  <c:v>993</c:v>
                </c:pt>
                <c:pt idx="9">
                  <c:v>995</c:v>
                </c:pt>
                <c:pt idx="10">
                  <c:v>997</c:v>
                </c:pt>
                <c:pt idx="11">
                  <c:v>999</c:v>
                </c:pt>
                <c:pt idx="12">
                  <c:v>1000</c:v>
                </c:pt>
              </c:numCache>
            </c:numRef>
          </c:xVal>
          <c:yVal>
            <c:numRef>
              <c:f>Datos!$W$42:$W$54</c:f>
              <c:numCache>
                <c:formatCode>General</c:formatCode>
                <c:ptCount val="13"/>
                <c:pt idx="0">
                  <c:v>146.60787923244217</c:v>
                </c:pt>
                <c:pt idx="1">
                  <c:v>135.27760318564265</c:v>
                </c:pt>
                <c:pt idx="2">
                  <c:v>123.65579604998335</c:v>
                </c:pt>
                <c:pt idx="3">
                  <c:v>111.74622528187736</c:v>
                </c:pt>
                <c:pt idx="4">
                  <c:v>99.553467587597098</c:v>
                </c:pt>
                <c:pt idx="5">
                  <c:v>87.082933597273865</c:v>
                </c:pt>
                <c:pt idx="6">
                  <c:v>74.340889257957457</c:v>
                </c:pt>
                <c:pt idx="7">
                  <c:v>61.334473537061939</c:v>
                </c:pt>
                <c:pt idx="8">
                  <c:v>48.071712034913148</c:v>
                </c:pt>
                <c:pt idx="9">
                  <c:v>34.561526118815998</c:v>
                </c:pt>
                <c:pt idx="10">
                  <c:v>20.81373721159418</c:v>
                </c:pt>
                <c:pt idx="11">
                  <c:v>6.8390658950488641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B-4B4A-9735-B20B9DF3F885}"/>
            </c:ext>
          </c:extLst>
        </c:ser>
        <c:ser>
          <c:idx val="3"/>
          <c:order val="2"/>
          <c:tx>
            <c:v>T nom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Datos!$L$42</c:f>
              <c:numCache>
                <c:formatCode>General</c:formatCode>
                <c:ptCount val="1"/>
                <c:pt idx="0">
                  <c:v>977</c:v>
                </c:pt>
              </c:numCache>
            </c:numRef>
          </c:xVal>
          <c:yVal>
            <c:numRef>
              <c:f>Datos!$W$42</c:f>
              <c:numCache>
                <c:formatCode>General</c:formatCode>
                <c:ptCount val="1"/>
                <c:pt idx="0">
                  <c:v>146.60787923244217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4-4E7F-A674-7A2805DD08F2}"/>
            </c:ext>
          </c:extLst>
        </c:ser>
        <c:ser>
          <c:idx val="2"/>
          <c:order val="3"/>
          <c:tx>
            <c:v>Tarr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Datos!$L$4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Datos!$B$24</c:f>
              <c:numCache>
                <c:formatCode>General</c:formatCode>
                <c:ptCount val="1"/>
                <c:pt idx="0">
                  <c:v>263.90072447172008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4-4E7F-A674-7A2805DD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9600"/>
        <c:axId val="115130080"/>
      </c:scatterChart>
      <c:valAx>
        <c:axId val="1151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(rpm)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130080"/>
        <c:crosses val="autoZero"/>
        <c:crossBetween val="midCat"/>
      </c:valAx>
      <c:valAx>
        <c:axId val="1151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Tutil</a:t>
                </a:r>
                <a:r>
                  <a:rPr lang="es-ES" baseline="0"/>
                  <a:t> (Nm)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1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Corriente</a:t>
            </a:r>
            <a:r>
              <a:rPr lang="es-ES" baseline="0"/>
              <a:t> vs. velocidad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Datos!$L$42:$L$54</c:f>
              <c:numCache>
                <c:formatCode>General</c:formatCode>
                <c:ptCount val="13"/>
                <c:pt idx="0">
                  <c:v>977</c:v>
                </c:pt>
                <c:pt idx="1">
                  <c:v>979</c:v>
                </c:pt>
                <c:pt idx="2">
                  <c:v>981</c:v>
                </c:pt>
                <c:pt idx="3">
                  <c:v>983</c:v>
                </c:pt>
                <c:pt idx="4">
                  <c:v>985</c:v>
                </c:pt>
                <c:pt idx="5">
                  <c:v>987</c:v>
                </c:pt>
                <c:pt idx="6">
                  <c:v>989</c:v>
                </c:pt>
                <c:pt idx="7">
                  <c:v>991</c:v>
                </c:pt>
                <c:pt idx="8">
                  <c:v>993</c:v>
                </c:pt>
                <c:pt idx="9">
                  <c:v>995</c:v>
                </c:pt>
                <c:pt idx="10">
                  <c:v>997</c:v>
                </c:pt>
                <c:pt idx="11">
                  <c:v>999</c:v>
                </c:pt>
                <c:pt idx="12">
                  <c:v>1000</c:v>
                </c:pt>
              </c:numCache>
            </c:numRef>
          </c:xVal>
          <c:yVal>
            <c:numRef>
              <c:f>Datos!$Q$42:$Q$54</c:f>
              <c:numCache>
                <c:formatCode>General</c:formatCode>
                <c:ptCount val="13"/>
                <c:pt idx="0">
                  <c:v>31.506842680863684</c:v>
                </c:pt>
                <c:pt idx="1">
                  <c:v>29.798977524608741</c:v>
                </c:pt>
                <c:pt idx="2">
                  <c:v>28.129480923802273</c:v>
                </c:pt>
                <c:pt idx="3">
                  <c:v>26.512429916118712</c:v>
                </c:pt>
                <c:pt idx="4">
                  <c:v>24.965195371285397</c:v>
                </c:pt>
                <c:pt idx="5">
                  <c:v>23.50907784091007</c:v>
                </c:pt>
                <c:pt idx="6">
                  <c:v>22.169850238521576</c:v>
                </c:pt>
                <c:pt idx="7">
                  <c:v>20.977964739545286</c:v>
                </c:pt>
                <c:pt idx="8">
                  <c:v>19.968028172095263</c:v>
                </c:pt>
                <c:pt idx="9">
                  <c:v>19.177038517301639</c:v>
                </c:pt>
                <c:pt idx="10">
                  <c:v>18.640982842588581</c:v>
                </c:pt>
                <c:pt idx="11">
                  <c:v>18.38994486369165</c:v>
                </c:pt>
                <c:pt idx="12">
                  <c:v>18.377776547745786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D5-498D-A143-02C16C76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19984"/>
        <c:axId val="413022384"/>
      </c:scatterChart>
      <c:valAx>
        <c:axId val="4130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(rpm)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022384"/>
        <c:crosses val="autoZero"/>
        <c:crossBetween val="midCat"/>
      </c:valAx>
      <c:valAx>
        <c:axId val="4130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Ired</a:t>
                </a:r>
                <a:r>
                  <a:rPr lang="es-ES" baseline="0"/>
                  <a:t> (A)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0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</a:t>
            </a:r>
            <a:r>
              <a:rPr lang="es-ES" baseline="0"/>
              <a:t> vs. velocidad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Datos!$L$42:$L$54</c:f>
              <c:numCache>
                <c:formatCode>General</c:formatCode>
                <c:ptCount val="13"/>
                <c:pt idx="0">
                  <c:v>977</c:v>
                </c:pt>
                <c:pt idx="1">
                  <c:v>979</c:v>
                </c:pt>
                <c:pt idx="2">
                  <c:v>981</c:v>
                </c:pt>
                <c:pt idx="3">
                  <c:v>983</c:v>
                </c:pt>
                <c:pt idx="4">
                  <c:v>985</c:v>
                </c:pt>
                <c:pt idx="5">
                  <c:v>987</c:v>
                </c:pt>
                <c:pt idx="6">
                  <c:v>989</c:v>
                </c:pt>
                <c:pt idx="7">
                  <c:v>991</c:v>
                </c:pt>
                <c:pt idx="8">
                  <c:v>993</c:v>
                </c:pt>
                <c:pt idx="9">
                  <c:v>995</c:v>
                </c:pt>
                <c:pt idx="10">
                  <c:v>997</c:v>
                </c:pt>
                <c:pt idx="11">
                  <c:v>999</c:v>
                </c:pt>
                <c:pt idx="12">
                  <c:v>1000</c:v>
                </c:pt>
              </c:numCache>
            </c:numRef>
          </c:xVal>
          <c:yVal>
            <c:numRef>
              <c:f>Datos!$W$42:$W$54</c:f>
              <c:numCache>
                <c:formatCode>General</c:formatCode>
                <c:ptCount val="13"/>
                <c:pt idx="0">
                  <c:v>146.60787923244217</c:v>
                </c:pt>
                <c:pt idx="1">
                  <c:v>135.27760318564265</c:v>
                </c:pt>
                <c:pt idx="2">
                  <c:v>123.65579604998335</c:v>
                </c:pt>
                <c:pt idx="3">
                  <c:v>111.74622528187736</c:v>
                </c:pt>
                <c:pt idx="4">
                  <c:v>99.553467587597098</c:v>
                </c:pt>
                <c:pt idx="5">
                  <c:v>87.082933597273865</c:v>
                </c:pt>
                <c:pt idx="6">
                  <c:v>74.340889257957457</c:v>
                </c:pt>
                <c:pt idx="7">
                  <c:v>61.334473537061939</c:v>
                </c:pt>
                <c:pt idx="8">
                  <c:v>48.071712034913148</c:v>
                </c:pt>
                <c:pt idx="9">
                  <c:v>34.561526118815998</c:v>
                </c:pt>
                <c:pt idx="10">
                  <c:v>20.81373721159418</c:v>
                </c:pt>
                <c:pt idx="11">
                  <c:v>6.8390658950488641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6-44F3-A404-DCB6D3E7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68064"/>
        <c:axId val="393369024"/>
      </c:scatterChart>
      <c:valAx>
        <c:axId val="3933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(rpm)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369024"/>
        <c:crosses val="autoZero"/>
        <c:crossBetween val="midCat"/>
      </c:valAx>
      <c:valAx>
        <c:axId val="3933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</a:t>
                </a:r>
                <a:r>
                  <a:rPr lang="es-ES" baseline="0"/>
                  <a:t> útil (Nm)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36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538746</xdr:colOff>
      <xdr:row>1</xdr:row>
      <xdr:rowOff>69273</xdr:rowOff>
    </xdr:from>
    <xdr:to>
      <xdr:col>7</xdr:col>
      <xdr:colOff>489440</xdr:colOff>
      <xdr:row>19</xdr:row>
      <xdr:rowOff>53761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407EA5-2DEE-452C-8F22-54CFCC09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289957</xdr:colOff>
      <xdr:row>1</xdr:row>
      <xdr:rowOff>57510</xdr:rowOff>
    </xdr:from>
    <xdr:to>
      <xdr:col>15</xdr:col>
      <xdr:colOff>490256</xdr:colOff>
      <xdr:row>19</xdr:row>
      <xdr:rowOff>16017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7F45AC-24F6-4F0B-86B8-012052F02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475015</xdr:colOff>
      <xdr:row>20</xdr:row>
      <xdr:rowOff>90499</xdr:rowOff>
    </xdr:from>
    <xdr:to>
      <xdr:col>7</xdr:col>
      <xdr:colOff>784169</xdr:colOff>
      <xdr:row>40</xdr:row>
      <xdr:rowOff>63285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561055-2E86-407A-948D-DE804449C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221673</xdr:colOff>
      <xdr:row>20</xdr:row>
      <xdr:rowOff>125334</xdr:rowOff>
    </xdr:from>
    <xdr:to>
      <xdr:col>16</xdr:col>
      <xdr:colOff>74619</xdr:colOff>
      <xdr:row>40</xdr:row>
      <xdr:rowOff>138693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1B6096-E108-4F94-97B7-5AA3B5A14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CD39-EB49-4CA6-91A3-226AE09AFADE}">
  <dimension ref="A1:W54"/>
  <sheetViews>
    <sheetView topLeftCell="I9" zoomScale="70" zoomScaleNormal="70" workbookViewId="0">
      <selection activeCell="D30" sqref="D30"/>
    </sheetView>
  </sheetViews>
  <sheetFormatPr baseColWidth="10" defaultRowHeight="14.4" x14ac:dyDescent="0.3"/>
  <cols>
    <col min="5" max="5" width="14.21875" customWidth="1"/>
    <col min="14" max="14" width="36" customWidth="1"/>
    <col min="15" max="15" width="33.5546875" customWidth="1"/>
    <col min="16" max="16" width="13.109375" customWidth="1"/>
    <col min="17" max="17" width="14.33203125" customWidth="1"/>
    <col min="18" max="18" width="18.44140625" customWidth="1"/>
    <col min="20" max="20" width="12" customWidth="1"/>
  </cols>
  <sheetData>
    <row r="1" spans="1:23" ht="15" thickBot="1" x14ac:dyDescent="0.35"/>
    <row r="2" spans="1:23" ht="15" thickBot="1" x14ac:dyDescent="0.35">
      <c r="A2" s="9" t="s">
        <v>19</v>
      </c>
      <c r="B2" s="10"/>
      <c r="C2" s="12" t="s">
        <v>24</v>
      </c>
      <c r="D2" s="11"/>
      <c r="E2" s="11" t="s">
        <v>22</v>
      </c>
      <c r="F2" s="11"/>
    </row>
    <row r="3" spans="1:23" x14ac:dyDescent="0.3">
      <c r="A3" s="4" t="s">
        <v>1</v>
      </c>
      <c r="B3" s="1">
        <v>400</v>
      </c>
      <c r="C3" t="s">
        <v>25</v>
      </c>
      <c r="D3">
        <v>50</v>
      </c>
      <c r="E3" t="s">
        <v>23</v>
      </c>
      <c r="F3">
        <f>2*PI()*$D$3/$B$4</f>
        <v>104.71975511965978</v>
      </c>
      <c r="L3" t="s">
        <v>20</v>
      </c>
      <c r="M3" t="s">
        <v>21</v>
      </c>
      <c r="N3" t="s">
        <v>33</v>
      </c>
      <c r="O3" t="s">
        <v>34</v>
      </c>
      <c r="P3" t="s">
        <v>35</v>
      </c>
      <c r="Q3" t="s">
        <v>40</v>
      </c>
      <c r="R3" t="s">
        <v>36</v>
      </c>
      <c r="S3" t="s">
        <v>41</v>
      </c>
      <c r="T3" t="s">
        <v>38</v>
      </c>
      <c r="U3" t="s">
        <v>3</v>
      </c>
      <c r="V3" t="s">
        <v>37</v>
      </c>
      <c r="W3" t="s">
        <v>39</v>
      </c>
    </row>
    <row r="4" spans="1:23" x14ac:dyDescent="0.3">
      <c r="A4" s="5" t="s">
        <v>0</v>
      </c>
      <c r="B4" s="2">
        <v>3</v>
      </c>
      <c r="E4" t="s">
        <v>26</v>
      </c>
      <c r="F4">
        <f>$B$5/$B$13*60/2/PI()</f>
        <v>146.61151359540003</v>
      </c>
      <c r="L4">
        <v>0</v>
      </c>
      <c r="M4">
        <f>($F$3-L4*2*PI()/60)/$F$3</f>
        <v>1</v>
      </c>
      <c r="N4" t="str">
        <f>IMSUM($F$8,IMDIV(1,IMSUM(IMDIV(1,$F$9),IMDIV(1,COMPLEX($B$8/M4,$B$9)))))</f>
        <v>1,70780751069221+3,93189917626196i</v>
      </c>
      <c r="O4" t="str">
        <f>IMDIV(COMPLEX($B$3,0),N4)</f>
        <v>37,1738537242571-85,5856669570716i</v>
      </c>
      <c r="P4">
        <f>IMABS(O4)</f>
        <v>93.310244824452383</v>
      </c>
      <c r="Q4">
        <f>P4*SQRT(3)</f>
        <v>161.61808490264238</v>
      </c>
      <c r="R4">
        <f t="shared" ref="R4:R35" si="0">IMABS(IMDIV(IMSUB(COMPLEX($B$3,0),IMPRODUCT(O4,$F$8)),COMPLEX($B$8/M4,$B$9)))</f>
        <v>88.297824120771637</v>
      </c>
      <c r="S4">
        <f>3*IMREAL(IMPRODUCT(COMPLEX(Datos!$B$3,0),IMCONJUGATE(Datos!O4)))</f>
        <v>44608.624469108399</v>
      </c>
      <c r="T4">
        <f>3*(1-M4)/M4*$B$8*R4*R4</f>
        <v>0</v>
      </c>
      <c r="U4">
        <f>$B$12*(L4/($F$3*60/2/PI()))^2</f>
        <v>0</v>
      </c>
      <c r="V4">
        <f>T4-U4</f>
        <v>0</v>
      </c>
      <c r="W4">
        <f>W5-(W6-W5)</f>
        <v>128.5061803600814</v>
      </c>
    </row>
    <row r="5" spans="1:23" x14ac:dyDescent="0.3">
      <c r="A5" s="5" t="s">
        <v>2</v>
      </c>
      <c r="B5" s="2">
        <v>15000</v>
      </c>
      <c r="E5" t="s">
        <v>27</v>
      </c>
      <c r="F5">
        <f>$B$5/(B14*0.01)/SQRT(3)/$B$3/$B$18</f>
        <v>0.76199750447369041</v>
      </c>
      <c r="L5">
        <f>L4+50</f>
        <v>50</v>
      </c>
      <c r="M5">
        <f t="shared" ref="M5:M54" si="1">($F$3-L5*2*PI()/60)/$F$3</f>
        <v>0.95</v>
      </c>
      <c r="N5" t="str">
        <f t="shared" ref="N5:N54" si="2">IMSUM($F$8,IMDIV(1,IMSUM(IMDIV(1,$F$9),IMDIV(1,COMPLEX($B$8/M5,$B$9)))))</f>
        <v>1,73503183387707+3,93273726778458i</v>
      </c>
      <c r="O5" t="str">
        <f t="shared" ref="O5:O54" si="3">IMDIV(COMPLEX($B$3,0),N5)</f>
        <v>37,5613913427617-85,139120031838i</v>
      </c>
      <c r="P5">
        <f t="shared" ref="P5:P54" si="4">IMABS(O5)</f>
        <v>93.056584288269548</v>
      </c>
      <c r="Q5">
        <f t="shared" ref="Q5:Q54" si="5">P5*SQRT(3)</f>
        <v>161.17873196609855</v>
      </c>
      <c r="R5">
        <f t="shared" si="0"/>
        <v>88.056225514236203</v>
      </c>
      <c r="S5">
        <f>3*IMREAL(IMPRODUCT(COMPLEX(Datos!$B$3,0),IMCONJUGATE(Datos!O5)))</f>
        <v>45073.669611314101</v>
      </c>
      <c r="T5">
        <f>3*(1-M5)/M5*$B$8*R5*R5</f>
        <v>707.57183722380012</v>
      </c>
      <c r="U5">
        <f>$B$12*(L5/($F$3*60/2/PI()))^2</f>
        <v>6.0149999999999988E-2</v>
      </c>
      <c r="V5">
        <f t="shared" ref="V5:V53" si="6">T5-U5</f>
        <v>707.5116872238001</v>
      </c>
      <c r="W5">
        <f>V5/(L5*2*PI()/60)</f>
        <v>135.12477878034571</v>
      </c>
    </row>
    <row r="6" spans="1:23" x14ac:dyDescent="0.3">
      <c r="A6" s="5" t="s">
        <v>8</v>
      </c>
      <c r="B6" s="2">
        <v>1.18956</v>
      </c>
      <c r="E6" t="s">
        <v>28</v>
      </c>
      <c r="F6">
        <f>$B$5/(B15*0.01)/SQRT(3)/$B$3/$B$18</f>
        <v>0.75364226867902273</v>
      </c>
      <c r="L6">
        <f t="shared" ref="L6:L19" si="7">L5+50</f>
        <v>100</v>
      </c>
      <c r="M6">
        <f t="shared" si="1"/>
        <v>0.9</v>
      </c>
      <c r="N6" t="str">
        <f t="shared" si="2"/>
        <v>1,76527829406394+3,93371997856958i</v>
      </c>
      <c r="O6" t="str">
        <f t="shared" si="3"/>
        <v>37,9826590378114-84,6399942709676i</v>
      </c>
      <c r="P6">
        <f t="shared" si="4"/>
        <v>92.771822326458945</v>
      </c>
      <c r="Q6">
        <f t="shared" si="5"/>
        <v>160.68550978017961</v>
      </c>
      <c r="R6">
        <f t="shared" si="0"/>
        <v>87.784965500839547</v>
      </c>
      <c r="S6">
        <f>3*IMREAL(IMPRODUCT(COMPLEX(Datos!$B$3,0),IMCONJUGATE(Datos!O6)))</f>
        <v>45579.1908453738</v>
      </c>
      <c r="T6">
        <f>3*(1-M6)/M6*$B$8*R6*R6</f>
        <v>1484.5737750281448</v>
      </c>
      <c r="U6">
        <f>$B$12*(L6/($F$3*60/2/PI()))^2</f>
        <v>0.24059999999999995</v>
      </c>
      <c r="V6">
        <f t="shared" si="6"/>
        <v>1484.3331750281448</v>
      </c>
      <c r="W6">
        <f>V6/(L6*2*PI()/60)</f>
        <v>141.74337720061001</v>
      </c>
    </row>
    <row r="7" spans="1:23" x14ac:dyDescent="0.3">
      <c r="A7" s="5" t="s">
        <v>7</v>
      </c>
      <c r="B7" s="2">
        <v>2.0161099999999998</v>
      </c>
      <c r="E7" t="s">
        <v>29</v>
      </c>
      <c r="F7">
        <f>$B$5/(B16*0.01)/SQRT(3)/$B$3/$B$18</f>
        <v>0.75779685670922692</v>
      </c>
      <c r="L7">
        <f t="shared" si="7"/>
        <v>150</v>
      </c>
      <c r="M7">
        <f t="shared" si="1"/>
        <v>0.85</v>
      </c>
      <c r="N7" t="str">
        <f t="shared" si="2"/>
        <v>1,79907951530194+3,93488243850744i</v>
      </c>
      <c r="O7" t="str">
        <f t="shared" si="3"/>
        <v>38,4418968713031-84,0787433880697i</v>
      </c>
      <c r="P7">
        <f t="shared" si="4"/>
        <v>92.450065033945634</v>
      </c>
      <c r="Q7">
        <f t="shared" si="5"/>
        <v>160.12820980184074</v>
      </c>
      <c r="R7">
        <f t="shared" si="0"/>
        <v>87.478416439204295</v>
      </c>
      <c r="S7">
        <f>3*IMREAL(IMPRODUCT(COMPLEX(Datos!$B$3,0),IMCONJUGATE(Datos!O7)))</f>
        <v>46130.276245563604</v>
      </c>
      <c r="T7">
        <f>3*(1-M7)/M7*$B$8*R7*R7</f>
        <v>2341.413764304516</v>
      </c>
      <c r="U7">
        <f>$B$12*(L7/($F$3*60/2/PI()))^2</f>
        <v>0.54135</v>
      </c>
      <c r="V7">
        <f t="shared" si="6"/>
        <v>2340.872414304516</v>
      </c>
      <c r="W7">
        <f>V7/(L7*2*PI()/60)</f>
        <v>149.02456635360917</v>
      </c>
    </row>
    <row r="8" spans="1:23" x14ac:dyDescent="0.3">
      <c r="A8" s="5" t="s">
        <v>6</v>
      </c>
      <c r="B8" s="2">
        <v>0.57794000000000001</v>
      </c>
      <c r="E8" t="s">
        <v>31</v>
      </c>
      <c r="F8" t="str">
        <f>COMPLEX($B$6,$B$7)</f>
        <v>1,18956+2,01611i</v>
      </c>
      <c r="L8">
        <f t="shared" si="7"/>
        <v>200</v>
      </c>
      <c r="M8">
        <f t="shared" si="1"/>
        <v>0.79999999999999993</v>
      </c>
      <c r="N8" t="str">
        <f t="shared" si="2"/>
        <v>1,83710104441926+3,93627110753195i</v>
      </c>
      <c r="O8" t="str">
        <f t="shared" si="3"/>
        <v>38,9439704607079-83,443437258249i</v>
      </c>
      <c r="P8">
        <f t="shared" si="4"/>
        <v>92.08387511782847</v>
      </c>
      <c r="Q8">
        <f t="shared" si="5"/>
        <v>159.49395026190643</v>
      </c>
      <c r="R8">
        <f t="shared" si="0"/>
        <v>87.129475350736612</v>
      </c>
      <c r="S8">
        <f>3*IMREAL(IMPRODUCT(COMPLEX(Datos!$B$3,0),IMCONJUGATE(Datos!O8)))</f>
        <v>46732.7645528496</v>
      </c>
      <c r="T8">
        <f>3*(1-M8)/M8*$B$8*R8*R8</f>
        <v>3290.5933438204488</v>
      </c>
      <c r="U8">
        <f>$B$12*(L8/($F$3*60/2/PI()))^2</f>
        <v>0.96239999999999981</v>
      </c>
      <c r="V8">
        <f t="shared" si="6"/>
        <v>3289.6309438204489</v>
      </c>
      <c r="W8">
        <f>V8/(L8*2*PI()/60)</f>
        <v>157.06830769712445</v>
      </c>
    </row>
    <row r="9" spans="1:23" x14ac:dyDescent="0.3">
      <c r="A9" s="5" t="s">
        <v>5</v>
      </c>
      <c r="B9" s="2">
        <v>2.0161099999999998</v>
      </c>
      <c r="E9" t="s">
        <v>32</v>
      </c>
      <c r="F9" t="str">
        <f>IMDIV(1,IMSUM(IMDIV(1,COMPLEX(0,$B$10)),IMDIV(1,COMPLEX($B$11,0))))</f>
        <v>0,23599713143951+35,6557379892497i</v>
      </c>
      <c r="L9">
        <f t="shared" si="7"/>
        <v>250</v>
      </c>
      <c r="M9">
        <f t="shared" si="1"/>
        <v>0.75000000000000011</v>
      </c>
      <c r="N9" t="str">
        <f t="shared" si="2"/>
        <v>1,88018555721891+3,93794845591441i</v>
      </c>
      <c r="O9" t="str">
        <f t="shared" si="3"/>
        <v>39,494436661759-82,7189929590951i</v>
      </c>
      <c r="P9">
        <f t="shared" si="4"/>
        <v>91.663745959875115</v>
      </c>
      <c r="Q9">
        <f t="shared" si="5"/>
        <v>158.76626521459011</v>
      </c>
      <c r="R9">
        <f t="shared" si="0"/>
        <v>86.729060584765151</v>
      </c>
      <c r="S9">
        <f>3*IMREAL(IMPRODUCT(COMPLEX(Datos!$B$3,0),IMCONJUGATE(Datos!O9)))</f>
        <v>47393.323994110804</v>
      </c>
      <c r="T9">
        <f>3*(1-M9)/M9*$B$8*R9*R9</f>
        <v>4347.2241952543718</v>
      </c>
      <c r="U9">
        <f>$B$12*(L9/($F$3*60/2/PI()))^2</f>
        <v>1.5037499999999995</v>
      </c>
      <c r="V9">
        <f t="shared" si="6"/>
        <v>4345.720445254372</v>
      </c>
      <c r="W9">
        <f>V9/(L9*2*PI()/60)</f>
        <v>165.99429363785896</v>
      </c>
    </row>
    <row r="10" spans="1:23" x14ac:dyDescent="0.3">
      <c r="A10" s="5" t="s">
        <v>4</v>
      </c>
      <c r="B10" s="2">
        <v>35.657299999999999</v>
      </c>
      <c r="L10">
        <f t="shared" si="7"/>
        <v>300</v>
      </c>
      <c r="M10">
        <f t="shared" si="1"/>
        <v>0.70000000000000007</v>
      </c>
      <c r="N10" t="str">
        <f t="shared" si="2"/>
        <v>1,92941595456934+3,94000006404697i</v>
      </c>
      <c r="O10" t="str">
        <f t="shared" si="3"/>
        <v>40,099579137012-81,886098222583i</v>
      </c>
      <c r="P10">
        <f t="shared" si="4"/>
        <v>91.177350965489225</v>
      </c>
      <c r="Q10">
        <f t="shared" si="5"/>
        <v>157.92380437176655</v>
      </c>
      <c r="R10">
        <f t="shared" si="0"/>
        <v>86.265393153057701</v>
      </c>
      <c r="S10">
        <f>3*IMREAL(IMPRODUCT(COMPLEX(Datos!$B$3,0),IMCONJUGATE(Datos!O10)))</f>
        <v>48119.4949644144</v>
      </c>
      <c r="T10">
        <f>3*(1-M10)/M10*$B$8*R10*R10</f>
        <v>5529.6855426842749</v>
      </c>
      <c r="U10">
        <f>$B$12*(L10/($F$3*60/2/PI()))^2</f>
        <v>2.1654</v>
      </c>
      <c r="V10">
        <f t="shared" si="6"/>
        <v>5527.520142684275</v>
      </c>
      <c r="W10">
        <f>V10/(L10*2*PI()/60)</f>
        <v>175.94643074964421</v>
      </c>
    </row>
    <row r="11" spans="1:23" x14ac:dyDescent="0.3">
      <c r="A11" s="5" t="s">
        <v>30</v>
      </c>
      <c r="B11" s="2">
        <v>5387.3</v>
      </c>
      <c r="L11">
        <f t="shared" si="7"/>
        <v>350</v>
      </c>
      <c r="M11">
        <f t="shared" si="1"/>
        <v>0.65000000000000013</v>
      </c>
      <c r="N11" t="str">
        <f t="shared" si="2"/>
        <v>1,98620748198636+3,94254568345465i</v>
      </c>
      <c r="O11" t="str">
        <f t="shared" si="3"/>
        <v>40,766369123528-80,9196793767731i</v>
      </c>
      <c r="P11">
        <f t="shared" si="4"/>
        <v>90.608450830788939</v>
      </c>
      <c r="Q11">
        <f t="shared" si="5"/>
        <v>156.93844043403288</v>
      </c>
      <c r="R11">
        <f t="shared" si="0"/>
        <v>85.722950099541904</v>
      </c>
      <c r="S11">
        <f>3*IMREAL(IMPRODUCT(COMPLEX(Datos!$B$3,0),IMCONJUGATE(Datos!O11)))</f>
        <v>48919.642948233603</v>
      </c>
      <c r="T11">
        <f>3*(1-M11)/M11*$B$8*R11*R11</f>
        <v>6860.4548928264376</v>
      </c>
      <c r="U11">
        <f>$B$12*(L11/($F$3*60/2/PI()))^2</f>
        <v>2.9473499999999992</v>
      </c>
      <c r="V11">
        <f t="shared" si="6"/>
        <v>6857.5075428264372</v>
      </c>
      <c r="W11">
        <f>V11/(L11*2*PI()/60)</f>
        <v>187.09820961099169</v>
      </c>
    </row>
    <row r="12" spans="1:23" x14ac:dyDescent="0.3">
      <c r="A12" s="5" t="s">
        <v>3</v>
      </c>
      <c r="B12" s="2">
        <v>24.06</v>
      </c>
      <c r="L12">
        <f t="shared" si="7"/>
        <v>400</v>
      </c>
      <c r="M12">
        <f t="shared" si="1"/>
        <v>0.6</v>
      </c>
      <c r="N12" t="str">
        <f t="shared" si="2"/>
        <v>2,05244573028686+3,94575700032912i</v>
      </c>
      <c r="O12" t="str">
        <f t="shared" si="3"/>
        <v>41,5022608555469-79,7866827286936i</v>
      </c>
      <c r="P12">
        <f t="shared" si="4"/>
        <v>89.935267815085055</v>
      </c>
      <c r="Q12">
        <f t="shared" si="5"/>
        <v>155.77245324804133</v>
      </c>
      <c r="R12">
        <f t="shared" si="0"/>
        <v>85.080906564458473</v>
      </c>
      <c r="S12">
        <f>3*IMREAL(IMPRODUCT(COMPLEX(Datos!$B$3,0),IMCONJUGATE(Datos!O12)))</f>
        <v>49802.713026656405</v>
      </c>
      <c r="T12">
        <f>3*(1-M12)/M12*$B$8*R12*R12</f>
        <v>8367.138673796193</v>
      </c>
      <c r="U12">
        <f>$B$12*(L12/($F$3*60/2/PI()))^2</f>
        <v>3.8495999999999992</v>
      </c>
      <c r="V12">
        <f t="shared" si="6"/>
        <v>8363.2890737961934</v>
      </c>
      <c r="W12">
        <f>V12/(L12*2*PI()/60)</f>
        <v>199.65881949016548</v>
      </c>
    </row>
    <row r="13" spans="1:23" x14ac:dyDescent="0.3">
      <c r="A13" s="5" t="s">
        <v>9</v>
      </c>
      <c r="B13" s="2">
        <v>977</v>
      </c>
      <c r="L13">
        <f t="shared" si="7"/>
        <v>450</v>
      </c>
      <c r="M13">
        <f t="shared" si="1"/>
        <v>0.55000000000000004</v>
      </c>
      <c r="N13" t="str">
        <f t="shared" si="2"/>
        <v>2,13069956773975+3,94988717622534i</v>
      </c>
      <c r="O13" t="str">
        <f t="shared" si="3"/>
        <v>42,3146378186881-78,4428024566393i</v>
      </c>
      <c r="P13">
        <f t="shared" si="4"/>
        <v>89.128008117415504</v>
      </c>
      <c r="Q13">
        <f t="shared" si="5"/>
        <v>154.37423843677496</v>
      </c>
      <c r="R13">
        <f t="shared" si="0"/>
        <v>84.310760026540223</v>
      </c>
      <c r="S13">
        <f>3*IMREAL(IMPRODUCT(COMPLEX(Datos!$B$3,0),IMCONJUGATE(Datos!O13)))</f>
        <v>50777.565382425601</v>
      </c>
      <c r="T13">
        <f>3*(1-M13)/M13*$B$8*R13*R13</f>
        <v>10083.698251835171</v>
      </c>
      <c r="U13">
        <f>$B$12*(L13/($F$3*60/2/PI()))^2</f>
        <v>4.8721499999999986</v>
      </c>
      <c r="V13">
        <f t="shared" si="6"/>
        <v>10078.826101835171</v>
      </c>
      <c r="W13">
        <f>V13/(L13*2*PI()/60)</f>
        <v>213.87933262275817</v>
      </c>
    </row>
    <row r="14" spans="1:23" x14ac:dyDescent="0.3">
      <c r="A14" s="5" t="s">
        <v>10</v>
      </c>
      <c r="B14" s="2">
        <v>90.2</v>
      </c>
      <c r="L14">
        <f t="shared" si="7"/>
        <v>500</v>
      </c>
      <c r="M14">
        <f t="shared" si="1"/>
        <v>0.50000000000000011</v>
      </c>
      <c r="N14" t="str">
        <f t="shared" si="2"/>
        <v>2,22456114377602+3,95532200778631i</v>
      </c>
      <c r="O14" t="str">
        <f t="shared" si="3"/>
        <v>43,2095320825758-76,8275637963623i</v>
      </c>
      <c r="P14">
        <f t="shared" si="4"/>
        <v>88.144984098241608</v>
      </c>
      <c r="Q14">
        <f t="shared" si="5"/>
        <v>152.67159089050523</v>
      </c>
      <c r="R14">
        <f t="shared" si="0"/>
        <v>83.372609186527455</v>
      </c>
      <c r="S14">
        <f>3*IMREAL(IMPRODUCT(COMPLEX(Datos!$B$3,0),IMCONJUGATE(Datos!O14)))</f>
        <v>51851.438499090902</v>
      </c>
      <c r="T14">
        <f>3*(1-M14)/M14*$B$8*R14*R14</f>
        <v>12051.768884542143</v>
      </c>
      <c r="U14">
        <f>$B$12*(L14/($F$3*60/2/PI()))^2</f>
        <v>6.0149999999999979</v>
      </c>
      <c r="V14">
        <f t="shared" si="6"/>
        <v>12045.753884542144</v>
      </c>
      <c r="W14">
        <f>V14/(L14*2*PI()/60)</f>
        <v>230.05695287919389</v>
      </c>
    </row>
    <row r="15" spans="1:23" x14ac:dyDescent="0.3">
      <c r="A15" s="5" t="s">
        <v>11</v>
      </c>
      <c r="B15" s="2">
        <v>91.2</v>
      </c>
      <c r="L15">
        <f t="shared" si="7"/>
        <v>550</v>
      </c>
      <c r="M15">
        <f t="shared" si="1"/>
        <v>0.45000000000000007</v>
      </c>
      <c r="N15" t="str">
        <f t="shared" si="2"/>
        <v>2,33921108961541+3,96267286115653i</v>
      </c>
      <c r="O15" t="str">
        <f t="shared" si="3"/>
        <v>44,1888249076427-74,85680022862i</v>
      </c>
      <c r="P15">
        <f t="shared" si="4"/>
        <v>86.926364166378349</v>
      </c>
      <c r="Q15">
        <f t="shared" si="5"/>
        <v>150.56087925340194</v>
      </c>
      <c r="R15">
        <f t="shared" si="0"/>
        <v>82.209150737246546</v>
      </c>
      <c r="S15">
        <f>3*IMREAL(IMPRODUCT(COMPLEX(Datos!$B$3,0),IMCONJUGATE(Datos!O15)))</f>
        <v>53026.5898891713</v>
      </c>
      <c r="T15">
        <f>3*(1-M15)/M15*$B$8*R15*R15</f>
        <v>14321.697866912451</v>
      </c>
      <c r="U15">
        <f>$B$12*(L15/($F$3*60/2/PI()))^2</f>
        <v>7.2781499999999983</v>
      </c>
      <c r="V15">
        <f t="shared" si="6"/>
        <v>14314.419716912451</v>
      </c>
      <c r="W15">
        <f>V15/(L15*2*PI()/60)</f>
        <v>248.53207150240428</v>
      </c>
    </row>
    <row r="16" spans="1:23" x14ac:dyDescent="0.3">
      <c r="A16" s="5" t="s">
        <v>12</v>
      </c>
      <c r="B16" s="2">
        <v>90.7</v>
      </c>
      <c r="L16">
        <f t="shared" si="7"/>
        <v>600</v>
      </c>
      <c r="M16">
        <f t="shared" si="1"/>
        <v>0.40000000000000008</v>
      </c>
      <c r="N16" t="str">
        <f t="shared" si="2"/>
        <v>2,48240422743488+3,97295541396176i</v>
      </c>
      <c r="O16" t="str">
        <f t="shared" si="3"/>
        <v>45,2442254872464-72,4109670026646i</v>
      </c>
      <c r="P16">
        <f t="shared" si="4"/>
        <v>85.383769430740045</v>
      </c>
      <c r="Q16">
        <f t="shared" si="5"/>
        <v>147.88902679578811</v>
      </c>
      <c r="R16">
        <f t="shared" si="0"/>
        <v>80.735674707629641</v>
      </c>
      <c r="S16">
        <f>3*IMREAL(IMPRODUCT(COMPLEX(Datos!$B$3,0),IMCONJUGATE(Datos!O16)))</f>
        <v>54293.070584695801</v>
      </c>
      <c r="T16">
        <f>3*(1-M16)/M16*$B$8*R16*R16</f>
        <v>16952.206165184547</v>
      </c>
      <c r="U16">
        <f>$B$12*(L16/($F$3*60/2/PI()))^2</f>
        <v>8.6616</v>
      </c>
      <c r="V16">
        <f t="shared" si="6"/>
        <v>16943.544565184548</v>
      </c>
      <c r="W16">
        <f>V16/(L16*2*PI()/60)</f>
        <v>269.66488710469395</v>
      </c>
    </row>
    <row r="17" spans="1:23" x14ac:dyDescent="0.3">
      <c r="A17" s="5" t="s">
        <v>13</v>
      </c>
      <c r="B17" s="2">
        <v>0.76</v>
      </c>
      <c r="L17">
        <f t="shared" si="7"/>
        <v>650</v>
      </c>
      <c r="M17">
        <f t="shared" si="1"/>
        <v>0.35000000000000003</v>
      </c>
      <c r="N17" t="str">
        <f t="shared" si="2"/>
        <v>2,6662916237823+3,98795821033184i</v>
      </c>
      <c r="O17" t="str">
        <f t="shared" si="3"/>
        <v>46,3442522828693-69,3168518194502i</v>
      </c>
      <c r="P17">
        <f t="shared" si="4"/>
        <v>83.382346247978973</v>
      </c>
      <c r="Q17">
        <f t="shared" si="5"/>
        <v>144.42246015579971</v>
      </c>
      <c r="R17">
        <f t="shared" si="0"/>
        <v>78.822794982654614</v>
      </c>
      <c r="S17">
        <f>3*IMREAL(IMPRODUCT(COMPLEX(Datos!$B$3,0),IMCONJUGATE(Datos!O17)))</f>
        <v>55613.1027394431</v>
      </c>
      <c r="T17">
        <f>3*(1-M17)/M17*$B$8*R17*R17</f>
        <v>20005.664512696872</v>
      </c>
      <c r="U17">
        <f>$B$12*(L17/($F$3*60/2/PI()))^2</f>
        <v>10.165349999999997</v>
      </c>
      <c r="V17">
        <f t="shared" si="6"/>
        <v>19995.499162696873</v>
      </c>
      <c r="W17">
        <f>V17/(L17*2*PI()/60)</f>
        <v>293.75838750766724</v>
      </c>
    </row>
    <row r="18" spans="1:23" x14ac:dyDescent="0.3">
      <c r="A18" s="5" t="s">
        <v>18</v>
      </c>
      <c r="B18" s="2">
        <v>31.5</v>
      </c>
      <c r="L18">
        <f t="shared" si="7"/>
        <v>700</v>
      </c>
      <c r="M18">
        <f t="shared" si="1"/>
        <v>0.30000000000000016</v>
      </c>
      <c r="N18" t="str">
        <f t="shared" si="2"/>
        <v>2,91104058009695+4,011071562953i</v>
      </c>
      <c r="O18" t="str">
        <f t="shared" si="3"/>
        <v>47,4055787911463-65,3193123842203i</v>
      </c>
      <c r="P18">
        <f t="shared" si="4"/>
        <v>80.708744698892048</v>
      </c>
      <c r="Q18">
        <f t="shared" si="5"/>
        <v>139.79164643358629</v>
      </c>
      <c r="R18">
        <f t="shared" si="0"/>
        <v>76.265526388890919</v>
      </c>
      <c r="S18">
        <f>3*IMREAL(IMPRODUCT(COMPLEX(Datos!$B$3,0),IMCONJUGATE(Datos!O18)))</f>
        <v>56886.694549375505</v>
      </c>
      <c r="T18">
        <f>3*(1-M18)/M18*$B$8*R18*R18</f>
        <v>23530.834964389232</v>
      </c>
      <c r="U18">
        <f>$B$12*(L18/($F$3*60/2/PI()))^2</f>
        <v>11.789399999999997</v>
      </c>
      <c r="V18">
        <f t="shared" si="6"/>
        <v>23519.045564389231</v>
      </c>
      <c r="W18">
        <f>V18/(L18*2*PI()/60)</f>
        <v>320.84334500366248</v>
      </c>
    </row>
    <row r="19" spans="1:23" x14ac:dyDescent="0.3">
      <c r="A19" s="5" t="s">
        <v>14</v>
      </c>
      <c r="B19" s="2">
        <v>5.8</v>
      </c>
      <c r="L19">
        <f t="shared" si="7"/>
        <v>750</v>
      </c>
      <c r="M19">
        <f t="shared" si="1"/>
        <v>0.25000000000000006</v>
      </c>
      <c r="N19" t="str">
        <f t="shared" si="2"/>
        <v>3,25271990411415+4,04937238653848i</v>
      </c>
      <c r="O19" t="str">
        <f t="shared" si="3"/>
        <v>48,2284485228906-60,0405056233616i</v>
      </c>
      <c r="P19">
        <f t="shared" si="4"/>
        <v>77.011983239194819</v>
      </c>
      <c r="Q19">
        <f t="shared" si="5"/>
        <v>133.38866776192822</v>
      </c>
      <c r="R19">
        <f t="shared" si="0"/>
        <v>72.725947800035669</v>
      </c>
      <c r="S19">
        <f>3*IMREAL(IMPRODUCT(COMPLEX(Datos!$B$3,0),IMCONJUGATE(Datos!O19)))</f>
        <v>57874.138227468604</v>
      </c>
      <c r="T19">
        <f>3*(1-M19)/M19*$B$8*R19*R19</f>
        <v>27510.852146436049</v>
      </c>
      <c r="U19">
        <f>$B$12*(L19/($F$3*60/2/PI()))^2</f>
        <v>13.533749999999994</v>
      </c>
      <c r="V19">
        <f t="shared" si="6"/>
        <v>27497.318396436051</v>
      </c>
      <c r="W19">
        <f>V19/(L19*2*PI()/60)</f>
        <v>350.10673156516049</v>
      </c>
    </row>
    <row r="20" spans="1:23" x14ac:dyDescent="0.3">
      <c r="A20" s="5" t="s">
        <v>17</v>
      </c>
      <c r="B20" s="2">
        <v>146</v>
      </c>
      <c r="L20">
        <f>L19+10</f>
        <v>760</v>
      </c>
      <c r="M20">
        <f t="shared" si="1"/>
        <v>0.24</v>
      </c>
      <c r="N20" t="str">
        <f t="shared" si="2"/>
        <v>3,33794164844927+4,06002574122103i</v>
      </c>
      <c r="O20" t="str">
        <f t="shared" si="3"/>
        <v>48,3310260017659-58,78629117377i</v>
      </c>
      <c r="P20">
        <f t="shared" si="4"/>
        <v>76.103325185898669</v>
      </c>
      <c r="Q20">
        <f t="shared" si="5"/>
        <v>131.81482584691267</v>
      </c>
      <c r="R20">
        <f t="shared" si="0"/>
        <v>71.855258677669696</v>
      </c>
      <c r="S20">
        <f>3*IMREAL(IMPRODUCT(COMPLEX(Datos!$B$3,0),IMCONJUGATE(Datos!O20)))</f>
        <v>57997.231202119205</v>
      </c>
      <c r="T20">
        <f>3*(1-M20)/M20*$B$8*R20*R20</f>
        <v>28348.068482621042</v>
      </c>
      <c r="U20">
        <f>$B$12*(L20/($F$3*60/2/PI()))^2</f>
        <v>13.897055999999997</v>
      </c>
      <c r="V20">
        <f t="shared" si="6"/>
        <v>28334.17142662104</v>
      </c>
      <c r="W20">
        <f>V20/(L20*2*PI()/60)</f>
        <v>356.01500849683248</v>
      </c>
    </row>
    <row r="21" spans="1:23" x14ac:dyDescent="0.3">
      <c r="A21" s="5" t="s">
        <v>15</v>
      </c>
      <c r="B21" s="2">
        <v>1.8</v>
      </c>
      <c r="L21">
        <f t="shared" ref="L21:L41" si="8">L20+10</f>
        <v>770</v>
      </c>
      <c r="M21">
        <f t="shared" si="1"/>
        <v>0.23000000000000007</v>
      </c>
      <c r="N21" t="str">
        <f t="shared" si="2"/>
        <v>3,4304766390139+4,07209267195914i</v>
      </c>
      <c r="O21" t="str">
        <f t="shared" si="3"/>
        <v>48,4016012119607-57,4543500354428i</v>
      </c>
      <c r="P21">
        <f t="shared" si="4"/>
        <v>75.124678620789211</v>
      </c>
      <c r="Q21">
        <f t="shared" si="5"/>
        <v>130.11976027349033</v>
      </c>
      <c r="R21">
        <f t="shared" si="0"/>
        <v>70.917202920690585</v>
      </c>
      <c r="S21">
        <f>3*IMREAL(IMPRODUCT(COMPLEX(Datos!$B$3,0),IMCONJUGATE(Datos!O21)))</f>
        <v>58081.921454352901</v>
      </c>
      <c r="T21">
        <f>3*(1-M21)/M21*$B$8*R21*R21</f>
        <v>29192.419654401609</v>
      </c>
      <c r="U21">
        <f>$B$12*(L21/($F$3*60/2/PI()))^2</f>
        <v>14.265173999999996</v>
      </c>
      <c r="V21">
        <f t="shared" si="6"/>
        <v>29178.154480401608</v>
      </c>
      <c r="W21">
        <f>V21/(L21*2*PI()/60)</f>
        <v>361.85824798868953</v>
      </c>
    </row>
    <row r="22" spans="1:23" x14ac:dyDescent="0.3">
      <c r="A22" s="5" t="s">
        <v>16</v>
      </c>
      <c r="B22" s="2">
        <v>2.7</v>
      </c>
      <c r="L22">
        <f t="shared" si="8"/>
        <v>780</v>
      </c>
      <c r="M22">
        <f t="shared" si="1"/>
        <v>0.22000000000000014</v>
      </c>
      <c r="N22" t="str">
        <f t="shared" si="2"/>
        <v>3,53130351715868+4,08583406683254i</v>
      </c>
      <c r="O22" t="str">
        <f t="shared" si="3"/>
        <v>48,4334935436073-56,0391416185629i</v>
      </c>
      <c r="P22">
        <f t="shared" si="4"/>
        <v>74.068810508769474</v>
      </c>
      <c r="Q22">
        <f t="shared" si="5"/>
        <v>128.2909430573803</v>
      </c>
      <c r="R22">
        <f t="shared" si="0"/>
        <v>69.904769599714712</v>
      </c>
      <c r="S22">
        <f>3*IMREAL(IMPRODUCT(COMPLEX(Datos!$B$3,0),IMCONJUGATE(Datos!O22)))</f>
        <v>58120.192252328692</v>
      </c>
      <c r="T22">
        <f>3*(1-M22)/M22*$B$8*R22*R22</f>
        <v>30039.28197004148</v>
      </c>
      <c r="U22">
        <f>$B$12*(L22/($F$3*60/2/PI()))^2</f>
        <v>14.638103999999995</v>
      </c>
      <c r="V22">
        <f t="shared" si="6"/>
        <v>30024.643866041479</v>
      </c>
      <c r="W22">
        <f>V22/(L22*2*PI()/60)</f>
        <v>367.58234506571205</v>
      </c>
    </row>
    <row r="23" spans="1:23" x14ac:dyDescent="0.3">
      <c r="A23" s="5" t="s">
        <v>42</v>
      </c>
      <c r="B23" s="13">
        <f>$B$18*$B$19</f>
        <v>182.7</v>
      </c>
      <c r="L23">
        <f t="shared" si="8"/>
        <v>790</v>
      </c>
      <c r="M23">
        <f t="shared" si="1"/>
        <v>0.21000000000000008</v>
      </c>
      <c r="N23" t="str">
        <f t="shared" si="2"/>
        <v>3,64158265111038+4,10157375351684i</v>
      </c>
      <c r="O23" t="str">
        <f t="shared" si="3"/>
        <v>48,4188118989714-54,5348951508036i</v>
      </c>
      <c r="P23">
        <f t="shared" si="4"/>
        <v>72.927608865347537</v>
      </c>
      <c r="Q23">
        <f t="shared" si="5"/>
        <v>126.31432382929241</v>
      </c>
      <c r="R23">
        <f t="shared" si="0"/>
        <v>68.81008423380716</v>
      </c>
      <c r="S23">
        <f>3*IMREAL(IMPRODUCT(COMPLEX(Datos!$B$3,0),IMCONJUGATE(Datos!O23)))</f>
        <v>58102.574278765795</v>
      </c>
      <c r="T23">
        <f>3*(1-M23)/M23*$B$8*R23*R23</f>
        <v>30882.751285840106</v>
      </c>
      <c r="U23">
        <f>$B$12*(L23/($F$3*60/2/PI()))^2</f>
        <v>15.015845999999996</v>
      </c>
      <c r="V23">
        <f t="shared" si="6"/>
        <v>30867.735439840108</v>
      </c>
      <c r="W23">
        <f>V23/(L23*2*PI()/60)</f>
        <v>373.12045650405821</v>
      </c>
    </row>
    <row r="24" spans="1:23" ht="15" thickBot="1" x14ac:dyDescent="0.35">
      <c r="A24" s="6" t="s">
        <v>43</v>
      </c>
      <c r="B24" s="3">
        <f>$F$4*$B$21</f>
        <v>263.90072447172008</v>
      </c>
      <c r="L24">
        <f t="shared" si="8"/>
        <v>800</v>
      </c>
      <c r="M24">
        <f t="shared" si="1"/>
        <v>0.20000000000000004</v>
      </c>
      <c r="N24" t="str">
        <f t="shared" si="2"/>
        <v>3,76270008178988+4,11971759583237i</v>
      </c>
      <c r="O24" t="str">
        <f t="shared" si="3"/>
        <v>48,3482415403956-52,9356837037016i</v>
      </c>
      <c r="P24">
        <f t="shared" si="4"/>
        <v>71.691973534188421</v>
      </c>
      <c r="Q24">
        <f t="shared" si="5"/>
        <v>124.17414065609762</v>
      </c>
      <c r="R24">
        <f t="shared" si="0"/>
        <v>67.62429773386809</v>
      </c>
      <c r="S24">
        <f>3*IMREAL(IMPRODUCT(COMPLEX(Datos!$B$3,0),IMCONJUGATE(Datos!O24)))</f>
        <v>58017.889848474602</v>
      </c>
      <c r="T24">
        <f>3*(1-M24)/M24*$B$8*R24*R24</f>
        <v>31715.351993912245</v>
      </c>
      <c r="U24">
        <f>$B$12*(L24/($F$3*60/2/PI()))^2</f>
        <v>15.398399999999997</v>
      </c>
      <c r="V24">
        <f t="shared" si="6"/>
        <v>31699.953593912247</v>
      </c>
      <c r="W24">
        <f>V24/(L24*2*PI()/60)</f>
        <v>378.390323269112</v>
      </c>
    </row>
    <row r="25" spans="1:23" x14ac:dyDescent="0.3">
      <c r="L25">
        <f t="shared" si="8"/>
        <v>810</v>
      </c>
      <c r="M25">
        <f t="shared" si="1"/>
        <v>0.19000000000000011</v>
      </c>
      <c r="N25" t="str">
        <f t="shared" si="2"/>
        <v>3,89632476622314+4,14077969085408i</v>
      </c>
      <c r="O25" t="str">
        <f t="shared" si="3"/>
        <v>48,2107981306723-51,2355375275515i</v>
      </c>
      <c r="P25">
        <f t="shared" si="4"/>
        <v>70.351697649264835</v>
      </c>
      <c r="Q25">
        <f t="shared" si="5"/>
        <v>121.85271472725064</v>
      </c>
      <c r="R25">
        <f t="shared" si="0"/>
        <v>66.337464208596757</v>
      </c>
      <c r="S25">
        <f>3*IMREAL(IMPRODUCT(COMPLEX(Datos!$B$3,0),IMCONJUGATE(Datos!O25)))</f>
        <v>57852.957756806696</v>
      </c>
      <c r="T25">
        <f>3*(1-M25)/M25*$B$8*R25*R25</f>
        <v>32527.685248147562</v>
      </c>
      <c r="U25">
        <f>$B$12*(L25/($F$3*60/2/PI()))^2</f>
        <v>15.785765999999997</v>
      </c>
      <c r="V25">
        <f t="shared" si="6"/>
        <v>32511.899482147561</v>
      </c>
      <c r="W25">
        <f>V25/(L25*2*PI()/60)</f>
        <v>383.29107495486051</v>
      </c>
    </row>
    <row r="26" spans="1:23" x14ac:dyDescent="0.3">
      <c r="L26">
        <f t="shared" si="8"/>
        <v>820</v>
      </c>
      <c r="M26">
        <f t="shared" si="1"/>
        <v>0.18000000000000005</v>
      </c>
      <c r="N26" t="str">
        <f t="shared" si="2"/>
        <v>4,04448401644492+4,16541884364821i</v>
      </c>
      <c r="O26" t="str">
        <f t="shared" si="3"/>
        <v>47,9935470901334-49,4286105742809i</v>
      </c>
      <c r="P26">
        <f t="shared" si="4"/>
        <v>68.895341682850855</v>
      </c>
      <c r="Q26">
        <f t="shared" si="5"/>
        <v>119.33023219951555</v>
      </c>
      <c r="R26">
        <f t="shared" si="0"/>
        <v>64.938408568280138</v>
      </c>
      <c r="S26">
        <f>3*IMREAL(IMPRODUCT(COMPLEX(Datos!$B$3,0),IMCONJUGATE(Datos!O26)))</f>
        <v>57592.256508160193</v>
      </c>
      <c r="T26">
        <f>3*(1-M26)/M26*$B$8*R26*R26</f>
        <v>33308.006299573295</v>
      </c>
      <c r="U26">
        <f>$B$12*(L26/($F$3*60/2/PI()))^2</f>
        <v>16.177943999999997</v>
      </c>
      <c r="V26">
        <f t="shared" si="6"/>
        <v>33291.828355573292</v>
      </c>
      <c r="W26">
        <f>V26/(L26*2*PI()/60)</f>
        <v>387.69944248949378</v>
      </c>
    </row>
    <row r="27" spans="1:23" x14ac:dyDescent="0.3">
      <c r="L27">
        <f t="shared" si="8"/>
        <v>830</v>
      </c>
      <c r="M27">
        <f t="shared" si="1"/>
        <v>0.17000000000000012</v>
      </c>
      <c r="N27" t="str">
        <f t="shared" si="2"/>
        <v>4,20966418312341+4,19449018497253i</v>
      </c>
      <c r="O27" t="str">
        <f t="shared" si="3"/>
        <v>47,6812883571785-47,5094181675648i</v>
      </c>
      <c r="P27">
        <f t="shared" si="4"/>
        <v>67.310103803373707</v>
      </c>
      <c r="Q27">
        <f t="shared" si="5"/>
        <v>116.58451965017838</v>
      </c>
      <c r="R27">
        <f t="shared" si="0"/>
        <v>63.414586193996463</v>
      </c>
      <c r="S27">
        <f>3*IMREAL(IMPRODUCT(COMPLEX(Datos!$B$3,0),IMCONJUGATE(Datos!O27)))</f>
        <v>57217.546028614204</v>
      </c>
      <c r="T27">
        <f>3*(1-M27)/M27*$B$8*R27*R27</f>
        <v>34041.720767588216</v>
      </c>
      <c r="U27">
        <f>$B$12*(L27/($F$3*60/2/PI()))^2</f>
        <v>16.574933999999999</v>
      </c>
      <c r="V27">
        <f t="shared" si="6"/>
        <v>34025.14583358822</v>
      </c>
      <c r="W27">
        <f>V27/(L27*2*PI()/60)</f>
        <v>391.46531196420528</v>
      </c>
    </row>
    <row r="28" spans="1:23" x14ac:dyDescent="0.3">
      <c r="L28">
        <f t="shared" si="8"/>
        <v>840</v>
      </c>
      <c r="M28">
        <f t="shared" si="1"/>
        <v>0.16000000000000009</v>
      </c>
      <c r="N28" t="str">
        <f t="shared" si="2"/>
        <v>4,39494689273733+4,22911954082912i</v>
      </c>
      <c r="O28" t="str">
        <f t="shared" si="3"/>
        <v>47,2562100823241-45,4731687008413i</v>
      </c>
      <c r="P28">
        <f t="shared" si="4"/>
        <v>65.581693047983464</v>
      </c>
      <c r="Q28">
        <f t="shared" si="5"/>
        <v>113.59082440549398</v>
      </c>
      <c r="R28">
        <f t="shared" si="0"/>
        <v>61.751938963554139</v>
      </c>
      <c r="S28">
        <f>3*IMREAL(IMPRODUCT(COMPLEX(Datos!$B$3,0),IMCONJUGATE(Datos!O28)))</f>
        <v>56707.452098788795</v>
      </c>
      <c r="T28">
        <f>3*(1-M28)/M28*$B$8*R28*R28</f>
        <v>34710.790874924984</v>
      </c>
      <c r="U28">
        <f>$B$12*(L28/($F$3*60/2/PI()))^2</f>
        <v>16.976735999999995</v>
      </c>
      <c r="V28">
        <f t="shared" si="6"/>
        <v>34693.814138924987</v>
      </c>
      <c r="W28">
        <f>V28/(L28*2*PI()/60)</f>
        <v>394.40657249438573</v>
      </c>
    </row>
    <row r="29" spans="1:23" x14ac:dyDescent="0.3">
      <c r="L29">
        <f t="shared" si="8"/>
        <v>850</v>
      </c>
      <c r="M29">
        <f t="shared" si="1"/>
        <v>0.15000000000000016</v>
      </c>
      <c r="N29" t="str">
        <f t="shared" si="2"/>
        <v>4,60419617464557+4,27081273207925i</v>
      </c>
      <c r="O29" t="str">
        <f t="shared" si="3"/>
        <v>46,6975204426232-43,3162179233683i</v>
      </c>
      <c r="P29">
        <f t="shared" si="4"/>
        <v>63.694215990731415</v>
      </c>
      <c r="Q29">
        <f t="shared" si="5"/>
        <v>110.32161824421284</v>
      </c>
      <c r="R29">
        <f t="shared" si="0"/>
        <v>59.934754913734949</v>
      </c>
      <c r="S29">
        <f>3*IMREAL(IMPRODUCT(COMPLEX(Datos!$B$3,0),IMCONJUGATE(Datos!O29)))</f>
        <v>56037.024531147908</v>
      </c>
      <c r="T29">
        <f>3*(1-M29)/M29*$B$8*R29*R29</f>
        <v>35293.046024048126</v>
      </c>
      <c r="U29">
        <f>$B$12*(L29/($F$3*60/2/PI()))^2</f>
        <v>17.383349999999993</v>
      </c>
      <c r="V29">
        <f t="shared" si="6"/>
        <v>35275.66267404813</v>
      </c>
      <c r="W29">
        <f>V29/(L29*2*PI()/60)</f>
        <v>396.30325308826076</v>
      </c>
    </row>
    <row r="30" spans="1:23" x14ac:dyDescent="0.3">
      <c r="L30">
        <f t="shared" si="8"/>
        <v>860</v>
      </c>
      <c r="M30">
        <f t="shared" si="1"/>
        <v>0.1400000000000001</v>
      </c>
      <c r="N30" t="str">
        <f t="shared" si="2"/>
        <v>4,84231971575712+4,3216198017504i</v>
      </c>
      <c r="O30" t="str">
        <f t="shared" si="3"/>
        <v>45,9810756268751-41,0366804753239i</v>
      </c>
      <c r="P30">
        <f t="shared" si="4"/>
        <v>61.63009378735552</v>
      </c>
      <c r="Q30">
        <f t="shared" si="5"/>
        <v>106.74645371493477</v>
      </c>
      <c r="R30">
        <f t="shared" si="0"/>
        <v>57.945543117665082</v>
      </c>
      <c r="S30">
        <f>3*IMREAL(IMPRODUCT(COMPLEX(Datos!$B$3,0),IMCONJUGATE(Datos!O30)))</f>
        <v>55177.290752250003</v>
      </c>
      <c r="T30">
        <f>3*(1-M30)/M30*$B$8*R30*R30</f>
        <v>35761.398942438325</v>
      </c>
      <c r="U30">
        <f>$B$12*(L30/($F$3*60/2/PI()))^2</f>
        <v>17.794775999999995</v>
      </c>
      <c r="V30">
        <f t="shared" si="6"/>
        <v>35743.604166438323</v>
      </c>
      <c r="W30">
        <f>V30/(L30*2*PI()/60)</f>
        <v>396.89102002386448</v>
      </c>
    </row>
    <row r="31" spans="1:23" x14ac:dyDescent="0.3">
      <c r="L31">
        <f t="shared" si="8"/>
        <v>870</v>
      </c>
      <c r="M31">
        <f t="shared" si="1"/>
        <v>0.13000000000000003</v>
      </c>
      <c r="N31" t="str">
        <f t="shared" si="2"/>
        <v>5,11564014391968+4,3843879580673i</v>
      </c>
      <c r="O31" t="str">
        <f t="shared" si="3"/>
        <v>45,0790353901058-38,6352390639877i</v>
      </c>
      <c r="P31">
        <f t="shared" si="4"/>
        <v>59.370035617589885</v>
      </c>
      <c r="Q31">
        <f t="shared" si="5"/>
        <v>102.83191813683956</v>
      </c>
      <c r="R31">
        <f t="shared" si="0"/>
        <v>55.764941379609503</v>
      </c>
      <c r="S31">
        <f>3*IMREAL(IMPRODUCT(COMPLEX(Datos!$B$3,0),IMCONJUGATE(Datos!O31)))</f>
        <v>54094.842468126895</v>
      </c>
      <c r="T31">
        <f>3*(1-M31)/M31*$B$8*R31*R31</f>
        <v>36082.98091715078</v>
      </c>
      <c r="U31">
        <f>$B$12*(L31/($F$3*60/2/PI()))^2</f>
        <v>18.211013999999995</v>
      </c>
      <c r="V31">
        <f t="shared" si="6"/>
        <v>36064.76990315078</v>
      </c>
      <c r="W31">
        <f>V31/(L31*2*PI()/60)</f>
        <v>395.85423459022496</v>
      </c>
    </row>
    <row r="32" spans="1:23" x14ac:dyDescent="0.3">
      <c r="L32">
        <f>L31+10</f>
        <v>880</v>
      </c>
      <c r="M32">
        <f t="shared" si="1"/>
        <v>0.12</v>
      </c>
      <c r="N32" t="str">
        <f t="shared" si="2"/>
        <v>5,43243294323711+4,46316217301078i</v>
      </c>
      <c r="O32" t="str">
        <f t="shared" si="3"/>
        <v>43,959596921925-36,116195482355i</v>
      </c>
      <c r="P32">
        <f t="shared" si="4"/>
        <v>56.893107997874381</v>
      </c>
      <c r="Q32">
        <f t="shared" si="5"/>
        <v>98.541753652821669</v>
      </c>
      <c r="R32">
        <f t="shared" si="0"/>
        <v>53.371682539303222</v>
      </c>
      <c r="S32">
        <f>3*IMREAL(IMPRODUCT(COMPLEX(Datos!$B$3,0),IMCONJUGATE(Datos!O32)))</f>
        <v>52751.516306310004</v>
      </c>
      <c r="T32">
        <f>3*(1-M32)/M32*$B$8*R32*R32</f>
        <v>36218.230028644371</v>
      </c>
      <c r="U32">
        <f>$B$12*(L32/($F$3*60/2/PI()))^2</f>
        <v>18.632063999999996</v>
      </c>
      <c r="V32">
        <f t="shared" si="6"/>
        <v>36199.597964644374</v>
      </c>
      <c r="W32">
        <f>V32/(L32*2*PI()/60)</f>
        <v>392.81897413721356</v>
      </c>
    </row>
    <row r="33" spans="12:23" x14ac:dyDescent="0.3">
      <c r="L33">
        <f t="shared" si="8"/>
        <v>890</v>
      </c>
      <c r="M33">
        <f t="shared" si="1"/>
        <v>0.11000000000000007</v>
      </c>
      <c r="N33" t="str">
        <f t="shared" si="2"/>
        <v>5,80372209720913+4,5638400103246i</v>
      </c>
      <c r="O33" t="str">
        <f t="shared" si="3"/>
        <v>42,5868846603405-33,48880681613i</v>
      </c>
      <c r="P33">
        <f t="shared" si="4"/>
        <v>54.176959374269245</v>
      </c>
      <c r="Q33">
        <f t="shared" si="5"/>
        <v>93.837246235829298</v>
      </c>
      <c r="R33">
        <f t="shared" si="0"/>
        <v>50.742655909600302</v>
      </c>
      <c r="S33">
        <f>3*IMREAL(IMPRODUCT(COMPLEX(Datos!$B$3,0),IMCONJUGATE(Datos!O33)))</f>
        <v>51104.261592408599</v>
      </c>
      <c r="T33">
        <f>3*(1-M33)/M33*$B$8*R33*R33</f>
        <v>36119.998149329753</v>
      </c>
      <c r="U33">
        <f>$B$12*(L33/($F$3*60/2/PI()))^2</f>
        <v>19.057925999999995</v>
      </c>
      <c r="V33">
        <f t="shared" si="6"/>
        <v>36100.940223329751</v>
      </c>
      <c r="W33">
        <f>V33/(L33*2*PI()/60)</f>
        <v>387.34672495334576</v>
      </c>
    </row>
    <row r="34" spans="12:23" x14ac:dyDescent="0.3">
      <c r="L34">
        <f t="shared" si="8"/>
        <v>900</v>
      </c>
      <c r="M34">
        <f t="shared" si="1"/>
        <v>0.10000000000000014</v>
      </c>
      <c r="N34" t="str">
        <f t="shared" si="2"/>
        <v>6,24448293666882+4,69528138171062i</v>
      </c>
      <c r="O34" t="str">
        <f t="shared" si="3"/>
        <v>40,9211091723042-30,7689401931755i</v>
      </c>
      <c r="P34">
        <f t="shared" si="4"/>
        <v>51.19828958571614</v>
      </c>
      <c r="Q34">
        <f t="shared" si="5"/>
        <v>88.678038823084876</v>
      </c>
      <c r="R34">
        <f t="shared" si="0"/>
        <v>47.853113755336175</v>
      </c>
      <c r="S34">
        <f>3*IMREAL(IMPRODUCT(COMPLEX(Datos!$B$3,0),IMCONJUGATE(Datos!O34)))</f>
        <v>49105.331006765104</v>
      </c>
      <c r="T34">
        <f>3*(1-M34)/M34*$B$8*R34*R34</f>
        <v>35732.789590638626</v>
      </c>
      <c r="U34">
        <f>$B$12*(L34/($F$3*60/2/PI()))^2</f>
        <v>19.488599999999995</v>
      </c>
      <c r="V34">
        <f t="shared" si="6"/>
        <v>35713.300990638629</v>
      </c>
      <c r="W34">
        <f>V34/(L34*2*PI()/60)</f>
        <v>378.92989245258804</v>
      </c>
    </row>
    <row r="35" spans="12:23" x14ac:dyDescent="0.3">
      <c r="L35">
        <f t="shared" si="8"/>
        <v>910</v>
      </c>
      <c r="M35">
        <f t="shared" si="1"/>
        <v>9.0000000000000094E-2</v>
      </c>
      <c r="N35" t="str">
        <f t="shared" si="2"/>
        <v>6,77550116759095+4,8712690802607i</v>
      </c>
      <c r="O35" t="str">
        <f t="shared" si="3"/>
        <v>38,9191518674956-27,9810535682499i</v>
      </c>
      <c r="P35">
        <f t="shared" si="4"/>
        <v>47.93370151442987</v>
      </c>
      <c r="Q35">
        <f t="shared" si="5"/>
        <v>83.023606417833776</v>
      </c>
      <c r="R35">
        <f t="shared" si="0"/>
        <v>44.677088244521237</v>
      </c>
      <c r="S35">
        <f>3*IMREAL(IMPRODUCT(COMPLEX(Datos!$B$3,0),IMCONJUGATE(Datos!O35)))</f>
        <v>46702.982240994599</v>
      </c>
      <c r="T35">
        <f>3*(1-M35)/M35*$B$8*R35*R35</f>
        <v>34992.309993980984</v>
      </c>
      <c r="U35">
        <f>$B$12*(L35/($F$3*60/2/PI()))^2</f>
        <v>19.924085999999996</v>
      </c>
      <c r="V35">
        <f t="shared" si="6"/>
        <v>34972.385907980984</v>
      </c>
      <c r="W35">
        <f>V35/(L35*2*PI()/60)</f>
        <v>366.99086300917691</v>
      </c>
    </row>
    <row r="36" spans="12:23" x14ac:dyDescent="0.3">
      <c r="L36">
        <f t="shared" si="8"/>
        <v>920</v>
      </c>
      <c r="M36">
        <f t="shared" si="1"/>
        <v>8.0000000000000043E-2</v>
      </c>
      <c r="N36" t="str">
        <f t="shared" si="2"/>
        <v>7,42630388410723+5,11414326730727i</v>
      </c>
      <c r="O36" t="str">
        <f t="shared" si="3"/>
        <v>36,5357803501808-25,1604590937309i</v>
      </c>
      <c r="P36">
        <f t="shared" si="4"/>
        <v>44.361153587389538</v>
      </c>
      <c r="Q36">
        <f t="shared" si="5"/>
        <v>76.835771895725046</v>
      </c>
      <c r="R36">
        <f t="shared" ref="R36:R54" si="9">IMABS(IMDIV(IMSUB(COMPLEX($B$3,0),IMPRODUCT(O36,$F$8)),COMPLEX($B$8/M36,$B$9)))</f>
        <v>41.188100244141623</v>
      </c>
      <c r="S36">
        <f>3*IMREAL(IMPRODUCT(COMPLEX(Datos!$B$3,0),IMCONJUGATE(Datos!O36)))</f>
        <v>43842.936420216894</v>
      </c>
      <c r="T36">
        <f>3*(1-M36)/M36*$B$8*R36*R36</f>
        <v>33825.589246552037</v>
      </c>
      <c r="U36">
        <f>$B$12*(L36/($F$3*60/2/PI()))^2</f>
        <v>20.364383999999994</v>
      </c>
      <c r="V36">
        <f t="shared" si="6"/>
        <v>33805.224862552037</v>
      </c>
      <c r="W36">
        <f>V36/(L36*2*PI()/60)</f>
        <v>350.88708516575184</v>
      </c>
    </row>
    <row r="37" spans="12:23" x14ac:dyDescent="0.3">
      <c r="L37">
        <f>L36+10</f>
        <v>930</v>
      </c>
      <c r="M37">
        <f t="shared" si="1"/>
        <v>7.0000000000000118E-2</v>
      </c>
      <c r="N37" t="str">
        <f t="shared" si="2"/>
        <v>8,23983502394494+5,46192874117581i</v>
      </c>
      <c r="O37" t="str">
        <f t="shared" si="3"/>
        <v>33,7257417959594-22,3557386643686i</v>
      </c>
      <c r="P37">
        <f t="shared" si="4"/>
        <v>40.462386372003166</v>
      </c>
      <c r="Q37">
        <f t="shared" si="5"/>
        <v>70.08290899179201</v>
      </c>
      <c r="R37">
        <f t="shared" si="9"/>
        <v>37.360253925270889</v>
      </c>
      <c r="S37">
        <f>3*IMREAL(IMPRODUCT(COMPLEX(Datos!$B$3,0),IMCONJUGATE(Datos!O37)))</f>
        <v>40470.890155151399</v>
      </c>
      <c r="T37">
        <f>3*(1-M37)/M37*$B$8*R37*R37</f>
        <v>32152.041630939686</v>
      </c>
      <c r="U37">
        <f>$B$12*(L37/($F$3*60/2/PI()))^2</f>
        <v>20.809493999999997</v>
      </c>
      <c r="V37">
        <f t="shared" si="6"/>
        <v>32131.232136939685</v>
      </c>
      <c r="W37">
        <f>V37/(L37*2*PI()/60)</f>
        <v>329.92544659529773</v>
      </c>
    </row>
    <row r="38" spans="12:23" x14ac:dyDescent="0.3">
      <c r="L38">
        <f t="shared" si="8"/>
        <v>940</v>
      </c>
      <c r="M38">
        <f t="shared" si="1"/>
        <v>6.000000000000006E-2</v>
      </c>
      <c r="N38" t="str">
        <f t="shared" si="2"/>
        <v>9,27980787647916+5,98326145249687i</v>
      </c>
      <c r="O38" t="str">
        <f t="shared" si="3"/>
        <v>30,4469993850037-19,631048421404i</v>
      </c>
      <c r="P38">
        <f t="shared" si="4"/>
        <v>36.227031808774015</v>
      </c>
      <c r="Q38">
        <f t="shared" si="5"/>
        <v>62.747059700210436</v>
      </c>
      <c r="R38">
        <f t="shared" si="9"/>
        <v>33.169813576159385</v>
      </c>
      <c r="S38">
        <f>3*IMREAL(IMPRODUCT(COMPLEX(Datos!$B$3,0),IMCONJUGATE(Datos!O38)))</f>
        <v>36536.399262004503</v>
      </c>
      <c r="T38">
        <f>3*(1-M38)/M38*$B$8*R38*R38</f>
        <v>29885.922979685751</v>
      </c>
      <c r="U38">
        <f>$B$12*(L38/($F$3*60/2/PI()))^2</f>
        <v>21.259415999999998</v>
      </c>
      <c r="V38">
        <f t="shared" si="6"/>
        <v>29864.66356368575</v>
      </c>
      <c r="W38">
        <f>V38/(L38*2*PI()/60)</f>
        <v>303.38992531512804</v>
      </c>
    </row>
    <row r="39" spans="12:23" x14ac:dyDescent="0.3">
      <c r="L39">
        <f t="shared" si="8"/>
        <v>950</v>
      </c>
      <c r="M39">
        <f t="shared" si="1"/>
        <v>5.000000000000001E-2</v>
      </c>
      <c r="N39" t="str">
        <f t="shared" si="2"/>
        <v>10,6411034685921+6,81112520916087i</v>
      </c>
      <c r="O39" t="str">
        <f t="shared" si="3"/>
        <v>26,6653372776256-17,0678681471784i</v>
      </c>
      <c r="P39">
        <f t="shared" si="4"/>
        <v>31.659948439929536</v>
      </c>
      <c r="Q39">
        <f t="shared" si="5"/>
        <v>54.836639262968966</v>
      </c>
      <c r="R39">
        <f t="shared" si="9"/>
        <v>28.597340663751783</v>
      </c>
      <c r="S39">
        <f>3*IMREAL(IMPRODUCT(COMPLEX(Datos!$B$3,0),IMCONJUGATE(Datos!O39)))</f>
        <v>31998.404733150601</v>
      </c>
      <c r="T39">
        <f>3*(1-M39)/M39*$B$8*R39*R39</f>
        <v>26940.701941057858</v>
      </c>
      <c r="U39">
        <f>$B$12*(L39/($F$3*60/2/PI()))^2</f>
        <v>21.714149999999993</v>
      </c>
      <c r="V39">
        <f t="shared" si="6"/>
        <v>26918.987791057858</v>
      </c>
      <c r="W39">
        <f>V39/(L39*2*PI()/60)</f>
        <v>270.58673494593086</v>
      </c>
    </row>
    <row r="40" spans="12:23" x14ac:dyDescent="0.3">
      <c r="L40">
        <f>L39+10</f>
        <v>960</v>
      </c>
      <c r="M40">
        <f t="shared" si="1"/>
        <v>4.0000000000000223E-2</v>
      </c>
      <c r="N40" t="str">
        <f t="shared" si="2"/>
        <v>12,4568934611984+8,22581894023031i</v>
      </c>
      <c r="O40" t="str">
        <f t="shared" si="3"/>
        <v>22,36041813584-14,7655393847743i</v>
      </c>
      <c r="P40">
        <f t="shared" si="4"/>
        <v>26.795698396065802</v>
      </c>
      <c r="Q40">
        <f t="shared" si="5"/>
        <v>46.411511046277838</v>
      </c>
      <c r="R40">
        <f t="shared" si="9"/>
        <v>23.630415884042574</v>
      </c>
      <c r="S40">
        <f>3*IMREAL(IMPRODUCT(COMPLEX(Datos!$B$3,0),IMCONJUGATE(Datos!O40)))</f>
        <v>26832.501763008</v>
      </c>
      <c r="T40">
        <f>3*(1-M40)/M40*$B$8*R40*R40</f>
        <v>23235.818753637504</v>
      </c>
      <c r="U40">
        <f>$B$12*(L40/($F$3*60/2/PI()))^2</f>
        <v>22.173695999999993</v>
      </c>
      <c r="V40">
        <f t="shared" si="6"/>
        <v>23213.645057637503</v>
      </c>
      <c r="W40">
        <f>V40/(L40*2*PI()/60)</f>
        <v>230.91039738148467</v>
      </c>
    </row>
    <row r="41" spans="12:23" x14ac:dyDescent="0.3">
      <c r="L41">
        <f t="shared" si="8"/>
        <v>970</v>
      </c>
      <c r="M41">
        <f t="shared" si="1"/>
        <v>3.0000000000000165E-2</v>
      </c>
      <c r="N41" t="str">
        <f t="shared" si="2"/>
        <v>14,8501114911812+10,8749614656226i</v>
      </c>
      <c r="O41" t="str">
        <f t="shared" si="3"/>
        <v>17,5330857125173-12,8397441063197i</v>
      </c>
      <c r="P41">
        <f t="shared" si="4"/>
        <v>21.731730794353439</v>
      </c>
      <c r="Q41">
        <f t="shared" si="5"/>
        <v>37.640461872229309</v>
      </c>
      <c r="R41">
        <f t="shared" si="9"/>
        <v>18.266867923529052</v>
      </c>
      <c r="S41">
        <f>3*IMREAL(IMPRODUCT(COMPLEX(Datos!$B$3,0),IMCONJUGATE(Datos!O41)))</f>
        <v>21039.702855020761</v>
      </c>
      <c r="T41">
        <f>3*(1-M41)/M41*$B$8*R41*R41</f>
        <v>18706.074739144166</v>
      </c>
      <c r="U41">
        <f>$B$12*(L41/($F$3*60/2/PI()))^2</f>
        <v>22.638053999999993</v>
      </c>
      <c r="V41">
        <f t="shared" si="6"/>
        <v>18683.436685144166</v>
      </c>
      <c r="W41">
        <f>V41/(L41*2*PI()/60)</f>
        <v>183.93162695165876</v>
      </c>
    </row>
    <row r="42" spans="12:23" x14ac:dyDescent="0.3">
      <c r="L42" s="8">
        <v>977</v>
      </c>
      <c r="M42" s="8">
        <f t="shared" si="1"/>
        <v>2.3000000000000128E-2</v>
      </c>
      <c r="N42" s="8" t="str">
        <f t="shared" si="2"/>
        <v>16,7518870677835+14,2447616920341i</v>
      </c>
      <c r="O42" s="8" t="str">
        <f t="shared" si="3"/>
        <v>13,8577352332043-11,7837551787184i</v>
      </c>
      <c r="P42" s="8">
        <f t="shared" si="4"/>
        <v>18.190484103111839</v>
      </c>
      <c r="Q42" s="8">
        <f t="shared" si="5"/>
        <v>31.506842680863684</v>
      </c>
      <c r="R42" s="8">
        <f t="shared" si="9"/>
        <v>14.281936538980661</v>
      </c>
      <c r="S42">
        <f>3*IMREAL(IMPRODUCT(COMPLEX(Datos!$B$3,0),IMCONJUGATE(Datos!O42)))</f>
        <v>16629.28227984516</v>
      </c>
      <c r="T42" s="8">
        <f>3*(1-M42)/M42*$B$8*R42*R42</f>
        <v>15022.594131701813</v>
      </c>
      <c r="U42" s="8">
        <f>$B$12*(L42/($F$3*60/2/PI()))^2</f>
        <v>22.965967739999993</v>
      </c>
      <c r="V42" s="8">
        <f t="shared" si="6"/>
        <v>14999.628163961814</v>
      </c>
      <c r="W42" s="8">
        <f>V42/(L42*2*PI()/60)</f>
        <v>146.60787923244217</v>
      </c>
    </row>
    <row r="43" spans="12:23" x14ac:dyDescent="0.3">
      <c r="L43" s="7">
        <f>L42+2</f>
        <v>979</v>
      </c>
      <c r="M43" s="7">
        <f t="shared" si="1"/>
        <v>2.099999999999998E-2</v>
      </c>
      <c r="N43" s="7" t="str">
        <f t="shared" si="2"/>
        <v>17,2515036033581+15,5864976782552i</v>
      </c>
      <c r="O43" s="7" t="str">
        <f t="shared" si="3"/>
        <v>12,765811649486-11,5337363171651i</v>
      </c>
      <c r="P43" s="7">
        <f t="shared" si="4"/>
        <v>17.204447695408465</v>
      </c>
      <c r="Q43" s="7">
        <f t="shared" si="5"/>
        <v>29.798977524608741</v>
      </c>
      <c r="R43" s="7">
        <f t="shared" si="9"/>
        <v>13.10978777508932</v>
      </c>
      <c r="S43">
        <f>3*IMREAL(IMPRODUCT(COMPLEX(Datos!$B$3,0),IMCONJUGATE(Datos!O43)))</f>
        <v>15318.9739793832</v>
      </c>
      <c r="T43" s="7">
        <f>3*(1-M43)/M43*$B$8*R43*R43</f>
        <v>13891.80658218073</v>
      </c>
      <c r="U43" s="7">
        <f>$B$12*(L43/($F$3*60/2/PI()))^2</f>
        <v>23.060090459999994</v>
      </c>
      <c r="V43" s="7">
        <f t="shared" si="6"/>
        <v>13868.746491720731</v>
      </c>
      <c r="W43" s="7">
        <f>V43/(L43*2*PI()/60)</f>
        <v>135.27760318564265</v>
      </c>
    </row>
    <row r="44" spans="12:23" x14ac:dyDescent="0.3">
      <c r="L44" s="7">
        <f t="shared" ref="L44:L52" si="10">L43+2</f>
        <v>981</v>
      </c>
      <c r="M44" s="7">
        <f t="shared" si="1"/>
        <v>1.9000000000000107E-2</v>
      </c>
      <c r="N44" s="7" t="str">
        <f t="shared" si="2"/>
        <v>17,6775029944797+17,1501426033659i</v>
      </c>
      <c r="O44" s="7" t="str">
        <f t="shared" si="3"/>
        <v>11,6563642365874-11,3086282014306i</v>
      </c>
      <c r="P44" s="7">
        <f t="shared" si="4"/>
        <v>16.240563383521685</v>
      </c>
      <c r="Q44" s="7">
        <f t="shared" si="5"/>
        <v>28.129480923802273</v>
      </c>
      <c r="R44" s="7">
        <f t="shared" si="9"/>
        <v>11.923171310550547</v>
      </c>
      <c r="S44">
        <f>3*IMREAL(IMPRODUCT(COMPLEX(Datos!$B$3,0),IMCONJUGATE(Datos!O44)))</f>
        <v>13987.63708390488</v>
      </c>
      <c r="T44" s="7">
        <f>3*(1-M44)/M44*$B$8*R44*R44</f>
        <v>12726.324198192711</v>
      </c>
      <c r="U44" s="7">
        <f>$B$12*(L44/($F$3*60/2/PI()))^2</f>
        <v>23.154405659999995</v>
      </c>
      <c r="V44" s="7">
        <f t="shared" si="6"/>
        <v>12703.169792532712</v>
      </c>
      <c r="W44" s="7">
        <f>V44/(L44*2*PI()/60)</f>
        <v>123.65579604998335</v>
      </c>
    </row>
    <row r="45" spans="12:23" x14ac:dyDescent="0.3">
      <c r="L45" s="7">
        <f t="shared" si="10"/>
        <v>983</v>
      </c>
      <c r="M45" s="7">
        <f t="shared" si="1"/>
        <v>1.7000000000000095E-2</v>
      </c>
      <c r="N45" s="7" t="str">
        <f t="shared" si="2"/>
        <v>17,9768601126386+18,9659960201449i</v>
      </c>
      <c r="O45" s="7" t="str">
        <f t="shared" si="3"/>
        <v>10,5300797394414-11,1094734663728i</v>
      </c>
      <c r="P45" s="7">
        <f t="shared" si="4"/>
        <v>15.306958548942227</v>
      </c>
      <c r="Q45" s="7">
        <f t="shared" si="5"/>
        <v>26.512429916118712</v>
      </c>
      <c r="R45" s="7">
        <f t="shared" si="9"/>
        <v>10.722390743851509</v>
      </c>
      <c r="S45">
        <f>3*IMREAL(IMPRODUCT(COMPLEX(Datos!$B$3,0),IMCONJUGATE(Datos!O45)))</f>
        <v>12636.095687329682</v>
      </c>
      <c r="T45" s="7">
        <f>3*(1-M45)/M45*$B$8*R45*R45</f>
        <v>11526.351625504432</v>
      </c>
      <c r="U45" s="7">
        <f>$B$12*(L45/($F$3*60/2/PI()))^2</f>
        <v>23.248913339999991</v>
      </c>
      <c r="V45" s="7">
        <f t="shared" si="6"/>
        <v>11503.102712164433</v>
      </c>
      <c r="W45" s="7">
        <f>V45/(L45*2*PI()/60)</f>
        <v>111.74622528187736</v>
      </c>
    </row>
    <row r="46" spans="12:23" x14ac:dyDescent="0.3">
      <c r="L46" s="7">
        <f t="shared" si="10"/>
        <v>985</v>
      </c>
      <c r="M46" s="7">
        <f t="shared" si="1"/>
        <v>1.5000000000000083E-2</v>
      </c>
      <c r="N46" s="7" t="str">
        <f t="shared" si="2"/>
        <v>18,0746983265576+21,0582086289728i</v>
      </c>
      <c r="O46" s="7" t="str">
        <f t="shared" si="3"/>
        <v>9,38771182573769-10,937299787991i</v>
      </c>
      <c r="P46" s="7">
        <f t="shared" si="4"/>
        <v>14.413662267983224</v>
      </c>
      <c r="Q46" s="7">
        <f t="shared" si="5"/>
        <v>24.965195371285397</v>
      </c>
      <c r="R46" s="7">
        <f t="shared" si="9"/>
        <v>9.5077816526923886</v>
      </c>
      <c r="S46">
        <f>3*IMREAL(IMPRODUCT(COMPLEX(Datos!$B$3,0),IMCONJUGATE(Datos!O46)))</f>
        <v>11265.25419088524</v>
      </c>
      <c r="T46" s="7">
        <f>3*(1-M46)/M46*$B$8*R46*R46</f>
        <v>10292.180139379861</v>
      </c>
      <c r="U46" s="7">
        <f>$B$12*(L46/($F$3*60/2/PI()))^2</f>
        <v>23.343613499999993</v>
      </c>
      <c r="V46" s="7">
        <f t="shared" si="6"/>
        <v>10268.836525879862</v>
      </c>
      <c r="W46" s="7">
        <f>V46/(L46*2*PI()/60)</f>
        <v>99.553467587597098</v>
      </c>
    </row>
    <row r="47" spans="12:23" x14ac:dyDescent="0.3">
      <c r="L47" s="7">
        <f t="shared" si="10"/>
        <v>987</v>
      </c>
      <c r="M47" s="7">
        <f t="shared" si="1"/>
        <v>1.3000000000000072E-2</v>
      </c>
      <c r="N47" s="7" t="str">
        <f t="shared" si="2"/>
        <v>17,8695742123044+23,434563591495i</v>
      </c>
      <c r="O47" s="7" t="str">
        <f t="shared" si="3"/>
        <v>8,23008169788549-10,7931151923863i</v>
      </c>
      <c r="P47" s="7">
        <f t="shared" si="4"/>
        <v>13.572972419849297</v>
      </c>
      <c r="Q47" s="7">
        <f t="shared" si="5"/>
        <v>23.50907784091007</v>
      </c>
      <c r="R47" s="7">
        <f t="shared" si="9"/>
        <v>8.2797121030803353</v>
      </c>
      <c r="S47">
        <f>3*IMREAL(IMPRODUCT(COMPLEX(Datos!$B$3,0),IMCONJUGATE(Datos!O47)))</f>
        <v>9876.0980374626015</v>
      </c>
      <c r="T47" s="7">
        <f>3*(1-M47)/M47*$B$8*R47*R47</f>
        <v>9024.1910422898072</v>
      </c>
      <c r="U47" s="7">
        <f>$B$12*(L47/($F$3*60/2/PI()))^2</f>
        <v>23.438506139999991</v>
      </c>
      <c r="V47" s="7">
        <f t="shared" si="6"/>
        <v>9000.7525361498065</v>
      </c>
      <c r="W47" s="7">
        <f>V47/(L47*2*PI()/60)</f>
        <v>87.082933597273865</v>
      </c>
    </row>
    <row r="48" spans="12:23" x14ac:dyDescent="0.3">
      <c r="L48" s="7">
        <f t="shared" si="10"/>
        <v>989</v>
      </c>
      <c r="M48" s="7">
        <f t="shared" si="1"/>
        <v>1.1000000000000197E-2</v>
      </c>
      <c r="N48" s="7" t="str">
        <f t="shared" si="2"/>
        <v>17,232258568146+26,0700405240154i</v>
      </c>
      <c r="O48" s="7" t="str">
        <f t="shared" si="3"/>
        <v>7,05807835352414-10,6779031878145i</v>
      </c>
      <c r="P48" s="7">
        <f t="shared" si="4"/>
        <v>12.799769003104123</v>
      </c>
      <c r="Q48" s="7">
        <f t="shared" si="5"/>
        <v>22.169850238521576</v>
      </c>
      <c r="R48" s="7">
        <f t="shared" si="9"/>
        <v>7.0385830375650418</v>
      </c>
      <c r="S48">
        <f>3*IMREAL(IMPRODUCT(COMPLEX(Datos!$B$3,0),IMCONJUGATE(Datos!O48)))</f>
        <v>8469.6940242289802</v>
      </c>
      <c r="T48" s="7">
        <f>3*(1-M48)/M48*$B$8*R48*R48</f>
        <v>7722.8587528278676</v>
      </c>
      <c r="U48" s="7">
        <f>$B$12*(L48/($F$3*60/2/PI()))^2</f>
        <v>23.533591259999994</v>
      </c>
      <c r="V48" s="7">
        <f t="shared" si="6"/>
        <v>7699.3251615678673</v>
      </c>
      <c r="W48" s="7">
        <f>V48/(L48*2*PI()/60)</f>
        <v>74.340889257957457</v>
      </c>
    </row>
    <row r="49" spans="12:23" x14ac:dyDescent="0.3">
      <c r="L49" s="7">
        <f t="shared" si="10"/>
        <v>991</v>
      </c>
      <c r="M49" s="7">
        <f t="shared" si="1"/>
        <v>9.0000000000000496E-3</v>
      </c>
      <c r="N49" s="7" t="str">
        <f t="shared" si="2"/>
        <v>16,0136115137808+28,8840337736521i</v>
      </c>
      <c r="O49" s="7" t="str">
        <f t="shared" si="3"/>
        <v>5,87265846733963-10,5926177468329i</v>
      </c>
      <c r="P49" s="7">
        <f t="shared" si="4"/>
        <v>12.111633589426949</v>
      </c>
      <c r="Q49" s="7">
        <f t="shared" si="5"/>
        <v>20.977964739545286</v>
      </c>
      <c r="R49" s="7">
        <f t="shared" si="9"/>
        <v>5.7848285320671895</v>
      </c>
      <c r="S49">
        <f>3*IMREAL(IMPRODUCT(COMPLEX(Datos!$B$3,0),IMCONJUGATE(Datos!O49)))</f>
        <v>7047.1901608075495</v>
      </c>
      <c r="T49" s="7">
        <f>3*(1-M49)/M49*$B$8*R49*R49</f>
        <v>6388.7535386116297</v>
      </c>
      <c r="U49" s="7">
        <f>$B$12*(L49/($F$3*60/2/PI()))^2</f>
        <v>23.628868859999994</v>
      </c>
      <c r="V49" s="7">
        <f t="shared" si="6"/>
        <v>6365.1246697516299</v>
      </c>
      <c r="W49" s="7">
        <f>V49/(L49*2*PI()/60)</f>
        <v>61.334473537061939</v>
      </c>
    </row>
    <row r="50" spans="12:23" x14ac:dyDescent="0.3">
      <c r="L50" s="7">
        <f>L49+2</f>
        <v>993</v>
      </c>
      <c r="M50" s="7">
        <f t="shared" si="1"/>
        <v>7.0000000000000392E-3</v>
      </c>
      <c r="N50" s="7" t="str">
        <f t="shared" si="2"/>
        <v>14,0694843654947+31,7158548436876i</v>
      </c>
      <c r="O50" s="7" t="str">
        <f t="shared" si="3"/>
        <v>4,6748458688999-10,5381781693624i</v>
      </c>
      <c r="P50" s="7">
        <f t="shared" si="4"/>
        <v>11.528546440345231</v>
      </c>
      <c r="Q50" s="7">
        <f t="shared" si="5"/>
        <v>19.968028172095263</v>
      </c>
      <c r="R50" s="7">
        <f t="shared" si="9"/>
        <v>4.5189159111914368</v>
      </c>
      <c r="S50">
        <f>3*IMREAL(IMPRODUCT(COMPLEX(Datos!$B$3,0),IMCONJUGATE(Datos!O50)))</f>
        <v>5609.8150426798802</v>
      </c>
      <c r="T50" s="7">
        <f>3*(1-M50)/M50*$B$8*R50*R50</f>
        <v>5022.5438460315545</v>
      </c>
      <c r="U50" s="7">
        <f>$B$12*(L50/($F$3*60/2/PI()))^2</f>
        <v>23.724338939999992</v>
      </c>
      <c r="V50" s="7">
        <f t="shared" si="6"/>
        <v>4998.8195070915544</v>
      </c>
      <c r="W50" s="7">
        <f>V50/(L50*2*PI()/60)</f>
        <v>48.071712034913148</v>
      </c>
    </row>
    <row r="51" spans="12:23" x14ac:dyDescent="0.3">
      <c r="L51" s="7">
        <f t="shared" si="10"/>
        <v>995</v>
      </c>
      <c r="M51" s="7">
        <f t="shared" si="1"/>
        <v>5.0000000000001632E-3</v>
      </c>
      <c r="N51" s="7" t="str">
        <f t="shared" si="2"/>
        <v>11,3087073409382+34,3120447899594i</v>
      </c>
      <c r="O51" s="7" t="str">
        <f t="shared" si="3"/>
        <v>3,46573059369367-10,5154638612201i</v>
      </c>
      <c r="P51" s="7">
        <f t="shared" si="4"/>
        <v>11.071868350223923</v>
      </c>
      <c r="Q51" s="7">
        <f t="shared" si="5"/>
        <v>19.177038517301639</v>
      </c>
      <c r="R51" s="7">
        <f t="shared" si="9"/>
        <v>3.2413457125119796</v>
      </c>
      <c r="S51">
        <f>3*IMREAL(IMPRODUCT(COMPLEX(Datos!$B$3,0),IMCONJUGATE(Datos!O51)))</f>
        <v>4158.8767124324104</v>
      </c>
      <c r="T51" s="7">
        <f>3*(1-M51)/M51*$B$8*R51*R51</f>
        <v>3624.9981804655158</v>
      </c>
      <c r="U51" s="7">
        <f>$B$12*(L51/($F$3*60/2/PI()))^2</f>
        <v>23.820001499999993</v>
      </c>
      <c r="V51" s="7">
        <f t="shared" si="6"/>
        <v>3601.1781789655156</v>
      </c>
      <c r="W51" s="7">
        <f>V51/(L51*2*PI()/60)</f>
        <v>34.561526118815998</v>
      </c>
    </row>
    <row r="52" spans="12:23" x14ac:dyDescent="0.3">
      <c r="L52" s="7">
        <f t="shared" si="10"/>
        <v>997</v>
      </c>
      <c r="M52" s="7">
        <f t="shared" si="1"/>
        <v>3.0000000000000165E-3</v>
      </c>
      <c r="N52" s="7" t="str">
        <f t="shared" si="2"/>
        <v>7,75789272901276+36,3478301496493i</v>
      </c>
      <c r="O52" s="7" t="str">
        <f t="shared" si="3"/>
        <v>2,24646748758798-10,5253090662351i</v>
      </c>
      <c r="P52" s="7">
        <f t="shared" si="4"/>
        <v>10.762376462127714</v>
      </c>
      <c r="Q52" s="7">
        <f t="shared" si="5"/>
        <v>18.640982842588581</v>
      </c>
      <c r="R52" s="7">
        <f t="shared" si="9"/>
        <v>1.9526514910920718</v>
      </c>
      <c r="S52">
        <f>3*IMREAL(IMPRODUCT(COMPLEX(Datos!$B$3,0),IMCONJUGATE(Datos!O52)))</f>
        <v>2695.7609851055759</v>
      </c>
      <c r="T52" s="7">
        <f>3*(1-M52)/M52*$B$8*R52*R52</f>
        <v>2196.9864920713235</v>
      </c>
      <c r="U52" s="7">
        <f>$B$12*(L52/($F$3*60/2/PI()))^2</f>
        <v>23.915856539999993</v>
      </c>
      <c r="V52" s="7">
        <f t="shared" si="6"/>
        <v>2173.0706355313237</v>
      </c>
      <c r="W52" s="7">
        <f>V52/(L52*2*PI()/60)</f>
        <v>20.81373721159418</v>
      </c>
    </row>
    <row r="53" spans="12:23" x14ac:dyDescent="0.3">
      <c r="L53" s="7">
        <f>L52+2</f>
        <v>999</v>
      </c>
      <c r="M53" s="7">
        <f t="shared" si="1"/>
        <v>1.0000000000001412E-3</v>
      </c>
      <c r="N53" s="7" t="str">
        <f t="shared" si="2"/>
        <v>3,61314337415489+37,5002052357267i</v>
      </c>
      <c r="O53" s="7" t="str">
        <f t="shared" si="3"/>
        <v>1,01827434847964-10,5684975933716i</v>
      </c>
      <c r="P53" s="7">
        <f t="shared" si="4"/>
        <v>10.61743961743475</v>
      </c>
      <c r="Q53" s="7">
        <f t="shared" si="5"/>
        <v>18.38994486369165</v>
      </c>
      <c r="R53" s="7">
        <f t="shared" si="9"/>
        <v>0.65339945643622388</v>
      </c>
      <c r="S53">
        <f>3*IMREAL(IMPRODUCT(COMPLEX(Datos!$B$3,0),IMCONJUGATE(Datos!O53)))</f>
        <v>1221.9292181755679</v>
      </c>
      <c r="T53" s="7">
        <f>3*(1-M53)/M53*$B$8*R53*R53</f>
        <v>739.48102453095703</v>
      </c>
      <c r="U53" s="7">
        <f>$B$12*(L53/($F$3*60/2/PI()))^2</f>
        <v>24.011904059999996</v>
      </c>
      <c r="V53" s="7">
        <f t="shared" si="6"/>
        <v>715.46912047095702</v>
      </c>
      <c r="W53" s="7">
        <f>V53/(L53*2*PI()/60)</f>
        <v>6.8390658950488641</v>
      </c>
    </row>
    <row r="54" spans="12:23" x14ac:dyDescent="0.3">
      <c r="L54" s="7">
        <v>1000</v>
      </c>
      <c r="M54" s="7">
        <f t="shared" si="1"/>
        <v>1.3570366640911004E-16</v>
      </c>
      <c r="N54" s="7" t="str">
        <f t="shared" si="2"/>
        <v>1,42555713143981+37,6718479892497i</v>
      </c>
      <c r="O54" s="7" t="str">
        <f t="shared" si="3"/>
        <v>0,401226227504907-10,6028254627711i</v>
      </c>
      <c r="P54" s="7">
        <f t="shared" si="4"/>
        <v>10.610414236947822</v>
      </c>
      <c r="Q54" s="7">
        <f t="shared" si="5"/>
        <v>18.377776547745786</v>
      </c>
      <c r="R54" s="7">
        <f t="shared" si="9"/>
        <v>8.8834182394309678E-14</v>
      </c>
      <c r="S54">
        <f>3*IMREAL(IMPRODUCT(COMPLEX(Datos!$B$3,0),IMCONJUGATE(Datos!O54)))</f>
        <v>481.47147300588898</v>
      </c>
      <c r="T54" s="7">
        <f>3*(1-M54)/M54*$B$8*R54*R54</f>
        <v>1.0082602505466506E-10</v>
      </c>
      <c r="U54" s="7">
        <f>$B$12*(L54/($F$3*60/2/PI()))^2</f>
        <v>24.059999999999992</v>
      </c>
      <c r="V54" s="7">
        <v>0</v>
      </c>
      <c r="W54" s="7">
        <f>V54/(L54*2*PI()/60)</f>
        <v>0</v>
      </c>
    </row>
  </sheetData>
  <mergeCells count="3">
    <mergeCell ref="A2:B2"/>
    <mergeCell ref="E2:F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918E8-44BB-4F40-87EA-9DABC6361072}">
  <dimension ref="A1"/>
  <sheetViews>
    <sheetView tabSelected="1" topLeftCell="D1" zoomScale="130" zoomScaleNormal="130" workbookViewId="0">
      <selection activeCell="H17" sqref="H1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Navarro Jorquera</dc:creator>
  <cp:lastModifiedBy>Alvaro Navarro Jorquera</cp:lastModifiedBy>
  <dcterms:created xsi:type="dcterms:W3CDTF">2025-02-10T15:53:36Z</dcterms:created>
  <dcterms:modified xsi:type="dcterms:W3CDTF">2025-02-11T08:58:06Z</dcterms:modified>
</cp:coreProperties>
</file>