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1"/>
  <workbookPr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525" documentId="8_{E78C6798-447B-402F-9E52-B7EF794413C9}" xr6:coauthVersionLast="47" xr6:coauthVersionMax="47" xr10:uidLastSave="{EF60A6CE-80AF-4372-889F-20EE0CA3B7F7}"/>
  <bookViews>
    <workbookView xWindow="-108" yWindow="-108" windowWidth="23256" windowHeight="12456" firstSheet="4" activeTab="5" xr2:uid="{C267459A-A443-4F74-A21B-D129F8F1E91E}"/>
  </bookViews>
  <sheets>
    <sheet name="Hoja1" sheetId="1" r:id="rId1"/>
    <sheet name="300" sheetId="3" r:id="rId2"/>
    <sheet name="600_mitjana" sheetId="4" r:id="rId3"/>
    <sheet name="600" sheetId="5" r:id="rId4"/>
    <sheet name="Hoja2" sheetId="2" r:id="rId5"/>
    <sheet name="Hoja3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6" l="1"/>
  <c r="B3" i="6"/>
  <c r="B4" i="6"/>
  <c r="C4" i="6" s="1"/>
  <c r="B2" i="6"/>
  <c r="C2" i="6"/>
  <c r="A5" i="6"/>
  <c r="P3" i="2"/>
  <c r="I2" i="2"/>
  <c r="I3" i="2"/>
  <c r="I4" i="2"/>
  <c r="I5" i="2"/>
  <c r="I6" i="2"/>
  <c r="I1" i="2"/>
  <c r="A8" i="4"/>
  <c r="A7" i="4"/>
  <c r="A6" i="4"/>
  <c r="F2" i="3"/>
  <c r="K2" i="1"/>
  <c r="A3" i="1"/>
  <c r="K3" i="1"/>
  <c r="K4" i="1"/>
  <c r="I2" i="3"/>
  <c r="L2" i="1"/>
  <c r="I2" i="1"/>
  <c r="I3" i="1"/>
  <c r="I4" i="1"/>
  <c r="J6" i="3"/>
  <c r="J5" i="3"/>
  <c r="L3" i="5"/>
  <c r="L4" i="5"/>
  <c r="L2" i="5"/>
  <c r="K3" i="5"/>
  <c r="M3" i="5" s="1"/>
  <c r="K4" i="5"/>
  <c r="M4" i="5" s="1"/>
  <c r="K2" i="5"/>
  <c r="M2" i="5" s="1"/>
  <c r="I3" i="3"/>
  <c r="I4" i="3"/>
  <c r="J3" i="3"/>
  <c r="J4" i="3"/>
  <c r="J2" i="3"/>
  <c r="G3" i="5"/>
  <c r="H3" i="5" s="1"/>
  <c r="G4" i="5"/>
  <c r="H4" i="5" s="1"/>
  <c r="G2" i="5"/>
  <c r="H2" i="5" s="1"/>
  <c r="F2" i="4"/>
  <c r="F3" i="4"/>
  <c r="G2" i="4"/>
  <c r="G3" i="4"/>
  <c r="F4" i="4"/>
  <c r="G4" i="4" s="1"/>
  <c r="G3" i="3"/>
  <c r="G4" i="3"/>
  <c r="G2" i="3"/>
  <c r="F3" i="3"/>
  <c r="F4" i="3"/>
  <c r="A4" i="4"/>
  <c r="A3" i="4"/>
  <c r="A2" i="4"/>
  <c r="A4" i="3"/>
  <c r="A3" i="3"/>
  <c r="A2" i="3"/>
  <c r="Q1" i="2"/>
  <c r="Q2" i="2"/>
  <c r="Q3" i="2"/>
  <c r="H6" i="2"/>
  <c r="E6" i="2"/>
  <c r="H5" i="2"/>
  <c r="E5" i="2"/>
  <c r="H4" i="2"/>
  <c r="E4" i="2"/>
  <c r="H3" i="2"/>
  <c r="E3" i="2"/>
  <c r="H2" i="2"/>
  <c r="E2" i="2"/>
  <c r="A2" i="2"/>
  <c r="H1" i="2"/>
  <c r="E1" i="2"/>
  <c r="H2" i="1"/>
  <c r="H4" i="1"/>
  <c r="H3" i="1"/>
  <c r="E2" i="1"/>
  <c r="E3" i="1"/>
  <c r="E4" i="1"/>
  <c r="J1" i="2" l="1"/>
  <c r="T1" i="2"/>
  <c r="T2" i="2"/>
  <c r="J2" i="2"/>
  <c r="J3" i="2"/>
  <c r="T3" i="2"/>
  <c r="J4" i="2"/>
  <c r="T4" i="2"/>
  <c r="J5" i="2"/>
  <c r="T5" i="2"/>
  <c r="J6" i="2"/>
  <c r="T6" i="2"/>
  <c r="J2" i="4"/>
  <c r="I2" i="4"/>
  <c r="J3" i="4"/>
  <c r="I3" i="4"/>
  <c r="K3" i="4" s="1"/>
  <c r="J4" i="4"/>
  <c r="I4" i="4"/>
  <c r="K4" i="4" s="1"/>
  <c r="H3" i="3"/>
  <c r="H2" i="3"/>
  <c r="L6" i="5"/>
  <c r="L5" i="5"/>
  <c r="M3" i="1"/>
  <c r="M4" i="1"/>
  <c r="M2" i="1"/>
  <c r="H3" i="4"/>
  <c r="H2" i="4"/>
  <c r="L4" i="1"/>
  <c r="L3" i="1"/>
  <c r="M1" i="2"/>
  <c r="L1" i="2"/>
  <c r="M2" i="2"/>
  <c r="L2" i="2"/>
  <c r="M3" i="2"/>
  <c r="L3" i="2"/>
  <c r="M4" i="2"/>
  <c r="L4" i="2"/>
  <c r="M5" i="2"/>
  <c r="L5" i="2"/>
  <c r="M6" i="2"/>
  <c r="L6" i="2"/>
  <c r="I6" i="4" l="1"/>
  <c r="I5" i="4"/>
  <c r="K2" i="4"/>
  <c r="O3" i="2"/>
  <c r="R3" i="2" s="1"/>
  <c r="P2" i="2"/>
  <c r="O2" i="2"/>
  <c r="R2" i="2" s="1"/>
  <c r="P1" i="2"/>
  <c r="O1" i="2"/>
  <c r="R1" i="2" s="1"/>
</calcChain>
</file>

<file path=xl/sharedStrings.xml><?xml version="1.0" encoding="utf-8"?>
<sst xmlns="http://schemas.openxmlformats.org/spreadsheetml/2006/main" count="61" uniqueCount="32">
  <si>
    <t>esquerra</t>
  </si>
  <si>
    <t>dreta</t>
  </si>
  <si>
    <t>angle(rad)+-0,0003</t>
  </si>
  <si>
    <t>ordre k</t>
  </si>
  <si>
    <t>lambda(nm)</t>
  </si>
  <si>
    <t>error</t>
  </si>
  <si>
    <t>zero</t>
  </si>
  <si>
    <t>a=1/300mm</t>
  </si>
  <si>
    <t>lila</t>
  </si>
  <si>
    <t>blava</t>
  </si>
  <si>
    <t>vermella</t>
  </si>
  <si>
    <t>n</t>
  </si>
  <si>
    <t>lambda</t>
  </si>
  <si>
    <t>lambda teo</t>
  </si>
  <si>
    <t>angle rad</t>
  </si>
  <si>
    <t>espaiat real mm</t>
  </si>
  <si>
    <t>espaiat real mm^-1</t>
  </si>
  <si>
    <t>a=1/600mm</t>
  </si>
  <si>
    <t>lila primer ordre</t>
  </si>
  <si>
    <t>blava primer ordre</t>
  </si>
  <si>
    <t>blau</t>
  </si>
  <si>
    <t>vermella primer ordre</t>
  </si>
  <si>
    <t>vermell</t>
  </si>
  <si>
    <t>lila segon ordre</t>
  </si>
  <si>
    <t>color</t>
  </si>
  <si>
    <t>n^2/(n^2-4)</t>
  </si>
  <si>
    <t>blava segon ordre</t>
  </si>
  <si>
    <t>vermella segon ordre</t>
  </si>
  <si>
    <t>E_R(Ev)</t>
  </si>
  <si>
    <t>300_corregit(298)</t>
  </si>
  <si>
    <t>600_no_mitjana</t>
  </si>
  <si>
    <t>600_mitjana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</si>
</sst>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53375678040244967"/>
                  <c:y val="-0.143935185185185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'300'!$A$2:$A$4</c:f>
              <c:numCache>
                <c:formatCode>General</c:formatCode>
                <c:ptCount val="3"/>
                <c:pt idx="0">
                  <c:v>1.1904761904761905</c:v>
                </c:pt>
                <c:pt idx="1">
                  <c:v>1.3333333333333333</c:v>
                </c:pt>
                <c:pt idx="2">
                  <c:v>1.8</c:v>
                </c:pt>
              </c:numCache>
            </c:numRef>
          </c:xVal>
          <c:yVal>
            <c:numRef>
              <c:f>'300'!$B$2:$B$4</c:f>
              <c:numCache>
                <c:formatCode>0.0</c:formatCode>
                <c:ptCount val="3"/>
                <c:pt idx="0">
                  <c:v>430.76089850863116</c:v>
                </c:pt>
                <c:pt idx="1">
                  <c:v>482.62644947700932</c:v>
                </c:pt>
                <c:pt idx="2">
                  <c:v>652.20289049650501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05-4258-A913-A9305B77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655368"/>
        <c:axId val="2096661512"/>
      </c:scatterChart>
      <c:valAx>
        <c:axId val="2096655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661512"/>
        <c:crosses val="autoZero"/>
        <c:crossBetween val="midCat"/>
      </c:valAx>
      <c:valAx>
        <c:axId val="209666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655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'600_mitjana'!$B$5</c:f>
              <c:strCache>
                <c:ptCount val="1"/>
                <c:pt idx="0">
                  <c:v>lambda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55125524934383197"/>
                  <c:y val="-0.148564814814814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'600_mitjana'!$A$6:$A$8</c:f>
              <c:numCache>
                <c:formatCode>General</c:formatCode>
                <c:ptCount val="3"/>
                <c:pt idx="0">
                  <c:v>1.1904761904761905</c:v>
                </c:pt>
                <c:pt idx="1">
                  <c:v>1.3333333333333333</c:v>
                </c:pt>
                <c:pt idx="2">
                  <c:v>1.8</c:v>
                </c:pt>
              </c:numCache>
            </c:numRef>
          </c:xVal>
          <c:yVal>
            <c:numRef>
              <c:f>'600_mitjana'!$B$6:$B$8</c:f>
              <c:numCache>
                <c:formatCode>0</c:formatCode>
                <c:ptCount val="3"/>
                <c:pt idx="0">
                  <c:v>433.7187759440053</c:v>
                </c:pt>
                <c:pt idx="1">
                  <c:v>485.28535320987021</c:v>
                </c:pt>
                <c:pt idx="2">
                  <c:v>661.02777754668205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35-4AC8-8B1F-6969DAA4F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383560"/>
        <c:axId val="1279389704"/>
      </c:scatterChart>
      <c:valAx>
        <c:axId val="1279383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389704"/>
        <c:crosses val="autoZero"/>
        <c:crossBetween val="midCat"/>
      </c:valAx>
      <c:valAx>
        <c:axId val="127938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383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5489776902887139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'600'!$A$2:$A$4</c:f>
              <c:numCache>
                <c:formatCode>General</c:formatCode>
                <c:ptCount val="3"/>
                <c:pt idx="0">
                  <c:v>1.1904761904761905</c:v>
                </c:pt>
                <c:pt idx="1">
                  <c:v>1.3333333333333333</c:v>
                </c:pt>
                <c:pt idx="2">
                  <c:v>1.8</c:v>
                </c:pt>
              </c:numCache>
            </c:numRef>
          </c:xVal>
          <c:yVal>
            <c:numRef>
              <c:f>'600'!$B$2:$B$4</c:f>
              <c:numCache>
                <c:formatCode>0.0</c:formatCode>
                <c:ptCount val="3"/>
                <c:pt idx="0">
                  <c:v>434.72916548304323</c:v>
                </c:pt>
                <c:pt idx="1">
                  <c:v>486.45610463441056</c:v>
                </c:pt>
                <c:pt idx="2">
                  <c:v>655.80965518533822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10-49FF-BC9D-9A0669130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051528"/>
        <c:axId val="1163053576"/>
      </c:scatterChart>
      <c:valAx>
        <c:axId val="1163051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053576"/>
        <c:crosses val="autoZero"/>
        <c:crossBetween val="midCat"/>
      </c:valAx>
      <c:valAx>
        <c:axId val="116305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051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2662314085739281"/>
                  <c:y val="-0.168853893263342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Hoja2!$Q$1:$Q$3</c:f>
              <c:numCache>
                <c:formatCode>General</c:formatCode>
                <c:ptCount val="3"/>
                <c:pt idx="0">
                  <c:v>1.1904761904761905</c:v>
                </c:pt>
                <c:pt idx="1">
                  <c:v>1.3333333333333333</c:v>
                </c:pt>
                <c:pt idx="2">
                  <c:v>1.8</c:v>
                </c:pt>
              </c:numCache>
            </c:numRef>
          </c:xVal>
          <c:yVal>
            <c:numRef>
              <c:f>Hoja2!$R$1:$R$3</c:f>
              <c:numCache>
                <c:formatCode>0</c:formatCode>
                <c:ptCount val="3"/>
                <c:pt idx="0">
                  <c:v>433.7187759440053</c:v>
                </c:pt>
                <c:pt idx="1">
                  <c:v>485.28535320987021</c:v>
                </c:pt>
                <c:pt idx="2">
                  <c:v>661.02777754668205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D9-4736-9A9E-2A16BA061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175112"/>
        <c:axId val="1181378056"/>
      </c:scatterChart>
      <c:valAx>
        <c:axId val="1160175112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378056"/>
        <c:crosses val="autoZero"/>
        <c:crossBetween val="midCat"/>
      </c:valAx>
      <c:valAx>
        <c:axId val="1181378056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175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7</xdr:row>
      <xdr:rowOff>142875</xdr:rowOff>
    </xdr:from>
    <xdr:to>
      <xdr:col>9</xdr:col>
      <xdr:colOff>428625</xdr:colOff>
      <xdr:row>22</xdr:row>
      <xdr:rowOff>28575</xdr:rowOff>
    </xdr:to>
    <xdr:graphicFrame macro="">
      <xdr:nvGraphicFramePr>
        <xdr:cNvPr id="6" name="Gráfico 1">
          <a:extLst>
            <a:ext uri="{FF2B5EF4-FFF2-40B4-BE49-F238E27FC236}">
              <a16:creationId xmlns:a16="http://schemas.microsoft.com/office/drawing/2014/main" id="{1B257355-C9E9-51A4-6FD7-CABC773F9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714375</xdr:colOff>
      <xdr:row>7</xdr:row>
      <xdr:rowOff>38100</xdr:rowOff>
    </xdr:from>
    <xdr:to>
      <xdr:col>12</xdr:col>
      <xdr:colOff>180975</xdr:colOff>
      <xdr:row>21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92AF4A4-3085-5A9E-6B29-D8260FF4F5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7</xdr:row>
      <xdr:rowOff>161925</xdr:rowOff>
    </xdr:from>
    <xdr:to>
      <xdr:col>8</xdr:col>
      <xdr:colOff>561975</xdr:colOff>
      <xdr:row>22</xdr:row>
      <xdr:rowOff>47625</xdr:rowOff>
    </xdr:to>
    <xdr:graphicFrame macro="">
      <xdr:nvGraphicFramePr>
        <xdr:cNvPr id="20" name="Gráfico 2">
          <a:extLst>
            <a:ext uri="{FF2B5EF4-FFF2-40B4-BE49-F238E27FC236}">
              <a16:creationId xmlns:a16="http://schemas.microsoft.com/office/drawing/2014/main" id="{6AA98993-02B6-9F24-EA99-CBA2E8CC7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7</xdr:row>
      <xdr:rowOff>180975</xdr:rowOff>
    </xdr:from>
    <xdr:to>
      <xdr:col>15</xdr:col>
      <xdr:colOff>561975</xdr:colOff>
      <xdr:row>22</xdr:row>
      <xdr:rowOff>66675</xdr:rowOff>
    </xdr:to>
    <xdr:graphicFrame macro="">
      <xdr:nvGraphicFramePr>
        <xdr:cNvPr id="8" name="Gráfico 6">
          <a:extLst>
            <a:ext uri="{FF2B5EF4-FFF2-40B4-BE49-F238E27FC236}">
              <a16:creationId xmlns:a16="http://schemas.microsoft.com/office/drawing/2014/main" id="{9835421B-3978-522F-3B79-676E8527E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A0487-B42C-420A-98D5-BF26319C3AB0}">
  <dimension ref="A1:M4"/>
  <sheetViews>
    <sheetView topLeftCell="C1" zoomScale="131" workbookViewId="0">
      <selection activeCell="L4" sqref="L4"/>
    </sheetView>
  </sheetViews>
  <sheetFormatPr defaultColWidth="11.42578125" defaultRowHeight="14.45"/>
  <cols>
    <col min="2" max="2" width="19.7109375" customWidth="1"/>
    <col min="9" max="9" width="19.28515625" customWidth="1"/>
  </cols>
  <sheetData>
    <row r="1" spans="1:13">
      <c r="C1" t="s">
        <v>0</v>
      </c>
      <c r="F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</row>
    <row r="2" spans="1:13">
      <c r="A2" t="s">
        <v>7</v>
      </c>
      <c r="B2" t="s">
        <v>8</v>
      </c>
      <c r="C2">
        <v>190</v>
      </c>
      <c r="D2">
        <v>9</v>
      </c>
      <c r="E2">
        <f>C2+D2/60</f>
        <v>190.15</v>
      </c>
      <c r="F2">
        <v>175</v>
      </c>
      <c r="G2">
        <v>18</v>
      </c>
      <c r="H2" s="1">
        <f>F2+G2/60</f>
        <v>175.3</v>
      </c>
      <c r="I2" s="2">
        <f>(E2-H2)*PI()/360</f>
        <v>0.1295906969605789</v>
      </c>
      <c r="J2">
        <v>1</v>
      </c>
      <c r="K2" s="3">
        <f>0.003333333*1000000*SIN(I2)/J2</f>
        <v>430.76089850863116</v>
      </c>
      <c r="L2" s="3">
        <f>(0.0033333333*1000000/J2)*COS(I2)*0.0003</f>
        <v>0.99161486038807056</v>
      </c>
      <c r="M2">
        <f>(H2+E2)/2</f>
        <v>182.72500000000002</v>
      </c>
    </row>
    <row r="3" spans="1:13">
      <c r="A3">
        <f>1/300</f>
        <v>3.3333333333333335E-3</v>
      </c>
      <c r="B3" t="s">
        <v>9</v>
      </c>
      <c r="C3">
        <v>191</v>
      </c>
      <c r="D3">
        <v>3</v>
      </c>
      <c r="E3">
        <f>C3+D3/60</f>
        <v>191.05</v>
      </c>
      <c r="F3">
        <v>174</v>
      </c>
      <c r="G3">
        <v>24</v>
      </c>
      <c r="H3" s="1">
        <f>F3+G3/60</f>
        <v>174.4</v>
      </c>
      <c r="I3" s="2">
        <f>(E3-H3)*PI()/360</f>
        <v>0.14529866022852797</v>
      </c>
      <c r="J3">
        <v>1</v>
      </c>
      <c r="K3" s="3">
        <f>0.003333333*1000000*SIN(I3)/J3</f>
        <v>482.62644947700932</v>
      </c>
      <c r="L3" s="3">
        <f t="shared" ref="L3:L4" si="0">(0.0033333333*1000000/J3)*COS(I3)*0.0003</f>
        <v>0.98946269770539141</v>
      </c>
      <c r="M3">
        <f>(H3+E3)/2</f>
        <v>182.72500000000002</v>
      </c>
    </row>
    <row r="4" spans="1:13">
      <c r="B4" t="s">
        <v>10</v>
      </c>
      <c r="C4">
        <v>194</v>
      </c>
      <c r="D4">
        <v>1</v>
      </c>
      <c r="E4">
        <f>C4+D4/60</f>
        <v>194.01666666666668</v>
      </c>
      <c r="F4">
        <v>171</v>
      </c>
      <c r="G4">
        <v>27</v>
      </c>
      <c r="H4" s="1">
        <f>F4+G4/60</f>
        <v>171.45</v>
      </c>
      <c r="I4" s="2">
        <f>(E4-H4)*PI()/360</f>
        <v>0.19693131726669372</v>
      </c>
      <c r="J4">
        <v>1</v>
      </c>
      <c r="K4" s="3">
        <f>0.003333333*1000000*SIN(I4)/J4</f>
        <v>652.20289049650501</v>
      </c>
      <c r="L4" s="3">
        <f t="shared" si="0"/>
        <v>0.98067160567416645</v>
      </c>
      <c r="M4">
        <f>(H4+E4)/2</f>
        <v>182.73333333333335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FFAF8-A269-4890-8C19-68FBF983FB69}">
  <dimension ref="A1:J6"/>
  <sheetViews>
    <sheetView workbookViewId="0">
      <selection activeCell="C4" sqref="C4"/>
    </sheetView>
  </sheetViews>
  <sheetFormatPr defaultRowHeight="15"/>
  <cols>
    <col min="1" max="1" width="11.140625" customWidth="1"/>
    <col min="4" max="4" width="12.85546875" customWidth="1"/>
    <col min="6" max="6" width="15.42578125" customWidth="1"/>
    <col min="7" max="7" width="17.28515625" customWidth="1"/>
  </cols>
  <sheetData>
    <row r="1" spans="1:10">
      <c r="A1" t="s">
        <v>11</v>
      </c>
      <c r="B1" t="s">
        <v>12</v>
      </c>
      <c r="C1" t="s">
        <v>5</v>
      </c>
      <c r="D1" t="s">
        <v>13</v>
      </c>
      <c r="E1" t="s">
        <v>14</v>
      </c>
      <c r="F1" t="s">
        <v>15</v>
      </c>
      <c r="G1" t="s">
        <v>16</v>
      </c>
    </row>
    <row r="2" spans="1:10">
      <c r="A2">
        <f>25/(25-4)</f>
        <v>1.1904761904761905</v>
      </c>
      <c r="B2" s="3">
        <v>430.76089850863116</v>
      </c>
      <c r="C2" s="3">
        <v>1</v>
      </c>
      <c r="D2">
        <v>434.04719999999998</v>
      </c>
      <c r="E2">
        <v>0.1295906969605789</v>
      </c>
      <c r="F2">
        <f>D2/(SIN(E2)*1000000)</f>
        <v>3.3587632032683438E-3</v>
      </c>
      <c r="G2">
        <f>1/F2</f>
        <v>297.7286398240044</v>
      </c>
      <c r="H2">
        <f>AVERAGE(G2:G4)</f>
        <v>297.90008230816829</v>
      </c>
      <c r="I2">
        <f>D2/A2</f>
        <v>364.599648</v>
      </c>
      <c r="J2">
        <f>B2/A2</f>
        <v>361.83915474725018</v>
      </c>
    </row>
    <row r="3" spans="1:10">
      <c r="A3">
        <f>16/(16-4)</f>
        <v>1.3333333333333333</v>
      </c>
      <c r="B3" s="3">
        <v>482.62644947700932</v>
      </c>
      <c r="C3" s="3">
        <v>1</v>
      </c>
      <c r="D3">
        <v>486.13499999999999</v>
      </c>
      <c r="E3">
        <v>0.14529866022852797</v>
      </c>
      <c r="F3">
        <f t="shared" ref="F3:F4" si="0">D3/(SIN(E3)*1000000)</f>
        <v>3.3575653379771773E-3</v>
      </c>
      <c r="G3">
        <f t="shared" ref="G3:G4" si="1">1/F3</f>
        <v>297.83485929196155</v>
      </c>
      <c r="H3">
        <f>STDEV(G2:G4)</f>
        <v>0.21172756821577035</v>
      </c>
      <c r="I3">
        <f>D3/A3</f>
        <v>364.60124999999999</v>
      </c>
      <c r="J3">
        <f>B3/A3</f>
        <v>361.96983710775703</v>
      </c>
    </row>
    <row r="4" spans="1:10">
      <c r="A4">
        <f>(3*3)/(3*3-4)</f>
        <v>1.8</v>
      </c>
      <c r="B4" s="3">
        <v>652.20289049650501</v>
      </c>
      <c r="C4" s="3">
        <v>1</v>
      </c>
      <c r="D4">
        <v>656.279</v>
      </c>
      <c r="E4">
        <v>0.19693131726669372</v>
      </c>
      <c r="F4">
        <f t="shared" si="0"/>
        <v>3.3541655208575356E-3</v>
      </c>
      <c r="G4">
        <f t="shared" si="1"/>
        <v>298.13674780853904</v>
      </c>
      <c r="I4">
        <f>D4/A4</f>
        <v>364.59944444444443</v>
      </c>
      <c r="J4">
        <f>B4/A4</f>
        <v>362.33493916472497</v>
      </c>
    </row>
    <row r="5" spans="1:10">
      <c r="A5">
        <v>0</v>
      </c>
      <c r="B5">
        <v>0</v>
      </c>
      <c r="J5">
        <f>AVERAGE(J2:J4)</f>
        <v>362.04797700657741</v>
      </c>
    </row>
    <row r="6" spans="1:10">
      <c r="J6">
        <f>STDEV(J2:J4)</f>
        <v>0.25696289614153983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D77F1-E759-4826-A4DE-B0A6D47F03C6}">
  <dimension ref="A1:K8"/>
  <sheetViews>
    <sheetView workbookViewId="0">
      <selection activeCell="M6" sqref="M6"/>
    </sheetView>
  </sheetViews>
  <sheetFormatPr defaultRowHeight="15"/>
  <cols>
    <col min="3" max="3" width="10.140625" bestFit="1" customWidth="1"/>
    <col min="4" max="4" width="10.140625" customWidth="1"/>
    <col min="6" max="6" width="14.140625" customWidth="1"/>
    <col min="7" max="7" width="16.7109375" customWidth="1"/>
    <col min="9" max="9" width="9.140625" style="3"/>
    <col min="10" max="10" width="9.140625" style="1"/>
  </cols>
  <sheetData>
    <row r="1" spans="1:11">
      <c r="A1" t="s">
        <v>11</v>
      </c>
      <c r="B1" t="s">
        <v>5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11">
      <c r="A2">
        <f>25/(25-4)</f>
        <v>1.1904761904761905</v>
      </c>
      <c r="B2" s="5">
        <v>1.4289065893873816</v>
      </c>
      <c r="C2" s="5">
        <v>433.7187759440053</v>
      </c>
      <c r="D2">
        <v>434.04719999999998</v>
      </c>
      <c r="E2">
        <v>0.26383560525980937</v>
      </c>
      <c r="F2">
        <f>D2/(SIN(E2)*1000000)</f>
        <v>1.6643849547016934E-3</v>
      </c>
      <c r="G2">
        <f>1/F2</f>
        <v>600.8225423902785</v>
      </c>
      <c r="H2">
        <f>AVERAGE(G2:G4)</f>
        <v>600.1832720084584</v>
      </c>
      <c r="I2" s="3">
        <f>C2/A2</f>
        <v>364.32377179296446</v>
      </c>
      <c r="J2" s="1">
        <f>D2/A2</f>
        <v>364.599648</v>
      </c>
      <c r="K2" s="1">
        <f>ABS(I2-J2)</f>
        <v>0.27587620703553739</v>
      </c>
    </row>
    <row r="3" spans="1:11">
      <c r="A3">
        <f>16/(16-4)</f>
        <v>1.3333333333333333</v>
      </c>
      <c r="B3" s="5">
        <v>1.6556925427526326</v>
      </c>
      <c r="C3" s="5">
        <v>485.28535320987021</v>
      </c>
      <c r="D3">
        <v>486.13499999999999</v>
      </c>
      <c r="E3">
        <v>0.29612419642170457</v>
      </c>
      <c r="F3">
        <f>D3/(SIN(E3)*1000000)</f>
        <v>1.665899630572085E-3</v>
      </c>
      <c r="G3">
        <f t="shared" ref="G3:G4" si="0">1/F3</f>
        <v>600.27626013494637</v>
      </c>
      <c r="H3">
        <f>STDEV(G2:G4)</f>
        <v>0.69047662369181839</v>
      </c>
      <c r="I3" s="3">
        <f>C3/A3</f>
        <v>363.96401490740266</v>
      </c>
      <c r="J3" s="1">
        <f>D3/A3</f>
        <v>364.60124999999999</v>
      </c>
      <c r="K3" s="1">
        <f>ABS(I3-J3)</f>
        <v>0.63723509259733646</v>
      </c>
    </row>
    <row r="4" spans="1:11">
      <c r="A4">
        <f>(3*3)/(3*3-4)</f>
        <v>1.8</v>
      </c>
      <c r="B4" s="5">
        <v>7.379539413534685</v>
      </c>
      <c r="C4" s="5">
        <v>661.02777754668205</v>
      </c>
      <c r="D4">
        <v>656.279</v>
      </c>
      <c r="E4">
        <v>0.40433461004535309</v>
      </c>
      <c r="F4">
        <f t="shared" ref="F3:F4" si="1">D4/(SIN(E4)*1000000)</f>
        <v>1.6681930257504672E-3</v>
      </c>
      <c r="G4">
        <f t="shared" si="0"/>
        <v>599.45101350015034</v>
      </c>
      <c r="I4" s="3">
        <f>C4/A4</f>
        <v>367.23765419260116</v>
      </c>
      <c r="J4" s="1">
        <f>D4/A4</f>
        <v>364.59944444444443</v>
      </c>
      <c r="K4" s="1">
        <f>ABS(I4-J4)</f>
        <v>2.6382097481567257</v>
      </c>
    </row>
    <row r="5" spans="1:11">
      <c r="A5" t="s">
        <v>11</v>
      </c>
      <c r="B5" t="s">
        <v>12</v>
      </c>
      <c r="I5" s="3">
        <f>AVERAGE(I2:I4)</f>
        <v>365.17514696432278</v>
      </c>
    </row>
    <row r="6" spans="1:11">
      <c r="A6">
        <f>25/(25-4)</f>
        <v>1.1904761904761905</v>
      </c>
      <c r="B6" s="5">
        <v>433.7187759440053</v>
      </c>
      <c r="I6" s="3">
        <f>STDEV(I2:I4)</f>
        <v>1.7952181773262987</v>
      </c>
    </row>
    <row r="7" spans="1:11">
      <c r="A7">
        <f>16/(16-4)</f>
        <v>1.3333333333333333</v>
      </c>
      <c r="B7" s="5">
        <v>485.28535320987021</v>
      </c>
    </row>
    <row r="8" spans="1:11">
      <c r="A8">
        <f>(3*3)/(3*3-4)</f>
        <v>1.8</v>
      </c>
      <c r="B8" s="5">
        <v>661.02777754668205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202B8-B5DB-4323-89ED-A445D415CFC3}">
  <dimension ref="A1:M6"/>
  <sheetViews>
    <sheetView workbookViewId="0">
      <selection activeCell="F30" sqref="F30"/>
    </sheetView>
  </sheetViews>
  <sheetFormatPr defaultRowHeight="15"/>
  <cols>
    <col min="5" max="5" width="12.28515625" customWidth="1"/>
    <col min="11" max="11" width="11.140625" style="1" bestFit="1" customWidth="1"/>
    <col min="12" max="12" width="9.140625" style="1"/>
  </cols>
  <sheetData>
    <row r="1" spans="1:13">
      <c r="A1" t="s">
        <v>11</v>
      </c>
      <c r="B1" t="s">
        <v>12</v>
      </c>
      <c r="C1" t="s">
        <v>5</v>
      </c>
      <c r="D1" t="s">
        <v>11</v>
      </c>
      <c r="E1" t="s">
        <v>13</v>
      </c>
      <c r="F1" t="s">
        <v>14</v>
      </c>
    </row>
    <row r="2" spans="1:13">
      <c r="A2">
        <v>1.1904761904761905</v>
      </c>
      <c r="B2" s="3">
        <v>434.72916548304323</v>
      </c>
      <c r="C2" s="3">
        <v>0.48279494585285115</v>
      </c>
      <c r="D2">
        <v>1.1904761904761905</v>
      </c>
      <c r="E2">
        <v>434.04719999999998</v>
      </c>
      <c r="F2">
        <v>0.26383560525980937</v>
      </c>
      <c r="G2">
        <f>E2/(SIN(F2)*1000000)</f>
        <v>1.6643849547016934E-3</v>
      </c>
      <c r="H2">
        <f>1/G2</f>
        <v>600.8225423902785</v>
      </c>
      <c r="K2" s="4">
        <f>E2/D2</f>
        <v>364.599648</v>
      </c>
      <c r="L2" s="1">
        <f>B2/D2</f>
        <v>365.17249900575632</v>
      </c>
      <c r="M2" s="1">
        <f>ABS(K2-L2)</f>
        <v>0.57285100575631986</v>
      </c>
    </row>
    <row r="3" spans="1:13">
      <c r="A3">
        <v>1.3333333333333333</v>
      </c>
      <c r="B3" s="3">
        <v>486.45610463441056</v>
      </c>
      <c r="C3" s="3">
        <v>0.47833299200844631</v>
      </c>
      <c r="D3">
        <v>1.3333333333333333</v>
      </c>
      <c r="E3">
        <v>486.13499999999999</v>
      </c>
      <c r="F3">
        <v>0.29612419642170457</v>
      </c>
      <c r="G3">
        <f t="shared" ref="G3:G4" si="0">E3/(SIN(F3)*1000000)</f>
        <v>1.665899630572085E-3</v>
      </c>
      <c r="H3">
        <f t="shared" ref="H3:H4" si="1">1/G3</f>
        <v>600.27626013494637</v>
      </c>
      <c r="K3" s="4">
        <f>E3/D3</f>
        <v>364.60124999999999</v>
      </c>
      <c r="L3" s="1">
        <f>B3/D3</f>
        <v>364.84207847580797</v>
      </c>
      <c r="M3" s="1">
        <f>ABS(K3-L3)</f>
        <v>0.24082847580797306</v>
      </c>
    </row>
    <row r="4" spans="1:13">
      <c r="A4">
        <v>1.8</v>
      </c>
      <c r="B4" s="3">
        <v>655.80965518533822</v>
      </c>
      <c r="C4" s="3">
        <v>0.45977412134102535</v>
      </c>
      <c r="D4">
        <v>1.8</v>
      </c>
      <c r="E4">
        <v>656.279</v>
      </c>
      <c r="F4">
        <v>0.40433461004535309</v>
      </c>
      <c r="G4">
        <f t="shared" si="0"/>
        <v>1.6681930257504672E-3</v>
      </c>
      <c r="H4">
        <f t="shared" si="1"/>
        <v>599.45101350015034</v>
      </c>
      <c r="K4" s="4">
        <f>E4/D4</f>
        <v>364.59944444444443</v>
      </c>
      <c r="L4" s="1">
        <f>B4/D4</f>
        <v>364.33869732518787</v>
      </c>
      <c r="M4" s="1">
        <f>ABS(K4-L4)</f>
        <v>0.26074711925656402</v>
      </c>
    </row>
    <row r="5" spans="1:13">
      <c r="A5">
        <v>0</v>
      </c>
      <c r="B5">
        <v>0</v>
      </c>
      <c r="L5" s="1">
        <f>AVERAGE(L2:L4)</f>
        <v>364.78442493558401</v>
      </c>
    </row>
    <row r="6" spans="1:13">
      <c r="L6" s="1">
        <f>STDEV(L2:L4)</f>
        <v>0.41988005269952788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FBD9B-BE36-4A25-9B41-A989ACDAC034}">
  <dimension ref="A1:T7"/>
  <sheetViews>
    <sheetView workbookViewId="0">
      <selection activeCell="N1" sqref="N1:P4"/>
    </sheetView>
  </sheetViews>
  <sheetFormatPr defaultRowHeight="15"/>
  <cols>
    <col min="2" max="2" width="20.140625" customWidth="1"/>
    <col min="5" max="5" width="9.140625" style="1"/>
    <col min="8" max="9" width="9.140625" style="1"/>
    <col min="12" max="12" width="12.140625" customWidth="1"/>
    <col min="17" max="17" width="11.7109375" customWidth="1"/>
  </cols>
  <sheetData>
    <row r="1" spans="1:20">
      <c r="A1" t="s">
        <v>17</v>
      </c>
      <c r="B1" t="s">
        <v>18</v>
      </c>
      <c r="C1">
        <v>197.5</v>
      </c>
      <c r="D1">
        <v>25</v>
      </c>
      <c r="E1" s="1">
        <f>C1+D1/60</f>
        <v>197.91666666666666</v>
      </c>
      <c r="F1">
        <v>167.5</v>
      </c>
      <c r="G1">
        <v>11</v>
      </c>
      <c r="H1" s="1">
        <f>F1+G1/60</f>
        <v>167.68333333333334</v>
      </c>
      <c r="I1" s="1">
        <f>E1-H1</f>
        <v>30.23333333333332</v>
      </c>
      <c r="J1">
        <f>(E1-H1)*PI()/360</f>
        <v>0.26383560525980937</v>
      </c>
      <c r="K1">
        <v>1</v>
      </c>
      <c r="L1" s="3">
        <f>0.001667*1000000*SIN(J1)/K1</f>
        <v>434.72916548304323</v>
      </c>
      <c r="M1" s="3">
        <f>(0.001667*1000000/K1)*COS(J1)*0.0003</f>
        <v>0.48279494585285115</v>
      </c>
      <c r="N1" t="s">
        <v>8</v>
      </c>
      <c r="O1" s="5">
        <f>AVERAGE(L1,L4)</f>
        <v>433.7187759440053</v>
      </c>
      <c r="P1" s="5">
        <f>STDEV(L1,L4)</f>
        <v>1.4289065893873816</v>
      </c>
      <c r="Q1">
        <f>25/(25-4)</f>
        <v>1.1904761904761905</v>
      </c>
      <c r="R1" s="5">
        <f>AVERAGE(O1,O4)</f>
        <v>433.7187759440053</v>
      </c>
      <c r="S1">
        <v>0.26383560525980937</v>
      </c>
      <c r="T1">
        <f>(E1+H1)/2</f>
        <v>182.8</v>
      </c>
    </row>
    <row r="2" spans="1:20">
      <c r="A2">
        <f>1/600</f>
        <v>1.6666666666666668E-3</v>
      </c>
      <c r="B2" t="s">
        <v>19</v>
      </c>
      <c r="C2">
        <v>199.5</v>
      </c>
      <c r="D2">
        <v>17</v>
      </c>
      <c r="E2" s="1">
        <f>C2+D2/60</f>
        <v>199.78333333333333</v>
      </c>
      <c r="F2">
        <v>165.5</v>
      </c>
      <c r="G2">
        <v>21</v>
      </c>
      <c r="H2" s="1">
        <f>F2+G2/60</f>
        <v>165.85</v>
      </c>
      <c r="I2" s="1">
        <f t="shared" ref="I2:I6" si="0">E2-H2</f>
        <v>33.933333333333337</v>
      </c>
      <c r="J2">
        <f>(E2-H2)*PI()/360</f>
        <v>0.29612419642170457</v>
      </c>
      <c r="K2">
        <v>1</v>
      </c>
      <c r="L2" s="3">
        <f t="shared" ref="L2:L6" si="1">0.001667*1000000*SIN(J2)/K2</f>
        <v>486.45610463441056</v>
      </c>
      <c r="M2" s="3">
        <f t="shared" ref="M2:M6" si="2">(0.001667*1000000/K2)*COS(J2)*0.0003</f>
        <v>0.47833299200844631</v>
      </c>
      <c r="N2" t="s">
        <v>20</v>
      </c>
      <c r="O2" s="5">
        <f>AVERAGE(L2,L5)</f>
        <v>485.28535320987021</v>
      </c>
      <c r="P2" s="5">
        <f t="shared" ref="P2:P3" si="3">STDEV(L2,L5)</f>
        <v>1.6556925427526326</v>
      </c>
      <c r="Q2">
        <f>16/(16-4)</f>
        <v>1.3333333333333333</v>
      </c>
      <c r="R2" s="5">
        <f>AVERAGE(O2,O5)</f>
        <v>485.28535320987021</v>
      </c>
      <c r="S2">
        <v>0.29612419642170457</v>
      </c>
      <c r="T2">
        <f>(E2+H2)/2</f>
        <v>182.81666666666666</v>
      </c>
    </row>
    <row r="3" spans="1:20">
      <c r="B3" t="s">
        <v>21</v>
      </c>
      <c r="C3">
        <v>206</v>
      </c>
      <c r="D3">
        <v>7</v>
      </c>
      <c r="E3" s="1">
        <f>C3+D3/60</f>
        <v>206.11666666666667</v>
      </c>
      <c r="F3">
        <v>159.5</v>
      </c>
      <c r="G3">
        <v>17</v>
      </c>
      <c r="H3" s="1">
        <f>F3+G3/60</f>
        <v>159.78333333333333</v>
      </c>
      <c r="I3" s="1">
        <f t="shared" si="0"/>
        <v>46.333333333333343</v>
      </c>
      <c r="J3">
        <f t="shared" ref="J2:J6" si="4">(E3-H3)*PI()/360</f>
        <v>0.40433461004535309</v>
      </c>
      <c r="K3">
        <v>1</v>
      </c>
      <c r="L3" s="3">
        <f t="shared" si="1"/>
        <v>655.80965518533822</v>
      </c>
      <c r="M3" s="3">
        <f t="shared" si="2"/>
        <v>0.45977412134102535</v>
      </c>
      <c r="N3" t="s">
        <v>22</v>
      </c>
      <c r="O3" s="5">
        <f>AVERAGE(L3,L6)</f>
        <v>661.02777754668205</v>
      </c>
      <c r="P3" s="5">
        <f>STDEV(L3,L6)</f>
        <v>7.379539413534685</v>
      </c>
      <c r="Q3">
        <f>(3*3)/(3*3-4)</f>
        <v>1.8</v>
      </c>
      <c r="R3" s="5">
        <f>AVERAGE(O3,O6)</f>
        <v>661.02777754668205</v>
      </c>
      <c r="S3">
        <v>0.40433461004535309</v>
      </c>
      <c r="T3">
        <f>(E3+H3)/2</f>
        <v>182.95</v>
      </c>
    </row>
    <row r="4" spans="1:20">
      <c r="B4" t="s">
        <v>23</v>
      </c>
      <c r="C4">
        <v>214</v>
      </c>
      <c r="D4">
        <v>26</v>
      </c>
      <c r="E4" s="1">
        <f>C4+D4/60</f>
        <v>214.43333333333334</v>
      </c>
      <c r="F4">
        <v>151.5</v>
      </c>
      <c r="G4">
        <v>23</v>
      </c>
      <c r="H4" s="1">
        <f>F4+G4/60</f>
        <v>151.88333333333333</v>
      </c>
      <c r="I4" s="1">
        <f t="shared" si="0"/>
        <v>62.550000000000011</v>
      </c>
      <c r="J4">
        <f t="shared" si="4"/>
        <v>0.54585172356122669</v>
      </c>
      <c r="K4">
        <v>2</v>
      </c>
      <c r="L4" s="3">
        <f t="shared" si="1"/>
        <v>432.70838640496731</v>
      </c>
      <c r="M4" s="3">
        <f t="shared" si="2"/>
        <v>0.21371409221231258</v>
      </c>
      <c r="N4" t="s">
        <v>24</v>
      </c>
      <c r="O4" t="s">
        <v>12</v>
      </c>
      <c r="P4" t="s">
        <v>5</v>
      </c>
      <c r="Q4" t="s">
        <v>25</v>
      </c>
      <c r="R4" t="s">
        <v>12</v>
      </c>
      <c r="S4" t="s">
        <v>14</v>
      </c>
      <c r="T4">
        <f>(E4+H4)/2</f>
        <v>183.15833333333333</v>
      </c>
    </row>
    <row r="5" spans="1:20">
      <c r="B5" t="s">
        <v>26</v>
      </c>
      <c r="C5">
        <v>218.5</v>
      </c>
      <c r="D5">
        <v>21</v>
      </c>
      <c r="E5" s="1">
        <f>C5+D5/60</f>
        <v>218.85</v>
      </c>
      <c r="F5">
        <v>147.5</v>
      </c>
      <c r="G5">
        <v>20</v>
      </c>
      <c r="H5" s="1">
        <f>F5+G5/60</f>
        <v>147.83333333333334</v>
      </c>
      <c r="I5" s="1">
        <f t="shared" si="0"/>
        <v>71.016666666666652</v>
      </c>
      <c r="J5">
        <f t="shared" si="4"/>
        <v>0.61973732856231978</v>
      </c>
      <c r="K5">
        <v>2</v>
      </c>
      <c r="L5" s="3">
        <f t="shared" si="1"/>
        <v>484.1146017853298</v>
      </c>
      <c r="M5" s="3">
        <f t="shared" si="2"/>
        <v>0.2035484640336076</v>
      </c>
      <c r="T5">
        <f>(E5+H5)/2</f>
        <v>183.34166666666667</v>
      </c>
    </row>
    <row r="6" spans="1:20">
      <c r="B6" t="s">
        <v>27</v>
      </c>
      <c r="C6">
        <v>239</v>
      </c>
      <c r="D6">
        <v>14</v>
      </c>
      <c r="E6" s="1">
        <f>C6+D6/60</f>
        <v>239.23333333333332</v>
      </c>
      <c r="F6">
        <v>133</v>
      </c>
      <c r="G6">
        <v>6</v>
      </c>
      <c r="H6" s="1">
        <f>F6+G6/60</f>
        <v>133.1</v>
      </c>
      <c r="I6" s="1">
        <f t="shared" si="0"/>
        <v>106.13333333333333</v>
      </c>
      <c r="J6">
        <f t="shared" si="4"/>
        <v>0.92618805639165735</v>
      </c>
      <c r="K6">
        <v>2</v>
      </c>
      <c r="L6" s="3">
        <f t="shared" si="1"/>
        <v>666.24589990802576</v>
      </c>
      <c r="M6" s="3">
        <f t="shared" si="2"/>
        <v>0.15025138460931745</v>
      </c>
      <c r="T6">
        <f>(E6+H6)/2</f>
        <v>186.16666666666666</v>
      </c>
    </row>
    <row r="7" spans="1:20">
      <c r="C7" t="s">
        <v>0</v>
      </c>
      <c r="F7" t="s">
        <v>1</v>
      </c>
      <c r="J7" t="s">
        <v>2</v>
      </c>
      <c r="K7" t="s">
        <v>3</v>
      </c>
      <c r="L7" t="s">
        <v>4</v>
      </c>
      <c r="M7" t="s">
        <v>5</v>
      </c>
      <c r="T7" t="s">
        <v>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B75A7-69BF-44B4-920E-C2401C9FA420}">
  <dimension ref="A1:D8"/>
  <sheetViews>
    <sheetView tabSelected="1" workbookViewId="0">
      <selection activeCell="B9" sqref="B9"/>
    </sheetView>
  </sheetViews>
  <sheetFormatPr defaultRowHeight="15"/>
  <cols>
    <col min="1" max="1" width="15.85546875" customWidth="1"/>
  </cols>
  <sheetData>
    <row r="1" spans="1:4">
      <c r="B1" t="s">
        <v>28</v>
      </c>
      <c r="C1" t="s">
        <v>5</v>
      </c>
    </row>
    <row r="2" spans="1:4">
      <c r="A2" t="s">
        <v>29</v>
      </c>
      <c r="B2" s="4">
        <f>4959.3676/364.7</f>
        <v>13.598485330408554</v>
      </c>
      <c r="C2" s="4">
        <f>(B2/364.7)*0.2</f>
        <v>7.4573541707751885E-3</v>
      </c>
    </row>
    <row r="3" spans="1:4">
      <c r="A3" t="s">
        <v>30</v>
      </c>
      <c r="B3" s="4">
        <f>A5/364.7</f>
        <v>13.598485330408558</v>
      </c>
      <c r="C3" s="4">
        <f>(B3/364.7)*0.2</f>
        <v>7.4573541707751894E-3</v>
      </c>
    </row>
    <row r="4" spans="1:4">
      <c r="A4" t="s">
        <v>31</v>
      </c>
      <c r="B4" s="1">
        <f>4959.3676/365.7</f>
        <v>13.561300519551544</v>
      </c>
      <c r="C4" s="1">
        <f>(B4/365.7)*1.1</f>
        <v>4.0791442634691553E-2</v>
      </c>
    </row>
    <row r="5" spans="1:4">
      <c r="A5">
        <f>1.2398419*1000*4</f>
        <v>4959.3676000000005</v>
      </c>
    </row>
    <row r="6" spans="1:4">
      <c r="A6">
        <v>13.598434589</v>
      </c>
    </row>
    <row r="8" spans="1:4">
      <c r="C8" s="1"/>
      <c r="D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ALBERT MONTANÉ I MUÑOZ</dc:creator>
  <cp:keywords/>
  <dc:description/>
  <cp:lastModifiedBy>ALBERT MONTANÉ I MUÑOZ</cp:lastModifiedBy>
  <cp:revision/>
  <dcterms:created xsi:type="dcterms:W3CDTF">2025-03-04T14:22:18Z</dcterms:created>
  <dcterms:modified xsi:type="dcterms:W3CDTF">2025-04-08T00:27:48Z</dcterms:modified>
  <cp:category/>
  <cp:contentStatus/>
</cp:coreProperties>
</file>