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02005321\OneDrive - pccw.com\HKTMS Data Base\Desktop\AFG Program\"/>
    </mc:Choice>
  </mc:AlternateContent>
  <xr:revisionPtr revIDLastSave="0" documentId="13_ncr:1_{5519037A-F394-4528-A066-8E78684A5303}" xr6:coauthVersionLast="47" xr6:coauthVersionMax="47" xr10:uidLastSave="{00000000-0000-0000-0000-000000000000}"/>
  <bookViews>
    <workbookView xWindow="-120" yWindow="-16320" windowWidth="29040" windowHeight="15840" tabRatio="946" activeTab="4" xr2:uid="{00000000-000D-0000-FFFF-FFFF00000000}"/>
  </bookViews>
  <sheets>
    <sheet name="HKT_Service_Application_Form" sheetId="15" r:id="rId1"/>
    <sheet name="HKT_POS_Moblie_Form" sheetId="7" r:id="rId2"/>
    <sheet name="AFG_Input_Alvin" sheetId="6" r:id="rId3"/>
    <sheet name="Application Merchant" sheetId="2" r:id="rId4"/>
    <sheet name="Payment Channels" sheetId="3" r:id="rId5"/>
    <sheet name="Contacts" sheetId="4" r:id="rId6"/>
    <sheet name="AFG_Input" sheetId="5" r:id="rId7"/>
    <sheet name="MCC_Booklet" sheetId="8" r:id="rId8"/>
    <sheet name="BankCodes" sheetId="9" r:id="rId9"/>
    <sheet name="OtherCodes" sheetId="10" r:id="rId10"/>
    <sheet name="Droplist" sheetId="11" r:id="rId11"/>
    <sheet name="Sheet1" sheetId="12" r:id="rId12"/>
    <sheet name="Rental Code" sheetId="13" r:id="rId13"/>
    <sheet name="Extracted_Field_Names" sheetId="14" r:id="rId14"/>
  </sheets>
  <externalReferences>
    <externalReference r:id="rId15"/>
  </externalReferences>
  <definedNames>
    <definedName name="_xlnm._FilterDatabase" localSheetId="2" hidden="1">AFG_Input_Alvin!$A$1:$E$367</definedName>
    <definedName name="_xlnm._FilterDatabase" localSheetId="1" hidden="1">HKT_POS_Moblie_Form!$A$2:$C$84</definedName>
    <definedName name="_xlnm._FilterDatabase" localSheetId="4" hidden="1">'Payment Channels'!$M$1:$N$30</definedName>
    <definedName name="Country_Codes">OtherCodes!$A$2:$A$37</definedName>
    <definedName name="Courtesy">OtherCodes!$E$2:$E$7</definedName>
    <definedName name="Positions_Type">OtherCodes!$C$2:$C$37</definedName>
    <definedName name="Sales_Table">Sheet1!$D$1:$E$10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  <c r="E214" i="15"/>
  <c r="E213" i="15"/>
  <c r="E229" i="15"/>
  <c r="E228" i="15"/>
  <c r="E227" i="15"/>
  <c r="E226" i="15"/>
  <c r="E223" i="15"/>
  <c r="E224" i="15"/>
  <c r="E225" i="15"/>
  <c r="E221" i="15"/>
  <c r="E220" i="15"/>
  <c r="E27" i="15" l="1"/>
  <c r="E26" i="15"/>
  <c r="E25" i="15"/>
  <c r="E24" i="15"/>
  <c r="E104" i="6"/>
  <c r="E105" i="6"/>
  <c r="E106" i="6"/>
  <c r="E103" i="6"/>
  <c r="C104" i="6"/>
  <c r="D104" i="6" s="1"/>
  <c r="C105" i="6"/>
  <c r="D105" i="6" s="1"/>
  <c r="E28" i="15" s="1"/>
  <c r="C106" i="6"/>
  <c r="D106" i="6" s="1"/>
  <c r="C103" i="6"/>
  <c r="D103" i="6" s="1"/>
  <c r="C55" i="15"/>
  <c r="E140" i="6"/>
  <c r="D140" i="6"/>
  <c r="C116" i="15"/>
  <c r="C115" i="15"/>
  <c r="C114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31" i="15"/>
  <c r="D367" i="6" l="1"/>
  <c r="E367" i="6"/>
  <c r="R5" i="4"/>
  <c r="E48" i="6" l="1"/>
  <c r="B5" i="4" l="1"/>
  <c r="E237" i="6"/>
  <c r="E238" i="6"/>
  <c r="E239" i="6"/>
  <c r="E240" i="6"/>
  <c r="E241" i="6"/>
  <c r="E236" i="6"/>
  <c r="E102" i="6"/>
  <c r="C102" i="6"/>
  <c r="D102" i="6" s="1"/>
  <c r="E229" i="6"/>
  <c r="E230" i="6"/>
  <c r="E231" i="6"/>
  <c r="E232" i="6"/>
  <c r="E233" i="6"/>
  <c r="E234" i="6"/>
  <c r="E235" i="6"/>
  <c r="E228" i="6"/>
  <c r="C229" i="6"/>
  <c r="D229" i="6" s="1"/>
  <c r="C230" i="6"/>
  <c r="D230" i="6" s="1"/>
  <c r="C231" i="6"/>
  <c r="D231" i="6" s="1"/>
  <c r="C232" i="6"/>
  <c r="D232" i="6" s="1"/>
  <c r="C233" i="6"/>
  <c r="D233" i="6" s="1"/>
  <c r="C234" i="6"/>
  <c r="D234" i="6" s="1"/>
  <c r="C235" i="6"/>
  <c r="D235" i="6" s="1"/>
  <c r="C228" i="6"/>
  <c r="D228" i="6" s="1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11" i="6"/>
  <c r="E205" i="6"/>
  <c r="E206" i="6"/>
  <c r="E207" i="6"/>
  <c r="E208" i="6"/>
  <c r="E209" i="6"/>
  <c r="E210" i="6"/>
  <c r="E204" i="6"/>
  <c r="E148" i="6"/>
  <c r="E149" i="6"/>
  <c r="E150" i="6"/>
  <c r="E146" i="6"/>
  <c r="E144" i="6"/>
  <c r="E141" i="6"/>
  <c r="E142" i="6"/>
  <c r="E143" i="6"/>
  <c r="E107" i="6"/>
  <c r="E108" i="6"/>
  <c r="E97" i="6"/>
  <c r="E98" i="6"/>
  <c r="E99" i="6"/>
  <c r="E100" i="6"/>
  <c r="E101" i="6"/>
  <c r="E96" i="6"/>
  <c r="C97" i="6"/>
  <c r="D97" i="6" s="1"/>
  <c r="C98" i="6"/>
  <c r="D98" i="6" s="1"/>
  <c r="C99" i="6"/>
  <c r="D99" i="6" s="1"/>
  <c r="C100" i="6"/>
  <c r="D100" i="6" s="1"/>
  <c r="C101" i="6"/>
  <c r="D101" i="6" s="1"/>
  <c r="C96" i="6"/>
  <c r="D96" i="6" s="1"/>
  <c r="E32" i="6"/>
  <c r="C32" i="6"/>
  <c r="D32" i="6" s="1"/>
  <c r="B31" i="2"/>
  <c r="B49" i="2"/>
  <c r="F17" i="2"/>
  <c r="E366" i="6"/>
  <c r="E365" i="6"/>
  <c r="E364" i="6"/>
  <c r="E363" i="6"/>
  <c r="D363" i="6"/>
  <c r="D364" i="6"/>
  <c r="D365" i="6"/>
  <c r="D366" i="6"/>
  <c r="F5" i="4"/>
  <c r="J5" i="4"/>
  <c r="N5" i="4"/>
  <c r="E95" i="6" l="1"/>
  <c r="E94" i="6"/>
  <c r="E93" i="6"/>
  <c r="E92" i="6"/>
  <c r="C95" i="6"/>
  <c r="D95" i="6" s="1"/>
  <c r="C94" i="6"/>
  <c r="D94" i="6" s="1"/>
  <c r="C93" i="6"/>
  <c r="D93" i="6" s="1"/>
  <c r="C92" i="6"/>
  <c r="D92" i="6" s="1"/>
  <c r="J9" i="3"/>
  <c r="E147" i="6" s="1"/>
  <c r="J7" i="3"/>
  <c r="E145" i="6" s="1"/>
  <c r="N20" i="2"/>
  <c r="N16" i="2"/>
  <c r="F4" i="3"/>
  <c r="F5" i="3"/>
  <c r="F6" i="3"/>
  <c r="F3" i="3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44" i="6"/>
  <c r="E335" i="6"/>
  <c r="C335" i="6"/>
  <c r="D335" i="6" s="1"/>
  <c r="C336" i="6"/>
  <c r="D336" i="6" s="1"/>
  <c r="C337" i="6"/>
  <c r="D337" i="6" s="1"/>
  <c r="C338" i="6"/>
  <c r="D338" i="6" s="1"/>
  <c r="C339" i="6"/>
  <c r="D339" i="6" s="1"/>
  <c r="C340" i="6"/>
  <c r="D340" i="6" s="1"/>
  <c r="C341" i="6"/>
  <c r="D341" i="6" s="1"/>
  <c r="C342" i="6"/>
  <c r="D342" i="6" s="1"/>
  <c r="C343" i="6"/>
  <c r="D343" i="6" s="1"/>
  <c r="C334" i="6"/>
  <c r="D334" i="6" s="1"/>
  <c r="E321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295" i="6"/>
  <c r="E289" i="6"/>
  <c r="E290" i="6"/>
  <c r="E291" i="6"/>
  <c r="E292" i="6"/>
  <c r="E293" i="6"/>
  <c r="E294" i="6"/>
  <c r="E288" i="6"/>
  <c r="C319" i="6"/>
  <c r="D319" i="6" s="1"/>
  <c r="C320" i="6"/>
  <c r="D320" i="6" s="1"/>
  <c r="C321" i="6"/>
  <c r="D321" i="6" s="1"/>
  <c r="C322" i="6"/>
  <c r="D322" i="6" s="1"/>
  <c r="C323" i="6"/>
  <c r="D323" i="6" s="1"/>
  <c r="C324" i="6"/>
  <c r="D324" i="6" s="1"/>
  <c r="C325" i="6"/>
  <c r="D325" i="6" s="1"/>
  <c r="C326" i="6"/>
  <c r="D326" i="6" s="1"/>
  <c r="C327" i="6"/>
  <c r="D327" i="6" s="1"/>
  <c r="C328" i="6"/>
  <c r="D328" i="6" s="1"/>
  <c r="C329" i="6"/>
  <c r="D329" i="6" s="1"/>
  <c r="C330" i="6"/>
  <c r="D330" i="6" s="1"/>
  <c r="C331" i="6"/>
  <c r="D331" i="6" s="1"/>
  <c r="C332" i="6"/>
  <c r="D332" i="6" s="1"/>
  <c r="C333" i="6"/>
  <c r="D333" i="6" s="1"/>
  <c r="C318" i="6"/>
  <c r="D318" i="6" s="1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49" i="6"/>
  <c r="C296" i="6"/>
  <c r="D296" i="6" s="1"/>
  <c r="C297" i="6"/>
  <c r="D297" i="6" s="1"/>
  <c r="C298" i="6"/>
  <c r="D298" i="6" s="1"/>
  <c r="C299" i="6"/>
  <c r="D299" i="6" s="1"/>
  <c r="C300" i="6"/>
  <c r="D300" i="6" s="1"/>
  <c r="C301" i="6"/>
  <c r="D301" i="6" s="1"/>
  <c r="C302" i="6"/>
  <c r="D302" i="6" s="1"/>
  <c r="C303" i="6"/>
  <c r="D303" i="6" s="1"/>
  <c r="C304" i="6"/>
  <c r="D304" i="6" s="1"/>
  <c r="C305" i="6"/>
  <c r="D305" i="6" s="1"/>
  <c r="C306" i="6"/>
  <c r="D306" i="6" s="1"/>
  <c r="C307" i="6"/>
  <c r="D307" i="6" s="1"/>
  <c r="C308" i="6"/>
  <c r="D308" i="6" s="1"/>
  <c r="C309" i="6"/>
  <c r="D309" i="6" s="1"/>
  <c r="C310" i="6"/>
  <c r="D310" i="6" s="1"/>
  <c r="C311" i="6"/>
  <c r="D311" i="6" s="1"/>
  <c r="C312" i="6"/>
  <c r="D312" i="6" s="1"/>
  <c r="C313" i="6"/>
  <c r="D313" i="6" s="1"/>
  <c r="C314" i="6"/>
  <c r="D314" i="6" s="1"/>
  <c r="C315" i="6"/>
  <c r="D315" i="6" s="1"/>
  <c r="C316" i="6"/>
  <c r="D316" i="6" s="1"/>
  <c r="C317" i="6"/>
  <c r="D317" i="6" s="1"/>
  <c r="C295" i="6"/>
  <c r="D295" i="6" s="1"/>
  <c r="C289" i="6"/>
  <c r="D289" i="6" s="1"/>
  <c r="C290" i="6"/>
  <c r="D290" i="6" s="1"/>
  <c r="C291" i="6"/>
  <c r="D291" i="6" s="1"/>
  <c r="C292" i="6"/>
  <c r="D292" i="6" s="1"/>
  <c r="C293" i="6"/>
  <c r="D293" i="6" s="1"/>
  <c r="C294" i="6"/>
  <c r="D294" i="6" s="1"/>
  <c r="C288" i="6"/>
  <c r="D288" i="6" s="1"/>
  <c r="N58" i="4"/>
  <c r="J58" i="4"/>
  <c r="F58" i="4"/>
  <c r="B58" i="4"/>
  <c r="N57" i="4"/>
  <c r="J57" i="4"/>
  <c r="F57" i="4"/>
  <c r="E333" i="6" s="1"/>
  <c r="B57" i="4"/>
  <c r="N56" i="4"/>
  <c r="J56" i="4"/>
  <c r="F56" i="4"/>
  <c r="E332" i="6" s="1"/>
  <c r="B56" i="4"/>
  <c r="N55" i="4"/>
  <c r="J55" i="4"/>
  <c r="F55" i="4"/>
  <c r="E331" i="6" s="1"/>
  <c r="B55" i="4"/>
  <c r="N54" i="4"/>
  <c r="J54" i="4"/>
  <c r="F54" i="4"/>
  <c r="E330" i="6" s="1"/>
  <c r="B54" i="4"/>
  <c r="N53" i="4"/>
  <c r="J53" i="4"/>
  <c r="F53" i="4"/>
  <c r="E329" i="6" s="1"/>
  <c r="B53" i="4"/>
  <c r="N52" i="4"/>
  <c r="J52" i="4"/>
  <c r="F52" i="4"/>
  <c r="E328" i="6" s="1"/>
  <c r="B52" i="4"/>
  <c r="N51" i="4"/>
  <c r="J51" i="4"/>
  <c r="F51" i="4"/>
  <c r="E327" i="6" s="1"/>
  <c r="B51" i="4"/>
  <c r="N50" i="4"/>
  <c r="J50" i="4"/>
  <c r="F50" i="4"/>
  <c r="E326" i="6" s="1"/>
  <c r="B50" i="4"/>
  <c r="N49" i="4"/>
  <c r="J49" i="4"/>
  <c r="F49" i="4"/>
  <c r="E325" i="6" s="1"/>
  <c r="B49" i="4"/>
  <c r="N48" i="4"/>
  <c r="J48" i="4"/>
  <c r="F48" i="4"/>
  <c r="E324" i="6" s="1"/>
  <c r="B48" i="4"/>
  <c r="N47" i="4"/>
  <c r="J47" i="4"/>
  <c r="F47" i="4"/>
  <c r="E323" i="6" s="1"/>
  <c r="B47" i="4"/>
  <c r="N46" i="4"/>
  <c r="J46" i="4"/>
  <c r="F46" i="4"/>
  <c r="E322" i="6" s="1"/>
  <c r="B46" i="4"/>
  <c r="N44" i="4"/>
  <c r="J44" i="4"/>
  <c r="F44" i="4"/>
  <c r="E320" i="6" s="1"/>
  <c r="B44" i="4"/>
  <c r="N43" i="4"/>
  <c r="J43" i="4"/>
  <c r="F43" i="4"/>
  <c r="E319" i="6" s="1"/>
  <c r="B43" i="4"/>
  <c r="N42" i="4"/>
  <c r="J42" i="4"/>
  <c r="F42" i="4"/>
  <c r="E318" i="6" s="1"/>
  <c r="B42" i="4"/>
  <c r="R34" i="4"/>
  <c r="E362" i="6" s="1"/>
  <c r="R33" i="4"/>
  <c r="E361" i="6" s="1"/>
  <c r="R32" i="4"/>
  <c r="E360" i="6" s="1"/>
  <c r="R31" i="4"/>
  <c r="E359" i="6" s="1"/>
  <c r="R30" i="4"/>
  <c r="E358" i="6" s="1"/>
  <c r="R29" i="4"/>
  <c r="E357" i="6" s="1"/>
  <c r="R28" i="4"/>
  <c r="E356" i="6" s="1"/>
  <c r="R27" i="4"/>
  <c r="E355" i="6" s="1"/>
  <c r="R26" i="4"/>
  <c r="R12" i="4" s="1"/>
  <c r="E343" i="6" s="1"/>
  <c r="R25" i="4"/>
  <c r="E353" i="6" s="1"/>
  <c r="R24" i="4"/>
  <c r="R10" i="4" s="1"/>
  <c r="E341" i="6" s="1"/>
  <c r="R23" i="4"/>
  <c r="E351" i="6" s="1"/>
  <c r="R22" i="4"/>
  <c r="E350" i="6" s="1"/>
  <c r="R21" i="4"/>
  <c r="R20" i="4"/>
  <c r="E348" i="6" s="1"/>
  <c r="R19" i="4"/>
  <c r="R7" i="4" s="1"/>
  <c r="E338" i="6" s="1"/>
  <c r="R18" i="4"/>
  <c r="E346" i="6" s="1"/>
  <c r="R17" i="4"/>
  <c r="E345" i="6" s="1"/>
  <c r="R16" i="4"/>
  <c r="R2" i="4" s="1"/>
  <c r="E334" i="6" s="1"/>
  <c r="R11" i="4"/>
  <c r="E342" i="6" s="1"/>
  <c r="R3" i="4"/>
  <c r="N30" i="3"/>
  <c r="N29" i="3"/>
  <c r="N28" i="3"/>
  <c r="N27" i="3"/>
  <c r="N26" i="3"/>
  <c r="N25" i="3"/>
  <c r="N24" i="3"/>
  <c r="N23" i="3"/>
  <c r="N22" i="3"/>
  <c r="N21" i="3"/>
  <c r="N15" i="3"/>
  <c r="B47" i="2"/>
  <c r="B45" i="2"/>
  <c r="B44" i="2"/>
  <c r="B43" i="2"/>
  <c r="B42" i="2"/>
  <c r="B41" i="2"/>
  <c r="B40" i="2"/>
  <c r="B50" i="2" s="1"/>
  <c r="B33" i="2"/>
  <c r="F30" i="2"/>
  <c r="F29" i="2"/>
  <c r="F20" i="2"/>
  <c r="F19" i="2"/>
  <c r="F18" i="2"/>
  <c r="B17" i="2"/>
  <c r="F16" i="2"/>
  <c r="F15" i="2"/>
  <c r="J11" i="2"/>
  <c r="J10" i="2"/>
  <c r="J9" i="2"/>
  <c r="B4" i="2"/>
  <c r="E170" i="15" l="1"/>
  <c r="D361" i="6"/>
  <c r="D353" i="6"/>
  <c r="D345" i="6"/>
  <c r="E192" i="15"/>
  <c r="R9" i="4"/>
  <c r="E340" i="6" s="1"/>
  <c r="D360" i="6"/>
  <c r="D352" i="6"/>
  <c r="D362" i="6"/>
  <c r="D354" i="6"/>
  <c r="D346" i="6"/>
  <c r="E354" i="6"/>
  <c r="E352" i="6"/>
  <c r="R6" i="4"/>
  <c r="E337" i="6" s="1"/>
  <c r="R4" i="4"/>
  <c r="E336" i="6" s="1"/>
  <c r="R8" i="4"/>
  <c r="E339" i="6" s="1"/>
  <c r="E349" i="6"/>
  <c r="E344" i="6"/>
  <c r="E347" i="6"/>
  <c r="D359" i="6"/>
  <c r="D351" i="6"/>
  <c r="D358" i="6"/>
  <c r="D350" i="6"/>
  <c r="D357" i="6"/>
  <c r="D349" i="6"/>
  <c r="D356" i="6"/>
  <c r="D348" i="6"/>
  <c r="D344" i="6"/>
  <c r="D355" i="6"/>
  <c r="D347" i="6"/>
  <c r="AB2" i="5" l="1"/>
  <c r="AB4" i="5"/>
  <c r="AB5" i="5"/>
  <c r="AB6" i="5"/>
  <c r="AB7" i="5"/>
  <c r="AB8" i="5"/>
  <c r="BK2" i="5"/>
  <c r="BK4" i="5"/>
  <c r="BT4" i="5" s="1"/>
  <c r="BK5" i="5"/>
  <c r="BK6" i="5"/>
  <c r="BK7" i="5"/>
  <c r="BK8" i="5"/>
  <c r="BL2" i="5"/>
  <c r="BL4" i="5"/>
  <c r="BL5" i="5"/>
  <c r="BL6" i="5"/>
  <c r="BU6" i="5" s="1"/>
  <c r="BL7" i="5"/>
  <c r="BL8" i="5"/>
  <c r="BM2" i="5"/>
  <c r="BM4" i="5"/>
  <c r="BM5" i="5"/>
  <c r="BM6" i="5"/>
  <c r="BM7" i="5"/>
  <c r="BM8" i="5"/>
  <c r="BV8" i="5" s="1"/>
  <c r="CE8" i="5" s="1"/>
  <c r="BN2" i="5"/>
  <c r="BN4" i="5"/>
  <c r="BN5" i="5"/>
  <c r="BN6" i="5"/>
  <c r="BN7" i="5"/>
  <c r="BN8" i="5"/>
  <c r="BO2" i="5"/>
  <c r="BO4" i="5"/>
  <c r="BX4" i="5" s="1"/>
  <c r="BO5" i="5"/>
  <c r="BO6" i="5"/>
  <c r="BO7" i="5"/>
  <c r="BO8" i="5"/>
  <c r="BP2" i="5"/>
  <c r="BP4" i="5"/>
  <c r="BP5" i="5"/>
  <c r="BP6" i="5"/>
  <c r="BP7" i="5"/>
  <c r="BP8" i="5"/>
  <c r="BQ2" i="5"/>
  <c r="BQ4" i="5"/>
  <c r="BQ5" i="5"/>
  <c r="BQ6" i="5"/>
  <c r="BQ7" i="5"/>
  <c r="BQ8" i="5"/>
  <c r="BR2" i="5"/>
  <c r="BR4" i="5"/>
  <c r="BR5" i="5"/>
  <c r="BR6" i="5"/>
  <c r="BR7" i="5"/>
  <c r="BR8" i="5"/>
  <c r="BS2" i="5"/>
  <c r="BS4" i="5"/>
  <c r="CB4" i="5" s="1"/>
  <c r="BS5" i="5"/>
  <c r="BS6" i="5"/>
  <c r="BS7" i="5"/>
  <c r="BS8" i="5"/>
  <c r="BT2" i="5"/>
  <c r="BT5" i="5"/>
  <c r="BT6" i="5"/>
  <c r="BT7" i="5"/>
  <c r="BT8" i="5"/>
  <c r="BU2" i="5"/>
  <c r="BU4" i="5"/>
  <c r="BU5" i="5"/>
  <c r="BU7" i="5"/>
  <c r="BU8" i="5"/>
  <c r="BV2" i="5"/>
  <c r="BV4" i="5"/>
  <c r="BV5" i="5"/>
  <c r="BV6" i="5"/>
  <c r="BV7" i="5"/>
  <c r="BW2" i="5"/>
  <c r="BW4" i="5"/>
  <c r="CF4" i="5" s="1"/>
  <c r="BW5" i="5"/>
  <c r="BW6" i="5"/>
  <c r="BW7" i="5"/>
  <c r="BW8" i="5"/>
  <c r="BX2" i="5"/>
  <c r="BX5" i="5"/>
  <c r="BX6" i="5"/>
  <c r="BX7" i="5"/>
  <c r="BX8" i="5"/>
  <c r="CB2" i="5"/>
  <c r="CB5" i="5"/>
  <c r="CB6" i="5"/>
  <c r="CB7" i="5"/>
  <c r="CB8" i="5"/>
  <c r="CE2" i="5"/>
  <c r="CE4" i="5"/>
  <c r="CE5" i="5"/>
  <c r="CE6" i="5"/>
  <c r="CE7" i="5"/>
  <c r="CF2" i="5"/>
  <c r="CF5" i="5"/>
  <c r="CF6" i="5"/>
  <c r="CF7" i="5"/>
  <c r="CF8" i="5"/>
  <c r="CI2" i="5"/>
  <c r="CI4" i="5"/>
  <c r="CI5" i="5"/>
  <c r="CI6" i="5"/>
  <c r="CI7" i="5"/>
  <c r="CI8" i="5"/>
  <c r="DL2" i="5"/>
  <c r="DL4" i="5"/>
  <c r="DL5" i="5"/>
  <c r="DL6" i="5"/>
  <c r="DL7" i="5"/>
  <c r="DL8" i="5"/>
  <c r="DM2" i="5"/>
  <c r="DM4" i="5"/>
  <c r="DM5" i="5"/>
  <c r="DM6" i="5"/>
  <c r="DM7" i="5"/>
  <c r="DM8" i="5"/>
  <c r="DW2" i="5"/>
  <c r="DW4" i="5"/>
  <c r="DW5" i="5"/>
  <c r="DW6" i="5"/>
  <c r="DW7" i="5"/>
  <c r="DW8" i="5"/>
  <c r="DX2" i="5"/>
  <c r="DX4" i="5"/>
  <c r="DX5" i="5"/>
  <c r="DX6" i="5"/>
  <c r="DX7" i="5"/>
  <c r="DX8" i="5"/>
  <c r="EP2" i="5"/>
  <c r="EP4" i="5"/>
  <c r="EP5" i="5"/>
  <c r="EP6" i="5"/>
  <c r="EP7" i="5"/>
  <c r="EP8" i="5"/>
  <c r="EQ2" i="5"/>
  <c r="EQ4" i="5"/>
  <c r="EQ5" i="5"/>
  <c r="EQ6" i="5"/>
  <c r="EQ7" i="5"/>
  <c r="EQ8" i="5"/>
  <c r="E244" i="6"/>
  <c r="E245" i="6"/>
  <c r="E246" i="6"/>
  <c r="E247" i="6"/>
  <c r="E248" i="6"/>
  <c r="E242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72" i="6"/>
  <c r="E243" i="6"/>
  <c r="C256" i="6"/>
  <c r="D256" i="6" s="1"/>
  <c r="C257" i="6"/>
  <c r="D257" i="6" s="1"/>
  <c r="C258" i="6"/>
  <c r="D258" i="6" s="1"/>
  <c r="C259" i="6"/>
  <c r="D259" i="6" s="1"/>
  <c r="C260" i="6"/>
  <c r="D260" i="6" s="1"/>
  <c r="C261" i="6"/>
  <c r="D261" i="6" s="1"/>
  <c r="C262" i="6"/>
  <c r="D262" i="6" s="1"/>
  <c r="C263" i="6"/>
  <c r="D263" i="6" s="1"/>
  <c r="C264" i="6"/>
  <c r="D264" i="6" s="1"/>
  <c r="C265" i="6"/>
  <c r="D265" i="6" s="1"/>
  <c r="C266" i="6"/>
  <c r="D266" i="6" s="1"/>
  <c r="C267" i="6"/>
  <c r="D267" i="6" s="1"/>
  <c r="C268" i="6"/>
  <c r="D268" i="6" s="1"/>
  <c r="C269" i="6"/>
  <c r="D269" i="6" s="1"/>
  <c r="C270" i="6"/>
  <c r="D270" i="6" s="1"/>
  <c r="C271" i="6"/>
  <c r="D271" i="6" s="1"/>
  <c r="C272" i="6"/>
  <c r="D272" i="6" s="1"/>
  <c r="C273" i="6"/>
  <c r="D273" i="6" s="1"/>
  <c r="C274" i="6"/>
  <c r="D274" i="6" s="1"/>
  <c r="C275" i="6"/>
  <c r="D275" i="6" s="1"/>
  <c r="C276" i="6"/>
  <c r="D276" i="6" s="1"/>
  <c r="C277" i="6"/>
  <c r="D277" i="6" s="1"/>
  <c r="C278" i="6"/>
  <c r="D278" i="6" s="1"/>
  <c r="C279" i="6"/>
  <c r="D279" i="6" s="1"/>
  <c r="C280" i="6"/>
  <c r="D280" i="6" s="1"/>
  <c r="C281" i="6"/>
  <c r="D281" i="6" s="1"/>
  <c r="C282" i="6"/>
  <c r="D282" i="6" s="1"/>
  <c r="C283" i="6"/>
  <c r="D283" i="6" s="1"/>
  <c r="C284" i="6"/>
  <c r="D284" i="6" s="1"/>
  <c r="C285" i="6"/>
  <c r="D285" i="6" s="1"/>
  <c r="C286" i="6"/>
  <c r="D286" i="6" s="1"/>
  <c r="C287" i="6"/>
  <c r="D287" i="6" s="1"/>
  <c r="C243" i="6"/>
  <c r="D243" i="6" s="1"/>
  <c r="C244" i="6"/>
  <c r="D244" i="6" s="1"/>
  <c r="C245" i="6"/>
  <c r="D245" i="6" s="1"/>
  <c r="C246" i="6"/>
  <c r="D246" i="6" s="1"/>
  <c r="C247" i="6"/>
  <c r="D247" i="6" s="1"/>
  <c r="C248" i="6"/>
  <c r="D248" i="6" s="1"/>
  <c r="C249" i="6"/>
  <c r="D249" i="6" s="1"/>
  <c r="C250" i="6"/>
  <c r="D250" i="6" s="1"/>
  <c r="C251" i="6"/>
  <c r="D251" i="6" s="1"/>
  <c r="C252" i="6"/>
  <c r="D252" i="6" s="1"/>
  <c r="C253" i="6"/>
  <c r="D253" i="6" s="1"/>
  <c r="C254" i="6"/>
  <c r="D254" i="6" s="1"/>
  <c r="C255" i="6"/>
  <c r="D255" i="6" s="1"/>
  <c r="C242" i="6"/>
  <c r="D242" i="6" s="1"/>
  <c r="C237" i="6"/>
  <c r="D237" i="6" s="1"/>
  <c r="C238" i="6"/>
  <c r="D238" i="6" s="1"/>
  <c r="C239" i="6"/>
  <c r="D239" i="6" s="1"/>
  <c r="C240" i="6"/>
  <c r="D240" i="6" s="1"/>
  <c r="C241" i="6"/>
  <c r="D241" i="6" s="1"/>
  <c r="C236" i="6"/>
  <c r="D236" i="6" s="1"/>
  <c r="C208" i="6"/>
  <c r="D208" i="6" s="1"/>
  <c r="C209" i="6"/>
  <c r="D209" i="6" s="1"/>
  <c r="C210" i="6"/>
  <c r="D210" i="6" s="1"/>
  <c r="C211" i="6"/>
  <c r="D211" i="6" s="1"/>
  <c r="C212" i="6"/>
  <c r="D212" i="6" s="1"/>
  <c r="C213" i="6"/>
  <c r="D213" i="6" s="1"/>
  <c r="C214" i="6"/>
  <c r="D214" i="6" s="1"/>
  <c r="C215" i="6"/>
  <c r="D215" i="6" s="1"/>
  <c r="C216" i="6"/>
  <c r="D216" i="6" s="1"/>
  <c r="C217" i="6"/>
  <c r="D217" i="6" s="1"/>
  <c r="C218" i="6"/>
  <c r="D218" i="6" s="1"/>
  <c r="C219" i="6"/>
  <c r="D219" i="6" s="1"/>
  <c r="C220" i="6"/>
  <c r="D220" i="6" s="1"/>
  <c r="C221" i="6"/>
  <c r="D221" i="6" s="1"/>
  <c r="C222" i="6"/>
  <c r="D222" i="6" s="1"/>
  <c r="C223" i="6"/>
  <c r="D223" i="6" s="1"/>
  <c r="C224" i="6"/>
  <c r="D224" i="6" s="1"/>
  <c r="C225" i="6"/>
  <c r="D225" i="6" s="1"/>
  <c r="C226" i="6"/>
  <c r="D226" i="6" s="1"/>
  <c r="C227" i="6"/>
  <c r="D227" i="6" s="1"/>
  <c r="C195" i="6"/>
  <c r="D195" i="6" s="1"/>
  <c r="E195" i="6"/>
  <c r="C196" i="6"/>
  <c r="D196" i="6" s="1"/>
  <c r="E196" i="6"/>
  <c r="C197" i="6"/>
  <c r="D197" i="6" s="1"/>
  <c r="E197" i="6"/>
  <c r="C198" i="6"/>
  <c r="D198" i="6" s="1"/>
  <c r="E198" i="6"/>
  <c r="C199" i="6"/>
  <c r="D199" i="6" s="1"/>
  <c r="E199" i="6"/>
  <c r="C200" i="6"/>
  <c r="D200" i="6" s="1"/>
  <c r="E200" i="6"/>
  <c r="C201" i="6"/>
  <c r="D201" i="6" s="1"/>
  <c r="E201" i="6"/>
  <c r="C202" i="6"/>
  <c r="D202" i="6" s="1"/>
  <c r="E202" i="6"/>
  <c r="C203" i="6"/>
  <c r="D203" i="6" s="1"/>
  <c r="E203" i="6"/>
  <c r="C204" i="6"/>
  <c r="D204" i="6" s="1"/>
  <c r="C205" i="6"/>
  <c r="D205" i="6" s="1"/>
  <c r="C206" i="6"/>
  <c r="D206" i="6" s="1"/>
  <c r="C207" i="6"/>
  <c r="D207" i="6" s="1"/>
  <c r="E194" i="6"/>
  <c r="C194" i="6"/>
  <c r="D194" i="6" s="1"/>
  <c r="C184" i="6"/>
  <c r="D184" i="6" s="1"/>
  <c r="E184" i="6"/>
  <c r="C185" i="6"/>
  <c r="D185" i="6" s="1"/>
  <c r="E185" i="6"/>
  <c r="C186" i="6"/>
  <c r="D186" i="6" s="1"/>
  <c r="E186" i="6"/>
  <c r="C187" i="6"/>
  <c r="D187" i="6" s="1"/>
  <c r="E187" i="6"/>
  <c r="C188" i="6"/>
  <c r="D188" i="6" s="1"/>
  <c r="E188" i="6"/>
  <c r="C189" i="6"/>
  <c r="D189" i="6" s="1"/>
  <c r="E189" i="6"/>
  <c r="C190" i="6"/>
  <c r="D190" i="6" s="1"/>
  <c r="E190" i="6"/>
  <c r="C191" i="6"/>
  <c r="D191" i="6" s="1"/>
  <c r="E191" i="6"/>
  <c r="C192" i="6"/>
  <c r="D192" i="6" s="1"/>
  <c r="E192" i="6"/>
  <c r="C193" i="6"/>
  <c r="D193" i="6" s="1"/>
  <c r="E193" i="6"/>
  <c r="C152" i="6"/>
  <c r="D152" i="6" s="1"/>
  <c r="E152" i="6"/>
  <c r="C153" i="6"/>
  <c r="D153" i="6" s="1"/>
  <c r="E153" i="6"/>
  <c r="C154" i="6"/>
  <c r="D154" i="6" s="1"/>
  <c r="E154" i="6"/>
  <c r="C155" i="6"/>
  <c r="D155" i="6" s="1"/>
  <c r="E155" i="6"/>
  <c r="C156" i="6"/>
  <c r="D156" i="6" s="1"/>
  <c r="E156" i="6"/>
  <c r="C157" i="6"/>
  <c r="D157" i="6" s="1"/>
  <c r="E157" i="6"/>
  <c r="C158" i="6"/>
  <c r="D158" i="6" s="1"/>
  <c r="E158" i="6"/>
  <c r="C159" i="6"/>
  <c r="D159" i="6" s="1"/>
  <c r="E159" i="6"/>
  <c r="C160" i="6"/>
  <c r="D160" i="6" s="1"/>
  <c r="E160" i="6"/>
  <c r="C161" i="6"/>
  <c r="D161" i="6" s="1"/>
  <c r="E161" i="6"/>
  <c r="C162" i="6"/>
  <c r="D162" i="6" s="1"/>
  <c r="E162" i="6"/>
  <c r="C163" i="6"/>
  <c r="D163" i="6" s="1"/>
  <c r="E163" i="6"/>
  <c r="C164" i="6"/>
  <c r="D164" i="6" s="1"/>
  <c r="E164" i="6"/>
  <c r="C165" i="6"/>
  <c r="D165" i="6" s="1"/>
  <c r="E165" i="6"/>
  <c r="C166" i="6"/>
  <c r="D166" i="6" s="1"/>
  <c r="E166" i="6"/>
  <c r="C167" i="6"/>
  <c r="D167" i="6" s="1"/>
  <c r="E167" i="6"/>
  <c r="C168" i="6"/>
  <c r="D168" i="6" s="1"/>
  <c r="E168" i="6"/>
  <c r="C169" i="6"/>
  <c r="D169" i="6" s="1"/>
  <c r="E169" i="6"/>
  <c r="C170" i="6"/>
  <c r="D170" i="6" s="1"/>
  <c r="E170" i="6"/>
  <c r="C171" i="6"/>
  <c r="D171" i="6" s="1"/>
  <c r="E171" i="6"/>
  <c r="C172" i="6"/>
  <c r="D172" i="6" s="1"/>
  <c r="E172" i="6"/>
  <c r="C173" i="6"/>
  <c r="D173" i="6" s="1"/>
  <c r="E173" i="6"/>
  <c r="C174" i="6"/>
  <c r="D174" i="6" s="1"/>
  <c r="E174" i="6"/>
  <c r="C175" i="6"/>
  <c r="D175" i="6" s="1"/>
  <c r="E175" i="6"/>
  <c r="C176" i="6"/>
  <c r="D176" i="6" s="1"/>
  <c r="E176" i="6"/>
  <c r="C177" i="6"/>
  <c r="D177" i="6" s="1"/>
  <c r="E177" i="6"/>
  <c r="C178" i="6"/>
  <c r="D178" i="6" s="1"/>
  <c r="E178" i="6"/>
  <c r="C179" i="6"/>
  <c r="D179" i="6" s="1"/>
  <c r="E179" i="6"/>
  <c r="C180" i="6"/>
  <c r="D180" i="6" s="1"/>
  <c r="E180" i="6"/>
  <c r="C181" i="6"/>
  <c r="D181" i="6" s="1"/>
  <c r="E181" i="6"/>
  <c r="C182" i="6"/>
  <c r="D182" i="6" s="1"/>
  <c r="E182" i="6"/>
  <c r="C183" i="6"/>
  <c r="D183" i="6" s="1"/>
  <c r="E183" i="6"/>
  <c r="E151" i="6"/>
  <c r="C151" i="6"/>
  <c r="D151" i="6" s="1"/>
  <c r="C141" i="6"/>
  <c r="D141" i="6" s="1"/>
  <c r="C142" i="6"/>
  <c r="D142" i="6" s="1"/>
  <c r="C143" i="6"/>
  <c r="D143" i="6" s="1"/>
  <c r="C144" i="6"/>
  <c r="D144" i="6" s="1"/>
  <c r="C145" i="6"/>
  <c r="D145" i="6" s="1"/>
  <c r="C146" i="6"/>
  <c r="D146" i="6" s="1"/>
  <c r="C147" i="6"/>
  <c r="D147" i="6" s="1"/>
  <c r="C148" i="6"/>
  <c r="D148" i="6" s="1"/>
  <c r="C149" i="6"/>
  <c r="D149" i="6" s="1"/>
  <c r="C150" i="6"/>
  <c r="D150" i="6" s="1"/>
  <c r="E139" i="6"/>
  <c r="C139" i="6"/>
  <c r="D139" i="6" s="1"/>
  <c r="E135" i="6"/>
  <c r="E136" i="6"/>
  <c r="E137" i="6"/>
  <c r="E138" i="6"/>
  <c r="E134" i="6"/>
  <c r="C135" i="6"/>
  <c r="D135" i="6" s="1"/>
  <c r="C136" i="6"/>
  <c r="D136" i="6" s="1"/>
  <c r="C137" i="6"/>
  <c r="D137" i="6" s="1"/>
  <c r="C138" i="6"/>
  <c r="D138" i="6" s="1"/>
  <c r="C134" i="6"/>
  <c r="D134" i="6" s="1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C130" i="6"/>
  <c r="D130" i="6" s="1"/>
  <c r="C131" i="6"/>
  <c r="D131" i="6" s="1"/>
  <c r="C132" i="6"/>
  <c r="D132" i="6" s="1"/>
  <c r="C133" i="6"/>
  <c r="D133" i="6" s="1"/>
  <c r="C125" i="6"/>
  <c r="D125" i="6" s="1"/>
  <c r="C126" i="6"/>
  <c r="D126" i="6" s="1"/>
  <c r="C127" i="6"/>
  <c r="D127" i="6" s="1"/>
  <c r="C128" i="6"/>
  <c r="D128" i="6" s="1"/>
  <c r="C129" i="6"/>
  <c r="D129" i="6" s="1"/>
  <c r="C108" i="6"/>
  <c r="D108" i="6" s="1"/>
  <c r="C109" i="6"/>
  <c r="D109" i="6" s="1"/>
  <c r="C110" i="6"/>
  <c r="D110" i="6" s="1"/>
  <c r="C111" i="6"/>
  <c r="D111" i="6" s="1"/>
  <c r="C112" i="6"/>
  <c r="D112" i="6" s="1"/>
  <c r="C113" i="6"/>
  <c r="D113" i="6" s="1"/>
  <c r="C114" i="6"/>
  <c r="D114" i="6" s="1"/>
  <c r="C115" i="6"/>
  <c r="D115" i="6" s="1"/>
  <c r="C116" i="6"/>
  <c r="D116" i="6" s="1"/>
  <c r="C117" i="6"/>
  <c r="D117" i="6" s="1"/>
  <c r="C118" i="6"/>
  <c r="D118" i="6" s="1"/>
  <c r="C119" i="6"/>
  <c r="D119" i="6" s="1"/>
  <c r="C120" i="6"/>
  <c r="D120" i="6" s="1"/>
  <c r="C121" i="6"/>
  <c r="D121" i="6" s="1"/>
  <c r="C122" i="6"/>
  <c r="D122" i="6" s="1"/>
  <c r="C123" i="6"/>
  <c r="D123" i="6" s="1"/>
  <c r="C124" i="6"/>
  <c r="D124" i="6" s="1"/>
  <c r="C107" i="6"/>
  <c r="D107" i="6" s="1"/>
  <c r="E91" i="6"/>
  <c r="C91" i="6"/>
  <c r="D91" i="6" s="1"/>
  <c r="E90" i="6"/>
  <c r="C90" i="6"/>
  <c r="D90" i="6" s="1"/>
  <c r="E89" i="6"/>
  <c r="C89" i="6"/>
  <c r="D89" i="6" s="1"/>
  <c r="E88" i="6"/>
  <c r="C88" i="6"/>
  <c r="D88" i="6" s="1"/>
  <c r="E87" i="6"/>
  <c r="C87" i="6"/>
  <c r="D87" i="6" s="1"/>
  <c r="E86" i="6"/>
  <c r="C86" i="6"/>
  <c r="D86" i="6" s="1"/>
  <c r="E85" i="6"/>
  <c r="C85" i="6"/>
  <c r="D85" i="6" s="1"/>
  <c r="E84" i="6"/>
  <c r="C84" i="6"/>
  <c r="D84" i="6" s="1"/>
  <c r="E83" i="6"/>
  <c r="C83" i="6"/>
  <c r="D83" i="6" s="1"/>
  <c r="E82" i="6"/>
  <c r="C82" i="6"/>
  <c r="D82" i="6" s="1"/>
  <c r="E81" i="6"/>
  <c r="C81" i="6"/>
  <c r="D81" i="6" s="1"/>
  <c r="E80" i="6"/>
  <c r="C80" i="6"/>
  <c r="D80" i="6" s="1"/>
  <c r="E79" i="6"/>
  <c r="C79" i="6"/>
  <c r="D79" i="6" s="1"/>
  <c r="E78" i="6"/>
  <c r="C78" i="6"/>
  <c r="D78" i="6" s="1"/>
  <c r="C77" i="6"/>
  <c r="D77" i="6" s="1"/>
  <c r="C76" i="6"/>
  <c r="D76" i="6" s="1"/>
  <c r="C75" i="6"/>
  <c r="D75" i="6" s="1"/>
  <c r="C74" i="6"/>
  <c r="D74" i="6" s="1"/>
  <c r="C73" i="6"/>
  <c r="D73" i="6" s="1"/>
  <c r="E72" i="6"/>
  <c r="C72" i="6"/>
  <c r="D72" i="6" s="1"/>
  <c r="E71" i="6"/>
  <c r="C71" i="6"/>
  <c r="D71" i="6" s="1"/>
  <c r="E70" i="6"/>
  <c r="C70" i="6"/>
  <c r="D70" i="6" s="1"/>
  <c r="E69" i="6"/>
  <c r="C69" i="6"/>
  <c r="D69" i="6" s="1"/>
  <c r="E68" i="6"/>
  <c r="C68" i="6"/>
  <c r="D68" i="6" s="1"/>
  <c r="C67" i="6"/>
  <c r="D67" i="6" s="1"/>
  <c r="C66" i="6"/>
  <c r="D66" i="6" s="1"/>
  <c r="C65" i="6"/>
  <c r="D65" i="6" s="1"/>
  <c r="C64" i="6"/>
  <c r="D64" i="6" s="1"/>
  <c r="C63" i="6"/>
  <c r="D63" i="6" s="1"/>
  <c r="C62" i="6"/>
  <c r="D62" i="6" s="1"/>
  <c r="E61" i="6"/>
  <c r="C61" i="6"/>
  <c r="D61" i="6" s="1"/>
  <c r="E60" i="6"/>
  <c r="C60" i="6"/>
  <c r="D60" i="6" s="1"/>
  <c r="E59" i="6"/>
  <c r="C59" i="6"/>
  <c r="D59" i="6" s="1"/>
  <c r="E58" i="6"/>
  <c r="C58" i="6"/>
  <c r="D58" i="6" s="1"/>
  <c r="E57" i="6"/>
  <c r="C57" i="6"/>
  <c r="D57" i="6" s="1"/>
  <c r="E56" i="6"/>
  <c r="C56" i="6"/>
  <c r="D56" i="6" s="1"/>
  <c r="E55" i="6"/>
  <c r="C55" i="6"/>
  <c r="D55" i="6" s="1"/>
  <c r="E54" i="6"/>
  <c r="C54" i="6"/>
  <c r="D54" i="6" s="1"/>
  <c r="E53" i="6"/>
  <c r="C53" i="6"/>
  <c r="D53" i="6" s="1"/>
  <c r="E52" i="6"/>
  <c r="C52" i="6"/>
  <c r="D52" i="6" s="1"/>
  <c r="E51" i="6"/>
  <c r="C51" i="6"/>
  <c r="D51" i="6" s="1"/>
  <c r="E50" i="6"/>
  <c r="C50" i="6"/>
  <c r="D50" i="6" s="1"/>
  <c r="E49" i="6"/>
  <c r="C49" i="6"/>
  <c r="D49" i="6" s="1"/>
  <c r="C48" i="6"/>
  <c r="D48" i="6" s="1"/>
  <c r="C47" i="6"/>
  <c r="D47" i="6" s="1"/>
  <c r="C46" i="6"/>
  <c r="D46" i="6" s="1"/>
  <c r="E45" i="6"/>
  <c r="C45" i="6"/>
  <c r="D45" i="6" s="1"/>
  <c r="C44" i="6"/>
  <c r="D44" i="6" s="1"/>
  <c r="E43" i="6"/>
  <c r="C43" i="6"/>
  <c r="D43" i="6" s="1"/>
  <c r="C42" i="6"/>
  <c r="D42" i="6" s="1"/>
  <c r="C41" i="6"/>
  <c r="D41" i="6" s="1"/>
  <c r="C40" i="6"/>
  <c r="D40" i="6" s="1"/>
  <c r="C39" i="6"/>
  <c r="D39" i="6" s="1"/>
  <c r="C38" i="6"/>
  <c r="D38" i="6" s="1"/>
  <c r="C37" i="6"/>
  <c r="D37" i="6" s="1"/>
  <c r="E36" i="6"/>
  <c r="C36" i="6"/>
  <c r="D36" i="6" s="1"/>
  <c r="E35" i="6"/>
  <c r="C35" i="6"/>
  <c r="D35" i="6" s="1"/>
  <c r="C34" i="6"/>
  <c r="D34" i="6" s="1"/>
  <c r="C33" i="6"/>
  <c r="D33" i="6" s="1"/>
  <c r="E31" i="6"/>
  <c r="C31" i="6"/>
  <c r="D31" i="6" s="1"/>
  <c r="E30" i="6"/>
  <c r="C30" i="6"/>
  <c r="D30" i="6" s="1"/>
  <c r="E29" i="6"/>
  <c r="C29" i="6"/>
  <c r="D29" i="6" s="1"/>
  <c r="E28" i="6"/>
  <c r="C28" i="6"/>
  <c r="D28" i="6" s="1"/>
  <c r="E27" i="6"/>
  <c r="C27" i="6"/>
  <c r="D27" i="6" s="1"/>
  <c r="E26" i="6"/>
  <c r="C26" i="6"/>
  <c r="D26" i="6" s="1"/>
  <c r="E25" i="6"/>
  <c r="C25" i="6"/>
  <c r="D25" i="6" s="1"/>
  <c r="E24" i="6"/>
  <c r="C24" i="6"/>
  <c r="D24" i="6" s="1"/>
  <c r="E23" i="6"/>
  <c r="C23" i="6"/>
  <c r="D23" i="6" s="1"/>
  <c r="E22" i="6"/>
  <c r="C22" i="6"/>
  <c r="D22" i="6" s="1"/>
  <c r="E21" i="6"/>
  <c r="C21" i="6"/>
  <c r="D21" i="6" s="1"/>
  <c r="E20" i="6"/>
  <c r="C20" i="6"/>
  <c r="D20" i="6" s="1"/>
  <c r="E19" i="6"/>
  <c r="C19" i="6"/>
  <c r="D19" i="6" s="1"/>
  <c r="C18" i="6"/>
  <c r="D18" i="6" s="1"/>
  <c r="E17" i="6"/>
  <c r="C17" i="6"/>
  <c r="D17" i="6" s="1"/>
  <c r="E16" i="6"/>
  <c r="C16" i="6"/>
  <c r="D16" i="6" s="1"/>
  <c r="E15" i="6"/>
  <c r="C15" i="6"/>
  <c r="D15" i="6" s="1"/>
  <c r="E14" i="6"/>
  <c r="C14" i="6"/>
  <c r="D14" i="6" s="1"/>
  <c r="E13" i="6"/>
  <c r="C13" i="6"/>
  <c r="D13" i="6" s="1"/>
  <c r="E12" i="6"/>
  <c r="C12" i="6"/>
  <c r="D12" i="6" s="1"/>
  <c r="E11" i="6"/>
  <c r="C11" i="6"/>
  <c r="D11" i="6" s="1"/>
  <c r="C10" i="6"/>
  <c r="D10" i="6" s="1"/>
  <c r="E9" i="6"/>
  <c r="C9" i="6"/>
  <c r="D9" i="6" s="1"/>
  <c r="E8" i="6"/>
  <c r="C8" i="6"/>
  <c r="D8" i="6" s="1"/>
  <c r="D7" i="6"/>
  <c r="D6" i="6"/>
  <c r="D5" i="6"/>
  <c r="D4" i="6"/>
  <c r="D3" i="6"/>
  <c r="C2" i="6"/>
  <c r="D2" i="6" s="1"/>
  <c r="ABV3" i="5"/>
  <c r="ABU3" i="5"/>
  <c r="ABS3" i="5"/>
  <c r="ABR3" i="5"/>
  <c r="ABP3" i="5"/>
  <c r="ABQ3" i="5" s="1"/>
  <c r="ABO3" i="5"/>
  <c r="ABN3" i="5"/>
  <c r="ABM3" i="5"/>
  <c r="ABL3" i="5"/>
  <c r="ABK3" i="5"/>
  <c r="ABJ3" i="5"/>
  <c r="ABI3" i="5"/>
  <c r="ABH3" i="5"/>
  <c r="ABG3" i="5"/>
  <c r="ABF3" i="5"/>
  <c r="ABE3" i="5"/>
  <c r="ABD3" i="5"/>
  <c r="ABC3" i="5"/>
  <c r="ABB3" i="5"/>
  <c r="ABA3" i="5"/>
  <c r="AAZ3" i="5"/>
  <c r="AAY3" i="5"/>
  <c r="AAX3" i="5"/>
  <c r="AAW3" i="5"/>
  <c r="AAV3" i="5"/>
  <c r="AAT3" i="5"/>
  <c r="AAS3" i="5"/>
  <c r="AAR3" i="5"/>
  <c r="AAQ3" i="5"/>
  <c r="AAP3" i="5"/>
  <c r="AAO3" i="5"/>
  <c r="AAN3" i="5"/>
  <c r="AAM3" i="5"/>
  <c r="AAL3" i="5"/>
  <c r="AAK3" i="5"/>
  <c r="AAJ3" i="5"/>
  <c r="AAI3" i="5"/>
  <c r="AAH3" i="5"/>
  <c r="AAF3" i="5"/>
  <c r="AAG3" i="5" s="1"/>
  <c r="AAD3" i="5"/>
  <c r="AAE3" i="5" s="1"/>
  <c r="AAC3" i="5"/>
  <c r="AAB3" i="5"/>
  <c r="AAA3" i="5"/>
  <c r="ZZ3" i="5"/>
  <c r="ZY3" i="5"/>
  <c r="ZX3" i="5"/>
  <c r="ZW3" i="5"/>
  <c r="ZJ3" i="5"/>
  <c r="YI3" i="5"/>
  <c r="XU3" i="5"/>
  <c r="WP3" i="5"/>
  <c r="VK3" i="5"/>
  <c r="UF3" i="5"/>
  <c r="TV3" i="5"/>
  <c r="TU3" i="5"/>
  <c r="TT3" i="5"/>
  <c r="TQ3" i="5"/>
  <c r="TS3" i="5" s="1"/>
  <c r="TO3" i="5"/>
  <c r="TN3" i="5"/>
  <c r="TM3" i="5"/>
  <c r="TL3" i="5"/>
  <c r="TK3" i="5"/>
  <c r="TJ3" i="5"/>
  <c r="TI3" i="5"/>
  <c r="TC3" i="5"/>
  <c r="TG3" i="5" s="1"/>
  <c r="TH3" i="5" s="1"/>
  <c r="SZ3" i="5"/>
  <c r="TA3" i="5" s="1"/>
  <c r="SY3" i="5"/>
  <c r="SX3" i="5"/>
  <c r="SV3" i="5"/>
  <c r="SS3" i="5"/>
  <c r="SU3" i="5" s="1"/>
  <c r="SR3" i="5"/>
  <c r="SQ3" i="5"/>
  <c r="SW3" i="5" s="1"/>
  <c r="SO3" i="5"/>
  <c r="SN3" i="5"/>
  <c r="SI3" i="5"/>
  <c r="SK3" i="5" s="1"/>
  <c r="SD3" i="5"/>
  <c r="SB3" i="5"/>
  <c r="SC3" i="5" s="1"/>
  <c r="SA3" i="5"/>
  <c r="RZ3" i="5"/>
  <c r="RY3" i="5"/>
  <c r="RV3" i="5"/>
  <c r="RT3" i="5"/>
  <c r="RS3" i="5"/>
  <c r="RR3" i="5"/>
  <c r="RQ3" i="5"/>
  <c r="RP3" i="5"/>
  <c r="RO3" i="5"/>
  <c r="RN3" i="5"/>
  <c r="RH3" i="5"/>
  <c r="RL3" i="5" s="1"/>
  <c r="RM3" i="5" s="1"/>
  <c r="RE3" i="5"/>
  <c r="RD3" i="5"/>
  <c r="RC3" i="5"/>
  <c r="RA3" i="5"/>
  <c r="QX3" i="5"/>
  <c r="QW3" i="5"/>
  <c r="QV3" i="5"/>
  <c r="RB3" i="5" s="1"/>
  <c r="QT3" i="5"/>
  <c r="QS3" i="5"/>
  <c r="QN3" i="5"/>
  <c r="QO3" i="5" s="1"/>
  <c r="QG3" i="5"/>
  <c r="QJ3" i="5" s="1"/>
  <c r="QF3" i="5"/>
  <c r="QE3" i="5"/>
  <c r="QD3" i="5"/>
  <c r="QA3" i="5"/>
  <c r="QC3" i="5" s="1"/>
  <c r="PY3" i="5"/>
  <c r="PX3" i="5"/>
  <c r="PW3" i="5"/>
  <c r="PV3" i="5"/>
  <c r="PU3" i="5"/>
  <c r="PT3" i="5"/>
  <c r="PS3" i="5"/>
  <c r="PM3" i="5"/>
  <c r="PQ3" i="5" s="1"/>
  <c r="PR3" i="5" s="1"/>
  <c r="PL3" i="5"/>
  <c r="PI3" i="5"/>
  <c r="PJ3" i="5" s="1"/>
  <c r="PH3" i="5"/>
  <c r="PG3" i="5"/>
  <c r="PE3" i="5"/>
  <c r="PB3" i="5"/>
  <c r="PA3" i="5"/>
  <c r="OY3" i="5"/>
  <c r="OX3" i="5"/>
  <c r="OV3" i="5"/>
  <c r="OU3" i="5"/>
  <c r="ON3" i="5"/>
  <c r="OR3" i="5" s="1"/>
  <c r="OC3" i="5"/>
  <c r="OB3" i="5"/>
  <c r="OA3" i="5"/>
  <c r="NZ3" i="5"/>
  <c r="NW3" i="5"/>
  <c r="NY3" i="5" s="1"/>
  <c r="NU3" i="5"/>
  <c r="NT3" i="5"/>
  <c r="NS3" i="5"/>
  <c r="NR3" i="5"/>
  <c r="NQ3" i="5"/>
  <c r="NP3" i="5"/>
  <c r="NO3" i="5"/>
  <c r="NI3" i="5"/>
  <c r="NL3" i="5" s="1"/>
  <c r="NH3" i="5"/>
  <c r="NE3" i="5"/>
  <c r="ND3" i="5"/>
  <c r="NC3" i="5"/>
  <c r="NA3" i="5"/>
  <c r="MX3" i="5"/>
  <c r="MZ3" i="5" s="1"/>
  <c r="MW3" i="5"/>
  <c r="MU3" i="5"/>
  <c r="MT3" i="5"/>
  <c r="MR3" i="5"/>
  <c r="MQ3" i="5"/>
  <c r="MJ3" i="5"/>
  <c r="ML3" i="5" s="1"/>
  <c r="LY3" i="5"/>
  <c r="ME3" i="5" s="1"/>
  <c r="LA3" i="5"/>
  <c r="KX3" i="5"/>
  <c r="KW3" i="5"/>
  <c r="KI3" i="5"/>
  <c r="JW3" i="5"/>
  <c r="KP3" i="5" s="1"/>
  <c r="JV3" i="5"/>
  <c r="JU3" i="5"/>
  <c r="JR3" i="5"/>
  <c r="JS3" i="5" s="1"/>
  <c r="JQ3" i="5"/>
  <c r="JP3" i="5"/>
  <c r="JM3" i="5"/>
  <c r="JL3" i="5"/>
  <c r="JN3" i="5" s="1"/>
  <c r="JO3" i="5" s="1"/>
  <c r="JK3" i="5"/>
  <c r="JI3" i="5"/>
  <c r="JH3" i="5"/>
  <c r="JG3" i="5"/>
  <c r="JC3" i="5"/>
  <c r="JB3" i="5"/>
  <c r="JA3" i="5"/>
  <c r="IY3" i="5"/>
  <c r="IW3" i="5"/>
  <c r="IV3" i="5"/>
  <c r="IU3" i="5"/>
  <c r="IT3" i="5"/>
  <c r="IS3" i="5"/>
  <c r="IR3" i="5"/>
  <c r="IQ3" i="5"/>
  <c r="IH3" i="5"/>
  <c r="IG3" i="5"/>
  <c r="IF3" i="5"/>
  <c r="IE3" i="5"/>
  <c r="ID3" i="5"/>
  <c r="IC3" i="5"/>
  <c r="IB3" i="5"/>
  <c r="IA3" i="5"/>
  <c r="HZ3" i="5"/>
  <c r="HY3" i="5"/>
  <c r="HX3" i="5"/>
  <c r="HW3" i="5"/>
  <c r="HV3" i="5"/>
  <c r="HU3" i="5"/>
  <c r="HT3" i="5"/>
  <c r="HS3" i="5"/>
  <c r="HR3" i="5"/>
  <c r="HQ3" i="5"/>
  <c r="HP3" i="5"/>
  <c r="HO3" i="5"/>
  <c r="HN3" i="5"/>
  <c r="HM3" i="5"/>
  <c r="HL3" i="5"/>
  <c r="HK3" i="5"/>
  <c r="HJ3" i="5"/>
  <c r="HI3" i="5"/>
  <c r="HH3" i="5"/>
  <c r="HF3" i="5"/>
  <c r="HE3" i="5"/>
  <c r="HD3" i="5"/>
  <c r="HC3" i="5"/>
  <c r="HB3" i="5"/>
  <c r="HA3" i="5"/>
  <c r="GZ3" i="5"/>
  <c r="GY3" i="5"/>
  <c r="GW3" i="5"/>
  <c r="GU3" i="5"/>
  <c r="GT3" i="5"/>
  <c r="GS3" i="5"/>
  <c r="GQ3" i="5"/>
  <c r="GP3" i="5"/>
  <c r="GX3" i="5" s="1"/>
  <c r="GO3" i="5"/>
  <c r="GN3" i="5"/>
  <c r="GM3" i="5"/>
  <c r="GL3" i="5"/>
  <c r="GK3" i="5"/>
  <c r="GJ3" i="5"/>
  <c r="GI3" i="5"/>
  <c r="GG3" i="5"/>
  <c r="GH3" i="5" s="1"/>
  <c r="GE3" i="5"/>
  <c r="GF3" i="5" s="1"/>
  <c r="GC3" i="5"/>
  <c r="GD3" i="5" s="1"/>
  <c r="FZ3" i="5"/>
  <c r="GA3" i="5" s="1"/>
  <c r="FY3" i="5"/>
  <c r="FX3" i="5"/>
  <c r="FW3" i="5"/>
  <c r="FV3" i="5"/>
  <c r="FU3" i="5"/>
  <c r="FT3" i="5"/>
  <c r="FS3" i="5"/>
  <c r="FR3" i="5"/>
  <c r="FQ3" i="5"/>
  <c r="FP3" i="5"/>
  <c r="FO3" i="5"/>
  <c r="FN3" i="5"/>
  <c r="FL3" i="5"/>
  <c r="FJ3" i="5"/>
  <c r="FI3" i="5"/>
  <c r="FH3" i="5"/>
  <c r="FG3" i="5"/>
  <c r="FF3" i="5"/>
  <c r="FE3" i="5"/>
  <c r="EY3" i="5"/>
  <c r="EX3" i="5"/>
  <c r="EW3" i="5"/>
  <c r="S3" i="5"/>
  <c r="AB3" i="5" s="1"/>
  <c r="AK3" i="5" s="1"/>
  <c r="R3" i="5"/>
  <c r="AA3" i="5" s="1"/>
  <c r="Q3" i="5"/>
  <c r="Z3" i="5" s="1"/>
  <c r="AI3" i="5" s="1"/>
  <c r="AR3" i="5" s="1"/>
  <c r="BA3" i="5" s="1"/>
  <c r="BJ3" i="5" s="1"/>
  <c r="BS3" i="5" s="1"/>
  <c r="CB3" i="5" s="1"/>
  <c r="CK3" i="5" s="1"/>
  <c r="CT3" i="5" s="1"/>
  <c r="DC3" i="5" s="1"/>
  <c r="DL3" i="5" s="1"/>
  <c r="DU3" i="5" s="1"/>
  <c r="ED3" i="5" s="1"/>
  <c r="EM3" i="5" s="1"/>
  <c r="P3" i="5"/>
  <c r="Y3" i="5" s="1"/>
  <c r="AH3" i="5" s="1"/>
  <c r="AQ3" i="5" s="1"/>
  <c r="AZ3" i="5" s="1"/>
  <c r="BI3" i="5" s="1"/>
  <c r="BR3" i="5" s="1"/>
  <c r="CA3" i="5" s="1"/>
  <c r="CJ3" i="5" s="1"/>
  <c r="CS3" i="5" s="1"/>
  <c r="DB3" i="5" s="1"/>
  <c r="DK3" i="5" s="1"/>
  <c r="DT3" i="5" s="1"/>
  <c r="EC3" i="5" s="1"/>
  <c r="EL3" i="5" s="1"/>
  <c r="EU3" i="5" s="1"/>
  <c r="O3" i="5"/>
  <c r="X3" i="5" s="1"/>
  <c r="AG3" i="5" s="1"/>
  <c r="AP3" i="5" s="1"/>
  <c r="AY3" i="5" s="1"/>
  <c r="BH3" i="5" s="1"/>
  <c r="BQ3" i="5" s="1"/>
  <c r="BZ3" i="5" s="1"/>
  <c r="CI3" i="5" s="1"/>
  <c r="CR3" i="5" s="1"/>
  <c r="DA3" i="5" s="1"/>
  <c r="DJ3" i="5" s="1"/>
  <c r="DS3" i="5" s="1"/>
  <c r="EB3" i="5" s="1"/>
  <c r="EK3" i="5" s="1"/>
  <c r="ET3" i="5" s="1"/>
  <c r="N3" i="5"/>
  <c r="W3" i="5" s="1"/>
  <c r="AF3" i="5" s="1"/>
  <c r="AO3" i="5" s="1"/>
  <c r="AX3" i="5" s="1"/>
  <c r="BG3" i="5" s="1"/>
  <c r="BP3" i="5" s="1"/>
  <c r="BY3" i="5" s="1"/>
  <c r="CH3" i="5" s="1"/>
  <c r="CQ3" i="5" s="1"/>
  <c r="CZ3" i="5" s="1"/>
  <c r="DI3" i="5" s="1"/>
  <c r="DR3" i="5" s="1"/>
  <c r="EA3" i="5" s="1"/>
  <c r="EJ3" i="5" s="1"/>
  <c r="ES3" i="5" s="1"/>
  <c r="M3" i="5"/>
  <c r="U3" i="5" s="1"/>
  <c r="AD3" i="5" s="1"/>
  <c r="AM3" i="5" s="1"/>
  <c r="AV3" i="5" s="1"/>
  <c r="BE3" i="5" s="1"/>
  <c r="BN3" i="5" s="1"/>
  <c r="BW3" i="5" s="1"/>
  <c r="CF3" i="5" s="1"/>
  <c r="CO3" i="5" s="1"/>
  <c r="CX3" i="5" s="1"/>
  <c r="DG3" i="5" s="1"/>
  <c r="DP3" i="5" s="1"/>
  <c r="DY3" i="5" s="1"/>
  <c r="EH3" i="5" s="1"/>
  <c r="EQ3" i="5" s="1"/>
  <c r="L3" i="5"/>
  <c r="K3" i="5"/>
  <c r="J3" i="5"/>
  <c r="I3" i="5"/>
  <c r="H3" i="5"/>
  <c r="G3" i="5"/>
  <c r="F3" i="5"/>
  <c r="ZV2" i="5"/>
  <c r="ZM2" i="5"/>
  <c r="ZN2" i="5" s="1"/>
  <c r="ZL2" i="5"/>
  <c r="ZC2" i="5"/>
  <c r="ZB2" i="5"/>
  <c r="YX2" i="5"/>
  <c r="YU2" i="5"/>
  <c r="YT2" i="5"/>
  <c r="YS2" i="5"/>
  <c r="YR2" i="5"/>
  <c r="YP2" i="5"/>
  <c r="XK2" i="5"/>
  <c r="WF2" i="5"/>
  <c r="VW2" i="5"/>
  <c r="VX2" i="5" s="1"/>
  <c r="VV2" i="5"/>
  <c r="VS2" i="5"/>
  <c r="VI2" i="5"/>
  <c r="VF2" i="5"/>
  <c r="VE2" i="5"/>
  <c r="VD2" i="5"/>
  <c r="VC2" i="5"/>
  <c r="UR2" i="5"/>
  <c r="US2" i="5" s="1"/>
  <c r="UQ2" i="5"/>
  <c r="UN2" i="5"/>
  <c r="UI2" i="5"/>
  <c r="UH2" i="5"/>
  <c r="UA2" i="5"/>
  <c r="TZ2" i="5"/>
  <c r="TY2" i="5"/>
  <c r="TX2" i="5"/>
  <c r="TP2" i="5"/>
  <c r="TF2" i="5"/>
  <c r="TE2" i="5"/>
  <c r="TD2" i="5"/>
  <c r="RU2" i="5"/>
  <c r="PP2" i="5"/>
  <c r="PO2" i="5"/>
  <c r="PN2" i="5"/>
  <c r="PJ2" i="5"/>
  <c r="ON2" i="5"/>
  <c r="OA2" i="5"/>
  <c r="NT2" i="5"/>
  <c r="NJ2" i="5"/>
  <c r="NF2" i="5"/>
  <c r="NC2" i="5"/>
  <c r="NA2" i="5"/>
  <c r="MX2" i="5"/>
  <c r="MZ2" i="5" s="1"/>
  <c r="MW2" i="5"/>
  <c r="MJ2" i="5"/>
  <c r="LS2" i="5"/>
  <c r="LI2" i="5"/>
  <c r="LF2" i="5"/>
  <c r="LE2" i="5"/>
  <c r="LD2" i="5"/>
  <c r="LC2" i="5"/>
  <c r="KU2" i="5"/>
  <c r="KC2" i="5"/>
  <c r="JX2" i="5"/>
  <c r="JN2" i="5"/>
  <c r="JO2" i="5" s="1"/>
  <c r="JM2" i="5"/>
  <c r="IZ2" i="5"/>
  <c r="DV2" i="5"/>
  <c r="DU2" i="5"/>
  <c r="DT2" i="5"/>
  <c r="DS2" i="5"/>
  <c r="DK2" i="5"/>
  <c r="DJ2" i="5"/>
  <c r="DI2" i="5"/>
  <c r="DH2" i="5"/>
  <c r="DB2" i="5"/>
  <c r="DA2" i="5"/>
  <c r="CP2" i="5"/>
  <c r="CC2" i="5"/>
  <c r="AF2" i="5"/>
  <c r="AE2" i="5"/>
  <c r="AD2" i="5"/>
  <c r="AC2" i="5"/>
  <c r="Z2" i="5"/>
  <c r="U2" i="5"/>
  <c r="T2" i="5"/>
  <c r="YO3" i="5"/>
  <c r="XJ3" i="5"/>
  <c r="WE3" i="5"/>
  <c r="UZ3" i="5"/>
  <c r="YN3" i="5"/>
  <c r="XI3" i="5"/>
  <c r="WD3" i="5"/>
  <c r="UY3" i="5"/>
  <c r="YM3" i="5"/>
  <c r="XH3" i="5"/>
  <c r="WC3" i="5"/>
  <c r="UX3" i="5"/>
  <c r="YL3" i="5"/>
  <c r="XG3" i="5"/>
  <c r="WB3" i="5"/>
  <c r="UW3" i="5"/>
  <c r="YK3" i="5"/>
  <c r="XF3" i="5"/>
  <c r="WA3" i="5"/>
  <c r="UV3" i="5"/>
  <c r="YJ3" i="5"/>
  <c r="XE3" i="5"/>
  <c r="VZ3" i="5"/>
  <c r="UU3" i="5"/>
  <c r="XD3" i="5"/>
  <c r="VY3" i="5"/>
  <c r="UT3" i="5"/>
  <c r="YE3" i="5"/>
  <c r="WZ3" i="5"/>
  <c r="XA3" i="5" s="1"/>
  <c r="VU3" i="5"/>
  <c r="VW3" i="5" s="1"/>
  <c r="VX3" i="5" s="1"/>
  <c r="UP3" i="5"/>
  <c r="YB3" i="5"/>
  <c r="WW3" i="5"/>
  <c r="VR3" i="5"/>
  <c r="UL3" i="5"/>
  <c r="XY3" i="5"/>
  <c r="WT3" i="5"/>
  <c r="VO3" i="5"/>
  <c r="UJ3" i="5"/>
  <c r="XV3" i="5"/>
  <c r="WQ3" i="5"/>
  <c r="VL3" i="5"/>
  <c r="VM3" i="5" s="1"/>
  <c r="UG3" i="5"/>
  <c r="UI3" i="5" s="1"/>
  <c r="VJ3" i="5"/>
  <c r="UE3" i="5"/>
  <c r="XR3" i="5"/>
  <c r="WM3" i="5"/>
  <c r="VH3" i="5"/>
  <c r="UC3" i="5"/>
  <c r="XQ3" i="5"/>
  <c r="WL3" i="5"/>
  <c r="VG3" i="5"/>
  <c r="UB3" i="5"/>
  <c r="XL3" i="5"/>
  <c r="WG3" i="5"/>
  <c r="VB3" i="5"/>
  <c r="TW3" i="5"/>
  <c r="ZU3" i="5"/>
  <c r="ZT3" i="5"/>
  <c r="ZS3" i="5"/>
  <c r="ZR3" i="5"/>
  <c r="ZQ3" i="5"/>
  <c r="ZP3" i="5"/>
  <c r="ZO3" i="5"/>
  <c r="ZK3" i="5"/>
  <c r="ZE3" i="5"/>
  <c r="LO3" i="5"/>
  <c r="LL3" i="5"/>
  <c r="YZ3" i="5"/>
  <c r="YW3" i="5"/>
  <c r="YV3" i="5"/>
  <c r="LB3" i="5"/>
  <c r="LU3" i="5"/>
  <c r="LV3" i="5" s="1"/>
  <c r="LW3" i="5" s="1"/>
  <c r="LX3" i="5" s="1"/>
  <c r="LQ3" i="5"/>
  <c r="LK3" i="5"/>
  <c r="HG3" i="5"/>
  <c r="E44" i="6"/>
  <c r="E39" i="6"/>
  <c r="E37" i="6"/>
  <c r="JZ3" i="5"/>
  <c r="E67" i="6"/>
  <c r="E66" i="6"/>
  <c r="IM3" i="5"/>
  <c r="IL3" i="5"/>
  <c r="E18" i="6"/>
  <c r="E63" i="6"/>
  <c r="E77" i="6"/>
  <c r="E10" i="6"/>
  <c r="E2" i="6"/>
  <c r="E230" i="15" s="1"/>
  <c r="E222" i="15" l="1"/>
  <c r="E204" i="15"/>
  <c r="E206" i="15"/>
  <c r="E211" i="15"/>
  <c r="E212" i="15"/>
  <c r="E208" i="15"/>
  <c r="E209" i="15"/>
  <c r="E210" i="15"/>
  <c r="E207" i="15"/>
  <c r="E205" i="15"/>
  <c r="E195" i="15"/>
  <c r="E194" i="15"/>
  <c r="E198" i="15"/>
  <c r="E201" i="15"/>
  <c r="E193" i="15"/>
  <c r="E200" i="15"/>
  <c r="E199" i="15"/>
  <c r="E197" i="15"/>
  <c r="E196" i="15"/>
  <c r="E191" i="15"/>
  <c r="E182" i="15"/>
  <c r="E190" i="15"/>
  <c r="E185" i="15"/>
  <c r="E189" i="15"/>
  <c r="E176" i="15"/>
  <c r="E188" i="15"/>
  <c r="E175" i="15"/>
  <c r="E172" i="15"/>
  <c r="E187" i="15"/>
  <c r="E174" i="15"/>
  <c r="E184" i="15"/>
  <c r="E169" i="15"/>
  <c r="E162" i="15"/>
  <c r="E171" i="15"/>
  <c r="E183" i="15"/>
  <c r="E173" i="15"/>
  <c r="E178" i="15"/>
  <c r="E179" i="15"/>
  <c r="E177" i="15"/>
  <c r="E166" i="15"/>
  <c r="E118" i="15"/>
  <c r="E165" i="15"/>
  <c r="E168" i="15"/>
  <c r="E161" i="15"/>
  <c r="E160" i="15"/>
  <c r="E167" i="15"/>
  <c r="E158" i="15"/>
  <c r="E155" i="15"/>
  <c r="E138" i="15" s="1"/>
  <c r="E157" i="15"/>
  <c r="E132" i="15"/>
  <c r="E133" i="15"/>
  <c r="E134" i="15"/>
  <c r="E135" i="15"/>
  <c r="E131" i="15"/>
  <c r="E130" i="15"/>
  <c r="E129" i="15"/>
  <c r="E128" i="15"/>
  <c r="E127" i="15"/>
  <c r="E122" i="15"/>
  <c r="E121" i="15"/>
  <c r="E119" i="15"/>
  <c r="E123" i="15"/>
  <c r="E120" i="15"/>
  <c r="E124" i="15"/>
  <c r="E125" i="15"/>
  <c r="E126" i="15"/>
  <c r="E117" i="15"/>
  <c r="E23" i="15"/>
  <c r="C84" i="7"/>
  <c r="E17" i="15"/>
  <c r="E8" i="15"/>
  <c r="E13" i="15"/>
  <c r="E14" i="15"/>
  <c r="E10" i="15"/>
  <c r="E15" i="15"/>
  <c r="E2" i="15"/>
  <c r="E16" i="15"/>
  <c r="E12" i="15"/>
  <c r="E11" i="15"/>
  <c r="E3" i="15"/>
  <c r="E22" i="15"/>
  <c r="E21" i="15"/>
  <c r="E5" i="15"/>
  <c r="E7" i="15"/>
  <c r="E6" i="15"/>
  <c r="E4" i="15"/>
  <c r="C82" i="7"/>
  <c r="C83" i="7"/>
  <c r="C3" i="7"/>
  <c r="C11" i="7"/>
  <c r="C19" i="7"/>
  <c r="C27" i="7"/>
  <c r="C35" i="7"/>
  <c r="C43" i="7"/>
  <c r="C51" i="7"/>
  <c r="C59" i="7"/>
  <c r="C67" i="7"/>
  <c r="C75" i="7"/>
  <c r="C4" i="7"/>
  <c r="C12" i="7"/>
  <c r="C20" i="7"/>
  <c r="C28" i="7"/>
  <c r="C36" i="7"/>
  <c r="C44" i="7"/>
  <c r="C52" i="7"/>
  <c r="C60" i="7"/>
  <c r="C76" i="7"/>
  <c r="C50" i="7"/>
  <c r="C5" i="7"/>
  <c r="C13" i="7"/>
  <c r="C21" i="7"/>
  <c r="C29" i="7"/>
  <c r="C37" i="7"/>
  <c r="C45" i="7"/>
  <c r="C53" i="7"/>
  <c r="C61" i="7"/>
  <c r="C77" i="7"/>
  <c r="C18" i="7"/>
  <c r="C2" i="7"/>
  <c r="C6" i="7"/>
  <c r="C14" i="7"/>
  <c r="C22" i="7"/>
  <c r="C30" i="7"/>
  <c r="C38" i="7"/>
  <c r="C46" i="7"/>
  <c r="C54" i="7"/>
  <c r="C62" i="7"/>
  <c r="C78" i="7"/>
  <c r="C42" i="7"/>
  <c r="C7" i="7"/>
  <c r="C15" i="7"/>
  <c r="C23" i="7"/>
  <c r="C31" i="7"/>
  <c r="C39" i="7"/>
  <c r="C47" i="7"/>
  <c r="C55" i="7"/>
  <c r="C63" i="7"/>
  <c r="C79" i="7"/>
  <c r="C34" i="7"/>
  <c r="C74" i="7"/>
  <c r="C8" i="7"/>
  <c r="C16" i="7"/>
  <c r="C24" i="7"/>
  <c r="C32" i="7"/>
  <c r="C40" i="7"/>
  <c r="C48" i="7"/>
  <c r="C56" i="7"/>
  <c r="C64" i="7"/>
  <c r="C72" i="7"/>
  <c r="C10" i="7"/>
  <c r="C58" i="7"/>
  <c r="C9" i="7"/>
  <c r="C17" i="7"/>
  <c r="C25" i="7"/>
  <c r="C33" i="7"/>
  <c r="C41" i="7"/>
  <c r="C49" i="7"/>
  <c r="C57" i="7"/>
  <c r="C65" i="7"/>
  <c r="C73" i="7"/>
  <c r="C26" i="7"/>
  <c r="C66" i="7"/>
  <c r="MN3" i="5"/>
  <c r="OO3" i="5"/>
  <c r="OS3" i="5" s="1"/>
  <c r="PN3" i="5"/>
  <c r="OP3" i="5"/>
  <c r="PP3" i="5"/>
  <c r="OQ3" i="5"/>
  <c r="KJ3" i="5"/>
  <c r="KQ3" i="5"/>
  <c r="RI3" i="5"/>
  <c r="SP3" i="5"/>
  <c r="JX3" i="5"/>
  <c r="MY2" i="5"/>
  <c r="KC3" i="5"/>
  <c r="YP3" i="5"/>
  <c r="KD3" i="5"/>
  <c r="OT3" i="5"/>
  <c r="NM3" i="5"/>
  <c r="NN3" i="5" s="1"/>
  <c r="QU3" i="5"/>
  <c r="OW3" i="5"/>
  <c r="RG3" i="5"/>
  <c r="PK3" i="5"/>
  <c r="RJ3" i="5"/>
  <c r="SE3" i="5"/>
  <c r="PZ3" i="5"/>
  <c r="QH3" i="5"/>
  <c r="RK3" i="5"/>
  <c r="SG3" i="5"/>
  <c r="MV3" i="5"/>
  <c r="NB3" i="5" s="1"/>
  <c r="QI3" i="5"/>
  <c r="SH3" i="5"/>
  <c r="AJ3" i="5"/>
  <c r="FM3" i="5"/>
  <c r="FK3" i="5"/>
  <c r="AT3" i="5"/>
  <c r="BC3" i="5" s="1"/>
  <c r="BL3" i="5" s="1"/>
  <c r="BU3" i="5" s="1"/>
  <c r="CD3" i="5" s="1"/>
  <c r="CM3" i="5" s="1"/>
  <c r="CV3" i="5" s="1"/>
  <c r="DE3" i="5" s="1"/>
  <c r="DN3" i="5" s="1"/>
  <c r="DW3" i="5" s="1"/>
  <c r="EF3" i="5" s="1"/>
  <c r="EO3" i="5" s="1"/>
  <c r="GB3" i="5"/>
  <c r="KK3" i="5"/>
  <c r="KZ3" i="5"/>
  <c r="KN3" i="5"/>
  <c r="KR3" i="5"/>
  <c r="JE3" i="5"/>
  <c r="JF3" i="5" s="1"/>
  <c r="JD3" i="5"/>
  <c r="JT3" i="5"/>
  <c r="KS3" i="5"/>
  <c r="KF3" i="5"/>
  <c r="KT3" i="5"/>
  <c r="JJ3" i="5"/>
  <c r="KY3" i="5"/>
  <c r="YX3" i="5"/>
  <c r="E274" i="6"/>
  <c r="MS3" i="5"/>
  <c r="E273" i="6"/>
  <c r="WN3" i="5"/>
  <c r="VE3" i="5"/>
  <c r="VF3" i="5"/>
  <c r="WO3" i="5"/>
  <c r="VN3" i="5"/>
  <c r="E40" i="6"/>
  <c r="IO3" i="5"/>
  <c r="RU3" i="5"/>
  <c r="TB3" i="5"/>
  <c r="WU3" i="5"/>
  <c r="YQ3" i="5"/>
  <c r="YT3" i="5" s="1"/>
  <c r="E76" i="6"/>
  <c r="LG3" i="5"/>
  <c r="LH3" i="5"/>
  <c r="GV3" i="5"/>
  <c r="II3" i="5"/>
  <c r="QK3" i="5"/>
  <c r="RF3" i="5"/>
  <c r="SL3" i="5"/>
  <c r="ST3" i="5"/>
  <c r="XB3" i="5"/>
  <c r="XC3" i="5" s="1"/>
  <c r="YY3" i="5"/>
  <c r="IN3" i="5"/>
  <c r="LR3" i="5"/>
  <c r="LS3" i="5" s="1"/>
  <c r="MK3" i="5"/>
  <c r="MO3" i="5" s="1"/>
  <c r="QL3" i="5"/>
  <c r="SM3" i="5"/>
  <c r="TR3" i="5"/>
  <c r="ZF3" i="5"/>
  <c r="V3" i="5"/>
  <c r="AE3" i="5" s="1"/>
  <c r="AN3" i="5" s="1"/>
  <c r="AW3" i="5" s="1"/>
  <c r="BF3" i="5" s="1"/>
  <c r="BO3" i="5" s="1"/>
  <c r="BX3" i="5" s="1"/>
  <c r="CG3" i="5" s="1"/>
  <c r="CP3" i="5" s="1"/>
  <c r="CY3" i="5" s="1"/>
  <c r="DH3" i="5" s="1"/>
  <c r="DQ3" i="5" s="1"/>
  <c r="DZ3" i="5" s="1"/>
  <c r="EI3" i="5" s="1"/>
  <c r="ER3" i="5" s="1"/>
  <c r="ZV3" i="5"/>
  <c r="T3" i="5"/>
  <c r="AC3" i="5" s="1"/>
  <c r="AL3" i="5" s="1"/>
  <c r="AU3" i="5" s="1"/>
  <c r="BD3" i="5" s="1"/>
  <c r="BM3" i="5" s="1"/>
  <c r="BV3" i="5" s="1"/>
  <c r="CE3" i="5" s="1"/>
  <c r="CN3" i="5" s="1"/>
  <c r="CW3" i="5" s="1"/>
  <c r="DF3" i="5" s="1"/>
  <c r="DO3" i="5" s="1"/>
  <c r="DX3" i="5" s="1"/>
  <c r="EG3" i="5" s="1"/>
  <c r="EP3" i="5" s="1"/>
  <c r="KL3" i="5"/>
  <c r="MM3" i="5"/>
  <c r="MP3" i="5" s="1"/>
  <c r="NV3" i="5"/>
  <c r="OZ3" i="5"/>
  <c r="PF3" i="5" s="1"/>
  <c r="QM3" i="5"/>
  <c r="TP3" i="5"/>
  <c r="ZG3" i="5"/>
  <c r="ZH3" i="5" s="1"/>
  <c r="GR3" i="5"/>
  <c r="NX3" i="5"/>
  <c r="QP3" i="5"/>
  <c r="XZ3" i="5"/>
  <c r="E64" i="6"/>
  <c r="E75" i="6"/>
  <c r="E29" i="15" s="1"/>
  <c r="QQ3" i="5"/>
  <c r="YA3" i="5"/>
  <c r="A3" i="5"/>
  <c r="C3" i="5"/>
  <c r="D3" i="5" s="1"/>
  <c r="E74" i="6"/>
  <c r="KV3" i="5"/>
  <c r="LJ3" i="5"/>
  <c r="WK3" i="5"/>
  <c r="WJ3" i="5"/>
  <c r="WH3" i="5"/>
  <c r="WI3" i="5"/>
  <c r="UQ3" i="5"/>
  <c r="UR3" i="5"/>
  <c r="US3" i="5" s="1"/>
  <c r="IJ3" i="5"/>
  <c r="E62" i="6"/>
  <c r="OI3" i="5"/>
  <c r="OD3" i="5"/>
  <c r="OH3" i="5"/>
  <c r="OG3" i="5"/>
  <c r="OF3" i="5"/>
  <c r="OM3" i="5"/>
  <c r="OE3" i="5"/>
  <c r="UH3" i="5"/>
  <c r="XP3" i="5"/>
  <c r="XN3" i="5"/>
  <c r="XO3" i="5"/>
  <c r="XM3" i="5"/>
  <c r="YG3" i="5"/>
  <c r="YH3" i="5" s="1"/>
  <c r="YF3" i="5"/>
  <c r="LP3" i="5"/>
  <c r="LT3" i="5" s="1"/>
  <c r="QY3" i="5"/>
  <c r="QZ3" i="5"/>
  <c r="VV3" i="5"/>
  <c r="NF3" i="5"/>
  <c r="NG3" i="5"/>
  <c r="UD3" i="5"/>
  <c r="VS3" i="5"/>
  <c r="WF3" i="5"/>
  <c r="IX3" i="5"/>
  <c r="IZ3" i="5" s="1"/>
  <c r="E5" i="6"/>
  <c r="E7" i="6"/>
  <c r="E3" i="6"/>
  <c r="E18" i="15" s="1"/>
  <c r="E4" i="6"/>
  <c r="E19" i="15" s="1"/>
  <c r="LN3" i="5"/>
  <c r="LM3" i="5"/>
  <c r="LF3" i="5"/>
  <c r="LE3" i="5"/>
  <c r="LD3" i="5"/>
  <c r="LC3" i="5"/>
  <c r="WS3" i="5"/>
  <c r="WR3" i="5"/>
  <c r="WX3" i="5"/>
  <c r="XK3" i="5"/>
  <c r="PC3" i="5"/>
  <c r="PD3" i="5"/>
  <c r="E41" i="6"/>
  <c r="TY3" i="5"/>
  <c r="TX3" i="5"/>
  <c r="UA3" i="5"/>
  <c r="ML2" i="5"/>
  <c r="MN2" i="5"/>
  <c r="MM2" i="5"/>
  <c r="MK2" i="5"/>
  <c r="EV3" i="5"/>
  <c r="VA3" i="5"/>
  <c r="ZM3" i="5"/>
  <c r="ZN3" i="5" s="1"/>
  <c r="ZL3" i="5"/>
  <c r="XS3" i="5"/>
  <c r="XT3" i="5"/>
  <c r="XX3" i="5"/>
  <c r="XW3" i="5"/>
  <c r="YC3" i="5"/>
  <c r="RW3" i="5"/>
  <c r="RX3" i="5"/>
  <c r="TZ3" i="5"/>
  <c r="VI3" i="5"/>
  <c r="LZ3" i="5"/>
  <c r="MI3" i="5"/>
  <c r="MY3" i="5"/>
  <c r="QB3" i="5"/>
  <c r="QR3" i="5"/>
  <c r="SF3" i="5"/>
  <c r="TD3" i="5"/>
  <c r="VP3" i="5"/>
  <c r="WV3" i="5"/>
  <c r="WY3" i="5" s="1"/>
  <c r="E38" i="6"/>
  <c r="B3" i="5"/>
  <c r="KE3" i="5"/>
  <c r="KM3" i="5"/>
  <c r="MA3" i="5"/>
  <c r="TE3" i="5"/>
  <c r="UK3" i="5"/>
  <c r="VQ3" i="5"/>
  <c r="ZA3" i="5"/>
  <c r="E33" i="6"/>
  <c r="E65" i="6"/>
  <c r="E73" i="6"/>
  <c r="E159" i="15" s="1"/>
  <c r="MB3" i="5"/>
  <c r="TF3" i="5"/>
  <c r="IK3" i="5"/>
  <c r="JY3" i="5"/>
  <c r="KB3" i="5" s="1"/>
  <c r="KG3" i="5"/>
  <c r="KO3" i="5"/>
  <c r="MC3" i="5"/>
  <c r="NJ3" i="5"/>
  <c r="PO3" i="5"/>
  <c r="UM3" i="5"/>
  <c r="VC3" i="5"/>
  <c r="YU3" i="5"/>
  <c r="KH3" i="5"/>
  <c r="MD3" i="5"/>
  <c r="NK3" i="5"/>
  <c r="SJ3" i="5"/>
  <c r="VD3" i="5"/>
  <c r="ZD3" i="5"/>
  <c r="E42" i="6"/>
  <c r="E65" i="15" l="1"/>
  <c r="E73" i="15"/>
  <c r="E81" i="15"/>
  <c r="E89" i="15"/>
  <c r="E97" i="15"/>
  <c r="E105" i="15"/>
  <c r="E113" i="15"/>
  <c r="E66" i="15"/>
  <c r="E74" i="15"/>
  <c r="E82" i="15"/>
  <c r="E90" i="15"/>
  <c r="E98" i="15"/>
  <c r="E106" i="15"/>
  <c r="E114" i="15"/>
  <c r="E77" i="15"/>
  <c r="E109" i="15"/>
  <c r="E70" i="15"/>
  <c r="E78" i="15"/>
  <c r="E94" i="15"/>
  <c r="E102" i="15"/>
  <c r="E71" i="15"/>
  <c r="E95" i="15"/>
  <c r="E111" i="15"/>
  <c r="E80" i="15"/>
  <c r="E88" i="15"/>
  <c r="E96" i="15"/>
  <c r="E104" i="15"/>
  <c r="E112" i="15"/>
  <c r="E67" i="15"/>
  <c r="E75" i="15"/>
  <c r="E83" i="15"/>
  <c r="E91" i="15"/>
  <c r="E99" i="15"/>
  <c r="E107" i="15"/>
  <c r="E68" i="15"/>
  <c r="E76" i="15"/>
  <c r="E84" i="15"/>
  <c r="E92" i="15"/>
  <c r="E100" i="15"/>
  <c r="E108" i="15"/>
  <c r="E69" i="15"/>
  <c r="E85" i="15"/>
  <c r="E93" i="15"/>
  <c r="E101" i="15"/>
  <c r="E86" i="15"/>
  <c r="E110" i="15"/>
  <c r="E79" i="15"/>
  <c r="E87" i="15"/>
  <c r="E103" i="15"/>
  <c r="E72" i="15"/>
  <c r="E30" i="15"/>
  <c r="E55" i="15"/>
  <c r="E202" i="15"/>
  <c r="E203" i="15"/>
  <c r="E180" i="15"/>
  <c r="E181" i="15"/>
  <c r="E137" i="15"/>
  <c r="E144" i="15"/>
  <c r="E152" i="15"/>
  <c r="E153" i="15"/>
  <c r="E140" i="15"/>
  <c r="E147" i="15"/>
  <c r="E151" i="15"/>
  <c r="E143" i="15"/>
  <c r="E145" i="15"/>
  <c r="E148" i="15"/>
  <c r="E136" i="15"/>
  <c r="E150" i="15"/>
  <c r="E142" i="15"/>
  <c r="E149" i="15"/>
  <c r="E141" i="15"/>
  <c r="E154" i="15"/>
  <c r="E146" i="15"/>
  <c r="E139" i="15"/>
  <c r="E115" i="15"/>
  <c r="E116" i="15" s="1"/>
  <c r="E37" i="15"/>
  <c r="E45" i="15"/>
  <c r="E53" i="15"/>
  <c r="E59" i="15"/>
  <c r="E38" i="15"/>
  <c r="E46" i="15"/>
  <c r="E54" i="15"/>
  <c r="E60" i="15"/>
  <c r="E42" i="15"/>
  <c r="E35" i="15"/>
  <c r="E44" i="15"/>
  <c r="E31" i="15"/>
  <c r="E39" i="15"/>
  <c r="E47" i="15"/>
  <c r="E61" i="15"/>
  <c r="E56" i="15"/>
  <c r="E64" i="15"/>
  <c r="E51" i="15"/>
  <c r="E36" i="15"/>
  <c r="E32" i="15"/>
  <c r="E40" i="15"/>
  <c r="E48" i="15"/>
  <c r="E62" i="15"/>
  <c r="E50" i="15"/>
  <c r="E57" i="15"/>
  <c r="E58" i="15"/>
  <c r="E33" i="15"/>
  <c r="E41" i="15"/>
  <c r="E49" i="15"/>
  <c r="E63" i="15"/>
  <c r="E34" i="15"/>
  <c r="E43" i="15"/>
  <c r="E52" i="15"/>
  <c r="E6" i="6"/>
  <c r="E20" i="15"/>
  <c r="ZI3" i="5"/>
  <c r="VT3" i="5"/>
  <c r="YD3" i="5"/>
  <c r="EL2" i="5"/>
  <c r="EK2" i="5"/>
  <c r="AS3" i="5"/>
  <c r="BB3" i="5" s="1"/>
  <c r="BK3" i="5" s="1"/>
  <c r="BT3" i="5" s="1"/>
  <c r="CC3" i="5" s="1"/>
  <c r="CL3" i="5" s="1"/>
  <c r="CU3" i="5" s="1"/>
  <c r="DD3" i="5" s="1"/>
  <c r="DM3" i="5" s="1"/>
  <c r="DV3" i="5" s="1"/>
  <c r="EE3" i="5" s="1"/>
  <c r="EN3" i="5" s="1"/>
  <c r="KA3" i="5"/>
  <c r="LI3" i="5"/>
  <c r="IP3" i="5"/>
  <c r="YR3" i="5"/>
  <c r="YS3" i="5"/>
  <c r="E3" i="5"/>
  <c r="ZC3" i="5"/>
  <c r="ZB3" i="5"/>
  <c r="MF3" i="5"/>
  <c r="MG3" i="5" s="1"/>
  <c r="OJ3" i="5"/>
  <c r="OK3" i="5" s="1"/>
  <c r="AU2" i="5"/>
  <c r="E46" i="6"/>
  <c r="UO3" i="5"/>
  <c r="UN3" i="5"/>
  <c r="E47" i="6"/>
  <c r="E9" i="15" s="1"/>
  <c r="E34" i="6"/>
  <c r="KU3" i="5"/>
  <c r="E156" i="15" l="1"/>
  <c r="C70" i="7"/>
  <c r="C71" i="7"/>
  <c r="C80" i="7"/>
  <c r="C68" i="7"/>
  <c r="C81" i="7"/>
  <c r="C69" i="7"/>
  <c r="ABT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tc={E2B18B46-DA5F-4698-AE12-03F69D442A81}</author>
    <author>tc={9DA43DDF-E552-4923-B27D-3477B99B670A}</author>
    <author>tc={7702D355-133A-4FD5-99AC-C669952A7F95}</author>
    <author>tc={49696A27-91BE-4DE7-A674-C3781407B7B6}</author>
    <author>tc={AA0420FC-E24E-4411-9EE6-63E7B121A73B}</author>
    <author>tc={5A092FF6-1194-479E-A08D-93CAD4C9F3F1}</author>
    <author>tc={C5615793-D50B-4F50-952E-747319991284}</author>
    <author>tc={E4CBEC59-D718-4BB7-BE82-A39DA37A284F}</author>
    <author>tc={DD14C45E-E4D3-4245-A8C4-9ED7D5D77F0F}</author>
    <author>tc={9627F4D1-11C0-4A09-93CE-73FA448E0BF9}</author>
  </authors>
  <commentList>
    <comment ref="B6" authorId="0" shapeId="0" xr:uid="{E2B18B46-DA5F-4698-AE12-03F69D442A81}">
      <text>
        <t>[Threaded comment]
Your version of Excel allows you to read this threaded comment; however, any edits to it will get removed if the file is opened in a newer version of Excel. Learn more: https://go.microsoft.com/fwlink/?linkid=870924
Comment:
    Shall map to : Merchant Info &gt; Office Email</t>
      </text>
    </comment>
    <comment ref="B7" authorId="1" shapeId="0" xr:uid="{9DA43DDF-E552-4923-B27D-3477B99B670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Shall map to: 
Merchant Info &gt; Office Tel
</t>
      </text>
    </comment>
    <comment ref="B18" authorId="2" shapeId="0" xr:uid="{7702D355-133A-4FD5-99AC-C669952A7F9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Shall mapped to: 
[租機] IF Apply BOTH HKTSmartPOS + HKTPOS &gt; ONLY Apply SmartPOS
</t>
      </text>
    </comment>
    <comment ref="B19" authorId="3" shapeId="0" xr:uid="{49696A27-91BE-4DE7-A674-C3781407B7B6}">
      <text>
        <t>[Threaded comment]
Your version of Excel allows you to read this threaded comment; however, any edits to it will get removed if the file is opened in a newer version of Excel. Learn more: https://go.microsoft.com/fwlink/?linkid=870924
Comment:
    Shall mapped to: 
[租機] IF Apply BOTH HKTSmartPOS + HKTPOS &gt;
ONLY Apply HKTPOS</t>
      </text>
    </comment>
    <comment ref="B29" authorId="4" shapeId="0" xr:uid="{AA0420FC-E24E-4411-9EE6-63E7B121A73B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the field name from EFT to PA (marked in red words)</t>
      </text>
    </comment>
    <comment ref="B30" authorId="5" shapeId="0" xr:uid="{5A092FF6-1194-479E-A08D-93CAD4C9F3F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Changed the field name from EFT to PA (marked in red words)
</t>
      </text>
    </comment>
    <comment ref="B57" authorId="6" shapeId="0" xr:uid="{C5615793-D50B-4F50-952E-74731999128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field is incorrect.  Shall map to : 
Payment Channels - SmartPOS**
 &gt; Cheque Bank (S10)
</t>
      </text>
    </comment>
    <comment ref="B71" authorId="7" shapeId="0" xr:uid="{E4CBEC59-D718-4BB7-BE82-A39DA37A284F}">
      <text>
        <t>[Threaded comment]
Your version of Excel allows you to read this threaded comment; however, any edits to it will get removed if the file is opened in a newer version of Excel. Learn more: https://go.microsoft.com/fwlink/?linkid=870924
Comment:
    Mapped to the wrong field if the address is different from installation
Reply:
    Should be mapped to:
Application Merchant &gt; SmartPOS Delivery Address (not same as installation address</t>
      </text>
    </comment>
    <comment ref="B80" authorId="8" shapeId="0" xr:uid="{DD14C45E-E4D3-4245-A8C4-9ED7D5D77F0F}">
      <text>
        <t>[Threaded comment]
Your version of Excel allows you to read this threaded comment; however, any edits to it will get removed if the file is opened in a newer version of Excel. Learn more: https://go.microsoft.com/fwlink/?linkid=870924
Comment:
    Mapp to : Application Merchant &gt; HKTPOS APP Display Trading Name</t>
      </text>
    </comment>
    <comment ref="B81" authorId="9" shapeId="0" xr:uid="{9627F4D1-11C0-4A09-93CE-73FA448E0BF9}">
      <text>
        <t>[Threaded comment]
Your version of Excel allows you to read this threaded comment; however, any edits to it will get removed if the file is opened in a newer version of Excel. Learn more: https://go.microsoft.com/fwlink/?linkid=870924
Comment:
    Mapp to : Application Merchant &gt; HKTPOS APP Display Address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Sze, Christy CW</author>
  </authors>
  <commentList>
    <comment ref="C7" authorId="0" shapeId="0" xr:uid="{00000000-0006-0000-0500-000001000000}">
      <text>
        <r>
          <rPr>
            <sz val="11"/>
            <color rgb="FF000000"/>
            <rFont val="Arial"/>
            <family val="2"/>
          </rPr>
          <t>Sze, Christy CW:
Last case accepted date</t>
        </r>
      </text>
    </comment>
    <comment ref="C140" authorId="0" shapeId="0" xr:uid="{9938C707-9280-466E-9D7B-D8EA5C78E692}">
      <text>
        <r>
          <rPr>
            <sz val="9"/>
            <color indexed="81"/>
            <rFont val="Tahoma"/>
            <family val="2"/>
          </rPr>
          <t>If HKT POSmobile is applied, input X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HKT</author>
  </authors>
  <commentList>
    <comment ref="B24" authorId="0" shapeId="0" xr:uid="{AE3D0FE2-A9F1-40EC-B889-C9B169A51830}">
      <text>
        <r>
          <rPr>
            <sz val="9"/>
            <color indexed="81"/>
            <rFont val="Tahoma"/>
            <family val="2"/>
          </rPr>
          <t>If nature not found, update the business nature in Cell C91 worksheet "MCC Blooklet" to correct nature.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Sze, Christy CW</author>
    <author>Chong, Tiffany HL</author>
  </authors>
  <commentList>
    <comment ref="A2" authorId="0" shapeId="0" xr:uid="{7C745334-8D74-4499-A810-8C8624FF04B6}">
      <text>
        <r>
          <rPr>
            <sz val="11"/>
            <color rgb="FF000000"/>
            <rFont val="Arial"/>
            <family val="2"/>
          </rPr>
          <t>If Smart POS is applied, input X</t>
        </r>
      </text>
    </comment>
    <comment ref="E2" authorId="0" shapeId="0" xr:uid="{6CA9FAD1-78FD-473D-9278-050A642F5EA4}">
      <text>
        <r>
          <rPr>
            <sz val="11"/>
            <color rgb="FF000000"/>
            <rFont val="Arial"/>
            <family val="2"/>
          </rPr>
          <t>If FPS Suite is applied, input X</t>
        </r>
      </text>
    </comment>
    <comment ref="I2" authorId="0" shapeId="0" xr:uid="{02EA1AEB-1049-40BD-AA06-2DAD195C692A}">
      <text>
        <r>
          <rPr>
            <sz val="9"/>
            <color indexed="81"/>
            <rFont val="Tahoma"/>
            <family val="2"/>
          </rPr>
          <t>If HKT POSmobile is applied, input X</t>
        </r>
      </text>
    </comment>
    <comment ref="A3" authorId="0" shapeId="0" xr:uid="{A31F20B1-821F-422F-AD79-63A1090B1129}">
      <text>
        <r>
          <rPr>
            <b/>
            <sz val="9"/>
            <color indexed="81"/>
            <rFont val="Tahoma"/>
            <family val="2"/>
          </rPr>
          <t>Sze, Christy CW:</t>
        </r>
        <r>
          <rPr>
            <sz val="9"/>
            <color indexed="81"/>
            <rFont val="Tahoma"/>
            <family val="2"/>
          </rPr>
          <t xml:space="preserve">
Contract term</t>
        </r>
      </text>
    </comment>
    <comment ref="I3" authorId="1" shapeId="0" xr:uid="{5B2BBDF2-280A-4572-A442-714054F7B668}">
      <text>
        <r>
          <rPr>
            <b/>
            <sz val="9"/>
            <color indexed="81"/>
            <rFont val="Tahoma"/>
            <family val="2"/>
          </rPr>
          <t>Contract term</t>
        </r>
      </text>
    </comment>
    <comment ref="M3" authorId="0" shapeId="0" xr:uid="{0B49125E-D578-4B2F-A0E4-25751C41EEBF}">
      <text>
        <r>
          <rPr>
            <b/>
            <sz val="9"/>
            <color indexed="81"/>
            <rFont val="Tahoma"/>
            <family val="2"/>
          </rPr>
          <t>Sze, Christy CW:</t>
        </r>
        <r>
          <rPr>
            <sz val="9"/>
            <color indexed="81"/>
            <rFont val="Tahoma"/>
            <family val="2"/>
          </rPr>
          <t xml:space="preserve">
If O2O- F&amp;B is applied, input X</t>
        </r>
      </text>
    </comment>
    <comment ref="A4" authorId="0" shapeId="0" xr:uid="{8905E79A-7000-4AF4-938B-FB49A5689767}">
      <text>
        <r>
          <rPr>
            <b/>
            <sz val="9"/>
            <color indexed="81"/>
            <rFont val="Tahoma"/>
            <family val="2"/>
          </rPr>
          <t>Sze, Christy CW:</t>
        </r>
        <r>
          <rPr>
            <sz val="9"/>
            <color indexed="81"/>
            <rFont val="Tahoma"/>
            <family val="2"/>
          </rPr>
          <t xml:space="preserve">
Total number of POS terminal</t>
        </r>
      </text>
    </comment>
    <comment ref="I4" authorId="0" shapeId="0" xr:uid="{455DD48E-F953-4EDC-A94C-0E390E229C89}">
      <text>
        <r>
          <rPr>
            <sz val="9"/>
            <color indexed="81"/>
            <rFont val="Tahoma"/>
            <family val="2"/>
          </rPr>
          <t>Total number of HKT POS Mobile)</t>
        </r>
      </text>
    </comment>
    <comment ref="M4" authorId="0" shapeId="0" xr:uid="{81B05007-3CD2-4D80-9CF4-6A298BEF7134}">
      <text>
        <r>
          <rPr>
            <b/>
            <sz val="9"/>
            <color indexed="81"/>
            <rFont val="Tahoma"/>
            <family val="2"/>
          </rPr>
          <t>Sze, Christy CW:</t>
        </r>
        <r>
          <rPr>
            <sz val="9"/>
            <color indexed="81"/>
            <rFont val="Tahoma"/>
            <family val="2"/>
          </rPr>
          <t xml:space="preserve">
If O2O- Property Management is applied, input X</t>
        </r>
      </text>
    </comment>
    <comment ref="M5" authorId="0" shapeId="0" xr:uid="{3E79C8A4-26EF-4C68-A245-CA1938E3CC9F}">
      <text>
        <r>
          <rPr>
            <b/>
            <sz val="9"/>
            <color indexed="81"/>
            <rFont val="Tahoma"/>
            <family val="2"/>
          </rPr>
          <t>Sze, Christy CW:</t>
        </r>
        <r>
          <rPr>
            <sz val="9"/>
            <color indexed="81"/>
            <rFont val="Tahoma"/>
            <family val="2"/>
          </rPr>
          <t xml:space="preserve">
If O2O- Service Booking is applied, input X</t>
        </r>
      </text>
    </comment>
    <comment ref="M6" authorId="0" shapeId="0" xr:uid="{B4EDEFC5-C10C-4BBB-B01E-8FD4353D6A08}">
      <text>
        <r>
          <rPr>
            <b/>
            <sz val="9"/>
            <color indexed="81"/>
            <rFont val="Tahoma"/>
            <family val="2"/>
          </rPr>
          <t>Sze, Christy CW:</t>
        </r>
        <r>
          <rPr>
            <sz val="9"/>
            <color indexed="81"/>
            <rFont val="Tahoma"/>
            <family val="2"/>
          </rPr>
          <t xml:space="preserve">
If O2O- Catering Service is applied, input X</t>
        </r>
      </text>
    </comment>
    <comment ref="M7" authorId="0" shapeId="0" xr:uid="{244A0311-E4F0-4CAF-A25E-8E2C259C740A}">
      <text>
        <r>
          <rPr>
            <b/>
            <sz val="9"/>
            <color indexed="81"/>
            <rFont val="Tahoma"/>
            <family val="2"/>
          </rPr>
          <t>Sze, Christy CW:</t>
        </r>
        <r>
          <rPr>
            <sz val="9"/>
            <color indexed="81"/>
            <rFont val="Tahoma"/>
            <family val="2"/>
          </rPr>
          <t xml:space="preserve">
If O2O- Smart School is applied, input X</t>
        </r>
      </text>
    </comment>
    <comment ref="Q31" authorId="1" shapeId="0" xr:uid="{20F03DAD-9489-41D1-BC97-F1AE47A90287}">
      <text>
        <r>
          <rPr>
            <b/>
            <sz val="9"/>
            <color indexed="81"/>
            <rFont val="Tahoma"/>
            <family val="2"/>
          </rPr>
          <t>Do you need System Integration with Point Of Sale System (“POS System”)?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3" authorId="1" shapeId="0" xr:uid="{AFA5D3AC-0168-495F-BCF0-8F67D29EE1BC}">
      <text>
        <r>
          <rPr>
            <sz val="9"/>
            <color indexed="81"/>
            <rFont val="Tahoma"/>
            <family val="2"/>
          </rPr>
          <t xml:space="preserve">If yes, please specify the point-of-sale solution and/or loyalty program version (as applicable):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Sze, Christy CW</author>
    <author>Chong, Tiffany</author>
    <author>Chong, Tiffany HL</author>
    <author>None</author>
  </authors>
  <commentList>
    <comment ref="E1" authorId="0" shapeId="0" xr:uid="{00000000-0006-0000-0400-000001000000}">
      <text>
        <r>
          <rPr>
            <sz val="11"/>
            <color rgb="FF000000"/>
            <rFont val="Arial"/>
            <family val="2"/>
          </rPr>
          <t>Sze, Christy CW:
Last case accepted date</t>
        </r>
      </text>
    </comment>
    <comment ref="H1" authorId="0" shapeId="0" xr:uid="{00000000-0006-0000-0400-000002000000}">
      <text>
        <r>
          <rPr>
            <sz val="11"/>
            <color rgb="FF000000"/>
            <rFont val="Arial"/>
            <family val="2"/>
          </rPr>
          <t>Sze, Christy CW:
If Smart POS is applied, input X</t>
        </r>
      </text>
    </comment>
    <comment ref="M1" authorId="0" shapeId="0" xr:uid="{00000000-0006-0000-0400-000003000000}">
      <text>
        <r>
          <rPr>
            <sz val="11"/>
            <color rgb="FF000000"/>
            <rFont val="Arial"/>
            <family val="2"/>
          </rPr>
          <t>Sze, Christy CW:
Contract term</t>
        </r>
      </text>
    </comment>
    <comment ref="N1" authorId="0" shapeId="0" xr:uid="{00000000-0006-0000-0400-000004000000}">
      <text>
        <r>
          <rPr>
            <sz val="11"/>
            <color rgb="FF000000"/>
            <rFont val="Arial"/>
            <family val="2"/>
          </rPr>
          <t>Sze, Christy CW:
Total number of POS terminal</t>
        </r>
      </text>
    </comment>
    <comment ref="Q1" authorId="0" shapeId="0" xr:uid="{00000000-0006-0000-0400-000005000000}">
      <text>
        <r>
          <rPr>
            <sz val="11"/>
            <color rgb="FF000000"/>
            <rFont val="Arial"/>
            <family val="2"/>
          </rPr>
          <t>Sze, Christy CW:
Total number of POS terminal</t>
        </r>
      </text>
    </comment>
    <comment ref="AA1" authorId="0" shapeId="0" xr:uid="{00000000-0006-0000-0400-000006000000}">
      <text>
        <r>
          <rPr>
            <sz val="11"/>
            <color rgb="FF000000"/>
            <rFont val="Arial"/>
            <family val="2"/>
          </rPr>
          <t>Sze, Christy CW:
If Online Payment Gateway is applied, input X</t>
        </r>
      </text>
    </comment>
    <comment ref="AB1" authorId="0" shapeId="0" xr:uid="{00000000-0006-0000-0400-000007000000}">
      <text>
        <r>
          <rPr>
            <sz val="11"/>
            <color rgb="FF000000"/>
            <rFont val="Arial"/>
            <family val="2"/>
          </rPr>
          <t>Sze, Christy CW:
If O2O- F&amp;B is applied, input X</t>
        </r>
      </text>
    </comment>
    <comment ref="AC1" authorId="0" shapeId="0" xr:uid="{00000000-0006-0000-0400-000008000000}">
      <text>
        <r>
          <rPr>
            <sz val="11"/>
            <color rgb="FF000000"/>
            <rFont val="Arial"/>
            <family val="2"/>
          </rPr>
          <t>Sze, Christy CW:
If O2O- Property Management is applied, input X</t>
        </r>
      </text>
    </comment>
    <comment ref="AD1" authorId="0" shapeId="0" xr:uid="{00000000-0006-0000-0400-000009000000}">
      <text>
        <r>
          <rPr>
            <sz val="11"/>
            <color rgb="FF000000"/>
            <rFont val="Arial"/>
            <family val="2"/>
          </rPr>
          <t>Sze, Christy CW:
If O2O- Service Booking is applied, input X</t>
        </r>
      </text>
    </comment>
    <comment ref="AE1" authorId="0" shapeId="0" xr:uid="{00000000-0006-0000-0400-00000A000000}">
      <text>
        <r>
          <rPr>
            <sz val="11"/>
            <color rgb="FF000000"/>
            <rFont val="Arial"/>
            <family val="2"/>
          </rPr>
          <t>Sze, Christy CW:
If O2O- Catering Service is applied, input X</t>
        </r>
      </text>
    </comment>
    <comment ref="AF1" authorId="0" shapeId="0" xr:uid="{00000000-0006-0000-0400-00000B000000}">
      <text>
        <r>
          <rPr>
            <sz val="11"/>
            <color rgb="FF000000"/>
            <rFont val="Arial"/>
            <family val="2"/>
          </rPr>
          <t>Sze, Christy CW:
If O2O- Smart School is applied, input X</t>
        </r>
      </text>
    </comment>
    <comment ref="AL1" authorId="0" shapeId="0" xr:uid="{00000000-0006-0000-0400-00000C000000}">
      <text>
        <r>
          <rPr>
            <sz val="11"/>
            <color rgb="FF000000"/>
            <rFont val="Arial"/>
            <family val="2"/>
          </rPr>
          <t>Sze, Christy CW:
Total number of Shop</t>
        </r>
      </text>
    </comment>
    <comment ref="AM1" authorId="0" shapeId="0" xr:uid="{00000000-0006-0000-0400-00000D000000}">
      <text>
        <r>
          <rPr>
            <sz val="11"/>
            <color rgb="FF000000"/>
            <rFont val="Arial"/>
            <family val="2"/>
          </rPr>
          <t>Sze, Christy CW:
1st Shop</t>
        </r>
      </text>
    </comment>
    <comment ref="AO1" authorId="0" shapeId="0" xr:uid="{00000000-0006-0000-0400-00000E000000}">
      <text>
        <r>
          <rPr>
            <sz val="11"/>
            <color rgb="FF000000"/>
            <rFont val="Arial"/>
            <family val="2"/>
          </rPr>
          <t>Sze, Christy CW:
Flat / Room</t>
        </r>
      </text>
    </comment>
    <comment ref="AQ1" authorId="0" shapeId="0" xr:uid="{00000000-0006-0000-0400-00000F000000}">
      <text>
        <r>
          <rPr>
            <sz val="11"/>
            <color rgb="FF000000"/>
            <rFont val="Arial"/>
            <family val="2"/>
          </rPr>
          <t>Sze, Christy CW:
Block / Building</t>
        </r>
      </text>
    </comment>
    <comment ref="BK1" authorId="0" shapeId="0" xr:uid="{00000000-0006-0000-0400-000010000000}">
      <text>
        <r>
          <rPr>
            <sz val="11"/>
            <color rgb="FF000000"/>
            <rFont val="Arial"/>
            <family val="2"/>
          </rPr>
          <t>Sze, Christy CW:
2nd Shop</t>
        </r>
      </text>
    </comment>
    <comment ref="BM1" authorId="0" shapeId="0" xr:uid="{00000000-0006-0000-0400-000011000000}">
      <text>
        <r>
          <rPr>
            <sz val="11"/>
            <color rgb="FF000000"/>
            <rFont val="Arial"/>
            <family val="2"/>
          </rPr>
          <t>Sze, Christy CW:
Flat / Room</t>
        </r>
      </text>
    </comment>
    <comment ref="BO1" authorId="0" shapeId="0" xr:uid="{00000000-0006-0000-0400-000012000000}">
      <text>
        <r>
          <rPr>
            <sz val="11"/>
            <color rgb="FF000000"/>
            <rFont val="Arial"/>
            <family val="2"/>
          </rPr>
          <t>Sze, Christy CW:
Block / Building</t>
        </r>
      </text>
    </comment>
    <comment ref="BY1" authorId="0" shapeId="0" xr:uid="{00000000-0006-0000-0400-000013000000}">
      <text>
        <r>
          <rPr>
            <sz val="11"/>
            <color rgb="FF000000"/>
            <rFont val="Arial"/>
            <family val="2"/>
          </rPr>
          <t>Sze, Christy CW:
Defaulted as Shop1
Retail Shop's information is ONLY applicable for Smart POS service 
Double check if it is the the store which is applied for Smart POS service</t>
        </r>
      </text>
    </comment>
    <comment ref="CB1" authorId="0" shapeId="0" xr:uid="{00000000-0006-0000-0400-000014000000}">
      <text>
        <r>
          <rPr>
            <sz val="11"/>
            <color rgb="FF000000"/>
            <rFont val="Arial"/>
            <family val="2"/>
          </rPr>
          <t>Sze, Christy CW:
Number of Smart POS shop</t>
        </r>
      </text>
    </comment>
    <comment ref="CG1" authorId="0" shapeId="0" xr:uid="{00000000-0006-0000-0400-000015000000}">
      <text>
        <r>
          <rPr>
            <sz val="11"/>
            <color rgb="FF000000"/>
            <rFont val="Arial"/>
            <family val="2"/>
          </rPr>
          <t>Sze, Christy CW:
Company Telephone</t>
        </r>
      </text>
    </comment>
    <comment ref="CI1" authorId="0" shapeId="0" xr:uid="{00000000-0006-0000-0400-000016000000}">
      <text>
        <r>
          <rPr>
            <sz val="11"/>
            <color rgb="FF000000"/>
            <rFont val="Arial"/>
            <family val="2"/>
          </rPr>
          <t>Sze, Christy CW:
Shop Website</t>
        </r>
      </text>
    </comment>
    <comment ref="CJ1" authorId="0" shapeId="0" xr:uid="{00000000-0006-0000-0400-000017000000}">
      <text>
        <r>
          <rPr>
            <sz val="11"/>
            <color rgb="FF000000"/>
            <rFont val="Arial"/>
            <family val="2"/>
          </rPr>
          <t>Sze, Christy CW:
1st Contact Person</t>
        </r>
      </text>
    </comment>
    <comment ref="CK1" authorId="0" shapeId="0" xr:uid="{00000000-0006-0000-0400-000018000000}">
      <text>
        <r>
          <rPr>
            <sz val="11"/>
            <color rgb="FF000000"/>
            <rFont val="Arial"/>
            <family val="2"/>
          </rPr>
          <t>Sze, Christy CW:
1st Contact Person</t>
        </r>
      </text>
    </comment>
    <comment ref="CO1" authorId="0" shapeId="0" xr:uid="{00000000-0006-0000-0400-000019000000}">
      <text>
        <r>
          <rPr>
            <sz val="11"/>
            <color rgb="FF000000"/>
            <rFont val="Arial"/>
            <family val="2"/>
          </rPr>
          <t>Sze, Christy CW:
Family name</t>
        </r>
      </text>
    </comment>
    <comment ref="CP1" authorId="0" shapeId="0" xr:uid="{00000000-0006-0000-0400-00001A000000}">
      <text>
        <r>
          <rPr>
            <sz val="11"/>
            <color rgb="FF000000"/>
            <rFont val="Arial"/>
            <family val="2"/>
          </rPr>
          <t>Sze, Christy CW:
Given name</t>
        </r>
      </text>
    </comment>
    <comment ref="CS1" authorId="0" shapeId="0" xr:uid="{00000000-0006-0000-0400-00001B000000}">
      <text>
        <r>
          <rPr>
            <sz val="11"/>
            <color rgb="FF000000"/>
            <rFont val="Arial"/>
            <family val="2"/>
          </rPr>
          <t>Sze, Christy CW:
Job title of 1st Contact Person</t>
        </r>
      </text>
    </comment>
    <comment ref="CV1" authorId="0" shapeId="0" xr:uid="{00000000-0006-0000-0400-00001C000000}">
      <text>
        <r>
          <rPr>
            <sz val="11"/>
            <color rgb="FF000000"/>
            <rFont val="Arial"/>
            <family val="2"/>
          </rPr>
          <t>Sze, Christy CW:
2nd Contact Person</t>
        </r>
      </text>
    </comment>
    <comment ref="CW1" authorId="0" shapeId="0" xr:uid="{00000000-0006-0000-0400-00001D000000}">
      <text>
        <r>
          <rPr>
            <sz val="11"/>
            <color rgb="FF000000"/>
            <rFont val="Arial"/>
            <family val="2"/>
          </rPr>
          <t>Sze, Christy CW:
2nd Contact Person</t>
        </r>
      </text>
    </comment>
    <comment ref="DA1" authorId="0" shapeId="0" xr:uid="{00000000-0006-0000-0400-00001E000000}">
      <text>
        <r>
          <rPr>
            <sz val="11"/>
            <color rgb="FF000000"/>
            <rFont val="Arial"/>
            <family val="2"/>
          </rPr>
          <t>Sze, Christy CW:
Family name</t>
        </r>
      </text>
    </comment>
    <comment ref="DB1" authorId="0" shapeId="0" xr:uid="{00000000-0006-0000-0400-00001F000000}">
      <text>
        <r>
          <rPr>
            <sz val="11"/>
            <color rgb="FF000000"/>
            <rFont val="Arial"/>
            <family val="2"/>
          </rPr>
          <t>Sze, Christy CW:
Given name</t>
        </r>
      </text>
    </comment>
    <comment ref="DD1" authorId="0" shapeId="0" xr:uid="{00000000-0006-0000-0400-000020000000}">
      <text>
        <r>
          <rPr>
            <sz val="11"/>
            <color rgb="FF000000"/>
            <rFont val="Arial"/>
            <family val="2"/>
          </rPr>
          <t>Sze, Christy CW:
Job title of 2nd Contact Person</t>
        </r>
      </text>
    </comment>
    <comment ref="DH1" authorId="0" shapeId="0" xr:uid="{00000000-0006-0000-0400-000021000000}">
      <text>
        <r>
          <rPr>
            <sz val="11"/>
            <color rgb="FF000000"/>
            <rFont val="Arial"/>
            <family val="2"/>
          </rPr>
          <t>Sze, Christy CW:
2nd Contact Person</t>
        </r>
      </text>
    </comment>
    <comment ref="DL1" authorId="0" shapeId="0" xr:uid="{00000000-0006-0000-0400-000022000000}">
      <text>
        <r>
          <rPr>
            <sz val="11"/>
            <color rgb="FF000000"/>
            <rFont val="Arial"/>
            <family val="2"/>
          </rPr>
          <t>Sze, Christy CW:
Family name</t>
        </r>
      </text>
    </comment>
    <comment ref="DM1" authorId="0" shapeId="0" xr:uid="{00000000-0006-0000-0400-000023000000}">
      <text>
        <r>
          <rPr>
            <sz val="11"/>
            <color rgb="FF000000"/>
            <rFont val="Arial"/>
            <family val="2"/>
          </rPr>
          <t>Sze, Christy CW:
Given name</t>
        </r>
      </text>
    </comment>
    <comment ref="DO1" authorId="0" shapeId="0" xr:uid="{00000000-0006-0000-0400-000024000000}">
      <text>
        <r>
          <rPr>
            <sz val="11"/>
            <color rgb="FF000000"/>
            <rFont val="Arial"/>
            <family val="2"/>
          </rPr>
          <t>Sze, Christy CW:
Job title of 2nd Contact Person</t>
        </r>
      </text>
    </comment>
    <comment ref="DR1" authorId="0" shapeId="0" xr:uid="{00000000-0006-0000-0400-000025000000}">
      <text>
        <r>
          <rPr>
            <sz val="11"/>
            <color rgb="FF000000"/>
            <rFont val="Arial"/>
            <family val="2"/>
          </rPr>
          <t>Sze, Christy CW:
2nd Contact Person</t>
        </r>
      </text>
    </comment>
    <comment ref="DS1" authorId="0" shapeId="0" xr:uid="{00000000-0006-0000-0400-000026000000}">
      <text>
        <r>
          <rPr>
            <sz val="11"/>
            <color rgb="FF000000"/>
            <rFont val="Arial"/>
            <family val="2"/>
          </rPr>
          <t>Sze, Christy CW:
2nd Contact Person</t>
        </r>
      </text>
    </comment>
    <comment ref="DW1" authorId="0" shapeId="0" xr:uid="{00000000-0006-0000-0400-000027000000}">
      <text>
        <r>
          <rPr>
            <sz val="11"/>
            <color rgb="FF000000"/>
            <rFont val="Arial"/>
            <family val="2"/>
          </rPr>
          <t>Sze, Christy CW:
Family name</t>
        </r>
      </text>
    </comment>
    <comment ref="DX1" authorId="0" shapeId="0" xr:uid="{00000000-0006-0000-0400-000028000000}">
      <text>
        <r>
          <rPr>
            <sz val="11"/>
            <color rgb="FF000000"/>
            <rFont val="Arial"/>
            <family val="2"/>
          </rPr>
          <t>Sze, Christy CW:
Given name</t>
        </r>
      </text>
    </comment>
    <comment ref="DZ1" authorId="0" shapeId="0" xr:uid="{00000000-0006-0000-0400-000029000000}">
      <text>
        <r>
          <rPr>
            <sz val="11"/>
            <color rgb="FF000000"/>
            <rFont val="Arial"/>
            <family val="2"/>
          </rPr>
          <t>Sze, Christy CW:
Job title of 2nd Contact Person</t>
        </r>
      </text>
    </comment>
    <comment ref="EC1" authorId="0" shapeId="0" xr:uid="{00000000-0006-0000-0400-00002A000000}">
      <text>
        <r>
          <rPr>
            <sz val="11"/>
            <color rgb="FF000000"/>
            <rFont val="Arial"/>
            <family val="2"/>
          </rPr>
          <t>Sze, Christy CW:
Business Model</t>
        </r>
      </text>
    </comment>
    <comment ref="EF1" authorId="0" shapeId="0" xr:uid="{00000000-0006-0000-0400-00002B000000}">
      <text>
        <r>
          <rPr>
            <sz val="11"/>
            <color rgb="FF000000"/>
            <rFont val="Arial"/>
            <family val="2"/>
          </rPr>
          <t>Sze, Christy CW:
Search from MCC booklet (for First Data)
Black= APPROVED by Eddie</t>
        </r>
      </text>
    </comment>
    <comment ref="EG1" authorId="0" shapeId="0" xr:uid="{00000000-0006-0000-0400-00002C000000}">
      <text>
        <r>
          <rPr>
            <sz val="11"/>
            <color rgb="FF000000"/>
            <rFont val="Arial"/>
            <family val="2"/>
          </rPr>
          <t>Sze, Christy CW:
Search from MCC booklet (for Easylink)
Black= APPROVED by Eddie</t>
        </r>
      </text>
    </comment>
    <comment ref="EJ1" authorId="0" shapeId="0" xr:uid="{00000000-0006-0000-0400-00002D000000}">
      <text>
        <r>
          <rPr>
            <sz val="11"/>
            <color rgb="FF000000"/>
            <rFont val="Arial"/>
            <family val="2"/>
          </rPr>
          <t>Sze, Christy CW:
Annual Sales Turnover (Offline)</t>
        </r>
      </text>
    </comment>
    <comment ref="EM1" authorId="1" shapeId="0" xr:uid="{00000000-0006-0000-0400-00002E000000}">
      <text>
        <r>
          <rPr>
            <sz val="11"/>
            <color rgb="FF000000"/>
            <rFont val="Arial"/>
            <family val="2"/>
          </rPr>
          <t>Chong, Tiffany:
Annual Turnover AW(offline)</t>
        </r>
      </text>
    </comment>
    <comment ref="EN1" authorId="1" shapeId="0" xr:uid="{00000000-0006-0000-0400-00002F000000}">
      <text>
        <r>
          <rPr>
            <sz val="11"/>
            <color rgb="FF000000"/>
            <rFont val="Arial"/>
            <family val="2"/>
          </rPr>
          <t>Chong, Tiffany:
Monthly Turnover AW(offline)</t>
        </r>
      </text>
    </comment>
    <comment ref="EO1" authorId="0" shapeId="0" xr:uid="{00000000-0006-0000-0400-000030000000}">
      <text>
        <r>
          <rPr>
            <sz val="11"/>
            <color rgb="FF000000"/>
            <rFont val="Arial"/>
            <family val="2"/>
          </rPr>
          <t>Sze, Christy CW:
Annual Sales Turnover (Offline)</t>
        </r>
      </text>
    </comment>
    <comment ref="EP1" authorId="0" shapeId="0" xr:uid="{00000000-0006-0000-0400-000031000000}">
      <text>
        <r>
          <rPr>
            <sz val="11"/>
            <color rgb="FF000000"/>
            <rFont val="Arial"/>
            <family val="2"/>
          </rPr>
          <t>Sze, Christy CW:
Annual Sales Turnover (Online)</t>
        </r>
      </text>
    </comment>
    <comment ref="EQ1" authorId="0" shapeId="0" xr:uid="{00000000-0006-0000-0400-000032000000}">
      <text>
        <r>
          <rPr>
            <sz val="11"/>
            <color rgb="FF000000"/>
            <rFont val="Arial"/>
            <family val="2"/>
          </rPr>
          <t>Sze, Christy CW:
Annual Sales Turnover (O2O / O2O DIY services)</t>
        </r>
      </text>
    </comment>
    <comment ref="ER1" authorId="0" shapeId="0" xr:uid="{00000000-0006-0000-0400-000033000000}">
      <text>
        <r>
          <rPr>
            <sz val="11"/>
            <color rgb="FF000000"/>
            <rFont val="Arial"/>
            <family val="2"/>
          </rPr>
          <t>Sze, Christy CW:
Total online annual sales turnover</t>
        </r>
      </text>
    </comment>
    <comment ref="ES1" authorId="0" shapeId="0" xr:uid="{00000000-0006-0000-0400-000034000000}">
      <text>
        <r>
          <rPr>
            <sz val="11"/>
            <color rgb="FF000000"/>
            <rFont val="Arial"/>
            <family val="2"/>
          </rPr>
          <t>Sze, Christy CW:
Annual sales turnover</t>
        </r>
      </text>
    </comment>
    <comment ref="GF1" authorId="1" shapeId="0" xr:uid="{00000000-0006-0000-0400-000035000000}">
      <text>
        <r>
          <rPr>
            <sz val="11"/>
            <color rgb="FF000000"/>
            <rFont val="Arial"/>
            <family val="2"/>
          </rPr>
          <t>Chong, Tiffany:
EFT Alipay standard 1.3%</t>
        </r>
      </text>
    </comment>
    <comment ref="GH1" authorId="1" shapeId="0" xr:uid="{00000000-0006-0000-0400-000036000000}">
      <text>
        <r>
          <rPr>
            <sz val="11"/>
            <color rgb="FF000000"/>
            <rFont val="Arial"/>
            <family val="2"/>
          </rPr>
          <t>Chong, Tiffany:
EFT WeChatpay standard 1.3%</t>
        </r>
      </text>
    </comment>
    <comment ref="IC1" authorId="0" shapeId="0" xr:uid="{00000000-0006-0000-0400-000037000000}">
      <text>
        <r>
          <rPr>
            <sz val="11"/>
            <color rgb="FF000000"/>
            <rFont val="Arial"/>
            <family val="2"/>
          </rPr>
          <t>Sze, Christy CW:
Flat / Room</t>
        </r>
      </text>
    </comment>
    <comment ref="IE1" authorId="0" shapeId="0" xr:uid="{00000000-0006-0000-0400-000038000000}">
      <text>
        <r>
          <rPr>
            <sz val="11"/>
            <color rgb="FF000000"/>
            <rFont val="Arial"/>
            <family val="2"/>
          </rPr>
          <t>Sze, Christy CW:
Block / Building</t>
        </r>
      </text>
    </comment>
    <comment ref="IJ1" authorId="0" shapeId="0" xr:uid="{00000000-0006-0000-0400-000039000000}">
      <text>
        <r>
          <rPr>
            <sz val="11"/>
            <color rgb="FF000000"/>
            <rFont val="Arial"/>
            <family val="2"/>
          </rPr>
          <t>Sze, Christy CW:
Billing address
Flat / Room</t>
        </r>
      </text>
    </comment>
    <comment ref="IL1" authorId="0" shapeId="0" xr:uid="{00000000-0006-0000-0400-00003A000000}">
      <text>
        <r>
          <rPr>
            <sz val="11"/>
            <color rgb="FF000000"/>
            <rFont val="Arial"/>
            <family val="2"/>
          </rPr>
          <t>Sze, Christy CW:
Block / Building</t>
        </r>
      </text>
    </comment>
    <comment ref="IX1" authorId="2" shapeId="0" xr:uid="{00000000-0006-0000-0400-00003B000000}">
      <text>
        <r>
          <rPr>
            <sz val="11"/>
            <color rgb="FF000000"/>
            <rFont val="Arial"/>
            <family val="2"/>
          </rPr>
          <t>Chong, Tiffany HL:
select this for EFT AW Form if NGO</t>
        </r>
      </text>
    </comment>
    <comment ref="IY1" authorId="0" shapeId="0" xr:uid="{00000000-0006-0000-0400-00003C000000}">
      <text>
        <r>
          <rPr>
            <sz val="11"/>
            <color rgb="FF000000"/>
            <rFont val="Arial"/>
            <family val="2"/>
          </rPr>
          <t>Sze, Christy CW:
Select the Entity Type</t>
        </r>
      </text>
    </comment>
    <comment ref="JG1" authorId="0" shapeId="0" xr:uid="{00000000-0006-0000-0400-00003D000000}">
      <text>
        <r>
          <rPr>
            <sz val="11"/>
            <color rgb="FF000000"/>
            <rFont val="Arial"/>
            <family val="2"/>
          </rPr>
          <t>Sze, Christy CW:
BR number</t>
        </r>
      </text>
    </comment>
    <comment ref="JL1" authorId="0" shapeId="0" xr:uid="{00000000-0006-0000-0400-00003E000000}">
      <text>
        <r>
          <rPr>
            <sz val="11"/>
            <color rgb="FF000000"/>
            <rFont val="Arial"/>
            <family val="2"/>
          </rPr>
          <t>Sze, Christy CW:
Certificate of Incorporation</t>
        </r>
      </text>
    </comment>
    <comment ref="JP1" authorId="0" shapeId="0" xr:uid="{00000000-0006-0000-0400-00003F000000}">
      <text>
        <r>
          <rPr>
            <sz val="11"/>
            <color rgb="FF000000"/>
            <rFont val="Arial"/>
            <family val="2"/>
          </rPr>
          <t>Sze, Christy CW:
Issued date of CI (DD)</t>
        </r>
      </text>
    </comment>
    <comment ref="JU1" authorId="0" shapeId="0" xr:uid="{00000000-0006-0000-0400-000040000000}">
      <text>
        <r>
          <rPr>
            <sz val="11"/>
            <color rgb="FF000000"/>
            <rFont val="Arial"/>
            <family val="2"/>
          </rPr>
          <t>Sze, Christy CW:
Company register number on Certificate of Incorporation</t>
        </r>
      </text>
    </comment>
    <comment ref="JV1" authorId="0" shapeId="0" xr:uid="{00000000-0006-0000-0400-000041000000}">
      <text>
        <r>
          <rPr>
            <sz val="11"/>
            <color rgb="FF000000"/>
            <rFont val="Arial"/>
            <family val="2"/>
          </rPr>
          <t>Sze, Christy CW:
Bank statement's address</t>
        </r>
      </text>
    </comment>
    <comment ref="KX1" authorId="0" shapeId="0" xr:uid="{00000000-0006-0000-0400-000042000000}">
      <text>
        <r>
          <rPr>
            <sz val="11"/>
            <color rgb="FF000000"/>
            <rFont val="Arial"/>
            <family val="2"/>
          </rPr>
          <t>Sze, Christy CW:
Account Number</t>
        </r>
      </text>
    </comment>
    <comment ref="LB1" authorId="0" shapeId="0" xr:uid="{00000000-0006-0000-0400-000043000000}">
      <text>
        <r>
          <rPr>
            <sz val="11"/>
            <color rgb="FF000000"/>
            <rFont val="Arial"/>
            <family val="2"/>
          </rPr>
          <t>Sze, Christy CW:
1st Authorized Signatory</t>
        </r>
      </text>
    </comment>
    <comment ref="LC1" authorId="0" shapeId="0" xr:uid="{00000000-0006-0000-0400-000044000000}">
      <text>
        <r>
          <rPr>
            <sz val="11"/>
            <color rgb="FF000000"/>
            <rFont val="Arial"/>
            <family val="2"/>
          </rPr>
          <t>Sze, Christy CW:
1st Authorized Signatory</t>
        </r>
      </text>
    </comment>
    <comment ref="LG1" authorId="0" shapeId="0" xr:uid="{00000000-0006-0000-0400-000045000000}">
      <text>
        <r>
          <rPr>
            <sz val="11"/>
            <color rgb="FF000000"/>
            <rFont val="Arial"/>
            <family val="2"/>
          </rPr>
          <t>Sze, Christy CW:
Family name</t>
        </r>
      </text>
    </comment>
    <comment ref="LH1" authorId="0" shapeId="0" xr:uid="{00000000-0006-0000-0400-000046000000}">
      <text>
        <r>
          <rPr>
            <sz val="11"/>
            <color rgb="FF000000"/>
            <rFont val="Arial"/>
            <family val="2"/>
          </rPr>
          <t>Sze, Christy CW:
Given name</t>
        </r>
      </text>
    </comment>
    <comment ref="LK1" authorId="0" shapeId="0" xr:uid="{00000000-0006-0000-0400-000047000000}">
      <text>
        <r>
          <rPr>
            <sz val="11"/>
            <color rgb="FF000000"/>
            <rFont val="Arial"/>
            <family val="2"/>
          </rPr>
          <t>Sze, Christy CW:
Job title of 1st Authorized Signatory</t>
        </r>
      </text>
    </comment>
    <comment ref="LO1" authorId="0" shapeId="0" xr:uid="{00000000-0006-0000-0400-000048000000}">
      <text>
        <r>
          <rPr>
            <sz val="11"/>
            <color rgb="FF000000"/>
            <rFont val="Arial"/>
            <family val="2"/>
          </rPr>
          <t>Sze, Christy CW:
1st Authorized Signatory's ID number</t>
        </r>
      </text>
    </comment>
    <comment ref="LP1" authorId="0" shapeId="0" xr:uid="{00000000-0006-0000-0400-000049000000}">
      <text>
        <r>
          <rPr>
            <sz val="11"/>
            <color rgb="FF000000"/>
            <rFont val="Arial"/>
            <family val="2"/>
          </rPr>
          <t>Sze, Christy CW:
1st Authorized Signatory's Date of Birth (DD)</t>
        </r>
      </text>
    </comment>
    <comment ref="LU1" authorId="0" shapeId="0" xr:uid="{00000000-0006-0000-0400-00004A000000}">
      <text>
        <r>
          <rPr>
            <sz val="11"/>
            <color rgb="FF000000"/>
            <rFont val="Arial"/>
            <family val="2"/>
          </rPr>
          <t>Sze, Christy CW:
Nationality</t>
        </r>
      </text>
    </comment>
    <comment ref="LY1" authorId="0" shapeId="0" xr:uid="{00000000-0006-0000-0400-00004B000000}">
      <text>
        <r>
          <rPr>
            <sz val="11"/>
            <color rgb="FF000000"/>
            <rFont val="Arial"/>
            <family val="2"/>
          </rPr>
          <t>Sze, Christy CW:
Choose the Capacity</t>
        </r>
      </text>
    </comment>
    <comment ref="MJ1" authorId="0" shapeId="0" xr:uid="{00000000-0006-0000-0400-00004C000000}">
      <text>
        <r>
          <rPr>
            <sz val="11"/>
            <color rgb="FF000000"/>
            <rFont val="Arial"/>
            <family val="2"/>
          </rPr>
          <t>Sze, Christy CW:
1st Director</t>
        </r>
      </text>
    </comment>
    <comment ref="MK1" authorId="0" shapeId="0" xr:uid="{00000000-0006-0000-0400-00004D000000}">
      <text>
        <r>
          <rPr>
            <sz val="11"/>
            <color rgb="FF000000"/>
            <rFont val="Arial"/>
            <family val="2"/>
          </rPr>
          <t>Sze, Christy CW:
1st Director</t>
        </r>
      </text>
    </comment>
    <comment ref="MQ1" authorId="0" shapeId="0" xr:uid="{00000000-0006-0000-0400-00004E000000}">
      <text>
        <r>
          <rPr>
            <sz val="11"/>
            <color rgb="FF000000"/>
            <rFont val="Arial"/>
            <family val="2"/>
          </rPr>
          <t>Sze, Christy CW:
Family name</t>
        </r>
      </text>
    </comment>
    <comment ref="MR1" authorId="0" shapeId="0" xr:uid="{00000000-0006-0000-0400-00004F000000}">
      <text>
        <r>
          <rPr>
            <sz val="11"/>
            <color rgb="FF000000"/>
            <rFont val="Arial"/>
            <family val="2"/>
          </rPr>
          <t>Sze, Christy CW:
Given name</t>
        </r>
      </text>
    </comment>
    <comment ref="MU1" authorId="0" shapeId="0" xr:uid="{00000000-0006-0000-0400-000050000000}">
      <text>
        <r>
          <rPr>
            <sz val="11"/>
            <color rgb="FF000000"/>
            <rFont val="Arial"/>
            <family val="2"/>
          </rPr>
          <t>Sze, Christy CW:
Family name</t>
        </r>
      </text>
    </comment>
    <comment ref="MV1" authorId="0" shapeId="0" xr:uid="{00000000-0006-0000-0400-000051000000}">
      <text>
        <r>
          <rPr>
            <sz val="11"/>
            <color rgb="FF000000"/>
            <rFont val="Arial"/>
            <family val="2"/>
          </rPr>
          <t>Sze, Christy CW:
Chinese name of 1st Director (if any)</t>
        </r>
      </text>
    </comment>
    <comment ref="MW1" authorId="0" shapeId="0" xr:uid="{00000000-0006-0000-0400-000052000000}">
      <text>
        <r>
          <rPr>
            <sz val="11"/>
            <color rgb="FF000000"/>
            <rFont val="Arial"/>
            <family val="2"/>
          </rPr>
          <t>Sze, Christy CW:
Job Title of 1st Director</t>
        </r>
      </text>
    </comment>
    <comment ref="NA1" authorId="0" shapeId="0" xr:uid="{00000000-0006-0000-0400-000053000000}">
      <text>
        <r>
          <rPr>
            <sz val="11"/>
            <color rgb="FF000000"/>
            <rFont val="Arial"/>
            <family val="2"/>
          </rPr>
          <t>Sze, Christy CW:
ID number</t>
        </r>
      </text>
    </comment>
    <comment ref="NC1" authorId="0" shapeId="0" xr:uid="{00000000-0006-0000-0400-000054000000}">
      <text>
        <r>
          <rPr>
            <sz val="11"/>
            <color rgb="FF000000"/>
            <rFont val="Arial"/>
            <family val="2"/>
          </rPr>
          <t>Sze, Christy CW:
1st Director's DOB (DD)</t>
        </r>
      </text>
    </comment>
    <comment ref="NI1" authorId="0" shapeId="0" xr:uid="{00000000-0006-0000-0400-000055000000}">
      <text>
        <r>
          <rPr>
            <sz val="11"/>
            <color rgb="FF000000"/>
            <rFont val="Arial"/>
            <family val="2"/>
          </rPr>
          <t>Sze, Christy CW:
Nationality</t>
        </r>
      </text>
    </comment>
    <comment ref="NK1" authorId="2" shapeId="0" xr:uid="{00000000-0006-0000-0400-000056000000}">
      <text>
        <r>
          <rPr>
            <sz val="11"/>
            <color rgb="FF000000"/>
            <rFont val="Arial"/>
            <family val="2"/>
          </rPr>
          <t xml:space="preserve">HONG KONG CHINA
</t>
        </r>
      </text>
    </comment>
    <comment ref="NL1" authorId="2" shapeId="0" xr:uid="{00000000-0006-0000-0400-000057000000}">
      <text>
        <r>
          <rPr>
            <sz val="11"/>
            <color rgb="FF000000"/>
            <rFont val="Arial"/>
            <family val="2"/>
          </rPr>
          <t xml:space="preserve">MACAU CHINA
</t>
        </r>
      </text>
    </comment>
    <comment ref="NO1" authorId="0" shapeId="0" xr:uid="{00000000-0006-0000-0400-000058000000}">
      <text>
        <r>
          <rPr>
            <sz val="11"/>
            <color rgb="FF000000"/>
            <rFont val="Arial"/>
            <family val="2"/>
          </rPr>
          <t>Sze, Christy CW:
Flat / Room</t>
        </r>
      </text>
    </comment>
    <comment ref="NQ1" authorId="0" shapeId="0" xr:uid="{00000000-0006-0000-0400-000059000000}">
      <text>
        <r>
          <rPr>
            <sz val="11"/>
            <color rgb="FF000000"/>
            <rFont val="Arial"/>
            <family val="2"/>
          </rPr>
          <t>Sze, Christy CW:
Block / Building</t>
        </r>
      </text>
    </comment>
    <comment ref="NW1" authorId="0" shapeId="0" xr:uid="{00000000-0006-0000-0400-00005A000000}">
      <text>
        <r>
          <rPr>
            <sz val="11"/>
            <color rgb="FF000000"/>
            <rFont val="Arial"/>
            <family val="2"/>
          </rPr>
          <t>Sze, Christy CW:
"Y"= Director 2 does OWN this property
"N"= Director 2 does NOT own this property</t>
        </r>
      </text>
    </comment>
    <comment ref="NX1" authorId="3" shapeId="0" xr:uid="{00000000-0006-0000-0400-00005B000000}">
      <text>
        <r>
          <rPr>
            <sz val="11"/>
            <color rgb="FF000000"/>
            <rFont val="Arial"/>
            <family val="2"/>
          </rPr>
          <t>Input "X" if the director does OWN this property</t>
        </r>
      </text>
    </comment>
    <comment ref="NY1" authorId="3" shapeId="0" xr:uid="{00000000-0006-0000-0400-00005C000000}">
      <text>
        <r>
          <rPr>
            <sz val="11"/>
            <color rgb="FF000000"/>
            <rFont val="Arial"/>
            <family val="2"/>
          </rPr>
          <t>Input "X" if the director does NOT own this property</t>
        </r>
      </text>
    </comment>
    <comment ref="NZ1" authorId="0" shapeId="0" xr:uid="{00000000-0006-0000-0400-00005D000000}">
      <text>
        <r>
          <rPr>
            <sz val="11"/>
            <color rgb="FF000000"/>
            <rFont val="Arial"/>
            <family val="2"/>
          </rPr>
          <t>Sze, Christy CW:
Year on the above address</t>
        </r>
      </text>
    </comment>
    <comment ref="OA1" authorId="0" shapeId="0" xr:uid="{00000000-0006-0000-0400-00005E000000}">
      <text>
        <r>
          <rPr>
            <sz val="11"/>
            <color rgb="FF000000"/>
            <rFont val="Arial"/>
            <family val="2"/>
          </rPr>
          <t>Sze, Christy CW:
Months on the above address</t>
        </r>
      </text>
    </comment>
    <comment ref="OC1" authorId="0" shapeId="0" xr:uid="{00000000-0006-0000-0400-00005F000000}">
      <text>
        <r>
          <rPr>
            <sz val="11"/>
            <color rgb="FF000000"/>
            <rFont val="Arial"/>
            <family val="2"/>
          </rPr>
          <t>Sze, Christy CW:
Choose the Capacity</t>
        </r>
      </text>
    </comment>
    <comment ref="ON1" authorId="0" shapeId="0" xr:uid="{00000000-0006-0000-0400-000060000000}">
      <text>
        <r>
          <rPr>
            <sz val="11"/>
            <color rgb="FF000000"/>
            <rFont val="Arial"/>
            <family val="2"/>
          </rPr>
          <t>Sze, Christy CW:
2nd Director</t>
        </r>
      </text>
    </comment>
    <comment ref="OO1" authorId="0" shapeId="0" xr:uid="{00000000-0006-0000-0400-000061000000}">
      <text>
        <r>
          <rPr>
            <sz val="11"/>
            <color rgb="FF000000"/>
            <rFont val="Arial"/>
            <family val="2"/>
          </rPr>
          <t>Sze, Christy CW:
2nd Director</t>
        </r>
      </text>
    </comment>
    <comment ref="OU1" authorId="0" shapeId="0" xr:uid="{00000000-0006-0000-0400-000062000000}">
      <text>
        <r>
          <rPr>
            <sz val="11"/>
            <color rgb="FF000000"/>
            <rFont val="Arial"/>
            <family val="2"/>
          </rPr>
          <t>Sze, Christy CW:
Family name</t>
        </r>
      </text>
    </comment>
    <comment ref="OV1" authorId="0" shapeId="0" xr:uid="{00000000-0006-0000-0400-000063000000}">
      <text>
        <r>
          <rPr>
            <sz val="11"/>
            <color rgb="FF000000"/>
            <rFont val="Arial"/>
            <family val="2"/>
          </rPr>
          <t>Sze, Christy CW:
Given name</t>
        </r>
      </text>
    </comment>
    <comment ref="OZ1" authorId="0" shapeId="0" xr:uid="{00000000-0006-0000-0400-000064000000}">
      <text>
        <r>
          <rPr>
            <sz val="11"/>
            <color rgb="FF000000"/>
            <rFont val="Arial"/>
            <family val="2"/>
          </rPr>
          <t>Sze, Christy CW:
Chinese name (if any)</t>
        </r>
      </text>
    </comment>
    <comment ref="PG1" authorId="0" shapeId="0" xr:uid="{00000000-0006-0000-0400-000065000000}">
      <text>
        <r>
          <rPr>
            <sz val="11"/>
            <color rgb="FF000000"/>
            <rFont val="Arial"/>
            <family val="2"/>
          </rPr>
          <t>Sze, Christy CW:
2nd Director's DOB</t>
        </r>
      </text>
    </comment>
    <comment ref="PM1" authorId="0" shapeId="0" xr:uid="{00000000-0006-0000-0400-000066000000}">
      <text>
        <r>
          <rPr>
            <sz val="11"/>
            <color rgb="FF000000"/>
            <rFont val="Arial"/>
            <family val="2"/>
          </rPr>
          <t>Sze, Christy CW:
Nationality</t>
        </r>
      </text>
    </comment>
    <comment ref="PS1" authorId="0" shapeId="0" xr:uid="{00000000-0006-0000-0400-000067000000}">
      <text>
        <r>
          <rPr>
            <sz val="11"/>
            <color rgb="FF000000"/>
            <rFont val="Arial"/>
            <family val="2"/>
          </rPr>
          <t>Sze, Christy CW:
Flat / Room</t>
        </r>
      </text>
    </comment>
    <comment ref="PU1" authorId="0" shapeId="0" xr:uid="{00000000-0006-0000-0400-000068000000}">
      <text>
        <r>
          <rPr>
            <sz val="11"/>
            <color rgb="FF000000"/>
            <rFont val="Arial"/>
            <family val="2"/>
          </rPr>
          <t>Sze, Christy CW:
Block / Building</t>
        </r>
      </text>
    </comment>
    <comment ref="QA1" authorId="0" shapeId="0" xr:uid="{00000000-0006-0000-0400-000069000000}">
      <text>
        <r>
          <rPr>
            <sz val="11"/>
            <color rgb="FF000000"/>
            <rFont val="Arial"/>
            <family val="2"/>
          </rPr>
          <t>Sze, Christy CW:
"Y"= Director 2 does OWN this property
"N"= Director 2 does NOT own this property</t>
        </r>
      </text>
    </comment>
    <comment ref="QB1" authorId="3" shapeId="0" xr:uid="{00000000-0006-0000-0400-00006A000000}">
      <text>
        <r>
          <rPr>
            <sz val="11"/>
            <color rgb="FF000000"/>
            <rFont val="Arial"/>
            <family val="2"/>
          </rPr>
          <t>Input "X" if the director does OWN this property</t>
        </r>
      </text>
    </comment>
    <comment ref="QC1" authorId="3" shapeId="0" xr:uid="{00000000-0006-0000-0400-00006B000000}">
      <text>
        <r>
          <rPr>
            <sz val="11"/>
            <color rgb="FF000000"/>
            <rFont val="Arial"/>
            <family val="2"/>
          </rPr>
          <t>Input "X" if the director does NOT own this property</t>
        </r>
      </text>
    </comment>
    <comment ref="QD1" authorId="0" shapeId="0" xr:uid="{00000000-0006-0000-0400-00006C000000}">
      <text>
        <r>
          <rPr>
            <sz val="11"/>
            <color rgb="FF000000"/>
            <rFont val="Arial"/>
            <family val="2"/>
          </rPr>
          <t>Sze, Christy CW:
Years on the above address</t>
        </r>
      </text>
    </comment>
    <comment ref="QE1" authorId="0" shapeId="0" xr:uid="{00000000-0006-0000-0400-00006D000000}">
      <text>
        <r>
          <rPr>
            <sz val="11"/>
            <color rgb="FF000000"/>
            <rFont val="Arial"/>
            <family val="2"/>
          </rPr>
          <t>Sze, Christy CW:
Months on the above address</t>
        </r>
      </text>
    </comment>
    <comment ref="QN1" authorId="3" shapeId="0" xr:uid="{00000000-0006-0000-0400-00006E000000}">
      <text>
        <r>
          <rPr>
            <sz val="11"/>
            <color rgb="FF000000"/>
            <rFont val="Arial"/>
            <family val="2"/>
          </rPr>
          <t>3rd Director</t>
        </r>
      </text>
    </comment>
    <comment ref="QO1" authorId="3" shapeId="0" xr:uid="{00000000-0006-0000-0400-00006F000000}">
      <text>
        <r>
          <rPr>
            <sz val="11"/>
            <color rgb="FF000000"/>
            <rFont val="Arial"/>
            <family val="2"/>
          </rPr>
          <t xml:space="preserve">3rd Director
</t>
        </r>
      </text>
    </comment>
    <comment ref="QS1" authorId="3" shapeId="0" xr:uid="{00000000-0006-0000-0400-000070000000}">
      <text>
        <r>
          <rPr>
            <sz val="11"/>
            <color rgb="FF000000"/>
            <rFont val="Arial"/>
            <family val="2"/>
          </rPr>
          <t>Christy S.:
Family Name</t>
        </r>
      </text>
    </comment>
    <comment ref="QT1" authorId="3" shapeId="0" xr:uid="{00000000-0006-0000-0400-000071000000}">
      <text>
        <r>
          <rPr>
            <sz val="11"/>
            <color rgb="FF000000"/>
            <rFont val="Arial"/>
            <family val="2"/>
          </rPr>
          <t>Christy S.:
Given Name</t>
        </r>
      </text>
    </comment>
    <comment ref="RH1" authorId="3" shapeId="0" xr:uid="{00000000-0006-0000-0400-000072000000}">
      <text>
        <r>
          <rPr>
            <sz val="11"/>
            <color rgb="FF000000"/>
            <rFont val="Arial"/>
            <family val="2"/>
          </rPr>
          <t>Nationality</t>
        </r>
      </text>
    </comment>
    <comment ref="RN1" authorId="3" shapeId="0" xr:uid="{00000000-0006-0000-0400-000073000000}">
      <text>
        <r>
          <rPr>
            <sz val="11"/>
            <color rgb="FF000000"/>
            <rFont val="Arial"/>
            <family val="2"/>
          </rPr>
          <t>Flat/ Room</t>
        </r>
      </text>
    </comment>
    <comment ref="RP1" authorId="3" shapeId="0" xr:uid="{00000000-0006-0000-0400-000074000000}">
      <text>
        <r>
          <rPr>
            <sz val="11"/>
            <color rgb="FF000000"/>
            <rFont val="Arial"/>
            <family val="2"/>
          </rPr>
          <t>Block/ Building</t>
        </r>
      </text>
    </comment>
    <comment ref="RV1" authorId="3" shapeId="0" xr:uid="{00000000-0006-0000-0400-000075000000}">
      <text>
        <r>
          <rPr>
            <sz val="11"/>
            <color rgb="FF000000"/>
            <rFont val="Arial"/>
            <family val="2"/>
          </rPr>
          <t>"Y"= Director 3 does OWN this property
"N"= Director 3 does NOT own this property</t>
        </r>
      </text>
    </comment>
    <comment ref="RW1" authorId="3" shapeId="0" xr:uid="{00000000-0006-0000-0400-000076000000}">
      <text>
        <r>
          <rPr>
            <sz val="11"/>
            <color rgb="FF000000"/>
            <rFont val="Arial"/>
            <family val="2"/>
          </rPr>
          <t>Input "X" if the director does OWN this property</t>
        </r>
      </text>
    </comment>
    <comment ref="RX1" authorId="3" shapeId="0" xr:uid="{00000000-0006-0000-0400-000077000000}">
      <text>
        <r>
          <rPr>
            <sz val="11"/>
            <color rgb="FF000000"/>
            <rFont val="Arial"/>
            <family val="2"/>
          </rPr>
          <t>Input "X" if the director does NOT own this property</t>
        </r>
      </text>
    </comment>
    <comment ref="RY1" authorId="3" shapeId="0" xr:uid="{00000000-0006-0000-0400-000078000000}">
      <text>
        <r>
          <rPr>
            <sz val="11"/>
            <color rgb="FF000000"/>
            <rFont val="Arial"/>
            <family val="2"/>
          </rPr>
          <t>Years on the above address</t>
        </r>
      </text>
    </comment>
    <comment ref="RZ1" authorId="3" shapeId="0" xr:uid="{00000000-0006-0000-0400-000079000000}">
      <text>
        <r>
          <rPr>
            <sz val="11"/>
            <color rgb="FF000000"/>
            <rFont val="Arial"/>
            <family val="2"/>
          </rPr>
          <t>Months on the above address</t>
        </r>
      </text>
    </comment>
    <comment ref="SI1" authorId="3" shapeId="0" xr:uid="{00000000-0006-0000-0400-00007A000000}">
      <text>
        <r>
          <rPr>
            <sz val="11"/>
            <color rgb="FF000000"/>
            <rFont val="Arial"/>
            <family val="2"/>
          </rPr>
          <t>2nd Director</t>
        </r>
      </text>
    </comment>
    <comment ref="SJ1" authorId="3" shapeId="0" xr:uid="{00000000-0006-0000-0400-00007B000000}">
      <text>
        <r>
          <rPr>
            <sz val="11"/>
            <color rgb="FF000000"/>
            <rFont val="Arial"/>
            <family val="2"/>
          </rPr>
          <t xml:space="preserve">2nd Director
</t>
        </r>
      </text>
    </comment>
    <comment ref="SN1" authorId="3" shapeId="0" xr:uid="{00000000-0006-0000-0400-00007C000000}">
      <text>
        <r>
          <rPr>
            <sz val="11"/>
            <color rgb="FF000000"/>
            <rFont val="Arial"/>
            <family val="2"/>
          </rPr>
          <t>WallAce Y.:
Family Name</t>
        </r>
      </text>
    </comment>
    <comment ref="SO1" authorId="3" shapeId="0" xr:uid="{00000000-0006-0000-0400-00007D000000}">
      <text>
        <r>
          <rPr>
            <sz val="11"/>
            <color rgb="FF000000"/>
            <rFont val="Arial"/>
            <family val="2"/>
          </rPr>
          <t>WallAce Y.:
Given Name</t>
        </r>
      </text>
    </comment>
    <comment ref="TC1" authorId="3" shapeId="0" xr:uid="{00000000-0006-0000-0400-00007E000000}">
      <text>
        <r>
          <rPr>
            <sz val="11"/>
            <color rgb="FF000000"/>
            <rFont val="Arial"/>
            <family val="2"/>
          </rPr>
          <t>Nationality</t>
        </r>
      </text>
    </comment>
    <comment ref="TI1" authorId="3" shapeId="0" xr:uid="{00000000-0006-0000-0400-00007F000000}">
      <text>
        <r>
          <rPr>
            <sz val="11"/>
            <color rgb="FF000000"/>
            <rFont val="Arial"/>
            <family val="2"/>
          </rPr>
          <t>Flat/ Room</t>
        </r>
      </text>
    </comment>
    <comment ref="TK1" authorId="3" shapeId="0" xr:uid="{00000000-0006-0000-0400-000080000000}">
      <text>
        <r>
          <rPr>
            <sz val="11"/>
            <color rgb="FF000000"/>
            <rFont val="Arial"/>
            <family val="2"/>
          </rPr>
          <t>Block/ Building</t>
        </r>
      </text>
    </comment>
    <comment ref="TQ1" authorId="3" shapeId="0" xr:uid="{00000000-0006-0000-0400-000081000000}">
      <text>
        <r>
          <rPr>
            <sz val="11"/>
            <color rgb="FF000000"/>
            <rFont val="Arial"/>
            <family val="2"/>
          </rPr>
          <t>"Y"= Director 4 does OWN this property
"N"= Director 4 does NOT own this property</t>
        </r>
      </text>
    </comment>
    <comment ref="TR1" authorId="3" shapeId="0" xr:uid="{00000000-0006-0000-0400-000082000000}">
      <text>
        <r>
          <rPr>
            <sz val="11"/>
            <color rgb="FF000000"/>
            <rFont val="Arial"/>
            <family val="2"/>
          </rPr>
          <t>Input "X" if the director does OWN this property</t>
        </r>
      </text>
    </comment>
    <comment ref="TS1" authorId="3" shapeId="0" xr:uid="{00000000-0006-0000-0400-000083000000}">
      <text>
        <r>
          <rPr>
            <sz val="11"/>
            <color rgb="FF000000"/>
            <rFont val="Arial"/>
            <family val="2"/>
          </rPr>
          <t>Input "X" if the director does NOT own this property</t>
        </r>
      </text>
    </comment>
    <comment ref="TT1" authorId="3" shapeId="0" xr:uid="{00000000-0006-0000-0400-000084000000}">
      <text>
        <r>
          <rPr>
            <sz val="11"/>
            <color rgb="FF000000"/>
            <rFont val="Arial"/>
            <family val="2"/>
          </rPr>
          <t>Years on the above address</t>
        </r>
      </text>
    </comment>
    <comment ref="TU1" authorId="3" shapeId="0" xr:uid="{00000000-0006-0000-0400-000085000000}">
      <text>
        <r>
          <rPr>
            <sz val="11"/>
            <color rgb="FF000000"/>
            <rFont val="Arial"/>
            <family val="2"/>
          </rPr>
          <t>Months on the above address</t>
        </r>
      </text>
    </comment>
    <comment ref="TW1" authorId="0" shapeId="0" xr:uid="{00000000-0006-0000-0400-000086000000}">
      <text>
        <r>
          <rPr>
            <sz val="11"/>
            <color rgb="FF000000"/>
            <rFont val="Arial"/>
            <family val="2"/>
          </rPr>
          <t>Sze, Christy CW:
1st Beneficial Owner</t>
        </r>
      </text>
    </comment>
    <comment ref="TX1" authorId="0" shapeId="0" xr:uid="{00000000-0006-0000-0400-000087000000}">
      <text>
        <r>
          <rPr>
            <sz val="11"/>
            <color rgb="FF000000"/>
            <rFont val="Arial"/>
            <family val="2"/>
          </rPr>
          <t>Sze, Christy CW:
1st Beneficial Owner</t>
        </r>
      </text>
    </comment>
    <comment ref="UB1" authorId="0" shapeId="0" xr:uid="{00000000-0006-0000-0400-000088000000}">
      <text>
        <r>
          <rPr>
            <sz val="11"/>
            <color rgb="FF000000"/>
            <rFont val="Arial"/>
            <family val="2"/>
          </rPr>
          <t>Sze, Christy CW:
Family name</t>
        </r>
      </text>
    </comment>
    <comment ref="UC1" authorId="0" shapeId="0" xr:uid="{00000000-0006-0000-0400-000089000000}">
      <text>
        <r>
          <rPr>
            <sz val="11"/>
            <color rgb="FF000000"/>
            <rFont val="Arial"/>
            <family val="2"/>
          </rPr>
          <t xml:space="preserve">Sze, Christy CW:
Given name
</t>
        </r>
      </text>
    </comment>
    <comment ref="UE1" authorId="0" shapeId="0" xr:uid="{00000000-0006-0000-0400-00008A000000}">
      <text>
        <r>
          <rPr>
            <sz val="11"/>
            <color rgb="FF000000"/>
            <rFont val="Arial"/>
            <family val="2"/>
          </rPr>
          <t>Sze, Christy CW:
Chinese name</t>
        </r>
      </text>
    </comment>
    <comment ref="UF1" authorId="0" shapeId="0" xr:uid="{00000000-0006-0000-0400-00008B000000}">
      <text>
        <r>
          <rPr>
            <sz val="11"/>
            <color rgb="FF000000"/>
            <rFont val="Arial"/>
            <family val="2"/>
          </rPr>
          <t>Sze, Christy CW:
Job title of 1st Beneficial Owner</t>
        </r>
      </text>
    </comment>
    <comment ref="UK1" authorId="0" shapeId="0" xr:uid="{00000000-0006-0000-0400-00008C000000}">
      <text>
        <r>
          <rPr>
            <sz val="11"/>
            <color rgb="FF000000"/>
            <rFont val="Arial"/>
            <family val="2"/>
          </rPr>
          <t>Sze, Christy CW:
1st Beneficial Owner's DOB (DD)</t>
        </r>
      </text>
    </comment>
    <comment ref="UP1" authorId="0" shapeId="0" xr:uid="{00000000-0006-0000-0400-00008D000000}">
      <text>
        <r>
          <rPr>
            <sz val="11"/>
            <color rgb="FF000000"/>
            <rFont val="Arial"/>
            <family val="2"/>
          </rPr>
          <t>Sze, Christy CW:
Nationality</t>
        </r>
      </text>
    </comment>
    <comment ref="UT1" authorId="0" shapeId="0" xr:uid="{00000000-0006-0000-0400-00008E000000}">
      <text>
        <r>
          <rPr>
            <sz val="11"/>
            <color rgb="FF000000"/>
            <rFont val="Arial"/>
            <family val="2"/>
          </rPr>
          <t>Sze, Christy CW:
Flat / Room</t>
        </r>
      </text>
    </comment>
    <comment ref="UV1" authorId="0" shapeId="0" xr:uid="{00000000-0006-0000-0400-00008F000000}">
      <text>
        <r>
          <rPr>
            <sz val="11"/>
            <color rgb="FF000000"/>
            <rFont val="Arial"/>
            <family val="2"/>
          </rPr>
          <t>Sze, Christy CW:
Block / Building</t>
        </r>
      </text>
    </comment>
    <comment ref="VB1" authorId="0" shapeId="0" xr:uid="{00000000-0006-0000-0400-000090000000}">
      <text>
        <r>
          <rPr>
            <sz val="11"/>
            <color rgb="FF000000"/>
            <rFont val="Arial"/>
            <family val="2"/>
          </rPr>
          <t>Sze, Christy CW:
2nd Beneficial Owner</t>
        </r>
      </text>
    </comment>
    <comment ref="VC1" authorId="0" shapeId="0" xr:uid="{00000000-0006-0000-0400-000091000000}">
      <text>
        <r>
          <rPr>
            <sz val="11"/>
            <color rgb="FF000000"/>
            <rFont val="Arial"/>
            <family val="2"/>
          </rPr>
          <t>Sze, Christy CW:
2nd Beneficial Owner</t>
        </r>
      </text>
    </comment>
    <comment ref="VG1" authorId="0" shapeId="0" xr:uid="{00000000-0006-0000-0400-000092000000}">
      <text>
        <r>
          <rPr>
            <sz val="11"/>
            <color rgb="FF000000"/>
            <rFont val="Arial"/>
            <family val="2"/>
          </rPr>
          <t>Sze, Christy CW:
Family name</t>
        </r>
      </text>
    </comment>
    <comment ref="VH1" authorId="0" shapeId="0" xr:uid="{00000000-0006-0000-0400-000093000000}">
      <text>
        <r>
          <rPr>
            <sz val="11"/>
            <color rgb="FF000000"/>
            <rFont val="Arial"/>
            <family val="2"/>
          </rPr>
          <t>Sze, Christy CW:
Given name</t>
        </r>
      </text>
    </comment>
    <comment ref="VJ1" authorId="0" shapeId="0" xr:uid="{00000000-0006-0000-0400-000094000000}">
      <text>
        <r>
          <rPr>
            <sz val="11"/>
            <color rgb="FF000000"/>
            <rFont val="Arial"/>
            <family val="2"/>
          </rPr>
          <t>Sze, Christy CW:
Chinese name</t>
        </r>
      </text>
    </comment>
    <comment ref="VK1" authorId="0" shapeId="0" xr:uid="{00000000-0006-0000-0400-000095000000}">
      <text>
        <r>
          <rPr>
            <sz val="11"/>
            <color rgb="FF000000"/>
            <rFont val="Arial"/>
            <family val="2"/>
          </rPr>
          <t>Sze, Christy CW:
Job title of 2nd Beneficial Owner</t>
        </r>
      </text>
    </comment>
    <comment ref="VO1" authorId="0" shapeId="0" xr:uid="{00000000-0006-0000-0400-000096000000}">
      <text>
        <r>
          <rPr>
            <sz val="11"/>
            <color rgb="FF000000"/>
            <rFont val="Arial"/>
            <family val="2"/>
          </rPr>
          <t>Sze, Christy CW:
2nd Beneficial Owner's DOB (DD)</t>
        </r>
      </text>
    </comment>
    <comment ref="VU1" authorId="0" shapeId="0" xr:uid="{00000000-0006-0000-0400-000097000000}">
      <text>
        <r>
          <rPr>
            <sz val="11"/>
            <color rgb="FF000000"/>
            <rFont val="Arial"/>
            <family val="2"/>
          </rPr>
          <t>Sze, Christy CW:
Nationality</t>
        </r>
      </text>
    </comment>
    <comment ref="VY1" authorId="0" shapeId="0" xr:uid="{00000000-0006-0000-0400-000098000000}">
      <text>
        <r>
          <rPr>
            <sz val="11"/>
            <color rgb="FF000000"/>
            <rFont val="Arial"/>
            <family val="2"/>
          </rPr>
          <t>Sze, Christy CW:
Flat / Room</t>
        </r>
      </text>
    </comment>
    <comment ref="WA1" authorId="0" shapeId="0" xr:uid="{00000000-0006-0000-0400-000099000000}">
      <text>
        <r>
          <rPr>
            <sz val="11"/>
            <color rgb="FF000000"/>
            <rFont val="Arial"/>
            <family val="2"/>
          </rPr>
          <t>Sze, Christy CW:
Block / Building</t>
        </r>
      </text>
    </comment>
    <comment ref="WG1" authorId="0" shapeId="0" xr:uid="{00000000-0006-0000-0400-00009A000000}">
      <text>
        <r>
          <rPr>
            <sz val="11"/>
            <color rgb="FF000000"/>
            <rFont val="Arial"/>
            <family val="2"/>
          </rPr>
          <t>Sze, Christy CW:
3rd Beneficial Owner</t>
        </r>
      </text>
    </comment>
    <comment ref="WH1" authorId="0" shapeId="0" xr:uid="{00000000-0006-0000-0400-00009B000000}">
      <text>
        <r>
          <rPr>
            <sz val="11"/>
            <color rgb="FF000000"/>
            <rFont val="Arial"/>
            <family val="2"/>
          </rPr>
          <t>Sze, Christy CW:
3rd Beneficial Owner</t>
        </r>
      </text>
    </comment>
    <comment ref="WL1" authorId="0" shapeId="0" xr:uid="{00000000-0006-0000-0400-00009C000000}">
      <text>
        <r>
          <rPr>
            <sz val="11"/>
            <color rgb="FF000000"/>
            <rFont val="Arial"/>
            <family val="2"/>
          </rPr>
          <t>Sze, Christy CW:
Family name</t>
        </r>
      </text>
    </comment>
    <comment ref="WM1" authorId="0" shapeId="0" xr:uid="{00000000-0006-0000-0400-00009D000000}">
      <text>
        <r>
          <rPr>
            <sz val="11"/>
            <color rgb="FF000000"/>
            <rFont val="Arial"/>
            <family val="2"/>
          </rPr>
          <t>Sze, Christy CW:
Given name</t>
        </r>
      </text>
    </comment>
    <comment ref="WO1" authorId="0" shapeId="0" xr:uid="{00000000-0006-0000-0400-00009E000000}">
      <text>
        <r>
          <rPr>
            <sz val="11"/>
            <color rgb="FF000000"/>
            <rFont val="Arial"/>
            <family val="2"/>
          </rPr>
          <t>Sze, Christy CW:
Chinese name</t>
        </r>
      </text>
    </comment>
    <comment ref="WP1" authorId="0" shapeId="0" xr:uid="{00000000-0006-0000-0400-00009F000000}">
      <text>
        <r>
          <rPr>
            <sz val="11"/>
            <color rgb="FF000000"/>
            <rFont val="Arial"/>
            <family val="2"/>
          </rPr>
          <t>Sze, Christy CW:
Job title of 3rd Beneficial Owner</t>
        </r>
      </text>
    </comment>
    <comment ref="WU1" authorId="0" shapeId="0" xr:uid="{00000000-0006-0000-0400-0000A0000000}">
      <text>
        <r>
          <rPr>
            <sz val="11"/>
            <color rgb="FF000000"/>
            <rFont val="Arial"/>
            <family val="2"/>
          </rPr>
          <t>Sze, Christy CW:
3rd Beneficial Owner's DOB (DD)</t>
        </r>
      </text>
    </comment>
    <comment ref="WZ1" authorId="0" shapeId="0" xr:uid="{00000000-0006-0000-0400-0000A1000000}">
      <text>
        <r>
          <rPr>
            <sz val="11"/>
            <color rgb="FF000000"/>
            <rFont val="Arial"/>
            <family val="2"/>
          </rPr>
          <t>Sze, Christy CW:
Nationality</t>
        </r>
      </text>
    </comment>
    <comment ref="XD1" authorId="0" shapeId="0" xr:uid="{00000000-0006-0000-0400-0000A2000000}">
      <text>
        <r>
          <rPr>
            <sz val="11"/>
            <color rgb="FF000000"/>
            <rFont val="Arial"/>
            <family val="2"/>
          </rPr>
          <t>Sze, Christy CW:
Flat / Room</t>
        </r>
      </text>
    </comment>
    <comment ref="XF1" authorId="0" shapeId="0" xr:uid="{00000000-0006-0000-0400-0000A3000000}">
      <text>
        <r>
          <rPr>
            <sz val="11"/>
            <color rgb="FF000000"/>
            <rFont val="Arial"/>
            <family val="2"/>
          </rPr>
          <t>Sze, Christy CW:
Block / Building</t>
        </r>
      </text>
    </comment>
    <comment ref="XL1" authorId="0" shapeId="0" xr:uid="{00000000-0006-0000-0400-0000A4000000}">
      <text>
        <r>
          <rPr>
            <sz val="11"/>
            <color rgb="FF000000"/>
            <rFont val="Arial"/>
            <family val="2"/>
          </rPr>
          <t>Sze, Christy CW:
4th Beneficial Owner</t>
        </r>
      </text>
    </comment>
    <comment ref="XM1" authorId="0" shapeId="0" xr:uid="{00000000-0006-0000-0400-0000A5000000}">
      <text>
        <r>
          <rPr>
            <sz val="11"/>
            <color rgb="FF000000"/>
            <rFont val="Arial"/>
            <family val="2"/>
          </rPr>
          <t>Sze, Christy CW:
4th Beneficial Owner</t>
        </r>
      </text>
    </comment>
    <comment ref="XQ1" authorId="0" shapeId="0" xr:uid="{00000000-0006-0000-0400-0000A6000000}">
      <text>
        <r>
          <rPr>
            <sz val="11"/>
            <color rgb="FF000000"/>
            <rFont val="Arial"/>
            <family val="2"/>
          </rPr>
          <t>Sze, Christy CW:
Family name</t>
        </r>
      </text>
    </comment>
    <comment ref="XR1" authorId="0" shapeId="0" xr:uid="{00000000-0006-0000-0400-0000A7000000}">
      <text>
        <r>
          <rPr>
            <sz val="11"/>
            <color rgb="FF000000"/>
            <rFont val="Arial"/>
            <family val="2"/>
          </rPr>
          <t>Sze, Christy CW:
Given name</t>
        </r>
      </text>
    </comment>
    <comment ref="XT1" authorId="0" shapeId="0" xr:uid="{00000000-0006-0000-0400-0000A8000000}">
      <text>
        <r>
          <rPr>
            <sz val="11"/>
            <color rgb="FF000000"/>
            <rFont val="Arial"/>
            <family val="2"/>
          </rPr>
          <t>Sze, Christy CW:
Chinese name</t>
        </r>
      </text>
    </comment>
    <comment ref="XU1" authorId="0" shapeId="0" xr:uid="{00000000-0006-0000-0400-0000A9000000}">
      <text>
        <r>
          <rPr>
            <sz val="11"/>
            <color rgb="FF000000"/>
            <rFont val="Arial"/>
            <family val="2"/>
          </rPr>
          <t>Sze, Christy CW:
Job title of 4th Beneficial Owner</t>
        </r>
      </text>
    </comment>
    <comment ref="YE1" authorId="0" shapeId="0" xr:uid="{00000000-0006-0000-0400-0000AA000000}">
      <text>
        <r>
          <rPr>
            <sz val="11"/>
            <color rgb="FF000000"/>
            <rFont val="Arial"/>
            <family val="2"/>
          </rPr>
          <t>Sze, Christy CW:
Nationality</t>
        </r>
      </text>
    </comment>
    <comment ref="YI1" authorId="0" shapeId="0" xr:uid="{00000000-0006-0000-0400-0000AB000000}">
      <text>
        <r>
          <rPr>
            <sz val="11"/>
            <color rgb="FF000000"/>
            <rFont val="Arial"/>
            <family val="2"/>
          </rPr>
          <t>Sze, Christy CW:
Flat / Room</t>
        </r>
      </text>
    </comment>
    <comment ref="YK1" authorId="0" shapeId="0" xr:uid="{00000000-0006-0000-0400-0000AC000000}">
      <text>
        <r>
          <rPr>
            <sz val="11"/>
            <color rgb="FF000000"/>
            <rFont val="Arial"/>
            <family val="2"/>
          </rPr>
          <t>Sze, Christy CW:
Block / Building</t>
        </r>
      </text>
    </comment>
    <comment ref="YQ1" authorId="0" shapeId="0" xr:uid="{00000000-0006-0000-0400-0000AD000000}">
      <text>
        <r>
          <rPr>
            <sz val="11"/>
            <color rgb="FF000000"/>
            <rFont val="Arial"/>
            <family val="2"/>
          </rPr>
          <t>Sze, Christy CW:
1st Signatory</t>
        </r>
      </text>
    </comment>
    <comment ref="YR1" authorId="0" shapeId="0" xr:uid="{00000000-0006-0000-0400-0000AE000000}">
      <text>
        <r>
          <rPr>
            <sz val="11"/>
            <color rgb="FF000000"/>
            <rFont val="Arial"/>
            <family val="2"/>
          </rPr>
          <t>Sze, Christy CW:
1st Signatory</t>
        </r>
      </text>
    </comment>
    <comment ref="YV1" authorId="0" shapeId="0" xr:uid="{00000000-0006-0000-0400-0000AF000000}">
      <text>
        <r>
          <rPr>
            <sz val="11"/>
            <color rgb="FF000000"/>
            <rFont val="Arial"/>
            <family val="2"/>
          </rPr>
          <t>Sze, Christy CW:
Family name</t>
        </r>
      </text>
    </comment>
    <comment ref="YW1" authorId="0" shapeId="0" xr:uid="{00000000-0006-0000-0400-0000B0000000}">
      <text>
        <r>
          <rPr>
            <sz val="11"/>
            <color rgb="FF000000"/>
            <rFont val="Arial"/>
            <family val="2"/>
          </rPr>
          <t>Sze, Christy CW:
Given name</t>
        </r>
      </text>
    </comment>
    <comment ref="YY1" authorId="0" shapeId="0" xr:uid="{00000000-0006-0000-0400-0000B1000000}">
      <text>
        <r>
          <rPr>
            <sz val="11"/>
            <color rgb="FF000000"/>
            <rFont val="Arial"/>
            <family val="2"/>
          </rPr>
          <t>Sze, Christy CW:
Chinese name of Signatory</t>
        </r>
      </text>
    </comment>
    <comment ref="YZ1" authorId="0" shapeId="0" xr:uid="{00000000-0006-0000-0400-0000B2000000}">
      <text>
        <r>
          <rPr>
            <sz val="11"/>
            <color rgb="FF000000"/>
            <rFont val="Arial"/>
            <family val="2"/>
          </rPr>
          <t>Sze, Christy CW:
Job title of 1st Signatory</t>
        </r>
      </text>
    </comment>
    <comment ref="ZE1" authorId="0" shapeId="0" xr:uid="{00000000-0006-0000-0400-0000B3000000}">
      <text>
        <r>
          <rPr>
            <sz val="11"/>
            <color rgb="FF000000"/>
            <rFont val="Arial"/>
            <family val="2"/>
          </rPr>
          <t>Sze, Christy CW:
1st Signatory's DOB (DD)</t>
        </r>
      </text>
    </comment>
    <comment ref="ZK1" authorId="0" shapeId="0" xr:uid="{00000000-0006-0000-0400-0000B4000000}">
      <text>
        <r>
          <rPr>
            <sz val="11"/>
            <color rgb="FF000000"/>
            <rFont val="Arial"/>
            <family val="2"/>
          </rPr>
          <t>Sze, Christy CW:
Nationality</t>
        </r>
      </text>
    </comment>
    <comment ref="ZO1" authorId="0" shapeId="0" xr:uid="{00000000-0006-0000-0400-0000B5000000}">
      <text>
        <r>
          <rPr>
            <sz val="11"/>
            <color rgb="FF000000"/>
            <rFont val="Arial"/>
            <family val="2"/>
          </rPr>
          <t>Sze, Christy CW:
Flat / Room</t>
        </r>
      </text>
    </comment>
    <comment ref="ZQ1" authorId="0" shapeId="0" xr:uid="{00000000-0006-0000-0400-0000B6000000}">
      <text>
        <r>
          <rPr>
            <sz val="11"/>
            <color rgb="FF000000"/>
            <rFont val="Arial"/>
            <family val="2"/>
          </rPr>
          <t>Sze, Christy CW:
Block / Building</t>
        </r>
      </text>
    </comment>
  </commentList>
</comments>
</file>

<file path=xl/sharedStrings.xml><?xml version="1.0" encoding="utf-8"?>
<sst xmlns="http://schemas.openxmlformats.org/spreadsheetml/2006/main" count="7351" uniqueCount="4586">
  <si>
    <t>Input</t>
  </si>
  <si>
    <t>DD</t>
  </si>
  <si>
    <t>MM</t>
  </si>
  <si>
    <t>YYYY</t>
  </si>
  <si>
    <t>YY</t>
  </si>
  <si>
    <t>Date</t>
  </si>
  <si>
    <t>T&amp;G_remark</t>
  </si>
  <si>
    <t>PromoCode</t>
  </si>
  <si>
    <t>SmartPOS</t>
  </si>
  <si>
    <t>HKTPOS</t>
  </si>
  <si>
    <t>Both</t>
  </si>
  <si>
    <t>SmartPOSEffective Date</t>
  </si>
  <si>
    <t>HKTPOSEffective Date</t>
  </si>
  <si>
    <t>SmartPOSPlan</t>
  </si>
  <si>
    <t>NoPOS</t>
  </si>
  <si>
    <t>NoMID</t>
  </si>
  <si>
    <t>No of Oultet</t>
  </si>
  <si>
    <t>NoLocation</t>
  </si>
  <si>
    <t>SmartPOS_CN</t>
  </si>
  <si>
    <t>SmartPOS_EN</t>
  </si>
  <si>
    <t>SmartPOS24</t>
  </si>
  <si>
    <t>SmartPOS12</t>
  </si>
  <si>
    <t>SmartPOS_SO</t>
  </si>
  <si>
    <t>X</t>
  </si>
  <si>
    <t>PICS_optout</t>
  </si>
  <si>
    <t>HKTPOSApp</t>
  </si>
  <si>
    <t>NoLicense</t>
  </si>
  <si>
    <t>POS24</t>
  </si>
  <si>
    <t>OPG</t>
  </si>
  <si>
    <t>O2OF&amp;B</t>
  </si>
  <si>
    <t>O2OPM</t>
  </si>
  <si>
    <t>O2OSB</t>
  </si>
  <si>
    <t>O2OCater</t>
  </si>
  <si>
    <t>O2OSmartSch</t>
  </si>
  <si>
    <t>Sales Reference Code</t>
  </si>
  <si>
    <t>MerchantNameEN</t>
  </si>
  <si>
    <t>MerchantNameEN2</t>
  </si>
  <si>
    <t>MerchantNameTC</t>
  </si>
  <si>
    <t>MerchantNameSC</t>
  </si>
  <si>
    <t>NoShop</t>
  </si>
  <si>
    <t>ShopName1</t>
  </si>
  <si>
    <t>ShopName1*</t>
  </si>
  <si>
    <t>Shop1FltRm</t>
  </si>
  <si>
    <t>Shop1Floor</t>
  </si>
  <si>
    <t>Shop1BlkBldg</t>
  </si>
  <si>
    <t>Shop1Street</t>
  </si>
  <si>
    <t>Shop1District</t>
  </si>
  <si>
    <t>Wu Kai Sha</t>
  </si>
  <si>
    <t>Shop1Region</t>
  </si>
  <si>
    <t>New Territories</t>
  </si>
  <si>
    <t>ShopAddr1</t>
  </si>
  <si>
    <t>DisplayAddress</t>
  </si>
  <si>
    <t>SmartPOSDeliveryAddress1</t>
  </si>
  <si>
    <t>ShopTel1</t>
  </si>
  <si>
    <t>ShopBR1</t>
  </si>
  <si>
    <t>ShopBRNameEN1</t>
  </si>
  <si>
    <t>ShopBRNameTC1</t>
  </si>
  <si>
    <t>中文</t>
  </si>
  <si>
    <t>ShopPOSQT1</t>
  </si>
  <si>
    <t>SmartposInstallationCont1</t>
  </si>
  <si>
    <t>SmartposInstallationCont1job</t>
  </si>
  <si>
    <t>SmartposInstallationCont1tel</t>
  </si>
  <si>
    <t>SmartposInstallationCont1email</t>
  </si>
  <si>
    <t>SmartposInstallationCont2</t>
  </si>
  <si>
    <t>SmartposInstallationCont2job</t>
  </si>
  <si>
    <t>SmartposInstallationCont2tel</t>
  </si>
  <si>
    <t>SmartposInstallationCont2email</t>
  </si>
  <si>
    <t>ShopName2</t>
  </si>
  <si>
    <t>ShopName2*</t>
  </si>
  <si>
    <t>Shop2FltRm</t>
  </si>
  <si>
    <t>Shop2Floor</t>
  </si>
  <si>
    <t>Shop2BlkBldg</t>
  </si>
  <si>
    <t>Shop2Street</t>
  </si>
  <si>
    <t>Shop2District</t>
  </si>
  <si>
    <t>Shop2Region</t>
  </si>
  <si>
    <t>ShopAddr2</t>
  </si>
  <si>
    <t>ShopTel2</t>
  </si>
  <si>
    <t>ShopBR2</t>
  </si>
  <si>
    <t>ShopBRNameEN2</t>
  </si>
  <si>
    <t>ShopBRNameTC2</t>
  </si>
  <si>
    <t>ShopPOSQT2</t>
  </si>
  <si>
    <t>RetailShopBRNameEN1</t>
  </si>
  <si>
    <t>RetailShopAddr1</t>
  </si>
  <si>
    <t>RetailShopTel1</t>
  </si>
  <si>
    <t>RetailNoShop</t>
  </si>
  <si>
    <t>OnShopBRNameEN1</t>
  </si>
  <si>
    <t>OnShopAddr1</t>
  </si>
  <si>
    <t>OnShopTel1</t>
  </si>
  <si>
    <t>OnNoShop</t>
  </si>
  <si>
    <t>ComTel</t>
  </si>
  <si>
    <t>ComEmail</t>
  </si>
  <si>
    <t>ShopLink</t>
  </si>
  <si>
    <t>Con1Courtesy</t>
  </si>
  <si>
    <t>Con1MrX</t>
  </si>
  <si>
    <t>Con1MrsX</t>
  </si>
  <si>
    <t>Con1MissX</t>
  </si>
  <si>
    <t>Con1MsX</t>
  </si>
  <si>
    <t>ContFam1</t>
  </si>
  <si>
    <t>ContGiven1</t>
  </si>
  <si>
    <t>ContEN1</t>
  </si>
  <si>
    <t>ContCN</t>
  </si>
  <si>
    <t>ContTitle1</t>
  </si>
  <si>
    <t>ContTel1</t>
  </si>
  <si>
    <t>ContEmail1</t>
  </si>
  <si>
    <t>Con2Courtesy</t>
  </si>
  <si>
    <t>Con2MrX</t>
  </si>
  <si>
    <t>Con2MrsX</t>
  </si>
  <si>
    <t>Con2MissX</t>
  </si>
  <si>
    <t>Con2MsX</t>
  </si>
  <si>
    <t>ContFam2</t>
  </si>
  <si>
    <t>ContGiven2</t>
  </si>
  <si>
    <t>ContEN2</t>
  </si>
  <si>
    <t>ContTitle2</t>
  </si>
  <si>
    <t>ContTel2</t>
  </si>
  <si>
    <t>ContEmail2</t>
  </si>
  <si>
    <t>Con3Courtesy</t>
  </si>
  <si>
    <t>Con3MrX</t>
  </si>
  <si>
    <t>Con3MrsX</t>
  </si>
  <si>
    <t>Con3MissX</t>
  </si>
  <si>
    <t>Con3MsX</t>
  </si>
  <si>
    <t>ContFam3</t>
  </si>
  <si>
    <t>ContGiven3</t>
  </si>
  <si>
    <t>ContEN3</t>
  </si>
  <si>
    <t>ContTitle3</t>
  </si>
  <si>
    <t>ContTel3</t>
  </si>
  <si>
    <t>ContEmail3</t>
  </si>
  <si>
    <t>Con4Courtesy</t>
  </si>
  <si>
    <t>Con4MrX</t>
  </si>
  <si>
    <t>Con4MrsX</t>
  </si>
  <si>
    <t>Con4MissX</t>
  </si>
  <si>
    <t>Con4MsX</t>
  </si>
  <si>
    <t>ContFam4</t>
  </si>
  <si>
    <t>ContGiven4</t>
  </si>
  <si>
    <t>ContEN4</t>
  </si>
  <si>
    <t>ContTitle4</t>
  </si>
  <si>
    <t>ContTel4</t>
  </si>
  <si>
    <t>ContEmail4</t>
  </si>
  <si>
    <t>BModel</t>
  </si>
  <si>
    <t>Hair Salons</t>
  </si>
  <si>
    <t>SMBMerchant_FD</t>
  </si>
  <si>
    <t>Y</t>
  </si>
  <si>
    <t>ICLMCC</t>
  </si>
  <si>
    <t>FDMCC</t>
  </si>
  <si>
    <t>EasylinkMCC</t>
  </si>
  <si>
    <t>TicketSize</t>
  </si>
  <si>
    <t>FPS Cap</t>
  </si>
  <si>
    <t>AturnoverOff</t>
  </si>
  <si>
    <t>FPS&lt;8KX</t>
  </si>
  <si>
    <t>FPS&gt;8KX</t>
  </si>
  <si>
    <t>AturnoverAW</t>
  </si>
  <si>
    <t>MturnoverAW1</t>
  </si>
  <si>
    <t>AturnoverVM</t>
  </si>
  <si>
    <t>AturnoverOn</t>
  </si>
  <si>
    <t>AturnoverO2O</t>
  </si>
  <si>
    <t>TotalAturnoverOn</t>
  </si>
  <si>
    <t>Aturnover</t>
  </si>
  <si>
    <t>%AturnoverOff</t>
  </si>
  <si>
    <t>%AturnoverOn</t>
  </si>
  <si>
    <t>%AturnoverO2O</t>
  </si>
  <si>
    <t>Aturnover_FPST&amp;G</t>
  </si>
  <si>
    <t>Aturnover_VM</t>
  </si>
  <si>
    <t>Aturnover_OCL</t>
  </si>
  <si>
    <t>%FPS</t>
  </si>
  <si>
    <t>%TNG</t>
  </si>
  <si>
    <t>%VM</t>
  </si>
  <si>
    <t>%AE</t>
  </si>
  <si>
    <t>%CUP</t>
  </si>
  <si>
    <t>%OCL</t>
  </si>
  <si>
    <t>%AW</t>
  </si>
  <si>
    <t>OfflineFPSX</t>
  </si>
  <si>
    <t>OfflineMDR_FPS</t>
  </si>
  <si>
    <t>OfflineT&amp;GX</t>
  </si>
  <si>
    <t>OfflineMDR_T&amp;G</t>
  </si>
  <si>
    <t>OnlineFPSX</t>
  </si>
  <si>
    <t>OnlineMDR_FPS</t>
  </si>
  <si>
    <t>OnlineT&amp;GX</t>
  </si>
  <si>
    <t>OnlineMDR_T&amp;G</t>
  </si>
  <si>
    <t>POS_FPS</t>
  </si>
  <si>
    <t>POSMDR_FPS</t>
  </si>
  <si>
    <t>POS_T&amp;G</t>
  </si>
  <si>
    <t>POSMDR_T&amp;G</t>
  </si>
  <si>
    <t>POS_VM</t>
  </si>
  <si>
    <t>POSMDR_VM</t>
  </si>
  <si>
    <t>POSMDR_VMFC</t>
  </si>
  <si>
    <t>POS_CUP</t>
  </si>
  <si>
    <t>POS_CUPQR</t>
  </si>
  <si>
    <t>POSMDR_CUP</t>
  </si>
  <si>
    <t>POSMDR_CUPCN</t>
  </si>
  <si>
    <t>POS_CLUB</t>
  </si>
  <si>
    <t>POSMDR_CLUB</t>
  </si>
  <si>
    <t>POSMDR_CLUBFEE</t>
  </si>
  <si>
    <t>POS_OCL</t>
  </si>
  <si>
    <t>POSMDR_OCL</t>
  </si>
  <si>
    <t>POS_Alipay</t>
  </si>
  <si>
    <t>POSMDR_Alipay</t>
  </si>
  <si>
    <t>POS_Wechat</t>
  </si>
  <si>
    <t>POSMDR_Wechat</t>
  </si>
  <si>
    <t>HKTPOS_FPS</t>
  </si>
  <si>
    <t>HKTPOSMDR_FPS</t>
  </si>
  <si>
    <t>HKTPOS_T&amp;G</t>
  </si>
  <si>
    <t>HKTPOSMDR_T&amp;G</t>
  </si>
  <si>
    <t>HKTPOS_VM</t>
  </si>
  <si>
    <t>HKTPOSMDR_VM</t>
  </si>
  <si>
    <t>HKTPOSMDR_VMFC</t>
  </si>
  <si>
    <t>FPSSuite</t>
  </si>
  <si>
    <t>FPSSuiteMDR</t>
  </si>
  <si>
    <t>FPSSuite_QR</t>
  </si>
  <si>
    <t>FPSSuiteMDR_FPSQR</t>
  </si>
  <si>
    <t>FPSSuite_POSApp</t>
  </si>
  <si>
    <t>FPSSuiteMDR_FPSPOSAPP</t>
  </si>
  <si>
    <t>FPSSuite_billing</t>
  </si>
  <si>
    <t>FPSSuiteMDR_FPSBILL</t>
  </si>
  <si>
    <t>BillT&amp;GX</t>
  </si>
  <si>
    <t>T&amp;GMDR_BILL</t>
  </si>
  <si>
    <t>OPGMDR_FPS</t>
  </si>
  <si>
    <t>OPGMDR_T&amp;G</t>
  </si>
  <si>
    <t>OPGMDR_VM</t>
  </si>
  <si>
    <t>OPGMDR_VMFC</t>
  </si>
  <si>
    <t>OPGMDR_Alipay</t>
  </si>
  <si>
    <t>OPGMDR_Wechat</t>
  </si>
  <si>
    <t>OPGMDR_CUP</t>
  </si>
  <si>
    <t>OPGMDR_CUPCN</t>
  </si>
  <si>
    <t>O2ODIYMDR_T&amp;G</t>
  </si>
  <si>
    <t>O2ODIYMDR_VM</t>
  </si>
  <si>
    <t>O2ODIYMDR_AMEX</t>
  </si>
  <si>
    <t>O2ODIYMDR_Alipay</t>
  </si>
  <si>
    <t>O2ODIYMDR_Wechat</t>
  </si>
  <si>
    <t>O2OMDR_VM</t>
  </si>
  <si>
    <t>O2OPMMDR_FPS</t>
  </si>
  <si>
    <t>O2OPMMDR_T&amp;G</t>
  </si>
  <si>
    <t>O2OPMMDR_VM</t>
  </si>
  <si>
    <t>O2OF&amp;BMDR_T&amp;G</t>
  </si>
  <si>
    <t>O2OF&amp;BMDR_VM</t>
  </si>
  <si>
    <t>O2OSBMDR_T&amp;G</t>
  </si>
  <si>
    <t>O2OSBMDR_VM</t>
  </si>
  <si>
    <t>O2OCaterMDR_T&amp;G</t>
  </si>
  <si>
    <t>O2OCaterMDR_VM</t>
  </si>
  <si>
    <t>O2OSmartSchMDR_T&amp;G</t>
  </si>
  <si>
    <t>VM Approval</t>
  </si>
  <si>
    <t>AMEX Approval</t>
  </si>
  <si>
    <t>CUP Approval</t>
  </si>
  <si>
    <t>BRNameEN</t>
  </si>
  <si>
    <t>BRNameTC</t>
  </si>
  <si>
    <t>BRFltRm</t>
  </si>
  <si>
    <t>BRFloor</t>
  </si>
  <si>
    <t>BRBlkBldg</t>
  </si>
  <si>
    <t>BRStreet</t>
  </si>
  <si>
    <t>BRDistrict</t>
  </si>
  <si>
    <t>BRRegion</t>
  </si>
  <si>
    <t>BRAddr</t>
  </si>
  <si>
    <t>BillFltRm</t>
  </si>
  <si>
    <t>BillFloor</t>
  </si>
  <si>
    <t>BillBlkBldg</t>
  </si>
  <si>
    <t>BillStreet</t>
  </si>
  <si>
    <t>BillDistrict</t>
  </si>
  <si>
    <t>BillRegion</t>
  </si>
  <si>
    <t>BillAddr</t>
  </si>
  <si>
    <t>BRNature</t>
  </si>
  <si>
    <t>SoleproX</t>
  </si>
  <si>
    <t>PartnerX</t>
  </si>
  <si>
    <t>LimitedX</t>
  </si>
  <si>
    <t>PLimitedX</t>
  </si>
  <si>
    <t>GOVX</t>
  </si>
  <si>
    <t>NGOX</t>
  </si>
  <si>
    <t>BREntityOtherX</t>
  </si>
  <si>
    <t>BREntity</t>
  </si>
  <si>
    <t>Limited</t>
  </si>
  <si>
    <t>BREntityOther</t>
  </si>
  <si>
    <t>BRDD</t>
  </si>
  <si>
    <t>BRMM</t>
  </si>
  <si>
    <t>BRYYYY</t>
  </si>
  <si>
    <t>BRYY</t>
  </si>
  <si>
    <t>BRDate</t>
  </si>
  <si>
    <t>BRDateEnd</t>
  </si>
  <si>
    <t>BR</t>
  </si>
  <si>
    <t>BR Number</t>
  </si>
  <si>
    <t>BR Issue Date</t>
  </si>
  <si>
    <t>Full BR Number(w/oDATE)</t>
  </si>
  <si>
    <t>Full BR Number2</t>
  </si>
  <si>
    <t>CICountry</t>
  </si>
  <si>
    <t>China</t>
  </si>
  <si>
    <t>CICountryHKX</t>
  </si>
  <si>
    <t>CICountryOtherX</t>
  </si>
  <si>
    <t>CICountryOther</t>
  </si>
  <si>
    <t>CIDD</t>
  </si>
  <si>
    <t>CIMM</t>
  </si>
  <si>
    <t>CIYYYY</t>
  </si>
  <si>
    <t>CIYY</t>
  </si>
  <si>
    <t>CIDate</t>
  </si>
  <si>
    <t>CI</t>
  </si>
  <si>
    <t>BankAddr</t>
  </si>
  <si>
    <t>BankCode</t>
  </si>
  <si>
    <t>016</t>
  </si>
  <si>
    <t>BankCodeVM</t>
  </si>
  <si>
    <t>BankName</t>
  </si>
  <si>
    <t>DBS BANK (HONG KONG) LIMITED</t>
  </si>
  <si>
    <t>Bank</t>
  </si>
  <si>
    <t>BankOtherX</t>
  </si>
  <si>
    <t>BankOther</t>
  </si>
  <si>
    <t>004X</t>
  </si>
  <si>
    <t>003X</t>
  </si>
  <si>
    <t>012X</t>
  </si>
  <si>
    <t>024X</t>
  </si>
  <si>
    <t>382X</t>
  </si>
  <si>
    <t>035X</t>
  </si>
  <si>
    <t>018X</t>
  </si>
  <si>
    <t>025X</t>
  </si>
  <si>
    <t>009X</t>
  </si>
  <si>
    <t>041X</t>
  </si>
  <si>
    <t>015X</t>
  </si>
  <si>
    <t>250X</t>
  </si>
  <si>
    <t>020X</t>
  </si>
  <si>
    <t>040X</t>
  </si>
  <si>
    <t>043X</t>
  </si>
  <si>
    <t>016X</t>
  </si>
  <si>
    <t>072X</t>
  </si>
  <si>
    <t>128X</t>
  </si>
  <si>
    <t>BankCode2</t>
  </si>
  <si>
    <t>BankSwift</t>
  </si>
  <si>
    <t>DHBKHKHHXXX</t>
  </si>
  <si>
    <t>BranchCode</t>
  </si>
  <si>
    <t>202</t>
  </si>
  <si>
    <t>AcctNo</t>
  </si>
  <si>
    <t>BankAcct</t>
  </si>
  <si>
    <t>FullBankAcctNo</t>
  </si>
  <si>
    <t>BankAcctName</t>
  </si>
  <si>
    <t>AR1Courtesy</t>
  </si>
  <si>
    <t>AR1MrX</t>
  </si>
  <si>
    <t>AR1MrsX</t>
  </si>
  <si>
    <t>AR1MissX</t>
  </si>
  <si>
    <t>AR1MsX</t>
  </si>
  <si>
    <t>ARFam1</t>
  </si>
  <si>
    <t>ARGiven1</t>
  </si>
  <si>
    <t>AREN1</t>
  </si>
  <si>
    <t>ARTC1</t>
  </si>
  <si>
    <t>ARTitle1</t>
  </si>
  <si>
    <t>ARIDType1</t>
  </si>
  <si>
    <t>AR1HKIDX</t>
  </si>
  <si>
    <t>AR1PassportX</t>
  </si>
  <si>
    <t>ARID1</t>
  </si>
  <si>
    <t>ARDD1</t>
  </si>
  <si>
    <t>ARMM1</t>
  </si>
  <si>
    <t>ARYYYY1</t>
  </si>
  <si>
    <t>ARYY1</t>
  </si>
  <si>
    <t>ARDOB1</t>
  </si>
  <si>
    <t>ARCountry1</t>
  </si>
  <si>
    <t>ARCountryCN1X</t>
  </si>
  <si>
    <t>ARCountryOther1X</t>
  </si>
  <si>
    <t>ARCountryOther1</t>
  </si>
  <si>
    <t>Director1Capacity</t>
  </si>
  <si>
    <t>Director1SPX</t>
  </si>
  <si>
    <t>Director1PX</t>
  </si>
  <si>
    <t>Director1DX</t>
  </si>
  <si>
    <t>Director1SX</t>
  </si>
  <si>
    <t>Director1BOX</t>
  </si>
  <si>
    <t>Director1ARX</t>
  </si>
  <si>
    <t>Director1OtherX</t>
  </si>
  <si>
    <t>Director1Other</t>
  </si>
  <si>
    <t>SeniorManaging1X</t>
  </si>
  <si>
    <t>SeniorManaging1_Position</t>
  </si>
  <si>
    <t>Director1Courtesy</t>
  </si>
  <si>
    <t>Director1MrX</t>
  </si>
  <si>
    <t>Director1MrsX</t>
  </si>
  <si>
    <t>Director1MissX</t>
  </si>
  <si>
    <t>Director1MsX</t>
  </si>
  <si>
    <t>Director1Gender_M</t>
  </si>
  <si>
    <t>Director1Gender_F</t>
  </si>
  <si>
    <t>DirectorFam1EN</t>
  </si>
  <si>
    <t>DirectorGiven1EN</t>
  </si>
  <si>
    <t>DirectorEN1</t>
  </si>
  <si>
    <t>DirectorFam1TC</t>
  </si>
  <si>
    <t>DirectorGiven1TC</t>
  </si>
  <si>
    <t>DirectorTC1</t>
  </si>
  <si>
    <t>DirectorTitle1</t>
  </si>
  <si>
    <t>DirectorIDType1</t>
  </si>
  <si>
    <t>Director1HKIDX</t>
  </si>
  <si>
    <t>Director1PassportX</t>
  </si>
  <si>
    <t>DirectorID1</t>
  </si>
  <si>
    <t>DirectorID1*</t>
  </si>
  <si>
    <t>DirectorDD1</t>
  </si>
  <si>
    <t>DirectorMM1</t>
  </si>
  <si>
    <t>DirectorYYYY1</t>
  </si>
  <si>
    <t>DirectorYY1</t>
  </si>
  <si>
    <t>DirectorDOB1</t>
  </si>
  <si>
    <t>DirectorPhone1</t>
  </si>
  <si>
    <t>DirectorCountry1</t>
  </si>
  <si>
    <t>DirectorCountryCN1X</t>
  </si>
  <si>
    <t>DirectorCountryCHK1X</t>
  </si>
  <si>
    <t>DirectorCountryCMO1X</t>
  </si>
  <si>
    <t>DirectorCountryOther1X</t>
  </si>
  <si>
    <t>DirectorCountryOther1</t>
  </si>
  <si>
    <t>DirectorFltRm1</t>
  </si>
  <si>
    <t>DirectorFloor1</t>
  </si>
  <si>
    <t>DirectorBlkBldg1</t>
  </si>
  <si>
    <t>DirectorEstate1</t>
  </si>
  <si>
    <t>DirectorStreet1</t>
  </si>
  <si>
    <t>DirectorDistrict1</t>
  </si>
  <si>
    <t>DirectorRegion1</t>
  </si>
  <si>
    <t>DirectorAddr1</t>
  </si>
  <si>
    <t>Director1Ownership</t>
  </si>
  <si>
    <t>Director1OwnerYesX</t>
  </si>
  <si>
    <t>Director1OwnerNoX</t>
  </si>
  <si>
    <t>DirectorYear1</t>
  </si>
  <si>
    <t>DirectorMonth1</t>
  </si>
  <si>
    <t>Director%1</t>
  </si>
  <si>
    <t>Director2Capacity</t>
  </si>
  <si>
    <t>Director2SPX</t>
  </si>
  <si>
    <t>Director2PX</t>
  </si>
  <si>
    <t>Director2DX</t>
  </si>
  <si>
    <t>Director2SX</t>
  </si>
  <si>
    <t>Director2BOX</t>
  </si>
  <si>
    <t>Director2ARX</t>
  </si>
  <si>
    <t>Director2OtherX</t>
  </si>
  <si>
    <t>Director2Other</t>
  </si>
  <si>
    <t>SeniorManaging2X</t>
  </si>
  <si>
    <t>SeniorManaging2_Position</t>
  </si>
  <si>
    <t>Director2Courtesy</t>
  </si>
  <si>
    <t>Director2MrX</t>
  </si>
  <si>
    <t>Director2MrsX</t>
  </si>
  <si>
    <t>Director2MissX</t>
  </si>
  <si>
    <t>Director2MsX</t>
  </si>
  <si>
    <t>Director2Gender_M</t>
  </si>
  <si>
    <t>Director2Gender_F</t>
  </si>
  <si>
    <t>DirectorFam2EN</t>
  </si>
  <si>
    <t>DirectorGiven2EN</t>
  </si>
  <si>
    <t>DirectorEN2</t>
  </si>
  <si>
    <t xml:space="preserve">DirectorFam2TC	</t>
  </si>
  <si>
    <t>DirectorGiven2TC</t>
  </si>
  <si>
    <t>DirectorTC2</t>
  </si>
  <si>
    <t>DirectorTitle2</t>
  </si>
  <si>
    <t>DirectorIDType2</t>
  </si>
  <si>
    <t>Director2HKIDX</t>
  </si>
  <si>
    <t>Director2PassportX</t>
  </si>
  <si>
    <t>DirectorID2</t>
  </si>
  <si>
    <t>DirectorID2*</t>
  </si>
  <si>
    <t>DirectorDD2</t>
  </si>
  <si>
    <t>DirectorMM2</t>
  </si>
  <si>
    <t>DirectorYYYY2</t>
  </si>
  <si>
    <t>DirectorYY2</t>
  </si>
  <si>
    <t>DirectorDOB2</t>
  </si>
  <si>
    <t>DirectorPhone2</t>
  </si>
  <si>
    <t>DirectorCountry2</t>
  </si>
  <si>
    <t>DirectorCountryCN2X</t>
  </si>
  <si>
    <t>DirectorCountryCHK2X</t>
  </si>
  <si>
    <t>DirectorCountryCMO2X</t>
  </si>
  <si>
    <t>DirectorCountryOther2X</t>
  </si>
  <si>
    <t>DirectorCountryOther2</t>
  </si>
  <si>
    <t>DirectorFltRm2</t>
  </si>
  <si>
    <t>DirectorFloor2</t>
  </si>
  <si>
    <t>DirectorBlkBldg2</t>
  </si>
  <si>
    <t>DirectorEstate2</t>
  </si>
  <si>
    <t>DirectorStreet2</t>
  </si>
  <si>
    <t>DirectorDistrict2</t>
  </si>
  <si>
    <t>DirectorRegion2</t>
  </si>
  <si>
    <t>DirectorAddr2</t>
  </si>
  <si>
    <t>Director2Ownership</t>
  </si>
  <si>
    <t>Director2OwnerYesX</t>
  </si>
  <si>
    <t>Director2OwnerNoX</t>
  </si>
  <si>
    <t>DirectorYear2</t>
  </si>
  <si>
    <t>DirectorMonth2</t>
  </si>
  <si>
    <t>Director%2</t>
  </si>
  <si>
    <t>Director3Capacity</t>
  </si>
  <si>
    <t>Director3SPX</t>
  </si>
  <si>
    <t>Director3PX</t>
  </si>
  <si>
    <t>Director3DX</t>
  </si>
  <si>
    <t>Director3SX</t>
  </si>
  <si>
    <t>Director3BOX</t>
  </si>
  <si>
    <t>Director3ARX</t>
  </si>
  <si>
    <t>Director3Courtesy</t>
  </si>
  <si>
    <t>Director3MrX</t>
  </si>
  <si>
    <t>Director3MrsX</t>
  </si>
  <si>
    <t>Director3MissX</t>
  </si>
  <si>
    <t>Director3MsX</t>
  </si>
  <si>
    <t>DirectorFam3</t>
  </si>
  <si>
    <t>DirectorGiven3</t>
  </si>
  <si>
    <t>DirectorEN3</t>
  </si>
  <si>
    <t>DirectorTC3</t>
  </si>
  <si>
    <t>DirectorTitle3</t>
  </si>
  <si>
    <t>DirectorIDType3</t>
  </si>
  <si>
    <t>Director3HKIDX</t>
  </si>
  <si>
    <t>Director3PassportX</t>
  </si>
  <si>
    <t>DirectorID3</t>
  </si>
  <si>
    <t>DirectorID3*</t>
  </si>
  <si>
    <t>DirectorDD3</t>
  </si>
  <si>
    <t>DirectorMM3</t>
  </si>
  <si>
    <t>DirectorYYYY3</t>
  </si>
  <si>
    <t>DirectorYY3</t>
  </si>
  <si>
    <t>DirectorDOB3</t>
  </si>
  <si>
    <t>DirectorCountry3</t>
  </si>
  <si>
    <t>DirectorCountryCN3X</t>
  </si>
  <si>
    <t>DirectorCountryCHK3X</t>
  </si>
  <si>
    <t>DirectorCountryCMO3X</t>
  </si>
  <si>
    <t>DirectorCountryOther3X</t>
  </si>
  <si>
    <t>DirectorCountryOther3</t>
  </si>
  <si>
    <t>DirectorFltRm3</t>
  </si>
  <si>
    <t>DirectorFloor3</t>
  </si>
  <si>
    <t>DirectorBlkBldg3</t>
  </si>
  <si>
    <t>DirectorEstate3</t>
  </si>
  <si>
    <t>DirectorStreet3</t>
  </si>
  <si>
    <t>DirectorDistrict3</t>
  </si>
  <si>
    <t>DirectorRegion3</t>
  </si>
  <si>
    <t>DirectorAddr3</t>
  </si>
  <si>
    <t>Director3Ownership</t>
  </si>
  <si>
    <t>Director3OwnerYesX</t>
  </si>
  <si>
    <t>Director3OwnerNoX</t>
  </si>
  <si>
    <t>DirectorYear3</t>
  </si>
  <si>
    <t>DirectorMonth3</t>
  </si>
  <si>
    <t>Director%3</t>
  </si>
  <si>
    <t>Director4Capacity</t>
  </si>
  <si>
    <t>Director4SPX</t>
  </si>
  <si>
    <t>Director4PX</t>
  </si>
  <si>
    <t>Director4DX</t>
  </si>
  <si>
    <t>Director4SX</t>
  </si>
  <si>
    <t>Director4BOX</t>
  </si>
  <si>
    <t>Director4ARX</t>
  </si>
  <si>
    <t>Director4Courtesy</t>
  </si>
  <si>
    <t>Director4MrX</t>
  </si>
  <si>
    <t>Director4MrsX</t>
  </si>
  <si>
    <t>Director4MissX</t>
  </si>
  <si>
    <t>Director4MsX</t>
  </si>
  <si>
    <t>DirectorFam4</t>
  </si>
  <si>
    <t>DirectorGiven4</t>
  </si>
  <si>
    <t>DirectorEN4</t>
  </si>
  <si>
    <t>DirectorTC4</t>
  </si>
  <si>
    <t>DirectorTitle4</t>
  </si>
  <si>
    <t>DirectorIDType4</t>
  </si>
  <si>
    <t>Director4HKIDX</t>
  </si>
  <si>
    <t>Director4PassportX</t>
  </si>
  <si>
    <t>DirectorID4</t>
  </si>
  <si>
    <t>DirectorID4*</t>
  </si>
  <si>
    <t>DirectorDD4</t>
  </si>
  <si>
    <t>DirectorMM4</t>
  </si>
  <si>
    <t>DirectorYYYY4</t>
  </si>
  <si>
    <t>DirectorYY4</t>
  </si>
  <si>
    <t>DirectorDOB4</t>
  </si>
  <si>
    <t>DirectorCountry4</t>
  </si>
  <si>
    <t>DirectorCountryCN4X</t>
  </si>
  <si>
    <t>DirectorCountryCHK4X</t>
  </si>
  <si>
    <t>DirectorCountryCMO4X</t>
  </si>
  <si>
    <t>DirectorCountryOther4X</t>
  </si>
  <si>
    <t>DirectorCountryOther4</t>
  </si>
  <si>
    <t>DirectorFltRm4</t>
  </si>
  <si>
    <t>DirectorFloor4</t>
  </si>
  <si>
    <t>DirectorBlkBldg4</t>
  </si>
  <si>
    <t>DirectorEstate4</t>
  </si>
  <si>
    <t>DirectorStreet4</t>
  </si>
  <si>
    <t>DirectorDistrict4</t>
  </si>
  <si>
    <t>DirectorRegion4</t>
  </si>
  <si>
    <t>DirectorAddr4</t>
  </si>
  <si>
    <t>Director4Ownership</t>
  </si>
  <si>
    <t>Director4OwnerYesX</t>
  </si>
  <si>
    <t>Director4OwnerNoX</t>
  </si>
  <si>
    <t>DirectorYear4</t>
  </si>
  <si>
    <t>DirectorMonth4</t>
  </si>
  <si>
    <t>Director%4</t>
  </si>
  <si>
    <t>BO1Courtesy</t>
  </si>
  <si>
    <t>BO1MrX</t>
  </si>
  <si>
    <t>BO1MrsX</t>
  </si>
  <si>
    <t>BO1MissX</t>
  </si>
  <si>
    <t>BO1MsX</t>
  </si>
  <si>
    <t>BOFam1</t>
  </si>
  <si>
    <t>BOGiven1</t>
  </si>
  <si>
    <t>BOEN1</t>
  </si>
  <si>
    <t>BOTC1</t>
  </si>
  <si>
    <t>BOTitle1</t>
  </si>
  <si>
    <t>BOIDType1</t>
  </si>
  <si>
    <t>BO1HKIDX</t>
  </si>
  <si>
    <t>BO1PassportX</t>
  </si>
  <si>
    <t>BOID1</t>
  </si>
  <si>
    <t>BODD1</t>
  </si>
  <si>
    <t>BOMM1</t>
  </si>
  <si>
    <t>BOYYYY1</t>
  </si>
  <si>
    <t>BOYY1</t>
  </si>
  <si>
    <t>BODOB1</t>
  </si>
  <si>
    <t>BOCountry1</t>
  </si>
  <si>
    <t>BOCountryCN1X</t>
  </si>
  <si>
    <t>BOCountryOther1X</t>
  </si>
  <si>
    <t>BOCountryOther1</t>
  </si>
  <si>
    <t>BOFltRm1</t>
  </si>
  <si>
    <t>BOFloor1</t>
  </si>
  <si>
    <t>BOBlkBldg1</t>
  </si>
  <si>
    <t>BOEstate1</t>
  </si>
  <si>
    <t>BOStreet1</t>
  </si>
  <si>
    <t>BODistrict1</t>
  </si>
  <si>
    <t>BORegion1</t>
  </si>
  <si>
    <t>BOAddr1</t>
  </si>
  <si>
    <t>BO2Courtesy</t>
  </si>
  <si>
    <t>BO2MrX</t>
  </si>
  <si>
    <t>BO2MrsX</t>
  </si>
  <si>
    <t>BO2MissX</t>
  </si>
  <si>
    <t>BO2MsX</t>
  </si>
  <si>
    <t>BOFam2</t>
  </si>
  <si>
    <t>BOGiven2</t>
  </si>
  <si>
    <t>BOEN2</t>
  </si>
  <si>
    <t>BOTC2</t>
  </si>
  <si>
    <t>BOTitle2</t>
  </si>
  <si>
    <t>BOIDType2</t>
  </si>
  <si>
    <t>BO2HKIDX</t>
  </si>
  <si>
    <t>BO2PassportX</t>
  </si>
  <si>
    <t>BOID2</t>
  </si>
  <si>
    <t>BODD2</t>
  </si>
  <si>
    <t>BOMM2</t>
  </si>
  <si>
    <t>BOYYYY2</t>
  </si>
  <si>
    <t>BOYY2</t>
  </si>
  <si>
    <t>BODOB2</t>
  </si>
  <si>
    <t>BOCountry2</t>
  </si>
  <si>
    <t>BOCountryCN2X</t>
  </si>
  <si>
    <t>BOCountryOther2X</t>
  </si>
  <si>
    <t>BOCountryOther2</t>
  </si>
  <si>
    <t>BOFltRm2</t>
  </si>
  <si>
    <t>BOFloor2</t>
  </si>
  <si>
    <t>BOBlkBldg2</t>
  </si>
  <si>
    <t>BOEstate2</t>
  </si>
  <si>
    <t>BOStreet2</t>
  </si>
  <si>
    <t>BODistrict2</t>
  </si>
  <si>
    <t>BORegion2</t>
  </si>
  <si>
    <t>BOAddr2</t>
  </si>
  <si>
    <t>BO3Courtesy</t>
  </si>
  <si>
    <t>BO3MrX</t>
  </si>
  <si>
    <t>BO3MrsX</t>
  </si>
  <si>
    <t>BO3MissX</t>
  </si>
  <si>
    <t>BO3MsX</t>
  </si>
  <si>
    <t>BOFam3</t>
  </si>
  <si>
    <t>BOGiven3</t>
  </si>
  <si>
    <t>BOEN3</t>
  </si>
  <si>
    <t>BOTC3</t>
  </si>
  <si>
    <t>BOTitle3</t>
  </si>
  <si>
    <t>BOIDType3</t>
  </si>
  <si>
    <t>BO3HKIDX</t>
  </si>
  <si>
    <t>BO3PassportX</t>
  </si>
  <si>
    <t>BOID3</t>
  </si>
  <si>
    <t>BODD3</t>
  </si>
  <si>
    <t>BOMM3</t>
  </si>
  <si>
    <t>BOYYYY3</t>
  </si>
  <si>
    <t>BOYY3</t>
  </si>
  <si>
    <t>BODOB3</t>
  </si>
  <si>
    <t>BOCountry3</t>
  </si>
  <si>
    <t>BOCountryCN3X</t>
  </si>
  <si>
    <t>BOCountryOther3X</t>
  </si>
  <si>
    <t>BOCountryOther3</t>
  </si>
  <si>
    <t>BOFltRm3</t>
  </si>
  <si>
    <t>BOFloor3</t>
  </si>
  <si>
    <t>BOBlkBldg3</t>
  </si>
  <si>
    <t>BOEstate3</t>
  </si>
  <si>
    <t>BOStreet3</t>
  </si>
  <si>
    <t>BODistrict3</t>
  </si>
  <si>
    <t>BORegion3</t>
  </si>
  <si>
    <t>BOAddr3</t>
  </si>
  <si>
    <t>BO4Courtesy</t>
  </si>
  <si>
    <t>BO4MrX</t>
  </si>
  <si>
    <t>BO4MrsX</t>
  </si>
  <si>
    <t>BO4MissX</t>
  </si>
  <si>
    <t>BO4MsX</t>
  </si>
  <si>
    <t>BOFam4</t>
  </si>
  <si>
    <t>BOGiven4</t>
  </si>
  <si>
    <t>BOEN4</t>
  </si>
  <si>
    <t>BOTC4</t>
  </si>
  <si>
    <t>BOTitle4</t>
  </si>
  <si>
    <t>BOIDType4</t>
  </si>
  <si>
    <t>BO4HKIDX</t>
  </si>
  <si>
    <t>BO4PassportX</t>
  </si>
  <si>
    <t>BOID4</t>
  </si>
  <si>
    <t>BODD4</t>
  </si>
  <si>
    <t>BOMM4</t>
  </si>
  <si>
    <t>BOYYYY4</t>
  </si>
  <si>
    <t>BOYY4</t>
  </si>
  <si>
    <t>BODOB4</t>
  </si>
  <si>
    <t>BOCountry4</t>
  </si>
  <si>
    <t>BOCountryCN4X</t>
  </si>
  <si>
    <t>BOCountryOther4X</t>
  </si>
  <si>
    <t>BOCountryOther4</t>
  </si>
  <si>
    <t>BOFltRm4</t>
  </si>
  <si>
    <t>BOFloor4</t>
  </si>
  <si>
    <t>BOBlkBldg4</t>
  </si>
  <si>
    <t>BOEstate4</t>
  </si>
  <si>
    <t>BOStreet4</t>
  </si>
  <si>
    <t>BODistrict4</t>
  </si>
  <si>
    <t>BORegion4</t>
  </si>
  <si>
    <t>BOAddr4</t>
  </si>
  <si>
    <t>Sign1Courtesy</t>
  </si>
  <si>
    <t>Sign1MrX</t>
  </si>
  <si>
    <t>Sign1MrsX</t>
  </si>
  <si>
    <t>Sign1MissX</t>
  </si>
  <si>
    <t>Sign1MsX</t>
  </si>
  <si>
    <t>SignFam1</t>
  </si>
  <si>
    <t>SignGiven1</t>
  </si>
  <si>
    <t>SignEN1</t>
  </si>
  <si>
    <t>SignTC1</t>
  </si>
  <si>
    <t>SignTitle1</t>
  </si>
  <si>
    <t>SignIDType1</t>
  </si>
  <si>
    <t>Sign1HKIDX</t>
  </si>
  <si>
    <t>Sign1PassportX</t>
  </si>
  <si>
    <t>SignID1</t>
  </si>
  <si>
    <t>SignDD1</t>
  </si>
  <si>
    <t>SignMM1</t>
  </si>
  <si>
    <t>SignnYYYY1</t>
  </si>
  <si>
    <t>SignYY1</t>
  </si>
  <si>
    <t>SignDOB1</t>
  </si>
  <si>
    <t>SignTelephoneNo</t>
  </si>
  <si>
    <t>SignCountry1</t>
  </si>
  <si>
    <t>SignCountryCN1X</t>
  </si>
  <si>
    <t>SignCountryOther1X</t>
  </si>
  <si>
    <t>SignCountryOther1</t>
  </si>
  <si>
    <t>SignFltRm1</t>
  </si>
  <si>
    <t>SignFloor1</t>
  </si>
  <si>
    <t>SignBlkBldg1</t>
  </si>
  <si>
    <t>SignEstate1</t>
  </si>
  <si>
    <t>SignStreet1</t>
  </si>
  <si>
    <t>SignDistrict1</t>
  </si>
  <si>
    <t>SignRegion1</t>
  </si>
  <si>
    <t>SignAddr1</t>
  </si>
  <si>
    <t>Business Type (OCL)</t>
  </si>
  <si>
    <t>mPOS - Retail</t>
  </si>
  <si>
    <t>Businees Sub-Type</t>
  </si>
  <si>
    <t>Detail Business Nature</t>
  </si>
  <si>
    <t xml:space="preserve">Due Diligence Category </t>
  </si>
  <si>
    <t>Change Type</t>
  </si>
  <si>
    <t>New SP Setup</t>
  </si>
  <si>
    <t>Acquirer</t>
  </si>
  <si>
    <t>HKT</t>
  </si>
  <si>
    <t>Payment Gateway</t>
  </si>
  <si>
    <t>SmartPOSMonthlyplan</t>
  </si>
  <si>
    <t>SmartPOSCode</t>
  </si>
  <si>
    <t>HKTPOSMonthlyplan</t>
  </si>
  <si>
    <t>HKTPOSCODE</t>
  </si>
  <si>
    <t xml:space="preserve">Email for Octopus Report Delivery </t>
  </si>
  <si>
    <t>THECLUB</t>
  </si>
  <si>
    <t>K-Dollar</t>
  </si>
  <si>
    <t>MobileCard</t>
  </si>
  <si>
    <t>MiraPoint</t>
  </si>
  <si>
    <t>EFT- Alipay</t>
  </si>
  <si>
    <t>EFT- WeChatPay</t>
  </si>
  <si>
    <t>PaymentAsia- Alipay</t>
  </si>
  <si>
    <t>PaymentAsia- WechatPay</t>
  </si>
  <si>
    <t>VM (Fiserv)</t>
  </si>
  <si>
    <t>VM (WLB)</t>
  </si>
  <si>
    <t>VM (Paymentasia)</t>
  </si>
  <si>
    <t>Octopus</t>
  </si>
  <si>
    <t>Amex</t>
  </si>
  <si>
    <t>UnionPay</t>
  </si>
  <si>
    <t>ERUN</t>
  </si>
  <si>
    <t>EVERYWARE</t>
  </si>
  <si>
    <t>IBSRESEARCHLTD</t>
  </si>
  <si>
    <t>Posify</t>
  </si>
  <si>
    <t>Gingersoft</t>
  </si>
  <si>
    <t>PinMe</t>
  </si>
  <si>
    <t>MeterSquare</t>
  </si>
  <si>
    <t>Other_SI</t>
  </si>
  <si>
    <t>Other_SINAME</t>
  </si>
  <si>
    <t>POSSYTEM_Y</t>
  </si>
  <si>
    <t>POSSYTEM_N</t>
  </si>
  <si>
    <t>SINAME</t>
  </si>
  <si>
    <t>Cheque_No</t>
  </si>
  <si>
    <t>Cheque_bank</t>
  </si>
  <si>
    <t>WLBVM_HKTPOS</t>
  </si>
  <si>
    <t>PaymentAsiaAlipay_HKTPOS</t>
  </si>
  <si>
    <t>PaymentAsiaWechatpay_HKTPOS</t>
  </si>
  <si>
    <t>EasylinkCUP_HKTPOS</t>
  </si>
  <si>
    <t>OCTOPUS_HKTPOS</t>
  </si>
  <si>
    <t>HKT POS Plan</t>
  </si>
  <si>
    <t>HKTPOS_SO</t>
  </si>
  <si>
    <t>HKTPOSAPP_DISPLAYNAME</t>
  </si>
  <si>
    <t>HKTPOSAPP_DISPLAYADDRESS</t>
  </si>
  <si>
    <t>SignDate</t>
  </si>
  <si>
    <t>HKTPOS_Rental</t>
  </si>
  <si>
    <t>SmartPOS_Rental</t>
  </si>
  <si>
    <t>Application Date</t>
  </si>
  <si>
    <t>A-E</t>
  </si>
  <si>
    <t>AG  ( DVT2024XXXXX )</t>
  </si>
  <si>
    <t>Wing Chiu</t>
  </si>
  <si>
    <t>Sales Title</t>
  </si>
  <si>
    <t>Sales Contact no.</t>
  </si>
  <si>
    <t>From CI</t>
  </si>
  <si>
    <t>Merchant Info</t>
  </si>
  <si>
    <t>MCC</t>
  </si>
  <si>
    <t>Remark</t>
  </si>
  <si>
    <t>JL</t>
  </si>
  <si>
    <t>Office Tel</t>
  </si>
  <si>
    <t>CE &amp; CG</t>
  </si>
  <si>
    <t>EE</t>
  </si>
  <si>
    <t>F</t>
  </si>
  <si>
    <t>Cert. Of Incorp. Number</t>
  </si>
  <si>
    <t>JU</t>
  </si>
  <si>
    <t>Office email</t>
  </si>
  <si>
    <t>CH</t>
  </si>
  <si>
    <t>EF</t>
  </si>
  <si>
    <t>G</t>
  </si>
  <si>
    <t>Cert. Of Incorp. Eff. Date</t>
  </si>
  <si>
    <t>JR-JT</t>
  </si>
  <si>
    <t>No of Shop</t>
  </si>
  <si>
    <t>AL</t>
  </si>
  <si>
    <t>EG</t>
  </si>
  <si>
    <t>From BR</t>
  </si>
  <si>
    <t>Billing Address</t>
  </si>
  <si>
    <t>Merchant Sales Volumn</t>
  </si>
  <si>
    <t>Name of Business (EN)</t>
  </si>
  <si>
    <t>AZ,BY,CC,IA</t>
  </si>
  <si>
    <t>Shop1 FltRm</t>
  </si>
  <si>
    <t>IJ</t>
  </si>
  <si>
    <t>Avg Ticket Size</t>
  </si>
  <si>
    <t>EH</t>
  </si>
  <si>
    <t>Name of Business (TC繁)</t>
  </si>
  <si>
    <t>BA,IB</t>
  </si>
  <si>
    <t>Shop1 Floor</t>
  </si>
  <si>
    <t>IK</t>
  </si>
  <si>
    <t>EI</t>
  </si>
  <si>
    <t>Name of Business (SC簡)</t>
  </si>
  <si>
    <t>Shop1 BlkBldg</t>
  </si>
  <si>
    <t>IL</t>
  </si>
  <si>
    <t>Annual TurnOver</t>
  </si>
  <si>
    <t>EJ</t>
  </si>
  <si>
    <t>Business / Branch Name (EN)</t>
  </si>
  <si>
    <t>Shop1 Street</t>
  </si>
  <si>
    <t>IM</t>
  </si>
  <si>
    <t>Annual VM TurnOver</t>
  </si>
  <si>
    <t>EO</t>
  </si>
  <si>
    <t>Business / Branch Name (TC繁)</t>
  </si>
  <si>
    <t>Shop1 District</t>
  </si>
  <si>
    <t>IN</t>
  </si>
  <si>
    <t>Annual Online TurnOver</t>
  </si>
  <si>
    <t>EP</t>
  </si>
  <si>
    <t>IR-IZ</t>
  </si>
  <si>
    <t>Shop1 Region</t>
  </si>
  <si>
    <t>IO</t>
  </si>
  <si>
    <t>Annual FPS,T&amp;G Turnover</t>
  </si>
  <si>
    <t>EW</t>
  </si>
  <si>
    <t>Full BR Number (20 Char)</t>
  </si>
  <si>
    <t>JG-JH ,JJ-JK</t>
  </si>
  <si>
    <t>Annual Ali/WeC Turnover</t>
  </si>
  <si>
    <t>EM</t>
  </si>
  <si>
    <t>JA-JE,JI</t>
  </si>
  <si>
    <t>EX</t>
  </si>
  <si>
    <t>BR Date of Expiry</t>
  </si>
  <si>
    <t>JF</t>
  </si>
  <si>
    <t>Bank Account Info.</t>
  </si>
  <si>
    <t>EY</t>
  </si>
  <si>
    <t>EC &amp; IQ</t>
  </si>
  <si>
    <t>Account Name</t>
  </si>
  <si>
    <t>LA</t>
  </si>
  <si>
    <t>Expected % share on Alipay &amp; WeChat Pay</t>
  </si>
  <si>
    <t>FF</t>
  </si>
  <si>
    <t>BR FltRm (need to fill in Rm  / Flat)</t>
  </si>
  <si>
    <t>CD &amp; IC</t>
  </si>
  <si>
    <t>JW</t>
  </si>
  <si>
    <t>ED</t>
  </si>
  <si>
    <t>BR Floor (need to fill in /F)</t>
  </si>
  <si>
    <t>CD &amp; ID</t>
  </si>
  <si>
    <t>Branch Code</t>
  </si>
  <si>
    <t>KW</t>
  </si>
  <si>
    <t>Expected % Annual Octopus txn</t>
  </si>
  <si>
    <t>FE</t>
  </si>
  <si>
    <t>BR BlkBldg</t>
  </si>
  <si>
    <t>CD &amp; IE</t>
  </si>
  <si>
    <t>Account Number (7-9 digit)</t>
  </si>
  <si>
    <t>KX&amp; KZ</t>
  </si>
  <si>
    <t>BR Street</t>
  </si>
  <si>
    <t>CD &amp; IF</t>
  </si>
  <si>
    <t>Bank Statement Address (Full)</t>
  </si>
  <si>
    <t>JV</t>
  </si>
  <si>
    <t>CD &amp; IG</t>
  </si>
  <si>
    <t>JY-JZ</t>
  </si>
  <si>
    <t>CD &amp; IH</t>
  </si>
  <si>
    <t>KV</t>
  </si>
  <si>
    <t>Checking 25 digit below</t>
  </si>
  <si>
    <t>Merchant Name (25 digits-Eng)</t>
  </si>
  <si>
    <t>AI</t>
  </si>
  <si>
    <t>ShopName1 / Installation</t>
  </si>
  <si>
    <t>ShopName1 - Display name</t>
  </si>
  <si>
    <t>AM-AN</t>
  </si>
  <si>
    <t>ShopName2 - Display name</t>
  </si>
  <si>
    <t>BI &amp; BJ</t>
  </si>
  <si>
    <t>ShopName1 - BR EN</t>
  </si>
  <si>
    <t>AH</t>
  </si>
  <si>
    <t>ShopName2 - BR EN</t>
  </si>
  <si>
    <t>BT</t>
  </si>
  <si>
    <t>ShopName1 - BR CHI</t>
  </si>
  <si>
    <t>AJ-AK</t>
  </si>
  <si>
    <t>ShopName2 - BR CHI</t>
  </si>
  <si>
    <t>BU</t>
  </si>
  <si>
    <t>AO</t>
  </si>
  <si>
    <t>Shop2 FltRm</t>
  </si>
  <si>
    <t>BK</t>
  </si>
  <si>
    <t>AP</t>
  </si>
  <si>
    <t>Shop2 Floor</t>
  </si>
  <si>
    <t>BL</t>
  </si>
  <si>
    <t>AQ</t>
  </si>
  <si>
    <t>Shop2 BlkBldg</t>
  </si>
  <si>
    <t>BM</t>
  </si>
  <si>
    <t>AR</t>
  </si>
  <si>
    <t>Shop2 Street</t>
  </si>
  <si>
    <t>BN</t>
  </si>
  <si>
    <t>AS</t>
  </si>
  <si>
    <t>Shop2 District</t>
  </si>
  <si>
    <t>BO</t>
  </si>
  <si>
    <t>AT</t>
  </si>
  <si>
    <t>Shop2 Region</t>
  </si>
  <si>
    <t>BP</t>
  </si>
  <si>
    <t>Tel</t>
  </si>
  <si>
    <t>AX</t>
  </si>
  <si>
    <t>AY</t>
  </si>
  <si>
    <t>BS</t>
  </si>
  <si>
    <t>BB</t>
  </si>
  <si>
    <t>AV</t>
  </si>
  <si>
    <t>AU</t>
  </si>
  <si>
    <t>SmartPOS Delivery Address (not same as installation address</t>
  </si>
  <si>
    <t>AW</t>
  </si>
  <si>
    <t>BC</t>
  </si>
  <si>
    <t>BD</t>
  </si>
  <si>
    <t>BE</t>
  </si>
  <si>
    <t>BF</t>
  </si>
  <si>
    <t>BG</t>
  </si>
  <si>
    <t>BH</t>
  </si>
  <si>
    <t>BI</t>
  </si>
  <si>
    <t>BJ</t>
  </si>
  <si>
    <t>HKTPOS Rental Form</t>
  </si>
  <si>
    <t>HKTPOS APP Display Trading Name</t>
  </si>
  <si>
    <t>ABR</t>
  </si>
  <si>
    <t>HKTPOS APP Display Address</t>
  </si>
  <si>
    <t>ABS</t>
  </si>
  <si>
    <t>X = with</t>
  </si>
  <si>
    <t>FPS Suite</t>
  </si>
  <si>
    <t>HKT POS Mobile App</t>
  </si>
  <si>
    <t>SmartPOS**</t>
  </si>
  <si>
    <t>H</t>
  </si>
  <si>
    <t>GP,GR,GV,GX</t>
  </si>
  <si>
    <t>I,W</t>
  </si>
  <si>
    <t>AA</t>
  </si>
  <si>
    <t>(Mandatory)</t>
  </si>
  <si>
    <t>ZW</t>
  </si>
  <si>
    <t>AAG</t>
  </si>
  <si>
    <t>M</t>
  </si>
  <si>
    <t>FPS MDR</t>
  </si>
  <si>
    <t>GQ</t>
  </si>
  <si>
    <t>ABP</t>
  </si>
  <si>
    <t>AB</t>
  </si>
  <si>
    <t>ZX</t>
  </si>
  <si>
    <t>(Payment mean)</t>
  </si>
  <si>
    <t>ABK</t>
  </si>
  <si>
    <t>No. of POS</t>
  </si>
  <si>
    <t>N</t>
  </si>
  <si>
    <t>FPS QR MDR</t>
  </si>
  <si>
    <t>GS</t>
  </si>
  <si>
    <t>No. of License</t>
  </si>
  <si>
    <t>AC</t>
  </si>
  <si>
    <t>ZY</t>
  </si>
  <si>
    <t>ABO</t>
  </si>
  <si>
    <t>No. of MID</t>
  </si>
  <si>
    <t>O</t>
  </si>
  <si>
    <t>FPS POS APP MDR</t>
  </si>
  <si>
    <t>GU</t>
  </si>
  <si>
    <t>Effective Date</t>
  </si>
  <si>
    <t>L</t>
  </si>
  <si>
    <t>AD</t>
  </si>
  <si>
    <t>ZZ</t>
  </si>
  <si>
    <t>ABL</t>
  </si>
  <si>
    <t>K</t>
  </si>
  <si>
    <t>FPS Bill MDR</t>
  </si>
  <si>
    <t>GW,GY</t>
  </si>
  <si>
    <t>GK</t>
  </si>
  <si>
    <t>AE</t>
  </si>
  <si>
    <t>AAA</t>
  </si>
  <si>
    <t>ABM</t>
  </si>
  <si>
    <t>P</t>
  </si>
  <si>
    <t>T&amp;G MDR</t>
  </si>
  <si>
    <t>GL</t>
  </si>
  <si>
    <t>AF</t>
  </si>
  <si>
    <t>AAB</t>
  </si>
  <si>
    <t>ABN</t>
  </si>
  <si>
    <t>No Location</t>
  </si>
  <si>
    <t>Q</t>
  </si>
  <si>
    <t>GI</t>
  </si>
  <si>
    <t>FL,GZ</t>
  </si>
  <si>
    <t>AAC</t>
  </si>
  <si>
    <t>FI,FQ</t>
  </si>
  <si>
    <t>Opt out</t>
  </si>
  <si>
    <t>GJ</t>
  </si>
  <si>
    <t>FN,HA</t>
  </si>
  <si>
    <t>/</t>
  </si>
  <si>
    <t>ABI</t>
  </si>
  <si>
    <t>FJ,FR</t>
  </si>
  <si>
    <t>W</t>
  </si>
  <si>
    <t>GM</t>
  </si>
  <si>
    <t>VM MDR</t>
  </si>
  <si>
    <t>HB</t>
  </si>
  <si>
    <t>ABJ</t>
  </si>
  <si>
    <t>FG,FO</t>
  </si>
  <si>
    <t>WLB VM MDR (Local)</t>
  </si>
  <si>
    <t>GN</t>
  </si>
  <si>
    <t>VMFC MDR</t>
  </si>
  <si>
    <t>HC</t>
  </si>
  <si>
    <t>AAH</t>
  </si>
  <si>
    <t>FH,FP</t>
  </si>
  <si>
    <t>WLB VM MDR (Oversea)</t>
  </si>
  <si>
    <t>GO</t>
  </si>
  <si>
    <t>Alipay</t>
  </si>
  <si>
    <t>HD</t>
  </si>
  <si>
    <t>二選一</t>
  </si>
  <si>
    <t>R</t>
  </si>
  <si>
    <t>FS</t>
  </si>
  <si>
    <t>Wechat</t>
  </si>
  <si>
    <t>HE</t>
  </si>
  <si>
    <t>S</t>
  </si>
  <si>
    <t>VM MDR (Local)</t>
  </si>
  <si>
    <t>FT</t>
  </si>
  <si>
    <t>CUP MDR</t>
  </si>
  <si>
    <t>HF</t>
  </si>
  <si>
    <t>AAE</t>
  </si>
  <si>
    <t>VM MDR (Oversea)</t>
  </si>
  <si>
    <t>FU</t>
  </si>
  <si>
    <t>CUPCN MDR</t>
  </si>
  <si>
    <t>HG</t>
  </si>
  <si>
    <t>(Loyalty
Program)</t>
  </si>
  <si>
    <t>AAI</t>
  </si>
  <si>
    <t>FV</t>
  </si>
  <si>
    <t>T&amp;G DIY  MDR</t>
  </si>
  <si>
    <t>HH</t>
  </si>
  <si>
    <t>AAJ</t>
  </si>
  <si>
    <t>FW</t>
  </si>
  <si>
    <t>VM DIY  MDR</t>
  </si>
  <si>
    <t>HI</t>
  </si>
  <si>
    <t>AAK</t>
  </si>
  <si>
    <t>CUPHK MDR</t>
  </si>
  <si>
    <t>FX</t>
  </si>
  <si>
    <t>AMEX DIY  MDR</t>
  </si>
  <si>
    <t>HJ</t>
  </si>
  <si>
    <t>AAL</t>
  </si>
  <si>
    <t>FY</t>
  </si>
  <si>
    <t>Alipay DIY  MDR</t>
  </si>
  <si>
    <t>HK</t>
  </si>
  <si>
    <t>FZ</t>
  </si>
  <si>
    <t>WeChat DIY  MDR</t>
  </si>
  <si>
    <t>HL</t>
  </si>
  <si>
    <t>AAM</t>
  </si>
  <si>
    <t>CLUB MDR</t>
  </si>
  <si>
    <t>GA</t>
  </si>
  <si>
    <t>PM FPS MDR</t>
  </si>
  <si>
    <t>AAN</t>
  </si>
  <si>
    <t>CLUB FEE</t>
  </si>
  <si>
    <t>GB</t>
  </si>
  <si>
    <t>PM T&amp;G MDR</t>
  </si>
  <si>
    <t>Paymentasia- Alipay [Coming Soon]</t>
  </si>
  <si>
    <t>AAO</t>
  </si>
  <si>
    <t>GC</t>
  </si>
  <si>
    <t>PM VM MDR</t>
  </si>
  <si>
    <t>Paymentasia- WeChatPay [Coming Soon]</t>
  </si>
  <si>
    <t>AAP</t>
  </si>
  <si>
    <t>OCL MDR</t>
  </si>
  <si>
    <t>GD</t>
  </si>
  <si>
    <t>F&amp;B T&amp;G MDR</t>
  </si>
  <si>
    <t>AAQ</t>
  </si>
  <si>
    <t>GE</t>
  </si>
  <si>
    <t>F&amp;B VM MDR</t>
  </si>
  <si>
    <t>AAR</t>
  </si>
  <si>
    <t>ALIPAY MDR</t>
  </si>
  <si>
    <t>GF</t>
  </si>
  <si>
    <t>SB T&amp;G MDR</t>
  </si>
  <si>
    <t>VM (Paymentasia)[Coming Soon]</t>
  </si>
  <si>
    <t>AAS</t>
  </si>
  <si>
    <t>GG</t>
  </si>
  <si>
    <t>SB VM MDR</t>
  </si>
  <si>
    <t>AAT</t>
  </si>
  <si>
    <t>WECHAT MDR</t>
  </si>
  <si>
    <t>GH</t>
  </si>
  <si>
    <t>Cater T&amp;G MDR</t>
  </si>
  <si>
    <t>AAV</t>
  </si>
  <si>
    <t>Cater VM MDR</t>
  </si>
  <si>
    <t>SmartSch T&amp;G MDR</t>
  </si>
  <si>
    <t>SmartPOS Point Of Sales (ECR)</t>
  </si>
  <si>
    <t>ABF</t>
  </si>
  <si>
    <t>ABG</t>
  </si>
  <si>
    <t>HM</t>
  </si>
  <si>
    <t>ABH</t>
  </si>
  <si>
    <t>HN</t>
  </si>
  <si>
    <t>POS System</t>
  </si>
  <si>
    <t>ABD</t>
  </si>
  <si>
    <t>HO</t>
  </si>
  <si>
    <t>Other_SI NAME</t>
  </si>
  <si>
    <t>ABE</t>
  </si>
  <si>
    <t>HP</t>
  </si>
  <si>
    <t>HQ</t>
  </si>
  <si>
    <t>[租機] IF Apply BOTH HKTSmartPOS + HKTPOS</t>
  </si>
  <si>
    <t>HR</t>
  </si>
  <si>
    <t>Mandatory 
三選一</t>
  </si>
  <si>
    <t>J</t>
  </si>
  <si>
    <t>HS</t>
  </si>
  <si>
    <t>ABV</t>
  </si>
  <si>
    <t>HT</t>
  </si>
  <si>
    <t>ABU</t>
  </si>
  <si>
    <t>HU</t>
  </si>
  <si>
    <t>HV</t>
  </si>
  <si>
    <t>HW</t>
  </si>
  <si>
    <t>HX</t>
  </si>
  <si>
    <t>HY</t>
  </si>
  <si>
    <t>HZ</t>
  </si>
  <si>
    <t>Contacts 1</t>
  </si>
  <si>
    <t>Contacts 2</t>
  </si>
  <si>
    <t>Contacts 3</t>
  </si>
  <si>
    <t>Not in use now</t>
  </si>
  <si>
    <t>Contacts 4</t>
  </si>
  <si>
    <t>Auth Signer</t>
  </si>
  <si>
    <t>Default = Signer</t>
  </si>
  <si>
    <t>CJ</t>
  </si>
  <si>
    <t>CV</t>
  </si>
  <si>
    <t>DG</t>
  </si>
  <si>
    <t>DS</t>
  </si>
  <si>
    <t>LB</t>
  </si>
  <si>
    <t>Family / Last Name 姓</t>
  </si>
  <si>
    <t>CO</t>
  </si>
  <si>
    <t>Family Name</t>
  </si>
  <si>
    <t>DA</t>
  </si>
  <si>
    <t>DL</t>
  </si>
  <si>
    <t>DW</t>
  </si>
  <si>
    <t>CP</t>
  </si>
  <si>
    <t>Given Name</t>
  </si>
  <si>
    <t>DB</t>
  </si>
  <si>
    <t>DM</t>
  </si>
  <si>
    <t>DX</t>
  </si>
  <si>
    <t>Chinese Name</t>
  </si>
  <si>
    <t>CR</t>
  </si>
  <si>
    <t>Title</t>
  </si>
  <si>
    <t>CS</t>
  </si>
  <si>
    <t>DO</t>
  </si>
  <si>
    <t>DZ</t>
  </si>
  <si>
    <t>CT</t>
  </si>
  <si>
    <t>DE</t>
  </si>
  <si>
    <t>DP</t>
  </si>
  <si>
    <t>EA</t>
  </si>
  <si>
    <t>Email</t>
  </si>
  <si>
    <t>CU</t>
  </si>
  <si>
    <t>DF</t>
  </si>
  <si>
    <t>DQ</t>
  </si>
  <si>
    <t>EB</t>
  </si>
  <si>
    <t>ID Type</t>
  </si>
  <si>
    <t>ID Number</t>
  </si>
  <si>
    <t>Date of Birth</t>
  </si>
  <si>
    <t>Nationality</t>
  </si>
  <si>
    <t>Director 1</t>
  </si>
  <si>
    <t>Director 2</t>
  </si>
  <si>
    <t>Director 3</t>
  </si>
  <si>
    <t>Director 4</t>
  </si>
  <si>
    <t>Signer</t>
  </si>
  <si>
    <t>Default = Director 1</t>
  </si>
  <si>
    <t>LB,MJ - MN</t>
  </si>
  <si>
    <t>ON</t>
  </si>
  <si>
    <t>QN</t>
  </si>
  <si>
    <t>SI</t>
  </si>
  <si>
    <t>Courtesy</t>
  </si>
  <si>
    <t>YQ</t>
  </si>
  <si>
    <t>MQ</t>
  </si>
  <si>
    <t>OU</t>
  </si>
  <si>
    <t>QS</t>
  </si>
  <si>
    <t>SN</t>
  </si>
  <si>
    <t>YV</t>
  </si>
  <si>
    <t>MR</t>
  </si>
  <si>
    <t>OV</t>
  </si>
  <si>
    <t>QT</t>
  </si>
  <si>
    <t>SO</t>
  </si>
  <si>
    <t>YW</t>
  </si>
  <si>
    <t>MW</t>
  </si>
  <si>
    <t>PA</t>
  </si>
  <si>
    <t>QW</t>
  </si>
  <si>
    <t>SR</t>
  </si>
  <si>
    <t>YZ</t>
  </si>
  <si>
    <t>NH</t>
  </si>
  <si>
    <t>PL</t>
  </si>
  <si>
    <t>ZJ</t>
  </si>
  <si>
    <t>Chi. Family Name</t>
  </si>
  <si>
    <t>MT</t>
  </si>
  <si>
    <t>OX</t>
  </si>
  <si>
    <t>QV</t>
  </si>
  <si>
    <t>SQ</t>
  </si>
  <si>
    <t>Chi. Given Name</t>
  </si>
  <si>
    <t>MU</t>
  </si>
  <si>
    <t>OY</t>
  </si>
  <si>
    <t>MX</t>
  </si>
  <si>
    <t>PB</t>
  </si>
  <si>
    <t>QX</t>
  </si>
  <si>
    <t>ZA</t>
  </si>
  <si>
    <t>NA</t>
  </si>
  <si>
    <t>PE</t>
  </si>
  <si>
    <t>RA</t>
  </si>
  <si>
    <t>SV</t>
  </si>
  <si>
    <t>ZD</t>
  </si>
  <si>
    <t>NC-NG</t>
  </si>
  <si>
    <t>PG-PK</t>
  </si>
  <si>
    <t>RC-RG</t>
  </si>
  <si>
    <t>SX-TB</t>
  </si>
  <si>
    <t>ZE-ZI</t>
  </si>
  <si>
    <t>NI</t>
  </si>
  <si>
    <t>PM, PR</t>
  </si>
  <si>
    <t>RH,RM</t>
  </si>
  <si>
    <t>TC,TH</t>
  </si>
  <si>
    <t>ZK</t>
  </si>
  <si>
    <t>LY -MI</t>
  </si>
  <si>
    <t>OC-OM</t>
  </si>
  <si>
    <t>QG-QM</t>
  </si>
  <si>
    <t>SB-SH</t>
  </si>
  <si>
    <t>Capacity</t>
  </si>
  <si>
    <t>Address Room</t>
  </si>
  <si>
    <t>NO</t>
  </si>
  <si>
    <t>PS</t>
  </si>
  <si>
    <t>RN</t>
  </si>
  <si>
    <t>TI</t>
  </si>
  <si>
    <t>ZO</t>
  </si>
  <si>
    <t>Res. Add. Floor</t>
  </si>
  <si>
    <t>NP</t>
  </si>
  <si>
    <t>PT</t>
  </si>
  <si>
    <t>RO</t>
  </si>
  <si>
    <t>TJ</t>
  </si>
  <si>
    <t>ZP</t>
  </si>
  <si>
    <t>Res. Add. Blk/Bldg</t>
  </si>
  <si>
    <t>NQ</t>
  </si>
  <si>
    <t>PU</t>
  </si>
  <si>
    <t>RP</t>
  </si>
  <si>
    <t>TK</t>
  </si>
  <si>
    <t>ZQ</t>
  </si>
  <si>
    <t>Res. Add. Estate</t>
  </si>
  <si>
    <t>NR</t>
  </si>
  <si>
    <t>PV</t>
  </si>
  <si>
    <t>RQ</t>
  </si>
  <si>
    <t>TL</t>
  </si>
  <si>
    <t>ZR</t>
  </si>
  <si>
    <t>Res. Add. Street</t>
  </si>
  <si>
    <t>NS</t>
  </si>
  <si>
    <t>PW</t>
  </si>
  <si>
    <t>RR</t>
  </si>
  <si>
    <t>TM</t>
  </si>
  <si>
    <t>ZS</t>
  </si>
  <si>
    <t>NT</t>
  </si>
  <si>
    <t>PX</t>
  </si>
  <si>
    <t>RS</t>
  </si>
  <si>
    <t>TN</t>
  </si>
  <si>
    <t>Res. Add. District</t>
  </si>
  <si>
    <t>ZT</t>
  </si>
  <si>
    <t>NU</t>
  </si>
  <si>
    <t>PY</t>
  </si>
  <si>
    <t>RT</t>
  </si>
  <si>
    <t>TO</t>
  </si>
  <si>
    <t>Res. Add. Region</t>
  </si>
  <si>
    <t>ZU</t>
  </si>
  <si>
    <t>QA</t>
  </si>
  <si>
    <t>RV</t>
  </si>
  <si>
    <t>TQ</t>
  </si>
  <si>
    <t>YY at Res. Add. (FD)</t>
  </si>
  <si>
    <t>NZ</t>
  </si>
  <si>
    <t>YY on Res. Add.</t>
  </si>
  <si>
    <t>QD</t>
  </si>
  <si>
    <t>RY</t>
  </si>
  <si>
    <t>TT</t>
  </si>
  <si>
    <t>MM at Res. Add. (FD)</t>
  </si>
  <si>
    <t>OA</t>
  </si>
  <si>
    <t>MM on Res. Add.</t>
  </si>
  <si>
    <t>QE</t>
  </si>
  <si>
    <t>RZ</t>
  </si>
  <si>
    <t>TU</t>
  </si>
  <si>
    <t>% of Share Hold</t>
  </si>
  <si>
    <t>OB</t>
  </si>
  <si>
    <t>QF</t>
  </si>
  <si>
    <t>SA</t>
  </si>
  <si>
    <t>TV</t>
  </si>
  <si>
    <t>Shareholder</t>
  </si>
  <si>
    <t>Owner1</t>
  </si>
  <si>
    <t>Owner2</t>
  </si>
  <si>
    <t>Default = Director 2</t>
  </si>
  <si>
    <t>Owner3</t>
  </si>
  <si>
    <t>Default = Director 3</t>
  </si>
  <si>
    <t>Owner4</t>
  </si>
  <si>
    <t>Default = Director 4</t>
  </si>
  <si>
    <t>Extra Email (TBC)</t>
  </si>
  <si>
    <t>TW</t>
  </si>
  <si>
    <t>VB</t>
  </si>
  <si>
    <t>WG</t>
  </si>
  <si>
    <t>XL</t>
  </si>
  <si>
    <t>Settlement Email 1</t>
  </si>
  <si>
    <t>UB</t>
  </si>
  <si>
    <t>VG</t>
  </si>
  <si>
    <t>WL</t>
  </si>
  <si>
    <t>XQ</t>
  </si>
  <si>
    <t>Settlement Email 2</t>
  </si>
  <si>
    <t>UC</t>
  </si>
  <si>
    <t>VH</t>
  </si>
  <si>
    <t>WM</t>
  </si>
  <si>
    <t>XR</t>
  </si>
  <si>
    <t>Settlement Email 3</t>
  </si>
  <si>
    <t>UF</t>
  </si>
  <si>
    <t>VK</t>
  </si>
  <si>
    <t>WP</t>
  </si>
  <si>
    <t>XU</t>
  </si>
  <si>
    <t>UE</t>
  </si>
  <si>
    <t>VJ</t>
  </si>
  <si>
    <t>WO</t>
  </si>
  <si>
    <t>XT</t>
  </si>
  <si>
    <t>UG</t>
  </si>
  <si>
    <t>VL</t>
  </si>
  <si>
    <t>WQ</t>
  </si>
  <si>
    <t>XV</t>
  </si>
  <si>
    <t>UJ</t>
  </si>
  <si>
    <t>VO</t>
  </si>
  <si>
    <t>WT</t>
  </si>
  <si>
    <t>XY</t>
  </si>
  <si>
    <t>UK-UO</t>
  </si>
  <si>
    <t>VP-VT</t>
  </si>
  <si>
    <t>WU-WY</t>
  </si>
  <si>
    <t>XZ-YD</t>
  </si>
  <si>
    <t>UP</t>
  </si>
  <si>
    <t>VU</t>
  </si>
  <si>
    <t>WZ</t>
  </si>
  <si>
    <t>YE</t>
  </si>
  <si>
    <t>UT</t>
  </si>
  <si>
    <t>VY</t>
  </si>
  <si>
    <t>XD</t>
  </si>
  <si>
    <t>YI</t>
  </si>
  <si>
    <t>UU</t>
  </si>
  <si>
    <t>VZ</t>
  </si>
  <si>
    <t>XE</t>
  </si>
  <si>
    <t>YJ</t>
  </si>
  <si>
    <t>UV</t>
  </si>
  <si>
    <t>WA</t>
  </si>
  <si>
    <t>XF</t>
  </si>
  <si>
    <t>YK</t>
  </si>
  <si>
    <t>UW</t>
  </si>
  <si>
    <t>WB</t>
  </si>
  <si>
    <t>XG</t>
  </si>
  <si>
    <t>YL</t>
  </si>
  <si>
    <t>UX</t>
  </si>
  <si>
    <t>WC</t>
  </si>
  <si>
    <t>XH</t>
  </si>
  <si>
    <t>YM</t>
  </si>
  <si>
    <t>UY</t>
  </si>
  <si>
    <t>WD</t>
  </si>
  <si>
    <t>XI</t>
  </si>
  <si>
    <t>YN</t>
  </si>
  <si>
    <t>UZ</t>
  </si>
  <si>
    <t>WE</t>
  </si>
  <si>
    <t>XJ</t>
  </si>
  <si>
    <t>YO</t>
  </si>
  <si>
    <t>Tap&amp;Go Remark</t>
  </si>
  <si>
    <t>Tap&amp;Go Promotion</t>
  </si>
  <si>
    <t>HKT POS Mobile</t>
  </si>
  <si>
    <t>Applied Smartpos +HKT pos</t>
  </si>
  <si>
    <t>Smart POS Effective Date</t>
  </si>
  <si>
    <t>No of Outlet(s)</t>
  </si>
  <si>
    <t>Smartpos terminal 顯示中文</t>
  </si>
  <si>
    <t>Smartpos terminal 顯示英文</t>
  </si>
  <si>
    <t>SmartPOS Special Offer</t>
  </si>
  <si>
    <t>反對使用本人的資料作直接促銷用途</t>
  </si>
  <si>
    <t>HKT POS Mobile APP (HKTPL)</t>
  </si>
  <si>
    <t>HKT POS License on HKTMS, Rental form</t>
  </si>
  <si>
    <t>If Online Payment Gateway is applied, input X</t>
  </si>
  <si>
    <t>Shop Name (EN) (Mandatory)</t>
  </si>
  <si>
    <t>Merchant Name (Within 25 digits)
[TAP&amp;GO USE]</t>
  </si>
  <si>
    <t>Shop Name (繁) (Mandatory)</t>
  </si>
  <si>
    <t>Shop Name (簡) (Mandatory)</t>
  </si>
  <si>
    <t>Number of Shop</t>
  </si>
  <si>
    <t>Display name</t>
  </si>
  <si>
    <t>Installation Address</t>
  </si>
  <si>
    <t>Display Address</t>
  </si>
  <si>
    <t>Delivery Address (if different with installation address)</t>
  </si>
  <si>
    <t>Shop Tel</t>
  </si>
  <si>
    <t>Company Name (BR)</t>
  </si>
  <si>
    <t>Company Name 中文 (BR)</t>
  </si>
  <si>
    <t>Number of mPOS (shop)</t>
  </si>
  <si>
    <t>Smartpos installation primary contact info</t>
  </si>
  <si>
    <t>Smartpos installation second contact info</t>
  </si>
  <si>
    <t>Shop BR Name</t>
  </si>
  <si>
    <t>Shop Address</t>
  </si>
  <si>
    <t>Office Email</t>
  </si>
  <si>
    <t>Contact person (primary) (Mandatory)</t>
  </si>
  <si>
    <t>聯絡人姓名(中)</t>
  </si>
  <si>
    <t>Title (Mandatory)</t>
  </si>
  <si>
    <t>Contact Number (Mandatory)</t>
  </si>
  <si>
    <t>Contact Email (Mandatory)</t>
  </si>
  <si>
    <t>Contact person (Second)</t>
  </si>
  <si>
    <t>Contact Number</t>
  </si>
  <si>
    <t>Contact Email</t>
  </si>
  <si>
    <t xml:space="preserve">Contact person (Third) </t>
  </si>
  <si>
    <t xml:space="preserve">Contact person (Forth) </t>
  </si>
  <si>
    <t>Fiserv SMB(only)</t>
  </si>
  <si>
    <t>Avg ticket size</t>
  </si>
  <si>
    <t>≤HKD 8,000</t>
  </si>
  <si>
    <t>Annual turnover</t>
  </si>
  <si>
    <t>[New]Annual AW Turnover</t>
  </si>
  <si>
    <t>[New]Monthly AW Turnover</t>
  </si>
  <si>
    <t>Annual VM Turnover</t>
  </si>
  <si>
    <t>Annual FPS, Tap &amp; Go Turnover</t>
  </si>
  <si>
    <t>SmartPOS (FPS)</t>
  </si>
  <si>
    <t>SmartPOS (T&amp;G)</t>
  </si>
  <si>
    <t>SmartPOS (FD)</t>
  </si>
  <si>
    <t>VM MDR (local)</t>
  </si>
  <si>
    <t>VM MDR (foreign)</t>
  </si>
  <si>
    <t>SmartPOS (CUP)</t>
  </si>
  <si>
    <t>SmartPOS (QuickPass)</t>
  </si>
  <si>
    <t>SmartPOS 
(THE CLUB)</t>
  </si>
  <si>
    <t>CLUB Earn Rate</t>
  </si>
  <si>
    <t>SmartPOS (OCL)</t>
  </si>
  <si>
    <t>SmartPOS (Alipay)</t>
  </si>
  <si>
    <t>Alipay MDR(1.3%)</t>
  </si>
  <si>
    <t>SmartPOS (WeChat)</t>
  </si>
  <si>
    <t>WeChat MDR(1.3%)</t>
  </si>
  <si>
    <t>HKTPOS Mobile (FPS)</t>
  </si>
  <si>
    <t>HKTPOS Mobile  (Tap&amp;Go)</t>
  </si>
  <si>
    <t>HKTPOS Mobile  (WLB VM)</t>
  </si>
  <si>
    <t>FPS Payment Suite</t>
  </si>
  <si>
    <t>FPS Payment Suite MDR</t>
  </si>
  <si>
    <t>FPS Payment Suite QR</t>
  </si>
  <si>
    <t>FPS Payment Suite pos app</t>
  </si>
  <si>
    <t>FPS Payment Suite Billing</t>
  </si>
  <si>
    <t>FPS Payment Suite BILL MDR</t>
  </si>
  <si>
    <t>FPS Payment Suite (HKTPL)</t>
  </si>
  <si>
    <t>OPGMDR</t>
  </si>
  <si>
    <t>OPG DIYMDR</t>
  </si>
  <si>
    <t>O2OMDR</t>
  </si>
  <si>
    <t>O2O PROPERTY MDR</t>
  </si>
  <si>
    <t>O2O F&amp;B MDR</t>
  </si>
  <si>
    <t>O2O Catering</t>
  </si>
  <si>
    <t>BR Company Name (EN) (Mandatory)</t>
  </si>
  <si>
    <t>BR Company Name (中文) (Mandatory)</t>
  </si>
  <si>
    <t>BR Address</t>
  </si>
  <si>
    <t>FLOOR</t>
  </si>
  <si>
    <t>Building</t>
  </si>
  <si>
    <t>Street</t>
  </si>
  <si>
    <t>District</t>
  </si>
  <si>
    <t>Region</t>
  </si>
  <si>
    <t>BR Address (Mandatory)</t>
  </si>
  <si>
    <t>Billing Address (Mandatory)</t>
  </si>
  <si>
    <t>Business Nature</t>
  </si>
  <si>
    <t>BR生效日期</t>
  </si>
  <si>
    <t>BR Number 
(First 8 Digit)</t>
  </si>
  <si>
    <t>Main/ Branch BR number
with '0</t>
  </si>
  <si>
    <t>BR Number 
(First 8 Digit) - Main/ Branch BR number
with '0</t>
  </si>
  <si>
    <t>Full BR Number</t>
  </si>
  <si>
    <t>Hong Kong, China</t>
  </si>
  <si>
    <t>CI生效日期</t>
  </si>
  <si>
    <t>(MM)</t>
  </si>
  <si>
    <t>(YYYY)</t>
  </si>
  <si>
    <t>CI Date</t>
  </si>
  <si>
    <t>CI number</t>
  </si>
  <si>
    <t>Bank account address</t>
  </si>
  <si>
    <t>Bank Swift Code</t>
  </si>
  <si>
    <t>Account Number</t>
  </si>
  <si>
    <t>Full Bank Acct No</t>
  </si>
  <si>
    <t>授權人
Signer</t>
  </si>
  <si>
    <t>Name</t>
  </si>
  <si>
    <t>Given</t>
  </si>
  <si>
    <t>中文名</t>
  </si>
  <si>
    <t>職位</t>
  </si>
  <si>
    <t>ID NUMBER</t>
  </si>
  <si>
    <t>出生DD</t>
  </si>
  <si>
    <t>國籍</t>
  </si>
  <si>
    <t>Sole Pro</t>
  </si>
  <si>
    <t>Partner</t>
  </si>
  <si>
    <t>Director</t>
  </si>
  <si>
    <t>Beneficial Owner</t>
  </si>
  <si>
    <t>Authorised Signer</t>
  </si>
  <si>
    <t>Others</t>
  </si>
  <si>
    <t>其他:請說明</t>
  </si>
  <si>
    <t>Senior Managing official</t>
  </si>
  <si>
    <t>高級管理人員, Position 職位</t>
  </si>
  <si>
    <t>Gender (M)</t>
  </si>
  <si>
    <t>Gender (F)</t>
  </si>
  <si>
    <t>中文姓氏</t>
  </si>
  <si>
    <t>中文名字</t>
  </si>
  <si>
    <t>中文全名</t>
  </si>
  <si>
    <t>Director's Phone Number</t>
  </si>
  <si>
    <t>Room</t>
  </si>
  <si>
    <t>Floor</t>
  </si>
  <si>
    <t>Block</t>
  </si>
  <si>
    <t>Estate</t>
  </si>
  <si>
    <t>Hong Kong</t>
  </si>
  <si>
    <t>Director's Residential Address</t>
  </si>
  <si>
    <t>Shareholding (AW Use)</t>
  </si>
  <si>
    <t>英文姓氏</t>
  </si>
  <si>
    <t>英文名字</t>
  </si>
  <si>
    <t>英文全名</t>
  </si>
  <si>
    <t>Director Phone</t>
  </si>
  <si>
    <t>2nd Director's Address</t>
  </si>
  <si>
    <t>Sole Proprietor</t>
  </si>
  <si>
    <t>Authorized Signatory</t>
  </si>
  <si>
    <t>UBO (股份大過25%)</t>
  </si>
  <si>
    <t>UBO Address</t>
  </si>
  <si>
    <t>UBO 2</t>
  </si>
  <si>
    <t>UBO 3</t>
  </si>
  <si>
    <t>UBO 4</t>
  </si>
  <si>
    <t>稱呼</t>
  </si>
  <si>
    <t>姓</t>
  </si>
  <si>
    <t>名</t>
  </si>
  <si>
    <t>証件</t>
  </si>
  <si>
    <t>ID NO</t>
  </si>
  <si>
    <t>Sign Tel No</t>
  </si>
  <si>
    <t>Flat</t>
  </si>
  <si>
    <t>House</t>
  </si>
  <si>
    <t>Est</t>
  </si>
  <si>
    <t>(Mandatory) 
AAD=AAE</t>
  </si>
  <si>
    <t>(Mandatory)
AAF=AAG</t>
  </si>
  <si>
    <t>SmartPOS (Payment mean)</t>
  </si>
  <si>
    <t>SmartPOS POS System</t>
  </si>
  <si>
    <t>Do you need System Integration with Point Of Sale System (“POS System”)?</t>
  </si>
  <si>
    <t>If yes, please specify the point-of-sale solution and/or loyalty program version (as applicable)</t>
  </si>
  <si>
    <t>HKTPOS (Payment Mean)</t>
  </si>
  <si>
    <t>HKTPOS (Payment Mean)[Not ready]</t>
  </si>
  <si>
    <t>HKTPOS APP display trading name</t>
  </si>
  <si>
    <t>HKTPOS APP display address</t>
  </si>
  <si>
    <t>Tab</t>
  </si>
  <si>
    <t>Category</t>
  </si>
  <si>
    <t>Detail</t>
  </si>
  <si>
    <t>Combine</t>
  </si>
  <si>
    <t>Application Merchant</t>
  </si>
  <si>
    <t>Refer to</t>
  </si>
  <si>
    <t>Application Merchant_From BR_Name of Business (EN)</t>
  </si>
  <si>
    <t>Application Merchant_ShopName1 / Installation_Display address (default = Shop)
(default = B40,B41,B42,B43,B44,B45)</t>
  </si>
  <si>
    <t>Quick Reference Booklet — Merchant Edition 15 November 2018</t>
  </si>
  <si>
    <t>https://www.mastercard.us/content/dam/mccom/en-us/documents/rules/quick-reference-booklet-merchant-edition.pdf</t>
  </si>
  <si>
    <t>Industry</t>
  </si>
  <si>
    <t>Display Name (ENG)</t>
  </si>
  <si>
    <t>Display Name (TC)</t>
  </si>
  <si>
    <t>MCC Code (on AP)</t>
  </si>
  <si>
    <t>MCC (on AP)</t>
  </si>
  <si>
    <t>CUP Rates</t>
  </si>
  <si>
    <t>CUP CN Rates</t>
  </si>
  <si>
    <t>FD Rates</t>
  </si>
  <si>
    <t>FD OPG Rates</t>
  </si>
  <si>
    <t>AE Merchant Category</t>
  </si>
  <si>
    <t>AE Rate</t>
  </si>
  <si>
    <t>Beauty and Personal Grooming 美容及個人護理</t>
  </si>
  <si>
    <t>A1</t>
  </si>
  <si>
    <t>Beauty Salons and Spas</t>
  </si>
  <si>
    <t>美容院及水療</t>
  </si>
  <si>
    <t>Health and Beauty Spas</t>
  </si>
  <si>
    <t>2.80% + $0.9</t>
  </si>
  <si>
    <t>Service General</t>
  </si>
  <si>
    <t>A2</t>
  </si>
  <si>
    <t>髮型屋</t>
  </si>
  <si>
    <t>Barber and Beauty Shops</t>
  </si>
  <si>
    <t>A3</t>
  </si>
  <si>
    <t>Sauna and Massage Services</t>
  </si>
  <si>
    <t>桑拿及按摩</t>
  </si>
  <si>
    <t>Massage Parlors</t>
  </si>
  <si>
    <t>Catering and Hospitality 餐館及酒店</t>
  </si>
  <si>
    <t>B1</t>
  </si>
  <si>
    <t>Bakeries</t>
  </si>
  <si>
    <t>麵包店</t>
  </si>
  <si>
    <t>2.40%+$0.9</t>
  </si>
  <si>
    <t>Normal rate in SMP Programme</t>
  </si>
  <si>
    <t>B2</t>
  </si>
  <si>
    <t>Bars and Lounges</t>
  </si>
  <si>
    <t>酒吧及酒廊</t>
  </si>
  <si>
    <t>Bars, Cocktail Lounges, Discotheques, Nightclubs, and Taverns - Drinking Places (Alcoholic Beverages)</t>
  </si>
  <si>
    <t>Restaurants</t>
  </si>
  <si>
    <t>B3</t>
  </si>
  <si>
    <t>Fast Food Restaurants</t>
  </si>
  <si>
    <t>快餐店</t>
  </si>
  <si>
    <t>Quick Services Restaurnat</t>
  </si>
  <si>
    <t>B4</t>
  </si>
  <si>
    <t>Hotels, Guesthouses, and Boarding Houses</t>
  </si>
  <si>
    <t>酒店、賓館及旅舍</t>
  </si>
  <si>
    <t>Lodging - Hotels, Motels, Resorts</t>
  </si>
  <si>
    <t>B5</t>
  </si>
  <si>
    <t>Restauntants</t>
  </si>
  <si>
    <t>餐廳</t>
  </si>
  <si>
    <t>Eating Places, Restaurants</t>
  </si>
  <si>
    <t>Communication and Education 傳媒及教育</t>
  </si>
  <si>
    <t>C1</t>
  </si>
  <si>
    <t>Advertising</t>
  </si>
  <si>
    <t>廣告</t>
  </si>
  <si>
    <t>Advertising Services</t>
  </si>
  <si>
    <t>C2</t>
  </si>
  <si>
    <t>Books, Periodicals, and Newspapers Wholesale</t>
  </si>
  <si>
    <t>書報及期刊批發</t>
  </si>
  <si>
    <t>Books, Periodicals, and Newspapers</t>
  </si>
  <si>
    <t>C3</t>
  </si>
  <si>
    <t>Distance Educations</t>
  </si>
  <si>
    <t>遙距教育</t>
  </si>
  <si>
    <t>Schools, Correspondence</t>
  </si>
  <si>
    <t>Education</t>
  </si>
  <si>
    <t>C4</t>
  </si>
  <si>
    <t>Newspaper Stands</t>
  </si>
  <si>
    <t>報攤</t>
  </si>
  <si>
    <t>News Dealers and Newsstands</t>
  </si>
  <si>
    <t>C5</t>
  </si>
  <si>
    <t>Publishing and Printing</t>
  </si>
  <si>
    <t>出版及印刷</t>
  </si>
  <si>
    <t>Miscellaneous Publishing and Printing</t>
  </si>
  <si>
    <t>C6</t>
  </si>
  <si>
    <t>Telesales</t>
  </si>
  <si>
    <t>電話營銷</t>
  </si>
  <si>
    <t>Direct Marketing - Other Direct Marketers - not elsewhere classified</t>
  </si>
  <si>
    <t>C7</t>
  </si>
  <si>
    <t>Universities and Colleges</t>
  </si>
  <si>
    <t>大學及專上學院</t>
  </si>
  <si>
    <t>Colleges, Universities, Professional Schools, and Junior Colleges</t>
  </si>
  <si>
    <t>C8</t>
  </si>
  <si>
    <t>Secondary Schools, Primary Schools and Kindergartens</t>
  </si>
  <si>
    <t>中學、小學及幼稚園</t>
  </si>
  <si>
    <t>Schools, elementary and Secondary</t>
  </si>
  <si>
    <t>Finance and Money Services 金融及貨幣服務</t>
  </si>
  <si>
    <t>D1</t>
  </si>
  <si>
    <t>Debt and Finanical Advisories</t>
  </si>
  <si>
    <t>貸款及投資顧問</t>
  </si>
  <si>
    <t>Debt, Marriage, Personal - Counselling Service</t>
  </si>
  <si>
    <t>D2</t>
  </si>
  <si>
    <t>Pawnshops</t>
  </si>
  <si>
    <t>當舖</t>
  </si>
  <si>
    <t>Pawn Shops</t>
  </si>
  <si>
    <t>D3</t>
  </si>
  <si>
    <t>Remittances</t>
  </si>
  <si>
    <t>匯款</t>
  </si>
  <si>
    <t>MoneySend Intercountry</t>
  </si>
  <si>
    <t>D4</t>
  </si>
  <si>
    <t>Insurances</t>
  </si>
  <si>
    <t>保險</t>
  </si>
  <si>
    <t>Insurance Sales, Underwriting, and Premiums</t>
  </si>
  <si>
    <t>D5</t>
  </si>
  <si>
    <t>Investments and Securities Brokerages</t>
  </si>
  <si>
    <t>投資及證券經紀</t>
  </si>
  <si>
    <t>Securities - Brokers / Dealers</t>
  </si>
  <si>
    <t>Organizations and Associations 團體及組織</t>
  </si>
  <si>
    <t>E1</t>
  </si>
  <si>
    <t>Charities and NGOs</t>
  </si>
  <si>
    <t>慈善團體及非牟利機構</t>
  </si>
  <si>
    <t>Organizations, Charitable and Social Service</t>
  </si>
  <si>
    <t>E2</t>
  </si>
  <si>
    <t>Trade Unions</t>
  </si>
  <si>
    <t>工會</t>
  </si>
  <si>
    <t>Associations - Civic, Social, and Fraternal</t>
  </si>
  <si>
    <t>E3</t>
  </si>
  <si>
    <t>Political Organizations</t>
  </si>
  <si>
    <t>政治組織</t>
  </si>
  <si>
    <t>Organizations, Political</t>
  </si>
  <si>
    <t>E4</t>
  </si>
  <si>
    <t>Religious Organizations</t>
  </si>
  <si>
    <t>宗教組織</t>
  </si>
  <si>
    <t>Organizations, Religious</t>
  </si>
  <si>
    <t>Government, Public Utilities and Services
政府、公共事業及服務</t>
  </si>
  <si>
    <t>F1</t>
  </si>
  <si>
    <t>Government Administrations - Economic and Social Services</t>
  </si>
  <si>
    <t>政府行政—經濟及社會服務</t>
  </si>
  <si>
    <t>Court Costs including Alimony and Child Support</t>
  </si>
  <si>
    <t>Fines</t>
  </si>
  <si>
    <t>Tax Payments</t>
  </si>
  <si>
    <t>F2</t>
  </si>
  <si>
    <t>Postal Services</t>
  </si>
  <si>
    <t>郵政服務</t>
  </si>
  <si>
    <t>Postal Services - Government Only</t>
  </si>
  <si>
    <t>F3</t>
  </si>
  <si>
    <t>Public Utilities</t>
  </si>
  <si>
    <t>公共事業</t>
  </si>
  <si>
    <t>Utilities - Electric, Gas, Heating Oil, Sanitary, Water</t>
  </si>
  <si>
    <t>F4</t>
  </si>
  <si>
    <t>Real Estate Brokerages and Agencies</t>
  </si>
  <si>
    <t>地產經紀及代理</t>
  </si>
  <si>
    <t>Real Estate Agents and Managers - Rentals</t>
  </si>
  <si>
    <t>Logistics, Transportation and Telecommunications 物流、運輸及通訊</t>
  </si>
  <si>
    <t>G1</t>
  </si>
  <si>
    <t>Buses</t>
  </si>
  <si>
    <t>巴士</t>
  </si>
  <si>
    <t>Bus Lines</t>
  </si>
  <si>
    <t>G2</t>
  </si>
  <si>
    <t>Car Parks</t>
  </si>
  <si>
    <t>停車場</t>
  </si>
  <si>
    <t>Automobile Parking Lots and Garages</t>
  </si>
  <si>
    <t>G3</t>
  </si>
  <si>
    <t>Car Rental Services</t>
  </si>
  <si>
    <t>汽車租賃</t>
  </si>
  <si>
    <t>Automobile Rental Agency - not elsewhere classified</t>
  </si>
  <si>
    <t>G4</t>
  </si>
  <si>
    <t>Ferries</t>
  </si>
  <si>
    <t>渡輪</t>
  </si>
  <si>
    <t>Transportation - Suburban and Local Commuter Passenger, including Ferries</t>
  </si>
  <si>
    <t>G5</t>
  </si>
  <si>
    <t>Local Deliveries</t>
  </si>
  <si>
    <t>本地貨運</t>
  </si>
  <si>
    <t>Motor Freight Carriers, Trucking - Local / Long Distance, Moving and
Storage Companies, Local Delivery</t>
  </si>
  <si>
    <t>G6</t>
  </si>
  <si>
    <t>Self Storages</t>
  </si>
  <si>
    <t>自存倉</t>
  </si>
  <si>
    <t>Public Warehousing - Farm Products, Refrigerated Goods, Household
Goods Storage</t>
  </si>
  <si>
    <t>G7</t>
  </si>
  <si>
    <t>Rails</t>
  </si>
  <si>
    <t>鐵路</t>
  </si>
  <si>
    <t>Passenger Railways</t>
  </si>
  <si>
    <t>G8</t>
  </si>
  <si>
    <t>Taxis</t>
  </si>
  <si>
    <t>的士</t>
  </si>
  <si>
    <t>Limousines and Taxicabs</t>
  </si>
  <si>
    <t>G9</t>
  </si>
  <si>
    <t>Telecommunication Services</t>
  </si>
  <si>
    <t>電訊服務</t>
  </si>
  <si>
    <t>Telecommunication Services including but not limited to prepaid phone services and recurring phone services</t>
  </si>
  <si>
    <t>G10</t>
  </si>
  <si>
    <t>Travel Agencies</t>
  </si>
  <si>
    <t>旅行社</t>
  </si>
  <si>
    <t>Travel Agencies and Tour Operators</t>
  </si>
  <si>
    <t>G11</t>
  </si>
  <si>
    <t>Other Business Services</t>
  </si>
  <si>
    <t>其他商業服務</t>
  </si>
  <si>
    <t>Business Services - not elsewhere classified</t>
  </si>
  <si>
    <t>G12</t>
  </si>
  <si>
    <t>Other Transportations</t>
  </si>
  <si>
    <t>其他交通工具</t>
  </si>
  <si>
    <t>Transportation Services - not elsewhere classified</t>
  </si>
  <si>
    <t>Medical and Nursing Services 醫護服務</t>
  </si>
  <si>
    <t>H1</t>
  </si>
  <si>
    <t>Clinics</t>
  </si>
  <si>
    <t>診所</t>
  </si>
  <si>
    <t>Health Practitioners, Medical Services - not elsewhere classified</t>
  </si>
  <si>
    <t>Healthcare</t>
  </si>
  <si>
    <t>1.75% + HKD25 monthly or 2.7%</t>
  </si>
  <si>
    <t>H2</t>
  </si>
  <si>
    <t>Dental Clinics</t>
  </si>
  <si>
    <t>牙科診所</t>
  </si>
  <si>
    <t>Dentists, Orthodontists</t>
  </si>
  <si>
    <t>H3</t>
  </si>
  <si>
    <t>Drug Stores</t>
  </si>
  <si>
    <t>藥房</t>
  </si>
  <si>
    <t>Drug Stores, Pharmacies</t>
  </si>
  <si>
    <t>H4</t>
  </si>
  <si>
    <t>Dentaland Medical Laboratories</t>
  </si>
  <si>
    <t>牙科及醫療化驗所</t>
  </si>
  <si>
    <t>Dental and Medical Laboratories</t>
  </si>
  <si>
    <t>H5</t>
  </si>
  <si>
    <t>Hospitals</t>
  </si>
  <si>
    <t>醫院</t>
  </si>
  <si>
    <t>H6</t>
  </si>
  <si>
    <t>Optometric Services (include optical stores)</t>
  </si>
  <si>
    <t>視光服務 (包括眼鏡店)</t>
  </si>
  <si>
    <t>Opticians, Optical Goods, and Eyeglasses</t>
  </si>
  <si>
    <t>H7</t>
  </si>
  <si>
    <t>Wholesale of Medical, Health and Hospital Equipment and Supplies</t>
  </si>
  <si>
    <t>醫療、衛生及醫院設備與用品批發供應商</t>
  </si>
  <si>
    <t>Dental / Laboratory / Medical / Ophthalmic Hospital Equipment and Supplies</t>
  </si>
  <si>
    <t>Retailing 零售</t>
  </si>
  <si>
    <t>I1</t>
  </si>
  <si>
    <t>Butcher Stores</t>
  </si>
  <si>
    <t>凍肉店</t>
  </si>
  <si>
    <t>Freezer, Locker Meat Provisioners</t>
  </si>
  <si>
    <t>Retail General</t>
  </si>
  <si>
    <t>I2</t>
  </si>
  <si>
    <t>Book Stores</t>
  </si>
  <si>
    <t>書店</t>
  </si>
  <si>
    <t>I3</t>
  </si>
  <si>
    <t>Car Repairing Services</t>
  </si>
  <si>
    <t>汽車維修服務</t>
  </si>
  <si>
    <t>Automotive Body Repair Shops</t>
  </si>
  <si>
    <t>Auto - Serivces</t>
  </si>
  <si>
    <t>I4</t>
  </si>
  <si>
    <t>Car Washing Services</t>
  </si>
  <si>
    <t>洗車服務</t>
  </si>
  <si>
    <t>Car Washes</t>
  </si>
  <si>
    <t>I5</t>
  </si>
  <si>
    <t>Children’s and Infants’ Clothing and Accessories Stores</t>
  </si>
  <si>
    <t>兒童及嬰兒服裝及配飾店</t>
  </si>
  <si>
    <t>Children’s and Infants’ Wear Stores</t>
  </si>
  <si>
    <t>I6</t>
  </si>
  <si>
    <t>Clock, Watch and Jewelry Repair Stores</t>
  </si>
  <si>
    <t>鐘錶及珠寶維修店</t>
  </si>
  <si>
    <t>Clock, Jewelry, and Watch Repair Shops</t>
  </si>
  <si>
    <t>I7</t>
  </si>
  <si>
    <t>Clock, Watch and Jewelry Stores</t>
  </si>
  <si>
    <t>鐘錶及珠寶店</t>
  </si>
  <si>
    <t>Clock, Jewelry, Watch, and Silverware Store</t>
  </si>
  <si>
    <t>I8</t>
  </si>
  <si>
    <t>Confectionery Stores</t>
  </si>
  <si>
    <t>糖果店</t>
  </si>
  <si>
    <t>Candy, Nut, Confectionery Stores</t>
  </si>
  <si>
    <t>I9</t>
  </si>
  <si>
    <t>Convenience Stores</t>
  </si>
  <si>
    <t>便利店</t>
  </si>
  <si>
    <t>Miscellaneous Food Stores - Convenience Stores, Markets, Specialty Stores</t>
  </si>
  <si>
    <t>I10</t>
  </si>
  <si>
    <t>Cosmetic Stores</t>
  </si>
  <si>
    <t>化妝品店</t>
  </si>
  <si>
    <t>I11</t>
  </si>
  <si>
    <t>Department Stores</t>
  </si>
  <si>
    <t>百貨公司</t>
  </si>
  <si>
    <t>I12</t>
  </si>
  <si>
    <t>Discount Stores</t>
  </si>
  <si>
    <t>特賣場</t>
  </si>
  <si>
    <t>I13</t>
  </si>
  <si>
    <t>Duty Free Stores</t>
  </si>
  <si>
    <t>免稅店</t>
  </si>
  <si>
    <t>I14</t>
  </si>
  <si>
    <t>Flowers and Florists Supplies</t>
  </si>
  <si>
    <t>鮮花及園藝用品店</t>
  </si>
  <si>
    <t>Florists Supplies, Nursery Stock, and Flowers</t>
  </si>
  <si>
    <t>I15</t>
  </si>
  <si>
    <t>Game and Toy Stores</t>
  </si>
  <si>
    <t>遊戲及玩具店</t>
  </si>
  <si>
    <t>Game, Toy, and Hobby Shops</t>
  </si>
  <si>
    <t>I16</t>
  </si>
  <si>
    <t>Gas Stations</t>
  </si>
  <si>
    <t>油站</t>
  </si>
  <si>
    <t>Service Stations</t>
  </si>
  <si>
    <t>I18</t>
  </si>
  <si>
    <t>Gift Stores</t>
  </si>
  <si>
    <t>禮品店</t>
  </si>
  <si>
    <t>Card, Gift, Novelty, and Souvenir Shops</t>
  </si>
  <si>
    <t>I19</t>
  </si>
  <si>
    <t>Home Appliances Stores</t>
  </si>
  <si>
    <t>家居電器店</t>
  </si>
  <si>
    <t>Household Appliance Stores</t>
  </si>
  <si>
    <t>I20</t>
  </si>
  <si>
    <t>Men's and Women's Clothing and Accessories Stores</t>
  </si>
  <si>
    <t>男女服裝及配飾店</t>
  </si>
  <si>
    <t>Men’s and Women’s Clothing Stores</t>
  </si>
  <si>
    <t>I21</t>
  </si>
  <si>
    <t>Office Supplies</t>
  </si>
  <si>
    <t>文儀用品</t>
  </si>
  <si>
    <t>Office, School Supply, and Stationery Stores</t>
  </si>
  <si>
    <t>I22</t>
  </si>
  <si>
    <t>Supermarkets and Grocery Stores</t>
  </si>
  <si>
    <t>超級市場及雜貨店</t>
  </si>
  <si>
    <t>Grocery Stores, Supermarkets.</t>
  </si>
  <si>
    <t>Supermarket</t>
  </si>
  <si>
    <t>I23</t>
  </si>
  <si>
    <t>Pet Food and Supplies</t>
  </si>
  <si>
    <t>寵物及寵物用品店</t>
  </si>
  <si>
    <t>Pet Shops - Pet Food and Supplies</t>
  </si>
  <si>
    <t>I24</t>
  </si>
  <si>
    <t>Photofinishing Services</t>
  </si>
  <si>
    <t>沖晒服務</t>
  </si>
  <si>
    <t>Photo Developing, Photofinishing Laboratories</t>
  </si>
  <si>
    <t>I25</t>
  </si>
  <si>
    <t>Photographic Equipments and Supplies Boutiques</t>
  </si>
  <si>
    <t>攝影器材及用品專賣店</t>
  </si>
  <si>
    <t>Camera and Photographic Supply Stores</t>
  </si>
  <si>
    <t>I26</t>
  </si>
  <si>
    <t>Photographic Studios</t>
  </si>
  <si>
    <t>影樓</t>
  </si>
  <si>
    <t>I27</t>
  </si>
  <si>
    <t>Record Stores</t>
  </si>
  <si>
    <t>唱片店</t>
  </si>
  <si>
    <t>Record Shops</t>
  </si>
  <si>
    <t>I28</t>
  </si>
  <si>
    <t>Security Devices and Services</t>
  </si>
  <si>
    <t>保安用品及服務</t>
  </si>
  <si>
    <t>Detective Agencies, Protective Agencies, Security Services including
Armored Cars, Guard Dogs</t>
  </si>
  <si>
    <t>Specialized Clothing and Accessories Stores</t>
  </si>
  <si>
    <t>專門服裝及配飾店</t>
  </si>
  <si>
    <t>Accessory and Apparel Stores - Miscellaneous</t>
  </si>
  <si>
    <t>I30</t>
  </si>
  <si>
    <t>Wetmarkets</t>
  </si>
  <si>
    <t>鮮活市場</t>
  </si>
  <si>
    <t>Traveling and Tourism 旅遊及觀光</t>
  </si>
  <si>
    <t>J1</t>
  </si>
  <si>
    <t>Amusement Parks and Theme Parks</t>
  </si>
  <si>
    <t>遊樂園及主題樂園</t>
  </si>
  <si>
    <t>Amusement Parks, Carnivals, Circuses, Fortune Tellers</t>
  </si>
  <si>
    <t>J2</t>
  </si>
  <si>
    <t>Museums and Other Cultural Activities</t>
  </si>
  <si>
    <t>博物館及其他文化活動</t>
  </si>
  <si>
    <t>Tourist Attractions and Exhibits</t>
  </si>
  <si>
    <t>Entertainment and Recreation 娛樂及休閒</t>
  </si>
  <si>
    <t>K1</t>
  </si>
  <si>
    <t>Gaming Centers</t>
  </si>
  <si>
    <t>遊戲機中心</t>
  </si>
  <si>
    <t>Video Game Arcades / Establishments</t>
  </si>
  <si>
    <t>K2</t>
  </si>
  <si>
    <t>Golf Centres</t>
  </si>
  <si>
    <t>高爾夫球場</t>
  </si>
  <si>
    <t>Golf Courses, Public</t>
  </si>
  <si>
    <t>K3</t>
  </si>
  <si>
    <t>Mahjong Schools, Casinos and Other Gambling Centers</t>
  </si>
  <si>
    <t>麻雀館、賭場及其它博彩中心</t>
  </si>
  <si>
    <t>Gambling Transactions</t>
  </si>
  <si>
    <t>K4</t>
  </si>
  <si>
    <t>Membership Clubs</t>
  </si>
  <si>
    <t>會員俱樂部</t>
  </si>
  <si>
    <t>Clubs - Country Clubs, Membership (Athletic, Recreation, Sports), Private Golf Courses</t>
  </si>
  <si>
    <t>K5</t>
  </si>
  <si>
    <t>Movie Theaters</t>
  </si>
  <si>
    <t>電影院</t>
  </si>
  <si>
    <t>Motion Picture Theaters</t>
  </si>
  <si>
    <t>K6</t>
  </si>
  <si>
    <t>Sports Facilities</t>
  </si>
  <si>
    <t>體育設施</t>
  </si>
  <si>
    <t>Athletic Fields, Commercial Sports, Professional Sports Clubs, Sports Promoters</t>
  </si>
  <si>
    <t>None of Above 以上皆非</t>
  </si>
  <si>
    <t>Z1</t>
  </si>
  <si>
    <t>Not Found: Please Update Sheet "MCC Blooklet" Cell C91)</t>
  </si>
  <si>
    <t>維他命藥 / 海味店</t>
  </si>
  <si>
    <t>水晶鏈</t>
  </si>
  <si>
    <t>電子榜</t>
  </si>
  <si>
    <t>Kitchenware</t>
  </si>
  <si>
    <t>Local Logistics / 迷你倉</t>
  </si>
  <si>
    <t>Materials</t>
  </si>
  <si>
    <t>Sports equipment</t>
  </si>
  <si>
    <t>Co-work space / Party Room</t>
  </si>
  <si>
    <t>food delivery platform</t>
  </si>
  <si>
    <t>Engineering</t>
  </si>
  <si>
    <t>Gym room , fitness</t>
  </si>
  <si>
    <t>補習社興趣班</t>
  </si>
  <si>
    <t>Clearing Code</t>
  </si>
  <si>
    <t>Institution Name</t>
  </si>
  <si>
    <t>SWIFT Code (FD)</t>
  </si>
  <si>
    <t>003</t>
  </si>
  <si>
    <t>STANDARD CHARTERED BANK (HONG KONG) LIMITED</t>
  </si>
  <si>
    <t>SCBLHKHHXXX</t>
  </si>
  <si>
    <t>004</t>
  </si>
  <si>
    <t>THE HONGKONG AND SHANGHAI BANKING CORPORATION LTD</t>
  </si>
  <si>
    <t>HSBCHKHHXXX</t>
  </si>
  <si>
    <t>005</t>
  </si>
  <si>
    <t>CREDIT AGRICOLE CORPORATE AND INVESTMENT BANK</t>
  </si>
  <si>
    <t>006</t>
  </si>
  <si>
    <t>CITIBANK N.A.</t>
  </si>
  <si>
    <t>CITIHKHXXXX</t>
  </si>
  <si>
    <t>007</t>
  </si>
  <si>
    <t>JPMORGAN CHASE BANK, N.A.</t>
  </si>
  <si>
    <t>009</t>
  </si>
  <si>
    <t>CHINA CONSTRUCTION BANK (ASIA) CORPORATION LIMITED</t>
  </si>
  <si>
    <t>CCBQHKAXXXX</t>
  </si>
  <si>
    <t>012</t>
  </si>
  <si>
    <t>BANK OF CHINA (HONG KONG) LIMITED</t>
  </si>
  <si>
    <t>BKCHHKHHXXX</t>
  </si>
  <si>
    <t>014</t>
  </si>
  <si>
    <t>015</t>
  </si>
  <si>
    <t>THE BANK OF EAST ASIA, LIMITED</t>
  </si>
  <si>
    <t>BEASHKHHXXX</t>
  </si>
  <si>
    <t>018</t>
  </si>
  <si>
    <t>CHINA CITIC BANK INTERNATIONAL LIMITED</t>
  </si>
  <si>
    <t>KWHKHKHHXXX</t>
  </si>
  <si>
    <t>019</t>
  </si>
  <si>
    <t>020</t>
  </si>
  <si>
    <t>CMB WING LUNG BANK LIMITED</t>
  </si>
  <si>
    <t>WUBAHKHHXXX</t>
  </si>
  <si>
    <t>022</t>
  </si>
  <si>
    <t>OVERSEA-CHINESE BANKING CORPORATION LTD</t>
  </si>
  <si>
    <t>024</t>
  </si>
  <si>
    <t>HANG SENG BANK LTD</t>
  </si>
  <si>
    <t>HASEHKHHXXX</t>
  </si>
  <si>
    <t>025</t>
  </si>
  <si>
    <t>SHANGHAI COMMERCIAL BANK LTD</t>
  </si>
  <si>
    <t>SCBKHKHHXXX</t>
  </si>
  <si>
    <t>026</t>
  </si>
  <si>
    <t>027</t>
  </si>
  <si>
    <t>BANK OF COMMUNICATIONS CO., LTD.</t>
  </si>
  <si>
    <t>COMMHKHHXXX</t>
  </si>
  <si>
    <t>028</t>
  </si>
  <si>
    <t>PUBLIC BANK (HONG KONG) LIMITED</t>
  </si>
  <si>
    <t>CBHKHKHHXXX</t>
  </si>
  <si>
    <t>029</t>
  </si>
  <si>
    <t xml:space="preserve">INDUSTRIAL AND COMMERCIAL BANK OF CHINA (ASIA) LTD </t>
  </si>
  <si>
    <t>030</t>
  </si>
  <si>
    <t>031</t>
  </si>
  <si>
    <t>032</t>
  </si>
  <si>
    <t>033</t>
  </si>
  <si>
    <t>035</t>
  </si>
  <si>
    <t>OCBC BANK (HONG KONG) LIMITED</t>
  </si>
  <si>
    <t>OCBCHKHHXXX</t>
  </si>
  <si>
    <t>036</t>
  </si>
  <si>
    <t>038</t>
  </si>
  <si>
    <t>TAI YAU BANK LTD</t>
  </si>
  <si>
    <t>039</t>
  </si>
  <si>
    <t>CHIYU BANKING CORPORATION LTD</t>
  </si>
  <si>
    <t>040</t>
  </si>
  <si>
    <t>DAH SING BANK LTD</t>
  </si>
  <si>
    <t>DSBAHKHHXXX</t>
  </si>
  <si>
    <t>041</t>
  </si>
  <si>
    <t>CHONG HING BANK LIMITED</t>
  </si>
  <si>
    <t>LCHBHKHHXXX</t>
  </si>
  <si>
    <t>043</t>
  </si>
  <si>
    <t>NANYANG COMMERCIAL BANK LTD</t>
  </si>
  <si>
    <t>NYCBHKHHXXX</t>
  </si>
  <si>
    <t>044</t>
  </si>
  <si>
    <t>045</t>
  </si>
  <si>
    <t>UCO BANK</t>
  </si>
  <si>
    <t>UCBAHKHHXXX</t>
  </si>
  <si>
    <t>046</t>
  </si>
  <si>
    <t>KEB HANA BANK</t>
  </si>
  <si>
    <t>047</t>
  </si>
  <si>
    <t>MUFG BANK, LTD.</t>
  </si>
  <si>
    <t>049</t>
  </si>
  <si>
    <t>BANGKOK BANK PUBLIC COMPANY LTD</t>
  </si>
  <si>
    <t>050</t>
  </si>
  <si>
    <t>INDIAN OVERSEAS BANK</t>
  </si>
  <si>
    <t>051</t>
  </si>
  <si>
    <t>052</t>
  </si>
  <si>
    <t>054</t>
  </si>
  <si>
    <t>DEUTSCHE BANK AG</t>
  </si>
  <si>
    <t>DEUTHKHHXXX</t>
  </si>
  <si>
    <t>055</t>
  </si>
  <si>
    <t>BANK OF AMERICA, NATIONAL ASSOCIATION</t>
  </si>
  <si>
    <t>056</t>
  </si>
  <si>
    <t>BNP PARIBAS</t>
  </si>
  <si>
    <t>BNPAHKHHXXX</t>
  </si>
  <si>
    <t>058</t>
  </si>
  <si>
    <t>BANK OF INDIA</t>
  </si>
  <si>
    <t>BKIDHKHHXXX</t>
  </si>
  <si>
    <t>060</t>
  </si>
  <si>
    <t>NATIONAL BANK OF PAKISTAN</t>
  </si>
  <si>
    <t>061</t>
  </si>
  <si>
    <t>TAI SANG BANK LTD</t>
  </si>
  <si>
    <t>TSBLHKHHXXX</t>
  </si>
  <si>
    <t>063</t>
  </si>
  <si>
    <t>MALAYAN BANKING BERHAD (MAYBANK)</t>
  </si>
  <si>
    <t>064</t>
  </si>
  <si>
    <t>065</t>
  </si>
  <si>
    <t>SUMITOMO MITSUI BANKING CORPORATION</t>
  </si>
  <si>
    <t>SMBCHKHHXXX</t>
  </si>
  <si>
    <t>066</t>
  </si>
  <si>
    <t>PT. BANK NEGARA INDONESIA (PERSERO) TBK.</t>
  </si>
  <si>
    <t>067</t>
  </si>
  <si>
    <t>BDO UNIBANK, INC.</t>
  </si>
  <si>
    <t>070</t>
  </si>
  <si>
    <t>071</t>
  </si>
  <si>
    <t>UNITED OVERSEAS BANK LTD</t>
  </si>
  <si>
    <t>072</t>
  </si>
  <si>
    <t>UBHKHKHHXXX</t>
  </si>
  <si>
    <t>074</t>
  </si>
  <si>
    <t>BARCLAYS BANK PLC</t>
  </si>
  <si>
    <t>BARCHKHHXXX</t>
  </si>
  <si>
    <t>076</t>
  </si>
  <si>
    <t>THE BANK OF NOVA SCOTIA</t>
  </si>
  <si>
    <t>080</t>
  </si>
  <si>
    <t>ROYAL BANK OF CANADA</t>
  </si>
  <si>
    <t>ROYCHKHHXXX</t>
  </si>
  <si>
    <t>081</t>
  </si>
  <si>
    <t>SOCIETE GENERALE</t>
  </si>
  <si>
    <t>082</t>
  </si>
  <si>
    <t>STATE BANK OF INDIA</t>
  </si>
  <si>
    <t>SBINHKHHXXX</t>
  </si>
  <si>
    <t>085</t>
  </si>
  <si>
    <t>THE TORONTO-DOMINION BANK</t>
  </si>
  <si>
    <t>086</t>
  </si>
  <si>
    <t>BANK OF MONTREAL</t>
  </si>
  <si>
    <t>BOFMHKHHXXX</t>
  </si>
  <si>
    <t>092</t>
  </si>
  <si>
    <t>CANADIAN IMPERIAL BANK OF COMMERCE</t>
  </si>
  <si>
    <t>CIBCHKHHXXX</t>
  </si>
  <si>
    <t>103</t>
  </si>
  <si>
    <t>UBS AG, HONG KONG</t>
  </si>
  <si>
    <t>106</t>
  </si>
  <si>
    <t>HSBC BANK USA, NATIONAL ASSOCIATION</t>
  </si>
  <si>
    <t>109</t>
  </si>
  <si>
    <t>MIZUHO BANK, LTD.</t>
  </si>
  <si>
    <t>113</t>
  </si>
  <si>
    <t>DZ BANK AG DEUTSCHE ZENTRAL-GENOSSENSCHAFTSBANK</t>
  </si>
  <si>
    <t>118</t>
  </si>
  <si>
    <t xml:space="preserve">WOORI BANK </t>
  </si>
  <si>
    <t>119</t>
  </si>
  <si>
    <t>PHILIPPINE NATIONAL BANK</t>
  </si>
  <si>
    <t>PNBMHKHHXXX</t>
  </si>
  <si>
    <t>128</t>
  </si>
  <si>
    <t>FUBON BANK (HONG KONG) LIMITED</t>
  </si>
  <si>
    <t>IBALHKHHXXX</t>
  </si>
  <si>
    <t>138</t>
  </si>
  <si>
    <t>MITSUBISHI UFJ TRUST AND BANKING CORPORATION</t>
  </si>
  <si>
    <t>MTBCHKHHXXX</t>
  </si>
  <si>
    <t>139</t>
  </si>
  <si>
    <t>THE BANK OF NEW YORK MELLON</t>
  </si>
  <si>
    <t>145</t>
  </si>
  <si>
    <t>ING BANK N.V.</t>
  </si>
  <si>
    <t>INGBHKHHXXX</t>
  </si>
  <si>
    <t>147</t>
  </si>
  <si>
    <t>BANCO BILBAO VIZCAYA ARGENTARIA, S.A.</t>
  </si>
  <si>
    <t>150</t>
  </si>
  <si>
    <t>NATIONAL AUSTRALIA BANK LTD</t>
  </si>
  <si>
    <t>152</t>
  </si>
  <si>
    <t>AUSTRALIA AND NEW ZEALAND BANKING GROUP LTD</t>
  </si>
  <si>
    <t>ANZBHKHXXXX</t>
  </si>
  <si>
    <t>153</t>
  </si>
  <si>
    <t>COMMONWEALTH BANK OF AUSTRALIA</t>
  </si>
  <si>
    <t>161</t>
  </si>
  <si>
    <t>INTESA SANPAOLO S.P.A.</t>
  </si>
  <si>
    <t>164</t>
  </si>
  <si>
    <t>UNICREDIT BANK AG</t>
  </si>
  <si>
    <t>170</t>
  </si>
  <si>
    <t>THE CHIBA BANK LTD</t>
  </si>
  <si>
    <t>178</t>
  </si>
  <si>
    <t>KBC BANK N.V.</t>
  </si>
  <si>
    <t>180</t>
  </si>
  <si>
    <t>WELLS FARGO BANK, N.A.</t>
  </si>
  <si>
    <t>183</t>
  </si>
  <si>
    <t xml:space="preserve">COOPERATIEVE RABOBANK U.A. </t>
  </si>
  <si>
    <t>185</t>
  </si>
  <si>
    <t>DBS BANK LTD, HONG KONG BRANCH</t>
  </si>
  <si>
    <t>DBSSHKHHXXX</t>
  </si>
  <si>
    <t>186</t>
  </si>
  <si>
    <t>THE SHIZUOKA BANK, LTD</t>
  </si>
  <si>
    <t>188</t>
  </si>
  <si>
    <t>THE HACHIJUNI BANK, LTD</t>
  </si>
  <si>
    <t>198</t>
  </si>
  <si>
    <t>HUA NAN COMMERCIAL BANK LTD</t>
  </si>
  <si>
    <t>199</t>
  </si>
  <si>
    <t>THE SHIGA BANK, LTD.</t>
  </si>
  <si>
    <t>201</t>
  </si>
  <si>
    <t>BANK OF TAIWAN</t>
  </si>
  <si>
    <t>THE CHUGOKU BANK LTD</t>
  </si>
  <si>
    <t>203</t>
  </si>
  <si>
    <t>FIRST COMMERCIAL BANK</t>
  </si>
  <si>
    <t>206</t>
  </si>
  <si>
    <t>CHANG HWA COMMERCIAL BANK LTD</t>
  </si>
  <si>
    <t>210</t>
  </si>
  <si>
    <t>NATIXIS</t>
  </si>
  <si>
    <t>214</t>
  </si>
  <si>
    <t>INDUSTRIAL AND COMMERCIAL BANK OF CHINA LIMITED</t>
  </si>
  <si>
    <t>220</t>
  </si>
  <si>
    <t>STATE STREET BANK AND TRUST COMPANY</t>
  </si>
  <si>
    <t>221</t>
  </si>
  <si>
    <t>CHINA CONSTRUCTION BANK CORPORATION</t>
  </si>
  <si>
    <t>PCBCHKHHXXX</t>
  </si>
  <si>
    <t>222</t>
  </si>
  <si>
    <t>AGRICULTURAL BANK OF CHINA LIMITED</t>
  </si>
  <si>
    <t>227</t>
  </si>
  <si>
    <t>ERSTE GROUP BANK AG</t>
  </si>
  <si>
    <t>GIBAHKHHXXX</t>
  </si>
  <si>
    <t>229</t>
  </si>
  <si>
    <t>CTBC BANK CO., LTD.</t>
  </si>
  <si>
    <t>230</t>
  </si>
  <si>
    <t>TAIWAN BUSINESS BANK, LTD.</t>
  </si>
  <si>
    <t>233</t>
  </si>
  <si>
    <t>CREDIT SUISSE AG</t>
  </si>
  <si>
    <t>236</t>
  </si>
  <si>
    <t>CATHAY UNITED BANK COMPANY, LIMITED</t>
  </si>
  <si>
    <t>237</t>
  </si>
  <si>
    <t>EFG BANK AG</t>
  </si>
  <si>
    <t>EFGBHKHHXXX</t>
  </si>
  <si>
    <t>238</t>
  </si>
  <si>
    <t>CHINA MERCHANTS BANK CO., LTD.</t>
  </si>
  <si>
    <t>239</t>
  </si>
  <si>
    <t>TAIPEI FUBON COMMERCIAL BANK CO., LTD.</t>
  </si>
  <si>
    <t>241</t>
  </si>
  <si>
    <t>BANK SINOPAC</t>
  </si>
  <si>
    <t>SINOHKHHXXX</t>
  </si>
  <si>
    <t>242</t>
  </si>
  <si>
    <t>MEGA INTERNATIONAL COMMERCIAL BANK CO., LTD.</t>
  </si>
  <si>
    <t>243</t>
  </si>
  <si>
    <t>E.SUN COMMERCIAL BANK, LTD</t>
  </si>
  <si>
    <t>244</t>
  </si>
  <si>
    <t>245</t>
  </si>
  <si>
    <t>TAISHIN INTERNATIONAL BANK CO., LTD</t>
  </si>
  <si>
    <t>248</t>
  </si>
  <si>
    <t>HONG LEONG BANK BERHAD</t>
  </si>
  <si>
    <t>249</t>
  </si>
  <si>
    <t>STANDARD CHARTERED BANK HONG KONG BRANCH</t>
  </si>
  <si>
    <t>250</t>
  </si>
  <si>
    <t>CITIBANK (HONG KONG) LIMITED</t>
  </si>
  <si>
    <t>CITIHKAXXXX</t>
  </si>
  <si>
    <t>251</t>
  </si>
  <si>
    <t>ICICI BANK LIMITED</t>
  </si>
  <si>
    <t>254</t>
  </si>
  <si>
    <t>MELLI BANK PLC</t>
  </si>
  <si>
    <t>258</t>
  </si>
  <si>
    <t>EAST WEST BANK</t>
  </si>
  <si>
    <t>EWBKHKHHXXX</t>
  </si>
  <si>
    <t>260</t>
  </si>
  <si>
    <t>FAR EASTERN INTERNATIONAL BANK</t>
  </si>
  <si>
    <t>263</t>
  </si>
  <si>
    <t xml:space="preserve">CATHAY BANK </t>
  </si>
  <si>
    <t>264</t>
  </si>
  <si>
    <t>LAND BANK OF TAIWAN CO., LTD.</t>
  </si>
  <si>
    <t>265</t>
  </si>
  <si>
    <t>TAIWAN COOPERATIVE BANK, LTD.</t>
  </si>
  <si>
    <t>267</t>
  </si>
  <si>
    <t>BANCO SANTANDER S.A.</t>
  </si>
  <si>
    <t>269</t>
  </si>
  <si>
    <t>THE SHANGHAI COMMERCIAL &amp; SAVINGS BANK LTD</t>
  </si>
  <si>
    <t>271</t>
  </si>
  <si>
    <t>INDUSTRIAL BANK OF KOREA</t>
  </si>
  <si>
    <t>272</t>
  </si>
  <si>
    <t>BANK OF SINGAPORE LIMITED</t>
  </si>
  <si>
    <t>273</t>
  </si>
  <si>
    <t>SHINHAN BANK</t>
  </si>
  <si>
    <t>274</t>
  </si>
  <si>
    <t>O-BANK CO., LTD.</t>
  </si>
  <si>
    <t>276</t>
  </si>
  <si>
    <t>CHINA DEVELOPMENT BANK</t>
  </si>
  <si>
    <t>277</t>
  </si>
  <si>
    <t>FIRST ABU DHABI BANK PJSC</t>
  </si>
  <si>
    <t>278</t>
  </si>
  <si>
    <t>BANK J. SAFRA SARASIN LTD</t>
  </si>
  <si>
    <t>279</t>
  </si>
  <si>
    <t>BANK OF CHINA (HONG KONG) LIMITED, MANILA BRANCH</t>
  </si>
  <si>
    <t>280</t>
  </si>
  <si>
    <t>BANK OF CHINA LIMITED TOKYO BRANCH</t>
  </si>
  <si>
    <t>281</t>
  </si>
  <si>
    <t>PT BANK CENTRAL ASIA TBK, INDONESIA</t>
  </si>
  <si>
    <t>282</t>
  </si>
  <si>
    <t>BANK OF CHINA (MALAYSIA) BERHAD</t>
  </si>
  <si>
    <t>283</t>
  </si>
  <si>
    <t>JOINT-STOCK COMMERCIAL BANK &lt;BANK OF CHINA (RUSSIA)&gt;</t>
  </si>
  <si>
    <t>284</t>
  </si>
  <si>
    <t>BANK OF CHINA LIMITED JAKARTA BRANCH</t>
  </si>
  <si>
    <t>285</t>
  </si>
  <si>
    <t>BANK OF CHINA LIMITED SEOUL BRANCH</t>
  </si>
  <si>
    <t>286</t>
  </si>
  <si>
    <t>BANK OF CHINA LIMITED SINGAPORE BRANCH</t>
  </si>
  <si>
    <t>287</t>
  </si>
  <si>
    <t>BANK OF CHINA LIMITED FRANKFURT BRANCH</t>
  </si>
  <si>
    <t>288</t>
  </si>
  <si>
    <t>BANK OF CHINA LIMITED SYDNEY BRANCH</t>
  </si>
  <si>
    <t>289</t>
  </si>
  <si>
    <t xml:space="preserve">BANK OF CHINA (THAI) PUBLIC COMPANY LIMITED </t>
  </si>
  <si>
    <t>290</t>
  </si>
  <si>
    <t>BANK OF CHINA (CENTRAL AND EASTERN EUROPE) LIMITED</t>
  </si>
  <si>
    <t>291</t>
  </si>
  <si>
    <t>BANK OF CHINA LIMITED MILAN BRANCH</t>
  </si>
  <si>
    <t>292</t>
  </si>
  <si>
    <t>BANK OF CHINA LONDON BRANCH</t>
  </si>
  <si>
    <t>293</t>
  </si>
  <si>
    <t>VIETNAM JOINT STOCK COMMERCIAL BANK FOR INDUSTRY AND TRADE</t>
  </si>
  <si>
    <t>295</t>
  </si>
  <si>
    <t>METROPOLITAN BANK &amp; TRUST COMPANY</t>
  </si>
  <si>
    <t>296</t>
  </si>
  <si>
    <t>SAIGON THUONG TIN COMMERCIAL JOINT STOCK BANK</t>
  </si>
  <si>
    <t>298</t>
  </si>
  <si>
    <t>BANK OF CHINA LIMITED JOHANNESBURG BRANCH</t>
  </si>
  <si>
    <t>300</t>
  </si>
  <si>
    <t>BANK OF CHINA (EUROPE) S.A.</t>
  </si>
  <si>
    <t>301</t>
  </si>
  <si>
    <t>BANK OF CHINA LIMITED LUXEMBOURG BRANCH</t>
  </si>
  <si>
    <t>302</t>
  </si>
  <si>
    <t>BANK OF CHINA LIMITED GRAND CAYMAN BRANCH</t>
  </si>
  <si>
    <t>303</t>
  </si>
  <si>
    <t>BANK OF CHINA LIMITED PARIS BRANCH</t>
  </si>
  <si>
    <t>304</t>
  </si>
  <si>
    <t>BANK OF CHINA LIMITED NEW YORK BRANCH</t>
  </si>
  <si>
    <t>305</t>
  </si>
  <si>
    <t>JSC AB (BANK OF CHINA KAZAKHSTAN)</t>
  </si>
  <si>
    <t>306</t>
  </si>
  <si>
    <t>BANK OF CHINA (ZAMBIA) LIMITED</t>
  </si>
  <si>
    <t>308</t>
  </si>
  <si>
    <t>HDFC BANK LTD.</t>
  </si>
  <si>
    <t>309</t>
  </si>
  <si>
    <t>UNION BANCAIRE PRIVEE, UBP SA</t>
  </si>
  <si>
    <t>310</t>
  </si>
  <si>
    <t>BANK OF CHINA (CANADA)</t>
  </si>
  <si>
    <t>311</t>
  </si>
  <si>
    <t>BANK OF CHINA LIMITED, PANAMA BRANCH</t>
  </si>
  <si>
    <t>314</t>
  </si>
  <si>
    <t>BANK OF CHINA (UK) LIMITED</t>
  </si>
  <si>
    <t>315</t>
  </si>
  <si>
    <t>BANK OF CHINA (AUSTRALIA) LIMITED</t>
  </si>
  <si>
    <t>316</t>
  </si>
  <si>
    <t>SKANDINAVISKA ENSKILDA BANKEN AB</t>
  </si>
  <si>
    <t>318</t>
  </si>
  <si>
    <t>KDB ASIA LIMITED</t>
  </si>
  <si>
    <t>KODBHKHHXXX</t>
  </si>
  <si>
    <t>319</t>
  </si>
  <si>
    <t xml:space="preserve">COOPERATIEVE RABOBANK U.A., SINGAPORE </t>
  </si>
  <si>
    <t>320</t>
  </si>
  <si>
    <t>BANK JULIUS BAER &amp; CO. LTD.</t>
  </si>
  <si>
    <t>321</t>
  </si>
  <si>
    <t>BANK OF CHINA INTERNATIONAL LIMITED</t>
  </si>
  <si>
    <t>CDFCHKHHXXX</t>
  </si>
  <si>
    <t>322</t>
  </si>
  <si>
    <t>HABIB BANK ZURICH (HONG KONG) LIMITED</t>
  </si>
  <si>
    <t>324</t>
  </si>
  <si>
    <t>CREDIT INDUSTRIEL ET COMMERCIAL</t>
  </si>
  <si>
    <t>325</t>
  </si>
  <si>
    <t>GRANIT BANK ZRT</t>
  </si>
  <si>
    <t>326</t>
  </si>
  <si>
    <t>BANK OF CHINA (BRASIL) S.A.</t>
  </si>
  <si>
    <t>327</t>
  </si>
  <si>
    <t>BANK OF CHINA LIMITED PHNOM PENH BRANCH</t>
  </si>
  <si>
    <t>329</t>
  </si>
  <si>
    <t>THE BANK OF NOVA SCOTIA, SINGAPORE</t>
  </si>
  <si>
    <t>331</t>
  </si>
  <si>
    <t>NATIONAL BANK OF CANADA</t>
  </si>
  <si>
    <t>337</t>
  </si>
  <si>
    <t>TAIWAN SHIN KONG COMMERCIAL BANK CO., LTD.</t>
  </si>
  <si>
    <t>338</t>
  </si>
  <si>
    <t>BANK OF CHINA LIMITED, HONG KONG BRANCH</t>
  </si>
  <si>
    <t>339</t>
  </si>
  <si>
    <t>CA INDOSUEZ (SWITZERLAND) SA</t>
  </si>
  <si>
    <t>340</t>
  </si>
  <si>
    <t>AGRICULTURAL BANK OF CHINA LIMITED, SINGAPORE BRANCH</t>
  </si>
  <si>
    <t>342</t>
  </si>
  <si>
    <t>LGT BANK AG</t>
  </si>
  <si>
    <t>343</t>
  </si>
  <si>
    <t>CIMB THAI BANK PUBLIC COMPANY LIMITED</t>
  </si>
  <si>
    <t>345</t>
  </si>
  <si>
    <t>SHANGHAI PUDONG DEVELOPMENT BANK CO., LTD</t>
  </si>
  <si>
    <t>348</t>
  </si>
  <si>
    <t>BANK OF CHINA (HONG KONG) LIMITED HO CHI MINH CITY BRANCH</t>
  </si>
  <si>
    <t>349</t>
  </si>
  <si>
    <t>BANK OF COMMUNICATIONS SEOUL BRANCH</t>
  </si>
  <si>
    <t>351</t>
  </si>
  <si>
    <t>CAMBODIA MEKONG BANK PUBLIC LIMITED</t>
  </si>
  <si>
    <t>352</t>
  </si>
  <si>
    <t>MASHREQBANK PSC</t>
  </si>
  <si>
    <t>353</t>
  </si>
  <si>
    <t>CHINA MINSHENG BANKING CORP., LTD.</t>
  </si>
  <si>
    <t>356</t>
  </si>
  <si>
    <t>BANCO DO BRASIL S. A., TOKYO BRANCH</t>
  </si>
  <si>
    <t>358</t>
  </si>
  <si>
    <t>CHINA CONSTRUCTION BANK CORPORATION SEOUL BRANCH</t>
  </si>
  <si>
    <t>359</t>
  </si>
  <si>
    <t>CHINA GUANGFA BANK CO., LTD.</t>
  </si>
  <si>
    <t>361</t>
  </si>
  <si>
    <t>CHINA BOHAI BANK CO., LTD.</t>
  </si>
  <si>
    <t>364</t>
  </si>
  <si>
    <t>BANQUE PICTET &amp; CIE SA</t>
  </si>
  <si>
    <t>365</t>
  </si>
  <si>
    <t>BANK OF DONGGUAN CO., LTD.</t>
  </si>
  <si>
    <t>368</t>
  </si>
  <si>
    <t>CHINA EVERBRIGHT BANK CO., LTD</t>
  </si>
  <si>
    <t>369</t>
  </si>
  <si>
    <t>BANK OF CHINA (DUBAI) BRANCH</t>
  </si>
  <si>
    <t>371</t>
  </si>
  <si>
    <t>SUMITOMO MITSUI TRUST BANK, LIMITED</t>
  </si>
  <si>
    <t>372</t>
  </si>
  <si>
    <t>BANK OF SHANGHAI (HONG KONG) LIMITED</t>
  </si>
  <si>
    <t>374</t>
  </si>
  <si>
    <t>CIMB BANK BERHAD</t>
  </si>
  <si>
    <t>375</t>
  </si>
  <si>
    <t>J.P. MORGAN SECURITIES (ASIA PACIFIC) LIMITED</t>
  </si>
  <si>
    <t>376</t>
  </si>
  <si>
    <t>NONGHYUP BANK</t>
  </si>
  <si>
    <t>377</t>
  </si>
  <si>
    <t>INDUSTRIAL BANK CO., LTD.</t>
  </si>
  <si>
    <t>378</t>
  </si>
  <si>
    <t>YUANTA COMMERCIAL BANK CO., LTD.</t>
  </si>
  <si>
    <t>379</t>
  </si>
  <si>
    <t>MASHREQ BANK - PUBLIC SHAREHOLDING COMPANY</t>
  </si>
  <si>
    <t>380</t>
  </si>
  <si>
    <t>KASIKORNBANK PUBLIC COMPANY LIMITED</t>
  </si>
  <si>
    <t>KASIHKHHXXX</t>
  </si>
  <si>
    <t>381</t>
  </si>
  <si>
    <t>KOOKMIN BANK</t>
  </si>
  <si>
    <t>382</t>
  </si>
  <si>
    <t>BANK OF COMMUNICATIONS (HONG KONG) LIMITED</t>
  </si>
  <si>
    <t>383</t>
  </si>
  <si>
    <t>CHINA ZHESHANG BANK CO., LTD.</t>
  </si>
  <si>
    <t>384</t>
  </si>
  <si>
    <t>MORGAN STANLEY BANK ASIA LIMITED</t>
  </si>
  <si>
    <t>385</t>
  </si>
  <si>
    <t>PING AN BANK CO., LTD.</t>
  </si>
  <si>
    <t>386</t>
  </si>
  <si>
    <t>HUA XIA BANK CO., LIMITED</t>
  </si>
  <si>
    <t>387</t>
  </si>
  <si>
    <t>ZA BANK LIMITED</t>
  </si>
  <si>
    <t>388</t>
  </si>
  <si>
    <t>LIVI BANK LIMITED</t>
  </si>
  <si>
    <t>389</t>
  </si>
  <si>
    <t>MOX BANK LIMITED</t>
  </si>
  <si>
    <t>390</t>
  </si>
  <si>
    <t>WELAB BANK LIMITED</t>
  </si>
  <si>
    <t>391</t>
  </si>
  <si>
    <t>FUSION BANK LIMITED</t>
  </si>
  <si>
    <t>392</t>
  </si>
  <si>
    <t>PING AN ONECONNECT BANK (HONG KONG) LIMITED</t>
  </si>
  <si>
    <t>393</t>
  </si>
  <si>
    <t>ANT BANK (HONG KONG) LIMITED</t>
  </si>
  <si>
    <t>394</t>
  </si>
  <si>
    <t>QATAR NATIONAL BANK (Q.P.S.C.)</t>
  </si>
  <si>
    <t>395</t>
  </si>
  <si>
    <t>AIRSTAR BANK LIMITED</t>
  </si>
  <si>
    <t>396</t>
  </si>
  <si>
    <t>THE KOREA DEVELOPMENT BANK</t>
  </si>
  <si>
    <t>Country Codes</t>
  </si>
  <si>
    <t>Positions Type</t>
  </si>
  <si>
    <t>X_0</t>
  </si>
  <si>
    <t>Business Type</t>
  </si>
  <si>
    <t>Sub-Districts</t>
  </si>
  <si>
    <t>分區</t>
  </si>
  <si>
    <t>地區</t>
  </si>
  <si>
    <t>Mr</t>
  </si>
  <si>
    <t>12 Months</t>
  </si>
  <si>
    <t>Aberdeen</t>
  </si>
  <si>
    <t>香港仔</t>
  </si>
  <si>
    <t>南區</t>
  </si>
  <si>
    <t>Southern</t>
  </si>
  <si>
    <t>Mrs</t>
  </si>
  <si>
    <t>24 Months</t>
  </si>
  <si>
    <t>Partnership</t>
  </si>
  <si>
    <t>Admiralty</t>
  </si>
  <si>
    <t>金鐘</t>
  </si>
  <si>
    <t>中西區</t>
  </si>
  <si>
    <t>Central and Western</t>
  </si>
  <si>
    <t>Macau, China</t>
  </si>
  <si>
    <t>Ms</t>
  </si>
  <si>
    <t>1 Months (Event Only)</t>
  </si>
  <si>
    <t>Ap Lei Chau</t>
  </si>
  <si>
    <t>鴨脷洲</t>
  </si>
  <si>
    <t>American</t>
  </si>
  <si>
    <t>Miss</t>
  </si>
  <si>
    <t>Public Limited</t>
  </si>
  <si>
    <t>Beacon Hill</t>
  </si>
  <si>
    <t>筆架山</t>
  </si>
  <si>
    <t>九龍城</t>
  </si>
  <si>
    <t>Kowloon City</t>
  </si>
  <si>
    <t>Australian</t>
  </si>
  <si>
    <t>HKTPOSMobilePlan</t>
  </si>
  <si>
    <t>NGO</t>
  </si>
  <si>
    <t>Braemar Hill</t>
  </si>
  <si>
    <t>寶馬山</t>
  </si>
  <si>
    <t>東區</t>
  </si>
  <si>
    <t>Eastern</t>
  </si>
  <si>
    <t>British</t>
  </si>
  <si>
    <t>Y_0</t>
  </si>
  <si>
    <t>Government</t>
  </si>
  <si>
    <t>Causeway Bay</t>
  </si>
  <si>
    <t>銅鑼灣</t>
  </si>
  <si>
    <t>灣仔</t>
  </si>
  <si>
    <t>Wan Chai</t>
  </si>
  <si>
    <t>Canadian</t>
  </si>
  <si>
    <t xml:space="preserve">Other: Clear and Replace Sheet "OtherCodes" Cell K8 with others name. </t>
  </si>
  <si>
    <t>Central</t>
  </si>
  <si>
    <t>中環</t>
  </si>
  <si>
    <t>French</t>
  </si>
  <si>
    <t>36 Months</t>
  </si>
  <si>
    <t>Chai Wan</t>
  </si>
  <si>
    <t>柴灣</t>
  </si>
  <si>
    <t>German</t>
  </si>
  <si>
    <t>SmartPOS Language</t>
  </si>
  <si>
    <t>Cheung Chau</t>
  </si>
  <si>
    <t>長洲</t>
  </si>
  <si>
    <t>離島</t>
  </si>
  <si>
    <t>Islands</t>
  </si>
  <si>
    <t>Indian</t>
  </si>
  <si>
    <t>Chinese</t>
  </si>
  <si>
    <t>Cheung Muk Tau</t>
  </si>
  <si>
    <t>樟木頭</t>
  </si>
  <si>
    <t>大埔</t>
  </si>
  <si>
    <t>Tai Po</t>
  </si>
  <si>
    <t>Italian</t>
  </si>
  <si>
    <t>English</t>
  </si>
  <si>
    <t>Cheung Sha Wan</t>
  </si>
  <si>
    <t>長沙灣</t>
  </si>
  <si>
    <t>深水埗</t>
  </si>
  <si>
    <t>Sham Shui Po</t>
  </si>
  <si>
    <t>Japanese</t>
  </si>
  <si>
    <t>Chung Hom Kok</t>
  </si>
  <si>
    <t>舂磡角</t>
  </si>
  <si>
    <t>Malaysian</t>
  </si>
  <si>
    <t>Clear Water Bay</t>
  </si>
  <si>
    <t>清水灣</t>
  </si>
  <si>
    <t>西貢</t>
  </si>
  <si>
    <t>Sai Kung</t>
  </si>
  <si>
    <t>New Zealander</t>
  </si>
  <si>
    <t>Diamond Hill</t>
  </si>
  <si>
    <t>鑽石山</t>
  </si>
  <si>
    <t>黃大仙</t>
  </si>
  <si>
    <t>Wong Tai Sin</t>
  </si>
  <si>
    <t>South Korean</t>
  </si>
  <si>
    <t>Fanling</t>
  </si>
  <si>
    <t>粉嶺</t>
  </si>
  <si>
    <t>北區</t>
  </si>
  <si>
    <t>North</t>
  </si>
  <si>
    <t>Spanish</t>
  </si>
  <si>
    <t>Fo Tan</t>
  </si>
  <si>
    <t>火炭</t>
  </si>
  <si>
    <t>沙田</t>
  </si>
  <si>
    <t>Sha Tin</t>
  </si>
  <si>
    <t>Taiwanese</t>
  </si>
  <si>
    <t>Ha Tsuen</t>
  </si>
  <si>
    <t>廈村</t>
  </si>
  <si>
    <t>元朗</t>
  </si>
  <si>
    <t>Yuen Long</t>
  </si>
  <si>
    <t xml:space="preserve">Other: Clear and Replace Sheet "OtherCodes" Cell A5 with others name. </t>
  </si>
  <si>
    <t>Hang Hau</t>
  </si>
  <si>
    <t>坑口</t>
  </si>
  <si>
    <t>Happy Valley</t>
  </si>
  <si>
    <t>跑馬地</t>
  </si>
  <si>
    <t>Ho Man Tin</t>
  </si>
  <si>
    <t>何文田</t>
  </si>
  <si>
    <t>Hung Hom</t>
  </si>
  <si>
    <t>紅磡</t>
  </si>
  <si>
    <t>Hung Shui Kiu</t>
  </si>
  <si>
    <t>洪水橋</t>
  </si>
  <si>
    <t>Jardine's Lookout</t>
  </si>
  <si>
    <t>渣甸山</t>
  </si>
  <si>
    <t>Jordan Valley</t>
  </si>
  <si>
    <t>佐敦谷</t>
  </si>
  <si>
    <t>觀塘</t>
  </si>
  <si>
    <t>Kwun Tong</t>
  </si>
  <si>
    <t>Kai Tak</t>
  </si>
  <si>
    <t>啟德</t>
  </si>
  <si>
    <t>Kam Tin</t>
  </si>
  <si>
    <t>錦田</t>
  </si>
  <si>
    <t>Kei Ling Ha</t>
  </si>
  <si>
    <t>企嶺下</t>
  </si>
  <si>
    <t>Kennedy Town</t>
  </si>
  <si>
    <t>堅尼地城</t>
  </si>
  <si>
    <t>Yes_No</t>
  </si>
  <si>
    <t>Area</t>
  </si>
  <si>
    <t>King's Park</t>
  </si>
  <si>
    <t>京士柏</t>
  </si>
  <si>
    <t>油尖旺</t>
  </si>
  <si>
    <t>Yau Tsim Mong</t>
  </si>
  <si>
    <t>HKID</t>
  </si>
  <si>
    <t>Hong Kong Island</t>
  </si>
  <si>
    <t>Kowloon Bay</t>
  </si>
  <si>
    <t>九龍灣</t>
  </si>
  <si>
    <t>Passport</t>
  </si>
  <si>
    <t>Kowloon</t>
  </si>
  <si>
    <t>Kowloon Tong</t>
  </si>
  <si>
    <t>九龍塘</t>
  </si>
  <si>
    <t>Kwai Chung</t>
  </si>
  <si>
    <t>葵涌</t>
  </si>
  <si>
    <t>葵青</t>
  </si>
  <si>
    <t>Kwai Tsing</t>
  </si>
  <si>
    <t>SI NAME</t>
  </si>
  <si>
    <t>Lai Chi Kok</t>
  </si>
  <si>
    <t>荔枝角</t>
  </si>
  <si>
    <t xml:space="preserve">Other: Clear and Replace Sheet "OtherCodes" Cell C21 with others name. </t>
  </si>
  <si>
    <t>Lam Tei</t>
  </si>
  <si>
    <t>藍地</t>
  </si>
  <si>
    <t>屯門</t>
  </si>
  <si>
    <t>Tuen Mun</t>
  </si>
  <si>
    <t>Lam Tin</t>
  </si>
  <si>
    <t>藍田</t>
  </si>
  <si>
    <t>IBS RESEARCH LIMITED</t>
  </si>
  <si>
    <t>Lamma Island</t>
  </si>
  <si>
    <t>南丫島</t>
  </si>
  <si>
    <t>POSIFY</t>
  </si>
  <si>
    <t>Lantau Island</t>
  </si>
  <si>
    <t>大嶼山</t>
  </si>
  <si>
    <t>GINGERSOFT</t>
  </si>
  <si>
    <t>Lau Fau Shan</t>
  </si>
  <si>
    <t>流浮山</t>
  </si>
  <si>
    <t>PINME</t>
  </si>
  <si>
    <t>Lei Muk Shue</t>
  </si>
  <si>
    <t>梨木樹</t>
  </si>
  <si>
    <t>荃灣</t>
  </si>
  <si>
    <t>Tsuen Wan</t>
  </si>
  <si>
    <t>METERSQUARE</t>
  </si>
  <si>
    <t>Lei Yue Mun</t>
  </si>
  <si>
    <t>鯉魚門</t>
  </si>
  <si>
    <t>PRO-AN</t>
  </si>
  <si>
    <t>Lok Fu</t>
  </si>
  <si>
    <t>樂富</t>
  </si>
  <si>
    <t>MEMDB</t>
  </si>
  <si>
    <t>Lok Ma Chau</t>
  </si>
  <si>
    <t>落馬洲</t>
  </si>
  <si>
    <t>HIPPOS</t>
  </si>
  <si>
    <t>Luen Wo Hui</t>
  </si>
  <si>
    <t>聯和墟</t>
  </si>
  <si>
    <t>EVERICH</t>
  </si>
  <si>
    <t>Luk Keng</t>
  </si>
  <si>
    <t>鹿頸</t>
  </si>
  <si>
    <t>LINKAGE</t>
  </si>
  <si>
    <t>Ma Liu Shui</t>
  </si>
  <si>
    <t>馬料水</t>
  </si>
  <si>
    <t>Ma On Shan</t>
  </si>
  <si>
    <t>馬鞍山</t>
  </si>
  <si>
    <t>Ma Tau Kok</t>
  </si>
  <si>
    <t>馬頭角</t>
  </si>
  <si>
    <t>Ma Tau Wai</t>
  </si>
  <si>
    <t>馬頭圍</t>
  </si>
  <si>
    <t>Ma Wan</t>
  </si>
  <si>
    <t>馬灣</t>
  </si>
  <si>
    <t>Ma Yau Tong</t>
  </si>
  <si>
    <t>馬游塘</t>
  </si>
  <si>
    <t>Mei Foo</t>
  </si>
  <si>
    <t>美孚</t>
  </si>
  <si>
    <t>Mid-levels</t>
  </si>
  <si>
    <t>半山區</t>
  </si>
  <si>
    <t>Mong Kok</t>
  </si>
  <si>
    <t>旺角</t>
  </si>
  <si>
    <t>Ngau Chi Wan</t>
  </si>
  <si>
    <t>牛池灣</t>
  </si>
  <si>
    <t>Ngau Tau Kok</t>
  </si>
  <si>
    <t>牛頭角</t>
  </si>
  <si>
    <t>North Point</t>
  </si>
  <si>
    <t>北角</t>
  </si>
  <si>
    <t>Pat Heung</t>
  </si>
  <si>
    <t>八鄉</t>
  </si>
  <si>
    <t>Peak</t>
  </si>
  <si>
    <t>山頂</t>
  </si>
  <si>
    <t>Peng Chau</t>
  </si>
  <si>
    <t>坪洲</t>
  </si>
  <si>
    <t>Ping Shek</t>
  </si>
  <si>
    <t>坪石</t>
  </si>
  <si>
    <t>Pok Fu Lam</t>
  </si>
  <si>
    <t>薄扶林</t>
  </si>
  <si>
    <t>IF(ISBLANK('Application Merchant'!H19),"",'Application Merchant'!H19)</t>
  </si>
  <si>
    <t>Quarry Bay</t>
  </si>
  <si>
    <t>鰂魚涌</t>
  </si>
  <si>
    <t>Repulse Bay</t>
  </si>
  <si>
    <t>淺水灣</t>
  </si>
  <si>
    <t>IF(ISBLANK('Application Merchant'!E38),"",'Application Merchant'!E38)</t>
  </si>
  <si>
    <t>Sai Wan Ho</t>
  </si>
  <si>
    <t>西灣河</t>
  </si>
  <si>
    <t>IF('Payment Channels'!H4=0,"",'Payment Channels'!H4)</t>
  </si>
  <si>
    <t>Sai Ying Pun</t>
  </si>
  <si>
    <t>西營盤</t>
  </si>
  <si>
    <t>San Po Kong</t>
  </si>
  <si>
    <t>新蒲崗</t>
  </si>
  <si>
    <t>San Tin</t>
  </si>
  <si>
    <t>新田</t>
  </si>
  <si>
    <t>IF('Application Merchant'!H4=0,"",'Application Merchant'!H4)</t>
  </si>
  <si>
    <t>Sau Mau Ping</t>
  </si>
  <si>
    <t>秀茂坪</t>
  </si>
  <si>
    <t>IF(Contacts!K6=0,"",Contacts!K6)</t>
  </si>
  <si>
    <t>Sha Tau Kok</t>
  </si>
  <si>
    <t>沙頭角</t>
  </si>
  <si>
    <t>Sham Tseng</t>
  </si>
  <si>
    <t>深井</t>
  </si>
  <si>
    <t>IF(Contacts!#REF!=0,"",TEXT(DAY(Contacts!#REF!),"00"))</t>
  </si>
  <si>
    <t>IF(Contacts!#REF!=0,"",TEXT(MONTH(Contacts!#REF!),"00"))</t>
  </si>
  <si>
    <t>IF(Contacts!#REF!=0,"",TEXT(YEAR(Contacts!#REF!),"0000"))</t>
  </si>
  <si>
    <t>Shau Kei Wan</t>
  </si>
  <si>
    <t>筲箕灣</t>
  </si>
  <si>
    <t>Shek Kip Mei</t>
  </si>
  <si>
    <t>石硤尾</t>
  </si>
  <si>
    <t>Shek Kong</t>
  </si>
  <si>
    <t>石崗</t>
  </si>
  <si>
    <t>Shek O</t>
  </si>
  <si>
    <t>石澳</t>
  </si>
  <si>
    <t>Shek Tong Tsui</t>
  </si>
  <si>
    <t>石塘咀</t>
  </si>
  <si>
    <t>Shek Wu Hui</t>
  </si>
  <si>
    <t>石湖墟</t>
  </si>
  <si>
    <t>Sheung Shui</t>
  </si>
  <si>
    <t>上水</t>
  </si>
  <si>
    <t>Sheung Wan</t>
  </si>
  <si>
    <t>上環</t>
  </si>
  <si>
    <t>Shouson Hill</t>
  </si>
  <si>
    <t>壽臣山</t>
  </si>
  <si>
    <t>Shuen Wan</t>
  </si>
  <si>
    <t>船灣</t>
  </si>
  <si>
    <t>Siu Sai Wan</t>
  </si>
  <si>
    <t>小西灣</t>
  </si>
  <si>
    <t>So Kon Po</t>
  </si>
  <si>
    <t>掃桿埔</t>
  </si>
  <si>
    <t>So Kwun Wat</t>
  </si>
  <si>
    <t>掃管笏</t>
  </si>
  <si>
    <t>Stanley</t>
  </si>
  <si>
    <t>赤柱</t>
  </si>
  <si>
    <t>Stonecutters Island</t>
  </si>
  <si>
    <t>昂船洲</t>
  </si>
  <si>
    <t>Sunny Bay</t>
  </si>
  <si>
    <t>欣澳</t>
  </si>
  <si>
    <t>Tai Hang</t>
  </si>
  <si>
    <t>大坑</t>
  </si>
  <si>
    <t>Tai Kok Tsui</t>
  </si>
  <si>
    <t>大角咀</t>
  </si>
  <si>
    <t>Tai Lam Chung</t>
  </si>
  <si>
    <t>大欖涌</t>
  </si>
  <si>
    <t>Tai Mei Tuk</t>
  </si>
  <si>
    <t>大尾篤</t>
  </si>
  <si>
    <t>Tai Mong Tsai</t>
  </si>
  <si>
    <t>大網仔</t>
  </si>
  <si>
    <t>Tai Po Kau</t>
  </si>
  <si>
    <t>大埔滘</t>
  </si>
  <si>
    <t>Tai Po Market</t>
  </si>
  <si>
    <t>大埔墟</t>
  </si>
  <si>
    <t>Tai Tam</t>
  </si>
  <si>
    <t>大潭</t>
  </si>
  <si>
    <t>Tai Wai</t>
  </si>
  <si>
    <t>大圍</t>
  </si>
  <si>
    <t>Tai Wo Ping</t>
  </si>
  <si>
    <t>大窩坪</t>
  </si>
  <si>
    <t>Tin Hau</t>
  </si>
  <si>
    <t>天后</t>
  </si>
  <si>
    <t>Tin Shui Wai</t>
  </si>
  <si>
    <t>天水圍</t>
  </si>
  <si>
    <t>Ting Kau</t>
  </si>
  <si>
    <t>汀九</t>
  </si>
  <si>
    <t>Tiu Keng Leng</t>
  </si>
  <si>
    <t>調景嶺</t>
  </si>
  <si>
    <t>To Kwa Wan</t>
  </si>
  <si>
    <t>土瓜灣</t>
  </si>
  <si>
    <t>Tseung Kwan O</t>
  </si>
  <si>
    <t>將軍澳</t>
  </si>
  <si>
    <t>Tsim Sha Tsui</t>
  </si>
  <si>
    <t>尖沙咀</t>
  </si>
  <si>
    <t>Tsing Lung Tau</t>
  </si>
  <si>
    <t>青龍頭</t>
  </si>
  <si>
    <t>Tsing Yi</t>
  </si>
  <si>
    <t>青衣</t>
  </si>
  <si>
    <t>Tsz Wan Shan</t>
  </si>
  <si>
    <t>慈雲山</t>
  </si>
  <si>
    <t>Tung Chung</t>
  </si>
  <si>
    <t>東涌</t>
  </si>
  <si>
    <t>Tung Tau</t>
  </si>
  <si>
    <t>東頭</t>
  </si>
  <si>
    <t>Wang Tau Hom</t>
  </si>
  <si>
    <t>橫頭磡</t>
  </si>
  <si>
    <t>West Kowloon Reclamation</t>
  </si>
  <si>
    <t>西九龍填海區</t>
  </si>
  <si>
    <t>Wong Chuk Hang</t>
  </si>
  <si>
    <t>黃竹坑</t>
  </si>
  <si>
    <t>烏溪沙</t>
  </si>
  <si>
    <t>Wu Kau Tang</t>
  </si>
  <si>
    <t>烏蛟騰</t>
  </si>
  <si>
    <t>Yau Ma Tei</t>
  </si>
  <si>
    <t>油麻地</t>
  </si>
  <si>
    <t>Yau Tong</t>
  </si>
  <si>
    <t>油塘</t>
  </si>
  <si>
    <t>Yau Yat Tsuen</t>
  </si>
  <si>
    <t>又一村</t>
  </si>
  <si>
    <t>SERVICE TYPE</t>
  </si>
  <si>
    <t>YES / NO</t>
  </si>
  <si>
    <t>APPLICATION NATURE</t>
  </si>
  <si>
    <t>CASE HANDLER</t>
  </si>
  <si>
    <t>SALESPERSON</t>
  </si>
  <si>
    <t>SID</t>
  </si>
  <si>
    <t>RENTAL NATURE</t>
  </si>
  <si>
    <t>REGULAR CONTRACT PERIOD (MTH)</t>
  </si>
  <si>
    <t>EVENT CONTRACT PERIOD (DAY)</t>
  </si>
  <si>
    <t>MTHLY RENTAL WAVIER
(NO. MONTH)</t>
  </si>
  <si>
    <t>SMARTPOS MODEL</t>
  </si>
  <si>
    <t>MDR</t>
  </si>
  <si>
    <t>MERCHANT NATURE</t>
  </si>
  <si>
    <t>VETTING STATUS</t>
  </si>
  <si>
    <t>FD CONFIGURATION
(TIPS, REFUND, SIGNATURE)</t>
  </si>
  <si>
    <t>DISTRICT</t>
  </si>
  <si>
    <t>DISTRICT (TC)</t>
  </si>
  <si>
    <t>REGION</t>
  </si>
  <si>
    <t>REGION (TC)</t>
  </si>
  <si>
    <t>BUSINESS MODEL</t>
  </si>
  <si>
    <t>SELECTX</t>
  </si>
  <si>
    <t>ENTITY TYPE</t>
  </si>
  <si>
    <t>CAPACITY TYPE</t>
  </si>
  <si>
    <t>ID TYPE</t>
  </si>
  <si>
    <t>BANK</t>
  </si>
  <si>
    <t>BANK CODE</t>
  </si>
  <si>
    <t>COUNTRY</t>
  </si>
  <si>
    <t>STOCK EXCHANGE</t>
  </si>
  <si>
    <t>TICKET SIZE</t>
  </si>
  <si>
    <t>FPS CAP</t>
  </si>
  <si>
    <t>OMS Status</t>
  </si>
  <si>
    <t>CONTRACT TERM</t>
  </si>
  <si>
    <t>COMPANY SEARCH</t>
  </si>
  <si>
    <t>CAPACITY</t>
  </si>
  <si>
    <t>TELCO CONTRACT TERM</t>
  </si>
  <si>
    <t>WIFI SPECIFICATION</t>
  </si>
  <si>
    <t>WIFI SECURITY</t>
  </si>
  <si>
    <t>WIFI VAS1</t>
  </si>
  <si>
    <t>TELEPHONE SPECIFICATION</t>
  </si>
  <si>
    <t>Tap&amp; Go Remark</t>
  </si>
  <si>
    <t>Promo Code</t>
  </si>
  <si>
    <t>A920</t>
  </si>
  <si>
    <t>New</t>
  </si>
  <si>
    <t>Jessie Lai</t>
  </si>
  <si>
    <t>Digital Onboarding</t>
  </si>
  <si>
    <t>Regular</t>
  </si>
  <si>
    <t>1%</t>
  </si>
  <si>
    <t>Awaiting document</t>
  </si>
  <si>
    <t>Tips</t>
  </si>
  <si>
    <t>--- Central and Western District ---</t>
  </si>
  <si>
    <t>--- 中西區 ---</t>
  </si>
  <si>
    <t>香港島</t>
  </si>
  <si>
    <t>Sole proprietorship</t>
  </si>
  <si>
    <t>Hongkong and Shanghai Banking Corporation</t>
  </si>
  <si>
    <t>Hong Kong Stock Exchange</t>
  </si>
  <si>
    <t>≤ HKD 100</t>
  </si>
  <si>
    <t>&lt; HKD 8,000</t>
  </si>
  <si>
    <t>Saved</t>
  </si>
  <si>
    <t>12 months</t>
  </si>
  <si>
    <t>FD</t>
  </si>
  <si>
    <t>36 months</t>
  </si>
  <si>
    <t>100 Mbps</t>
  </si>
  <si>
    <t>Encrypted (WPA2)</t>
  </si>
  <si>
    <t>1 Additional Access Point</t>
  </si>
  <si>
    <t>Hunting Line</t>
  </si>
  <si>
    <t>[004] Hongkong and Shanghai Banking Corporation</t>
  </si>
  <si>
    <t xml:space="preserve">[SME] Smart POS’s Tap &amp; Go &amp; FPS: For Applicants who apply 3 payment means or above in one Smart POS application, 0% for the first aggregated HKD 200,000, thereafter 0.88%.  Return to standard rate 1.2% after promotion period*. 
* Promotion Period starts from 1 March, 2022 to 31 Dec,2024 (both dates inclusive) </t>
  </si>
  <si>
    <t>HKTSME</t>
  </si>
  <si>
    <t>A920 SV</t>
  </si>
  <si>
    <t>New VAS</t>
  </si>
  <si>
    <t>Martin Ma</t>
  </si>
  <si>
    <t>HKTMS</t>
  </si>
  <si>
    <t>Event</t>
  </si>
  <si>
    <t>1.20%</t>
  </si>
  <si>
    <t>Existing</t>
  </si>
  <si>
    <t>Form rejected</t>
  </si>
  <si>
    <t>Tips + Refund</t>
  </si>
  <si>
    <t>九龍</t>
  </si>
  <si>
    <t>Standard Chartered Hong Kong</t>
  </si>
  <si>
    <t>Shenzen Stock Exchange</t>
  </si>
  <si>
    <t>HKD 101 - 500</t>
  </si>
  <si>
    <t>≥ HKD 8,000</t>
  </si>
  <si>
    <t>Submited</t>
  </si>
  <si>
    <t>24 months</t>
  </si>
  <si>
    <t>200 Mbps</t>
  </si>
  <si>
    <t>Unencrypted</t>
  </si>
  <si>
    <t>2 Additional Access Point</t>
  </si>
  <si>
    <t>Business Telephone Line</t>
  </si>
  <si>
    <t>[003] Standard Chartered Hong Kong</t>
  </si>
  <si>
    <t xml:space="preserve">[NGO] Tap &amp; Go &amp; FPS: 0% for the first aggregated HKD 3,000,000, thereafter 0.5%. Return to corresponding standard rate after promotion period*. 
* Promotion Period starts from 1 March, 2022 to 31 Dec,2024 (both dates inclusive) </t>
  </si>
  <si>
    <t>HKTNGO</t>
  </si>
  <si>
    <t>A8</t>
  </si>
  <si>
    <t>Migration</t>
  </si>
  <si>
    <t>Cherry Ma</t>
  </si>
  <si>
    <t>Duncan Wong</t>
  </si>
  <si>
    <t>1.50%</t>
  </si>
  <si>
    <t>Add-on</t>
  </si>
  <si>
    <t>Document rejected</t>
  </si>
  <si>
    <t>Tips + Signature</t>
  </si>
  <si>
    <t>新界</t>
  </si>
  <si>
    <t>Limited company</t>
  </si>
  <si>
    <t>Bank of China (Hong Kong)</t>
  </si>
  <si>
    <t>Afghanistan</t>
  </si>
  <si>
    <t>New York Stock Exchange</t>
  </si>
  <si>
    <t>HKD 501 - 1,000</t>
  </si>
  <si>
    <t>Reviewed</t>
  </si>
  <si>
    <t>7 days</t>
  </si>
  <si>
    <t>500 Mbps</t>
  </si>
  <si>
    <t>3 Additional Access Point</t>
  </si>
  <si>
    <t>Fax Line Basic</t>
  </si>
  <si>
    <t>[012] Bank of China (Hong Kong)</t>
  </si>
  <si>
    <t>HKT DTSPP</t>
  </si>
  <si>
    <t>mPOS</t>
  </si>
  <si>
    <t>Renewal</t>
  </si>
  <si>
    <t>Flora Chum</t>
  </si>
  <si>
    <t>Eddy Li</t>
  </si>
  <si>
    <t>2%</t>
  </si>
  <si>
    <t>Form rejected + Document rejected</t>
  </si>
  <si>
    <t>Refund + Signature</t>
  </si>
  <si>
    <t>Outlying Islands</t>
  </si>
  <si>
    <t>Charity</t>
  </si>
  <si>
    <t>Hang Seng Bank</t>
  </si>
  <si>
    <t>Albania</t>
  </si>
  <si>
    <t>NASDAQ</t>
  </si>
  <si>
    <t>HKD 1,001 - 1,500</t>
  </si>
  <si>
    <t>Rejected</t>
  </si>
  <si>
    <t>30 days</t>
  </si>
  <si>
    <t>1 Gbps</t>
  </si>
  <si>
    <t>Citinet</t>
  </si>
  <si>
    <t>[014] Bank of China (Hong Kong)</t>
  </si>
  <si>
    <t>FPS PS</t>
  </si>
  <si>
    <t>Reconnection</t>
  </si>
  <si>
    <t>Smiley Li</t>
  </si>
  <si>
    <t>Kelvin Ho</t>
  </si>
  <si>
    <t>2.50%</t>
  </si>
  <si>
    <t>Processing</t>
  </si>
  <si>
    <t>Tips + Refund + Signature</t>
  </si>
  <si>
    <t>Bank of Communications (Hong Kong)</t>
  </si>
  <si>
    <t>Algeria</t>
  </si>
  <si>
    <t>Tokyo Stock Exchange</t>
  </si>
  <si>
    <t>HKD 1,501 - 2,000</t>
  </si>
  <si>
    <t>Accepted</t>
  </si>
  <si>
    <t>90 days</t>
  </si>
  <si>
    <t>[019] Bank of China (Hong Kong)</t>
  </si>
  <si>
    <t>Termination</t>
  </si>
  <si>
    <t>Tim Pang</t>
  </si>
  <si>
    <t>Case approved</t>
  </si>
  <si>
    <t>Listed company</t>
  </si>
  <si>
    <t>OCBC Wing Hang Bank</t>
  </si>
  <si>
    <t>American Samoa</t>
  </si>
  <si>
    <t>Shanghai Stock Exchange</t>
  </si>
  <si>
    <t>HKD 2,001 - 2,500</t>
  </si>
  <si>
    <t>180 days</t>
  </si>
  <si>
    <t>[026] Bank of China (Hong Kong)</t>
  </si>
  <si>
    <t>O2O DIY</t>
  </si>
  <si>
    <t>Kenny Lo</t>
  </si>
  <si>
    <t>Case rejected</t>
  </si>
  <si>
    <t>China CITIC Bank International</t>
  </si>
  <si>
    <t>Andorra</t>
  </si>
  <si>
    <t>London Stock Exchange</t>
  </si>
  <si>
    <t>HKD 2,500 - 3,000</t>
  </si>
  <si>
    <t>[030] Bank of China (Hong Kong)</t>
  </si>
  <si>
    <t>O2O FB</t>
  </si>
  <si>
    <t>Heidi Ma</t>
  </si>
  <si>
    <t>Sent order list</t>
  </si>
  <si>
    <t>Shanghai Commercial Bank</t>
  </si>
  <si>
    <t>Angola</t>
  </si>
  <si>
    <t>EURONEXT</t>
  </si>
  <si>
    <t>≥ HKD 3,000</t>
  </si>
  <si>
    <t>[031] Bank of China (Hong Kong)</t>
  </si>
  <si>
    <t>O2O SB</t>
  </si>
  <si>
    <t>Agnes Li</t>
  </si>
  <si>
    <t>Sent order list (Partial  delivery)</t>
  </si>
  <si>
    <t>China Construction Bank (Asia)</t>
  </si>
  <si>
    <t>Anguilla</t>
  </si>
  <si>
    <t>Toronto Stock Exchange</t>
  </si>
  <si>
    <t>[033] Bank of China (Hong Kong)</t>
  </si>
  <si>
    <t>O2O PM</t>
  </si>
  <si>
    <t>Tanya Leung</t>
  </si>
  <si>
    <t>--- Wan Chai ---</t>
  </si>
  <si>
    <t>--- 灣仔 ---</t>
  </si>
  <si>
    <t>Tai Sang Bank Limited</t>
  </si>
  <si>
    <t>Antarctica</t>
  </si>
  <si>
    <t>Bombay Stock Exchange</t>
  </si>
  <si>
    <t>[036] Bank of China (Hong Kong)</t>
  </si>
  <si>
    <t>O2O HKTE</t>
  </si>
  <si>
    <t>Ivan Kwok</t>
  </si>
  <si>
    <t>Chong Hing Bank</t>
  </si>
  <si>
    <t>Antigua and Barbuda</t>
  </si>
  <si>
    <t>Other</t>
  </si>
  <si>
    <t>[064] Bank of China (Hong Kong)</t>
  </si>
  <si>
    <t>O2O Cater</t>
  </si>
  <si>
    <t>Connie Ho</t>
  </si>
  <si>
    <t>The Bank of East Asia, Limited</t>
  </si>
  <si>
    <t>Argentina</t>
  </si>
  <si>
    <t>[070] Bank of China (Hong Kong)</t>
  </si>
  <si>
    <t>Edwin Lim</t>
  </si>
  <si>
    <t>Citibank (Hong Kong)</t>
  </si>
  <si>
    <t>Armenia</t>
  </si>
  <si>
    <t>[024] Hang Seng Bank</t>
  </si>
  <si>
    <t>Sam Ngan</t>
  </si>
  <si>
    <t>CMB Wing Lung Bank</t>
  </si>
  <si>
    <t>Aruba</t>
  </si>
  <si>
    <t>[382] Bank of Communications (Hong Kong)</t>
  </si>
  <si>
    <t>Nicholas Chan</t>
  </si>
  <si>
    <t>Jardine's</t>
  </si>
  <si>
    <t>Dah Sing Bank</t>
  </si>
  <si>
    <t>Australia</t>
  </si>
  <si>
    <t>[035] OCBC Wing Hang Bank</t>
  </si>
  <si>
    <t>Eddie Lau</t>
  </si>
  <si>
    <t>--- Eastern District ---</t>
  </si>
  <si>
    <t>--- 東區 ---</t>
  </si>
  <si>
    <t>Nanyang Commercial Bank</t>
  </si>
  <si>
    <t>Austria</t>
  </si>
  <si>
    <t>[018] China CITIC Bank International</t>
  </si>
  <si>
    <t>Peter Chow</t>
  </si>
  <si>
    <t>DBS Bank (Hong Kong)</t>
  </si>
  <si>
    <t>Azerbaijan</t>
  </si>
  <si>
    <t>[025] Shanghai Commercial Bank</t>
  </si>
  <si>
    <t>Kelly Cheung</t>
  </si>
  <si>
    <t>Industrial and Commercial Bank of China (Asia)</t>
  </si>
  <si>
    <t>Bahamas</t>
  </si>
  <si>
    <t>[009] China Construction Bank (Asia)</t>
  </si>
  <si>
    <t>Wallace Yau</t>
  </si>
  <si>
    <t>Fubon Bank (Hong Kong)</t>
  </si>
  <si>
    <t>Bahrain</t>
  </si>
  <si>
    <t>[041] Chong Hing Bank</t>
  </si>
  <si>
    <t>Bangladesh</t>
  </si>
  <si>
    <t>[015] The Bank of East Asia, Limited</t>
  </si>
  <si>
    <t>Barbados</t>
  </si>
  <si>
    <t>[250] Citibank (Hong Kong)</t>
  </si>
  <si>
    <t>Belarus</t>
  </si>
  <si>
    <t>[020] CMB Wing Lung Bank</t>
  </si>
  <si>
    <t>Belgium</t>
  </si>
  <si>
    <t>[040] Dah Sing Bank</t>
  </si>
  <si>
    <t xml:space="preserve">小西灣
</t>
  </si>
  <si>
    <t>Belize</t>
  </si>
  <si>
    <t>[043] Nanyang Commercial Bank</t>
  </si>
  <si>
    <t>--- Southern District ---</t>
  </si>
  <si>
    <t>--- 南區 ---</t>
  </si>
  <si>
    <t>Benin</t>
  </si>
  <si>
    <t>[016] DBS Bank (Hong Kong)</t>
  </si>
  <si>
    <t>Bermuda</t>
  </si>
  <si>
    <t>[072] Industrial and Commercial Bank of China (Asia)</t>
  </si>
  <si>
    <t>Bhutan</t>
  </si>
  <si>
    <t>[128] Fubon Bank (Hong Kong)</t>
  </si>
  <si>
    <t>Bolivia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</si>
  <si>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</si>
  <si>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</si>
  <si>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</si>
  <si>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</si>
  <si>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</si>
  <si>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</si>
  <si>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--- Yau Tsim Mong ---</t>
  </si>
  <si>
    <t>--- 油尖旺 ---</t>
  </si>
  <si>
    <t>Brunei</t>
  </si>
  <si>
    <t>Bulgaria</t>
  </si>
  <si>
    <t>Burkina Faso</t>
  </si>
  <si>
    <t>Burundi</t>
  </si>
  <si>
    <t>Cambodia</t>
  </si>
  <si>
    <t xml:space="preserve">Tai Kok Tsui
</t>
  </si>
  <si>
    <t xml:space="preserve">大角咀
</t>
  </si>
  <si>
    <t>Cameroon</t>
  </si>
  <si>
    <t>--- Sham Shui Po ---</t>
  </si>
  <si>
    <t>--- 深水埗 ---</t>
  </si>
  <si>
    <t>Canada</t>
  </si>
  <si>
    <t>Cape Verde</t>
  </si>
  <si>
    <t>Cayman Islands</t>
  </si>
  <si>
    <t>Central African Republic</t>
  </si>
  <si>
    <t>Chad</t>
  </si>
  <si>
    <t>Chile</t>
  </si>
  <si>
    <t>Christmas Island</t>
  </si>
  <si>
    <t>--- Kowloon City ---</t>
  </si>
  <si>
    <t>--- 九龍城 ---</t>
  </si>
  <si>
    <t>Cocos (Keeling) Islands</t>
  </si>
  <si>
    <t>Colombia</t>
  </si>
  <si>
    <t>Comoros</t>
  </si>
  <si>
    <t>Congo Republic</t>
  </si>
  <si>
    <t>Cook Islands</t>
  </si>
  <si>
    <t>Costa Rica</t>
  </si>
  <si>
    <t>Cote d'Ivoire</t>
  </si>
  <si>
    <t>Croatia</t>
  </si>
  <si>
    <t>Cuba</t>
  </si>
  <si>
    <t xml:space="preserve">筆架山
</t>
  </si>
  <si>
    <t>Curaçao</t>
  </si>
  <si>
    <t>--- Wong Tai Sin ---</t>
  </si>
  <si>
    <t>--- 黃大仙 ---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</si>
  <si>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</si>
  <si>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</si>
  <si>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</si>
  <si>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</si>
  <si>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</si>
  <si>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</si>
  <si>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</si>
  <si>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--- Kwun Tong ---</t>
  </si>
  <si>
    <t>--- 觀塘 ---</t>
  </si>
  <si>
    <t>Ecuador</t>
  </si>
  <si>
    <t>Egypt</t>
  </si>
  <si>
    <t>El Salvador</t>
  </si>
  <si>
    <t>Equatorial Guinea</t>
  </si>
  <si>
    <t xml:space="preserve">Jordan Valley
</t>
  </si>
  <si>
    <t>Eritrea</t>
  </si>
  <si>
    <t>Estonia</t>
  </si>
  <si>
    <t>Ethiopia</t>
  </si>
  <si>
    <t>Faroe Islands</t>
  </si>
  <si>
    <t>Falkland Islands</t>
  </si>
  <si>
    <t>Fiji</t>
  </si>
  <si>
    <t>--- Kwai Tsing ---</t>
  </si>
  <si>
    <t>--- 葵青 ---</t>
  </si>
  <si>
    <t>Finland</t>
  </si>
  <si>
    <t>France</t>
  </si>
  <si>
    <t>French Guiana</t>
  </si>
  <si>
    <t>--- Tsuen Wan ---</t>
  </si>
  <si>
    <t>--- 荃灣---</t>
  </si>
  <si>
    <t>French Polynesia</t>
  </si>
  <si>
    <t>Gabon</t>
  </si>
  <si>
    <t>Gambia</t>
  </si>
  <si>
    <t>Georgia</t>
  </si>
  <si>
    <t>Germany</t>
  </si>
  <si>
    <t xml:space="preserve">Ma Wan
</t>
  </si>
  <si>
    <t>Ghana</t>
  </si>
  <si>
    <t xml:space="preserve">Sunny Bay
</t>
  </si>
  <si>
    <t>Gibraltar</t>
  </si>
  <si>
    <t>--- Tuen Mun ---</t>
  </si>
  <si>
    <t>--- 屯門 ---</t>
  </si>
  <si>
    <t>Greece</t>
  </si>
  <si>
    <t>Greenland</t>
  </si>
  <si>
    <t>Grenada</t>
  </si>
  <si>
    <t>--- Yuen Long ---</t>
  </si>
  <si>
    <t>--- 元朗 ---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</si>
  <si>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</si>
  <si>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</si>
  <si>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</si>
  <si>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</si>
  <si>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</si>
  <si>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</si>
  <si>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</si>
  <si>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</si>
  <si>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--- North District ---</t>
  </si>
  <si>
    <t>--- 北區 ---</t>
  </si>
  <si>
    <t>Heard and McDonald Islands</t>
  </si>
  <si>
    <t>Honduras</t>
  </si>
  <si>
    <t xml:space="preserve">Luen Wo Hui
</t>
  </si>
  <si>
    <t>Hungary</t>
  </si>
  <si>
    <t xml:space="preserve">上水
</t>
  </si>
  <si>
    <t>Iceland</t>
  </si>
  <si>
    <t>India</t>
  </si>
  <si>
    <t>Indonesia</t>
  </si>
  <si>
    <t>--- Tai Po ---</t>
  </si>
  <si>
    <t>--- 大埔 ---</t>
  </si>
  <si>
    <t>Iran</t>
  </si>
  <si>
    <t>Iraq</t>
  </si>
  <si>
    <t>Ireland</t>
  </si>
  <si>
    <t>--- Sha Tin ---</t>
  </si>
  <si>
    <t>--- 沙田 ---</t>
  </si>
  <si>
    <t>Isle of Man</t>
  </si>
  <si>
    <t>Israel</t>
  </si>
  <si>
    <t xml:space="preserve">Sha Tin
</t>
  </si>
  <si>
    <t xml:space="preserve">沙田
</t>
  </si>
  <si>
    <t>Italy</t>
  </si>
  <si>
    <t>Jamaica</t>
  </si>
  <si>
    <t xml:space="preserve">Wu Kai Sha
</t>
  </si>
  <si>
    <t xml:space="preserve">烏溪沙
</t>
  </si>
  <si>
    <t>Japan</t>
  </si>
  <si>
    <t>Jersey</t>
  </si>
  <si>
    <t>--- Sai Kung ---</t>
  </si>
  <si>
    <t>--- 西貢 ---</t>
  </si>
  <si>
    <t>Jordan</t>
  </si>
  <si>
    <t>Kazakhstan</t>
  </si>
  <si>
    <t>Kenya</t>
  </si>
  <si>
    <t xml:space="preserve">Tseung Kwan O
</t>
  </si>
  <si>
    <t>Kiribati</t>
  </si>
  <si>
    <t>Kuwait</t>
  </si>
  <si>
    <t>Kyrgyzstan</t>
  </si>
  <si>
    <t>--- Islands District ---</t>
  </si>
  <si>
    <t>--- 離島區 ---</t>
  </si>
  <si>
    <t>Laos</t>
  </si>
  <si>
    <t>Latvia</t>
  </si>
  <si>
    <t xml:space="preserve">Peng Chau
</t>
  </si>
  <si>
    <t>Lebanon</t>
  </si>
  <si>
    <t>Lantau Island (including Tung Chung)</t>
  </si>
  <si>
    <t>大嶼山（包括東涌）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</si>
  <si>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</si>
  <si>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</si>
  <si>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</si>
  <si>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</si>
  <si>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</si>
  <si>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</si>
  <si>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</si>
  <si>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</si>
  <si>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</si>
  <si>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</si>
  <si>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</si>
  <si>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</si>
  <si>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</si>
  <si>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</si>
  <si>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</si>
  <si>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</si>
  <si>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</si>
  <si>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</si>
  <si>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</si>
  <si>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</si>
  <si>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</si>
  <si>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</si>
  <si>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</si>
  <si>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</si>
  <si>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</si>
  <si>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</si>
  <si>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</si>
  <si>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</si>
  <si>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</si>
  <si>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</si>
  <si>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</si>
  <si>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</si>
  <si>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</si>
  <si>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</si>
  <si>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</si>
  <si>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</si>
  <si>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</si>
  <si>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</si>
  <si>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</si>
  <si>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</si>
  <si>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</si>
  <si>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</si>
  <si>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</si>
  <si>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</si>
  <si>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</si>
  <si>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</si>
  <si>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</si>
  <si>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</si>
  <si>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</si>
  <si>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</si>
  <si>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</si>
  <si>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</si>
  <si>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</si>
  <si>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</si>
  <si>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</si>
  <si>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</si>
  <si>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</si>
  <si>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</si>
  <si>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</si>
  <si>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</si>
  <si>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</si>
  <si>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Lucia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</si>
  <si>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</si>
  <si>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</si>
  <si>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</si>
  <si>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</si>
  <si>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</si>
  <si>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</si>
  <si>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</si>
  <si>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</si>
  <si>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</si>
  <si>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</si>
  <si>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</si>
  <si>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</si>
  <si>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</si>
  <si>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</si>
  <si>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South Sandwich Islands</t>
  </si>
  <si>
    <t>South Korea</t>
  </si>
  <si>
    <t>South Sudan</t>
  </si>
  <si>
    <t>Spain</t>
  </si>
  <si>
    <t>Sri Lanka</t>
  </si>
  <si>
    <t>St. Helena</t>
  </si>
  <si>
    <t>St. Kitts and Nevis</t>
  </si>
  <si>
    <t>St. Maarten</t>
  </si>
  <si>
    <t>St. Martin</t>
  </si>
  <si>
    <t>St. Pierre and Miquelon</t>
  </si>
  <si>
    <t>St. Vincent and the Grenadines</t>
  </si>
  <si>
    <t>North Sudan</t>
  </si>
  <si>
    <t>Suriname</t>
  </si>
  <si>
    <t>Svalbard and Jan Mayen Islands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</si>
  <si>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</si>
  <si>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</si>
  <si>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</si>
  <si>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</si>
  <si>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</si>
  <si>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</si>
  <si>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</si>
  <si>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</si>
  <si>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 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</si>
  <si>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</si>
  <si>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</si>
  <si>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</si>
  <si>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</si>
  <si>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</si>
  <si>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</si>
  <si>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</si>
  <si>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</si>
  <si>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</si>
  <si>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</si>
  <si>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</si>
  <si>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</si>
  <si>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</si>
  <si>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</si>
  <si>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</si>
  <si>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U.S. Virgin Islands</t>
  </si>
  <si>
    <t>Uzbekistan</t>
  </si>
  <si>
    <t>Vanuatu</t>
  </si>
  <si>
    <t>Vatican City</t>
  </si>
  <si>
    <t>Venezuela</t>
  </si>
  <si>
    <t>Vietnam</t>
  </si>
  <si>
    <t>Wallis and Futuna Islands</t>
  </si>
  <si>
    <t>Western Sahara</t>
  </si>
  <si>
    <t>Yemen</t>
  </si>
  <si>
    <t>Zambia</t>
  </si>
  <si>
    <t>Zimbabwe</t>
  </si>
  <si>
    <t>Audi/Visual</t>
  </si>
  <si>
    <t>Full</t>
  </si>
  <si>
    <t>Sales Name</t>
  </si>
  <si>
    <t>Sales Code</t>
  </si>
  <si>
    <t>Bookstore</t>
  </si>
  <si>
    <t>Streamlined</t>
  </si>
  <si>
    <t>4TML</t>
  </si>
  <si>
    <t>Café/Restaurant</t>
  </si>
  <si>
    <t>BD01</t>
  </si>
  <si>
    <t>Cake Shop</t>
  </si>
  <si>
    <t>BD82</t>
  </si>
  <si>
    <t>Car &amp; Accessories</t>
  </si>
  <si>
    <t>BD90</t>
  </si>
  <si>
    <t>Church</t>
  </si>
  <si>
    <t>BDA3</t>
  </si>
  <si>
    <t>Computer/Electronics</t>
  </si>
  <si>
    <t>BD29</t>
  </si>
  <si>
    <t>Convenience Store</t>
  </si>
  <si>
    <t>BD39</t>
  </si>
  <si>
    <t>Department Store</t>
  </si>
  <si>
    <t>BD92</t>
  </si>
  <si>
    <t>Duty-Free</t>
  </si>
  <si>
    <t>BDAF</t>
  </si>
  <si>
    <t>Fast Food</t>
  </si>
  <si>
    <t>Gift Shop (RE)</t>
  </si>
  <si>
    <t>Household</t>
  </si>
  <si>
    <t>Laundry</t>
  </si>
  <si>
    <t>Others (RE)</t>
  </si>
  <si>
    <t>SOFTPOS</t>
  </si>
  <si>
    <t>Smartpos</t>
  </si>
  <si>
    <t>Monthly fee</t>
  </si>
  <si>
    <t>Code</t>
  </si>
  <si>
    <t>Monthly Fee</t>
  </si>
  <si>
    <t>24 months 
(code: WMER2YDE-program, IBSCCX0134/1734315 - HKT POS $108 ($108 Discount))</t>
  </si>
  <si>
    <t>$68</t>
  </si>
  <si>
    <t xml:space="preserve">24 months  
(codes: WMER2YDE-program,IBSCCX0080/1186699 - Merchant Service $298 ($230 discount), IBSCCX0067/1167103-A920 terminal by HKT) </t>
  </si>
  <si>
    <t>24 months 
(code: WMER2YDE-program, IBSCCX0135/1734322 - HKT POS $108 ($70 Discount))</t>
  </si>
  <si>
    <t>$138</t>
  </si>
  <si>
    <t xml:space="preserve">24 months  
(codes: WMER2YDE-program, IBSCCX0061/1159961 - Merchant Service $298 ($160 discount), IBSCCX0067/1167103-A920 terminal by HKT) </t>
  </si>
  <si>
    <t>24 months 
(code: WMER2YDE-program, IBSCCX0136/1734343 - HKT POS $108 ($40 Discount))</t>
  </si>
  <si>
    <t>$88</t>
  </si>
  <si>
    <t xml:space="preserve">24 months  
(codes: WMER2YDE-program, IBSCCX0060/1159958 - Merchant Service $298 ($210 discount), IBSCCX0067/1167103-A920 terminal by HKT) </t>
  </si>
  <si>
    <t>24 months 
(code: WMER2YDE-program, IBSCCX0137/1734346 - HKT POS $108)</t>
  </si>
  <si>
    <t>$138 (WLB Twinsdevice)</t>
  </si>
  <si>
    <t xml:space="preserve">24 months  
(codes: WWMER2YDE-program, IBSCCX0090/1326156- Merchant Service $298 ($160 discount) - (Free 9 mth on 1 to 9mth), IBSCCX0128/1694450-WLB Twins Device, IBSCCX0067/1167103-A920 terminal by HKT) </t>
  </si>
  <si>
    <t>$1,800,1mth Event</t>
  </si>
  <si>
    <t>1 month (WMER1YDE with IBONET1086)</t>
  </si>
  <si>
    <t>$138, mthly usage 125k</t>
  </si>
  <si>
    <t xml:space="preserve">24 months  
(codes: WMER2YDE-program, IBSCCX0061/1159961 - Merchant Service $298 ($160 discount), IBSCCX0067/1167103-A920 terminal by HKT, IBSCCX0118/1632277- $125,000/month usage) </t>
  </si>
  <si>
    <t>$0 (DTSPP)</t>
  </si>
  <si>
    <t xml:space="preserve">24 months  
(codes: WMER2YDE-program, IBSCCX0082/1186838- Merchant Service $298 - (Free 2 Years), IBSCCX0067/1167103-A920 terminal by HKT,IBSCCX0129/1694461 - Cyberport Project 2023) </t>
  </si>
  <si>
    <t>Field Name</t>
  </si>
  <si>
    <t>Witness' name</t>
  </si>
  <si>
    <t>BillAddr8</t>
  </si>
  <si>
    <t>undefined_16</t>
  </si>
  <si>
    <t>ShopPOSQT4</t>
  </si>
  <si>
    <t>toggle_9</t>
  </si>
  <si>
    <t>fill_13_4</t>
  </si>
  <si>
    <t>User 5User Name</t>
  </si>
  <si>
    <t>OnlineX</t>
  </si>
  <si>
    <t>DirectorCountryCMO6X</t>
  </si>
  <si>
    <t>Option</t>
  </si>
  <si>
    <t>User 3User Name</t>
  </si>
  <si>
    <t>DeleteDirector5</t>
  </si>
  <si>
    <t>Guarantor 3 Signature</t>
  </si>
  <si>
    <t>ShopPadQT5</t>
  </si>
  <si>
    <t>DeleteShop6</t>
  </si>
  <si>
    <t>DirectorEN8</t>
  </si>
  <si>
    <t>User 4User ID</t>
  </si>
  <si>
    <t>DirectorCountryOther7</t>
  </si>
  <si>
    <t>DirectorIDTypeOther1</t>
  </si>
  <si>
    <t>Director6MissX</t>
  </si>
  <si>
    <t>fill_20_3</t>
  </si>
  <si>
    <t>Over30Days_SPOS</t>
  </si>
  <si>
    <t>ShopAddr10</t>
  </si>
  <si>
    <t>Director2IDTypeOtherX</t>
  </si>
  <si>
    <t>toggle_35</t>
  </si>
  <si>
    <t>Account Manager Name</t>
  </si>
  <si>
    <t>toggle_15_3</t>
  </si>
  <si>
    <t>undefined_17</t>
  </si>
  <si>
    <t>Subscription Fee Installation Fee Maintenance Fee</t>
  </si>
  <si>
    <t>toggle_7_2</t>
  </si>
  <si>
    <t>toggle_20</t>
  </si>
  <si>
    <t>ProgCodeOPG</t>
  </si>
  <si>
    <t>Director6ARX</t>
  </si>
  <si>
    <t>Phy&amp;OnlineX</t>
  </si>
  <si>
    <t>toggle_24_2</t>
  </si>
  <si>
    <t>Director8MrX</t>
  </si>
  <si>
    <t>fill_6</t>
  </si>
  <si>
    <t>Director7HKIDX</t>
  </si>
  <si>
    <t>ShopTel10</t>
  </si>
  <si>
    <t>Text15</t>
  </si>
  <si>
    <t>toggle_12_2</t>
  </si>
  <si>
    <t>Director8MrsX</t>
  </si>
  <si>
    <t>DeleteShop1</t>
  </si>
  <si>
    <t>ShopEmail3</t>
  </si>
  <si>
    <t>Service reconnection</t>
  </si>
  <si>
    <t>Director6HKIDX</t>
  </si>
  <si>
    <t>O2OSBoffer</t>
  </si>
  <si>
    <t>Con6MsX</t>
  </si>
  <si>
    <t>DeleteDirector8</t>
  </si>
  <si>
    <t>Existing/Update</t>
  </si>
  <si>
    <t>ContGiven7</t>
  </si>
  <si>
    <t>Name_2</t>
  </si>
  <si>
    <t>UPOP_3</t>
  </si>
  <si>
    <t>User 3Email Address</t>
  </si>
  <si>
    <t>DirectorCountryCN7X</t>
  </si>
  <si>
    <t>LocateOther</t>
  </si>
  <si>
    <t>SignEN4</t>
  </si>
  <si>
    <t>DirectorCountryOther6X</t>
  </si>
  <si>
    <t>DirectorFam3EN</t>
  </si>
  <si>
    <t>Con7MissX</t>
  </si>
  <si>
    <t>toggle_11</t>
  </si>
  <si>
    <t>TERMINALSERVICEPROVIDER</t>
  </si>
  <si>
    <t>toggle_31</t>
  </si>
  <si>
    <t>Witness IdentificationPassport Number_2</t>
  </si>
  <si>
    <t>BillAddr2</t>
  </si>
  <si>
    <t>Additional terminaloutlet addon_2</t>
  </si>
  <si>
    <t>ListYesX</t>
  </si>
  <si>
    <t>POSMDR_VM_NORMAL</t>
  </si>
  <si>
    <t>AddSign2</t>
  </si>
  <si>
    <t>fill_36</t>
  </si>
  <si>
    <t>OtherX</t>
  </si>
  <si>
    <t>BU insert_2</t>
  </si>
  <si>
    <t>City1</t>
  </si>
  <si>
    <t>AddSign3</t>
  </si>
  <si>
    <t>Contract renewal_2</t>
  </si>
  <si>
    <t>DirectorFam7</t>
  </si>
  <si>
    <t>deposit_VM</t>
  </si>
  <si>
    <t>fill_1_3</t>
  </si>
  <si>
    <t>fill_17_3</t>
  </si>
  <si>
    <t>ParDOwnX</t>
  </si>
  <si>
    <t>ParNameEN</t>
  </si>
  <si>
    <t>Guarantor 2 Full Name Please print</t>
  </si>
  <si>
    <t>DirectorCountryOther7X</t>
  </si>
  <si>
    <t>ShopEmail8</t>
  </si>
  <si>
    <t>DeleteShopX</t>
  </si>
  <si>
    <t>Witness' name_HKT</t>
  </si>
  <si>
    <t>fill_34</t>
  </si>
  <si>
    <t>toggle_37</t>
  </si>
  <si>
    <t>Middle Name_2</t>
  </si>
  <si>
    <t>%F2F_SPOS</t>
  </si>
  <si>
    <t>DirectorCountryCN5X</t>
  </si>
  <si>
    <t>BillAddr3</t>
  </si>
  <si>
    <t>fill_15_4</t>
  </si>
  <si>
    <t>toggle_28</t>
  </si>
  <si>
    <t>ProgCodePOS</t>
  </si>
  <si>
    <t>fill_16_3</t>
  </si>
  <si>
    <t>DevCostO2OPM</t>
  </si>
  <si>
    <t>fill_41</t>
  </si>
  <si>
    <t>Full Refund</t>
  </si>
  <si>
    <t>LocateOtherX</t>
  </si>
  <si>
    <t>undefined_7</t>
  </si>
  <si>
    <t>fill_2_2</t>
  </si>
  <si>
    <t>undefined_3</t>
  </si>
  <si>
    <t>Director8BOX</t>
  </si>
  <si>
    <t>fill_28_2</t>
  </si>
  <si>
    <t>Signature10</t>
  </si>
  <si>
    <t>User 3Cell Number Hand Held</t>
  </si>
  <si>
    <t>8to14Days_SPOS</t>
  </si>
  <si>
    <t>ShopEmail6</t>
  </si>
  <si>
    <t>OnlinePay</t>
  </si>
  <si>
    <t>fill_21_4</t>
  </si>
  <si>
    <t>Existing Payment Type</t>
  </si>
  <si>
    <t>ProgCodeHKTPOS</t>
  </si>
  <si>
    <t>FSA1</t>
  </si>
  <si>
    <t>Signature16</t>
  </si>
  <si>
    <t>Witness IdentificationPassport Number_3</t>
  </si>
  <si>
    <t>Con5MsX</t>
  </si>
  <si>
    <t>toggle_9_3</t>
  </si>
  <si>
    <t>ShopTel3</t>
  </si>
  <si>
    <t>toggle_26_2</t>
  </si>
  <si>
    <t>fill_7_3</t>
  </si>
  <si>
    <t>DirectorCountryOther5</t>
  </si>
  <si>
    <t>UATIP</t>
  </si>
  <si>
    <t>DirectorCountryCMO8X</t>
  </si>
  <si>
    <t>fill_10_5</t>
  </si>
  <si>
    <t>OPG_Alipay</t>
  </si>
  <si>
    <t>TrustX</t>
  </si>
  <si>
    <t>IP_SPOS</t>
  </si>
  <si>
    <t>ShopPadQT6</t>
  </si>
  <si>
    <t>undefined_10</t>
  </si>
  <si>
    <t>BU confirm_1</t>
  </si>
  <si>
    <t>Certificate of</t>
  </si>
  <si>
    <t>FSA</t>
  </si>
  <si>
    <t>fill_9_4</t>
  </si>
  <si>
    <t>BillAddr6</t>
  </si>
  <si>
    <t>DirectorFam6</t>
  </si>
  <si>
    <t>fill_14_3</t>
  </si>
  <si>
    <t>Director6DX</t>
  </si>
  <si>
    <t>New setup</t>
  </si>
  <si>
    <t>ITMsX</t>
  </si>
  <si>
    <t>Floor Limit</t>
  </si>
  <si>
    <t>toggle_16_3</t>
  </si>
  <si>
    <t>Director6SPX</t>
  </si>
  <si>
    <t>POSTerminalModel</t>
  </si>
  <si>
    <t>ContTel5</t>
  </si>
  <si>
    <t>fill_22_3</t>
  </si>
  <si>
    <t>toggle_9_2</t>
  </si>
  <si>
    <t>SRD</t>
  </si>
  <si>
    <t>Director5BOX</t>
  </si>
  <si>
    <t>toggle_31_2</t>
  </si>
  <si>
    <t>Con5MrX</t>
  </si>
  <si>
    <t>User 5Cell Number Hand Held</t>
  </si>
  <si>
    <t>Guarantor 1 Signature</t>
  </si>
  <si>
    <t>Director4IDTypeOtherX</t>
  </si>
  <si>
    <t>undefined_32</t>
  </si>
  <si>
    <t>Deposit25Yes</t>
  </si>
  <si>
    <t>DeleteDirector1</t>
  </si>
  <si>
    <t>AddShop6</t>
  </si>
  <si>
    <t>undefined_24</t>
  </si>
  <si>
    <t>Full Refund_4</t>
  </si>
  <si>
    <t>Director5PX</t>
  </si>
  <si>
    <t>User 5Email Address</t>
  </si>
  <si>
    <t>toggle_17_3</t>
  </si>
  <si>
    <t>O2OF&amp;Boffer</t>
  </si>
  <si>
    <t>DirectorDD8</t>
  </si>
  <si>
    <t>SignEN3</t>
  </si>
  <si>
    <t>toggle_2_2</t>
  </si>
  <si>
    <t>Text5</t>
  </si>
  <si>
    <t>CLUBPOINTHK$</t>
  </si>
  <si>
    <t>toggle_57</t>
  </si>
  <si>
    <t>DonateUseX</t>
  </si>
  <si>
    <t>DeleteSign3</t>
  </si>
  <si>
    <t>User 5User ID</t>
  </si>
  <si>
    <t>Con8MrX</t>
  </si>
  <si>
    <t>OperationShop8</t>
  </si>
  <si>
    <t>Middle Name</t>
  </si>
  <si>
    <t>fill_25_3</t>
  </si>
  <si>
    <t>DirectorDD6</t>
  </si>
  <si>
    <t>ContTitle5</t>
  </si>
  <si>
    <t>Director7PX</t>
  </si>
  <si>
    <t>toggle_18_2</t>
  </si>
  <si>
    <t>Sign3</t>
  </si>
  <si>
    <t>toggle_7</t>
  </si>
  <si>
    <t>DirectorEN5</t>
  </si>
  <si>
    <t>DirectorTC8</t>
  </si>
  <si>
    <t>FDD</t>
  </si>
  <si>
    <t>%Internet_SPOS</t>
  </si>
  <si>
    <t>MSID</t>
  </si>
  <si>
    <t>PhyPay</t>
  </si>
  <si>
    <t>SalesEN1</t>
  </si>
  <si>
    <t>ShopPOSQT5</t>
  </si>
  <si>
    <t>toggle_36</t>
  </si>
  <si>
    <t>ME</t>
  </si>
  <si>
    <t>toggle_22_2</t>
  </si>
  <si>
    <t>AddShop4</t>
  </si>
  <si>
    <t>undefined_14</t>
  </si>
  <si>
    <t>DirectorCountryCN8X</t>
  </si>
  <si>
    <t>OPG_VM</t>
  </si>
  <si>
    <t>toggle_8_2</t>
  </si>
  <si>
    <t>toggle_11_3</t>
  </si>
  <si>
    <t>AddDirector1</t>
  </si>
  <si>
    <t>ShopPOSQT3</t>
  </si>
  <si>
    <t>SDD</t>
  </si>
  <si>
    <t>undefined_31</t>
  </si>
  <si>
    <t>ITMrX</t>
  </si>
  <si>
    <t>City</t>
  </si>
  <si>
    <t>ListNoX</t>
  </si>
  <si>
    <t>fill_42</t>
  </si>
  <si>
    <t>toggle_16</t>
  </si>
  <si>
    <t>toggle_6</t>
  </si>
  <si>
    <t>toggle_23_2</t>
  </si>
  <si>
    <t>DirectorEN6</t>
  </si>
  <si>
    <t>toggle_34</t>
  </si>
  <si>
    <t>SHA</t>
  </si>
  <si>
    <t>Con5MissX</t>
  </si>
  <si>
    <t>Guarantor 2 Signature</t>
  </si>
  <si>
    <t>ShopBRNameEN3</t>
  </si>
  <si>
    <t>Service reconfiguration</t>
  </si>
  <si>
    <t>DirectorGiven3EN</t>
  </si>
  <si>
    <t>Topup</t>
  </si>
  <si>
    <t>DirectorFam2TC</t>
  </si>
  <si>
    <t>OCLMDR</t>
  </si>
  <si>
    <t>DevCostO2OF&amp;B</t>
  </si>
  <si>
    <t>toggle_19</t>
  </si>
  <si>
    <t>DirectorMM6</t>
  </si>
  <si>
    <t>BU confirm_2</t>
  </si>
  <si>
    <t>Con8MissX</t>
  </si>
  <si>
    <t>DeleteDirector3</t>
  </si>
  <si>
    <t>DirectorDD5</t>
  </si>
  <si>
    <t>fill_26_3</t>
  </si>
  <si>
    <t>Signature_4</t>
  </si>
  <si>
    <t>DirectorCountryCHK6X</t>
  </si>
  <si>
    <t>ContFam8</t>
  </si>
  <si>
    <t>undefined_8</t>
  </si>
  <si>
    <t>Check BoxY</t>
  </si>
  <si>
    <t>AlipayQR</t>
  </si>
  <si>
    <t>FSA7</t>
  </si>
  <si>
    <t>fill_31</t>
  </si>
  <si>
    <t>Deposit_CUP</t>
  </si>
  <si>
    <t>ContEmail6</t>
  </si>
  <si>
    <t>BU insert_1</t>
  </si>
  <si>
    <t>ProgCodeO2OCater</t>
  </si>
  <si>
    <t>ShopBRNameEN4</t>
  </si>
  <si>
    <t>OperationShop6</t>
  </si>
  <si>
    <t>If yes name of transmitter</t>
  </si>
  <si>
    <t>FSA3</t>
  </si>
  <si>
    <t>fill_37</t>
  </si>
  <si>
    <t>CorporateShop6</t>
  </si>
  <si>
    <t>ShopAddr4</t>
  </si>
  <si>
    <t>FSA9</t>
  </si>
  <si>
    <t>Director6PX</t>
  </si>
  <si>
    <t>DeleteShop7</t>
  </si>
  <si>
    <t>PostCode2</t>
  </si>
  <si>
    <t>toggle_8</t>
  </si>
  <si>
    <t>Contract renewal</t>
  </si>
  <si>
    <t>ProgCodeO2OSB</t>
  </si>
  <si>
    <t>Director6IDTypeOtherX</t>
  </si>
  <si>
    <t>toggle_55</t>
  </si>
  <si>
    <t>CorporateShop7</t>
  </si>
  <si>
    <t>OUR</t>
  </si>
  <si>
    <t>toggle_54</t>
  </si>
  <si>
    <t>DirectorDD7</t>
  </si>
  <si>
    <t>undefined_26</t>
  </si>
  <si>
    <t>OPG_Wechat</t>
  </si>
  <si>
    <t>CorporateShop3</t>
  </si>
  <si>
    <t>DirectorCountryOther6</t>
  </si>
  <si>
    <t>DirectorTC6</t>
  </si>
  <si>
    <t>FSA2</t>
  </si>
  <si>
    <t>toggle_5_2</t>
  </si>
  <si>
    <t>CC25Yes</t>
  </si>
  <si>
    <t>Product description</t>
  </si>
  <si>
    <t>BillAddr4</t>
  </si>
  <si>
    <t>fill_11</t>
  </si>
  <si>
    <t>SalesTitle1</t>
  </si>
  <si>
    <t>Full Refund_3</t>
  </si>
  <si>
    <t>ShopTel5</t>
  </si>
  <si>
    <t>ITEmail</t>
  </si>
  <si>
    <t>FinanceShop7</t>
  </si>
  <si>
    <t>ContTitle8</t>
  </si>
  <si>
    <t>DirectorIDTypeOther7</t>
  </si>
  <si>
    <t>Fax_2</t>
  </si>
  <si>
    <t>fill_4</t>
  </si>
  <si>
    <t>undefined_9</t>
  </si>
  <si>
    <t>Full Refund_11</t>
  </si>
  <si>
    <t>DirectorID8</t>
  </si>
  <si>
    <t>DirectorTC7</t>
  </si>
  <si>
    <t>DirectorIDTypeOther4</t>
  </si>
  <si>
    <t>DeleteDirector7</t>
  </si>
  <si>
    <t>SignTitle3</t>
  </si>
  <si>
    <t>DeleteShop4</t>
  </si>
  <si>
    <t>Transacting Currency</t>
  </si>
  <si>
    <t>ParStockEX</t>
  </si>
  <si>
    <t>toggle_29_2</t>
  </si>
  <si>
    <t>toggle_17</t>
  </si>
  <si>
    <t>CLUB HKT REF</t>
  </si>
  <si>
    <t>Other1</t>
  </si>
  <si>
    <t>toggle_52</t>
  </si>
  <si>
    <t>undefined_25</t>
  </si>
  <si>
    <t>ContGiven6</t>
  </si>
  <si>
    <t>DeleteDirector4</t>
  </si>
  <si>
    <t>undefined</t>
  </si>
  <si>
    <t>fill_23_3</t>
  </si>
  <si>
    <t>fill_45</t>
  </si>
  <si>
    <t>Director8MsX</t>
  </si>
  <si>
    <t>fill_24_3</t>
  </si>
  <si>
    <t>Director7PassportX</t>
  </si>
  <si>
    <t>ShopTel4</t>
  </si>
  <si>
    <t>Chip_SPOS</t>
  </si>
  <si>
    <t>ContEmail5</t>
  </si>
  <si>
    <t>Name of Signatory_2</t>
  </si>
  <si>
    <t>Witness Signature_3</t>
  </si>
  <si>
    <t>OtherUse</t>
  </si>
  <si>
    <t>AMEXDinersEPS</t>
  </si>
  <si>
    <t>BillAddr7</t>
  </si>
  <si>
    <t>DeleteShop2</t>
  </si>
  <si>
    <t>fill_4_4</t>
  </si>
  <si>
    <t>Director8PX</t>
  </si>
  <si>
    <t>toggle_14</t>
  </si>
  <si>
    <t>User 4Email Address</t>
  </si>
  <si>
    <t>Director5MsX</t>
  </si>
  <si>
    <t>CorporateShop8</t>
  </si>
  <si>
    <t>OPGMDR_WeChat</t>
  </si>
  <si>
    <t>Con6MrsX</t>
  </si>
  <si>
    <t>toggle_15_2</t>
  </si>
  <si>
    <t>DeleteShop8</t>
  </si>
  <si>
    <t>UPOP_2</t>
  </si>
  <si>
    <t>AddCon1</t>
  </si>
  <si>
    <t>FinanceShop8</t>
  </si>
  <si>
    <t>ContFam7</t>
  </si>
  <si>
    <t>AddShop5</t>
  </si>
  <si>
    <t>toggle_51</t>
  </si>
  <si>
    <t>toggle_22</t>
  </si>
  <si>
    <t>Director%5</t>
  </si>
  <si>
    <t>Sales2C_SPOS</t>
  </si>
  <si>
    <t>User 2Cell Number Hand Held</t>
  </si>
  <si>
    <t>fill_32</t>
  </si>
  <si>
    <t>ShopBRNameEN5</t>
  </si>
  <si>
    <t>DirectorFam8</t>
  </si>
  <si>
    <t>AddSign1</t>
  </si>
  <si>
    <t>Migration_2</t>
  </si>
  <si>
    <t>Director8IDTypeOtherX</t>
  </si>
  <si>
    <t>ITTel</t>
  </si>
  <si>
    <t>BillAddr5</t>
  </si>
  <si>
    <t>User 4Cell Number Hand Held</t>
  </si>
  <si>
    <t>fill_30</t>
  </si>
  <si>
    <t>fill_4_2</t>
  </si>
  <si>
    <t>O2OSmartSchoffer</t>
  </si>
  <si>
    <t>toggle_25_2</t>
  </si>
  <si>
    <t>Mag_SPOS</t>
  </si>
  <si>
    <t>DevCostO2OCater</t>
  </si>
  <si>
    <t>ProgCodeO2OSmartSch</t>
  </si>
  <si>
    <t>Description of DCT Equipment</t>
  </si>
  <si>
    <t>Internet_SPOS</t>
  </si>
  <si>
    <t>toggle_29</t>
  </si>
  <si>
    <t>toggle_4</t>
  </si>
  <si>
    <t>F2F_SPOS</t>
  </si>
  <si>
    <t>User 2Email Address</t>
  </si>
  <si>
    <t>Con7MrX</t>
  </si>
  <si>
    <t>Keyed_SPOS</t>
  </si>
  <si>
    <t>0Days_SPOS</t>
  </si>
  <si>
    <t>Director5SPX</t>
  </si>
  <si>
    <t>Additional terminaloutlet addon</t>
  </si>
  <si>
    <t>conversion rate</t>
  </si>
  <si>
    <t>ShopPOSQT8</t>
  </si>
  <si>
    <t>Director6PassportX</t>
  </si>
  <si>
    <t>LocateHKX</t>
  </si>
  <si>
    <t>toggle_30_2</t>
  </si>
  <si>
    <t>Director8DX</t>
  </si>
  <si>
    <t>ParNameTC</t>
  </si>
  <si>
    <t>%MOTO_SPOS</t>
  </si>
  <si>
    <t>OperationShop3</t>
  </si>
  <si>
    <t>Name of Signatory_4</t>
  </si>
  <si>
    <t>fill_1</t>
  </si>
  <si>
    <t>fill_7_2</t>
  </si>
  <si>
    <t>Director5MrsX</t>
  </si>
  <si>
    <t>DevCostO2OSB</t>
  </si>
  <si>
    <t>MarketingShop7</t>
  </si>
  <si>
    <t>AddCon2</t>
  </si>
  <si>
    <t>Director7MrsX</t>
  </si>
  <si>
    <t>Witness Full Name Please print_3</t>
  </si>
  <si>
    <t>undefined_30</t>
  </si>
  <si>
    <t>TerminalNo_SPOS</t>
  </si>
  <si>
    <t>toggle_13_2</t>
  </si>
  <si>
    <t>O2OCateroffer</t>
  </si>
  <si>
    <t>fill_18_3</t>
  </si>
  <si>
    <t>Signature</t>
  </si>
  <si>
    <t>toggle_1</t>
  </si>
  <si>
    <t>DeleteSign2</t>
  </si>
  <si>
    <t>Director8ARX</t>
  </si>
  <si>
    <t>ShopPadQT3</t>
  </si>
  <si>
    <t>ContTitle7</t>
  </si>
  <si>
    <t>DirectorIDTypeOther2</t>
  </si>
  <si>
    <t>toggle_18</t>
  </si>
  <si>
    <t>ShopEmail7</t>
  </si>
  <si>
    <t>MarketingShop3</t>
  </si>
  <si>
    <t>AddPayment</t>
  </si>
  <si>
    <t>fill_46</t>
  </si>
  <si>
    <t>Director5HKIDX</t>
  </si>
  <si>
    <t>qq</t>
  </si>
  <si>
    <t>undefined_29</t>
  </si>
  <si>
    <t>Guarantor 2 IdentificationPassport Number</t>
  </si>
  <si>
    <t>toggle_19_3</t>
  </si>
  <si>
    <t>toggle_10_2</t>
  </si>
  <si>
    <t>Sales2B_SPOS</t>
  </si>
  <si>
    <t>DirectorFam5</t>
  </si>
  <si>
    <t>MarketingShop6</t>
  </si>
  <si>
    <t>ShopTel6</t>
  </si>
  <si>
    <t>fill_18_4</t>
  </si>
  <si>
    <t>fill_21_3</t>
  </si>
  <si>
    <t>toggle_12_3</t>
  </si>
  <si>
    <t>Alias2</t>
  </si>
  <si>
    <t>Director7MrX</t>
  </si>
  <si>
    <t>DeleteShop5</t>
  </si>
  <si>
    <t>fill_24_4</t>
  </si>
  <si>
    <t>fill_8_2</t>
  </si>
  <si>
    <t>BizUseX</t>
  </si>
  <si>
    <t>ShopPOSQT6</t>
  </si>
  <si>
    <t>toggle_10</t>
  </si>
  <si>
    <t>FSA5</t>
  </si>
  <si>
    <t>ShopPOSQT7</t>
  </si>
  <si>
    <t>DirectorID6</t>
  </si>
  <si>
    <t>PhysicalX</t>
  </si>
  <si>
    <t>fill_25_4</t>
  </si>
  <si>
    <t>ME_3</t>
  </si>
  <si>
    <t>fill_2</t>
  </si>
  <si>
    <t>Company Name_CUP</t>
  </si>
  <si>
    <t>SignDate2</t>
  </si>
  <si>
    <t>fill_11_3</t>
  </si>
  <si>
    <t>ContEmail7</t>
  </si>
  <si>
    <t>undefined_11</t>
  </si>
  <si>
    <t>MCCOCL</t>
  </si>
  <si>
    <t>toggle_26</t>
  </si>
  <si>
    <t>toggle_40</t>
  </si>
  <si>
    <t>fill_5_2</t>
  </si>
  <si>
    <t>I17</t>
  </si>
  <si>
    <t>toggle_17_2</t>
  </si>
  <si>
    <t>toggle_4_2</t>
  </si>
  <si>
    <t>fill_27_4</t>
  </si>
  <si>
    <t>DirectorYYYY7</t>
  </si>
  <si>
    <t>ContGiven5</t>
  </si>
  <si>
    <t>AddShop1</t>
  </si>
  <si>
    <t>Check BoxN</t>
  </si>
  <si>
    <t>ITMissX</t>
  </si>
  <si>
    <t>ITTitle</t>
  </si>
  <si>
    <t>DirectorEN7</t>
  </si>
  <si>
    <t>PostCode1</t>
  </si>
  <si>
    <t>FinanceShop6</t>
  </si>
  <si>
    <t>toggle_21_2</t>
  </si>
  <si>
    <t>ShopBRNameEN9</t>
  </si>
  <si>
    <t>PRODIP</t>
  </si>
  <si>
    <t>PhoneC</t>
  </si>
  <si>
    <t>ContEmail8</t>
  </si>
  <si>
    <t>AddShop7</t>
  </si>
  <si>
    <t>AddShop8</t>
  </si>
  <si>
    <t>undefined_6</t>
  </si>
  <si>
    <t>AddShopX</t>
  </si>
  <si>
    <t>ShopBRNameEN7</t>
  </si>
  <si>
    <t>fill_13_3</t>
  </si>
  <si>
    <t>Director5IDTypeOtherX</t>
  </si>
  <si>
    <t>DirectorCountryOther5X</t>
  </si>
  <si>
    <t>toggle_15</t>
  </si>
  <si>
    <t>Director6MrX</t>
  </si>
  <si>
    <t>undefined_27</t>
  </si>
  <si>
    <t>fill_16_4</t>
  </si>
  <si>
    <t>AddShop3</t>
  </si>
  <si>
    <t>DirectorYYYY6</t>
  </si>
  <si>
    <t>Director7IDTypeOtherX</t>
  </si>
  <si>
    <t>fill_12_3</t>
  </si>
  <si>
    <t>ProgCodeO2OPM</t>
  </si>
  <si>
    <t>ReferCode</t>
  </si>
  <si>
    <t>transactions25Yes</t>
  </si>
  <si>
    <t>ShopAddr3</t>
  </si>
  <si>
    <t>Con5MrsX</t>
  </si>
  <si>
    <t>OtherUseX</t>
  </si>
  <si>
    <t>Witness Signature_1</t>
  </si>
  <si>
    <t>Con7MsX</t>
  </si>
  <si>
    <t>undefined_33</t>
  </si>
  <si>
    <t>AddDirector4</t>
  </si>
  <si>
    <t>toggle_25</t>
  </si>
  <si>
    <t>undefined_4</t>
  </si>
  <si>
    <t>fill_43</t>
  </si>
  <si>
    <t>MarketingShop4</t>
  </si>
  <si>
    <t>undefined_20</t>
  </si>
  <si>
    <t>DirectorID7</t>
  </si>
  <si>
    <t>ShopBRNameEN8</t>
  </si>
  <si>
    <t>Con8MrsX</t>
  </si>
  <si>
    <t>undefined_5</t>
  </si>
  <si>
    <t>Director8HKIDX</t>
  </si>
  <si>
    <t>ShopEmail4</t>
  </si>
  <si>
    <t>DirectorGiven6</t>
  </si>
  <si>
    <t>Director3IDTypeOtherX</t>
  </si>
  <si>
    <t>undefined_19</t>
  </si>
  <si>
    <t>toggle_38</t>
  </si>
  <si>
    <t>SignTitle2</t>
  </si>
  <si>
    <t>toggle_6_2</t>
  </si>
  <si>
    <t>Guarantor 3 Full Name Please print</t>
  </si>
  <si>
    <t>Text3</t>
  </si>
  <si>
    <t>User 3User ID</t>
  </si>
  <si>
    <t>DirectorIDTypeOther3</t>
  </si>
  <si>
    <t>undefined_28</t>
  </si>
  <si>
    <t>ShopBRNameEN10</t>
  </si>
  <si>
    <t>DirectorCountryCN6X</t>
  </si>
  <si>
    <t>fill_3_2</t>
  </si>
  <si>
    <t>ContFam6</t>
  </si>
  <si>
    <t>DirectorIDTypeOther8</t>
  </si>
  <si>
    <t>AssociationX</t>
  </si>
  <si>
    <t>undefined_23</t>
  </si>
  <si>
    <t>AddDirector5</t>
  </si>
  <si>
    <t>ShopPadQT7</t>
  </si>
  <si>
    <t>DirectorCountryOther8</t>
  </si>
  <si>
    <t>fill_7_4</t>
  </si>
  <si>
    <t>Full Refund_2</t>
  </si>
  <si>
    <t>ShopAddr7</t>
  </si>
  <si>
    <t>AddDirector7</t>
  </si>
  <si>
    <t>toggle_50</t>
  </si>
  <si>
    <t>ShopTel8</t>
  </si>
  <si>
    <t>AddDirector6</t>
  </si>
  <si>
    <t>BEN</t>
  </si>
  <si>
    <t>ShopBRNameEN6</t>
  </si>
  <si>
    <t>DirectorMM8</t>
  </si>
  <si>
    <t>DirectorCountryCMO5X</t>
  </si>
  <si>
    <t>Sign#1</t>
  </si>
  <si>
    <t>toggle_2</t>
  </si>
  <si>
    <t>fill_10_2</t>
  </si>
  <si>
    <t>fill_23_4</t>
  </si>
  <si>
    <t>fill_8_4</t>
  </si>
  <si>
    <t>OperationShop7</t>
  </si>
  <si>
    <t>Con6MissX</t>
  </si>
  <si>
    <t>MID</t>
  </si>
  <si>
    <t>ContTel6</t>
  </si>
  <si>
    <t>toggle_33</t>
  </si>
  <si>
    <t>Existingapplicationupdate</t>
  </si>
  <si>
    <t>fill_35</t>
  </si>
  <si>
    <t>undefined_36</t>
  </si>
  <si>
    <t>AddValue</t>
  </si>
  <si>
    <t>toggle_53</t>
  </si>
  <si>
    <t>DeletePayment</t>
  </si>
  <si>
    <t>Director5PassportX</t>
  </si>
  <si>
    <t>undefined_35</t>
  </si>
  <si>
    <t>toggle_41</t>
  </si>
  <si>
    <t>Witness' position_HKT</t>
  </si>
  <si>
    <t>DirectorCountryCHK5X</t>
  </si>
  <si>
    <t>FinanceShop4</t>
  </si>
  <si>
    <t>Others_VM</t>
  </si>
  <si>
    <t>DirectorMM5</t>
  </si>
  <si>
    <t>Director8MissX</t>
  </si>
  <si>
    <t>ITEN</t>
  </si>
  <si>
    <t>FSA10</t>
  </si>
  <si>
    <t>ShopPadQT8</t>
  </si>
  <si>
    <t>DirectorTC5</t>
  </si>
  <si>
    <t>ProgCodeO2OF&amp;B</t>
  </si>
  <si>
    <t>toggle_12</t>
  </si>
  <si>
    <t>User 4User Name</t>
  </si>
  <si>
    <t>SignTitle4</t>
  </si>
  <si>
    <t>toggle_30</t>
  </si>
  <si>
    <t>fill_14_4</t>
  </si>
  <si>
    <t>toggle_32</t>
  </si>
  <si>
    <t>15to30Days_SPOS</t>
  </si>
  <si>
    <t>AddShop2</t>
  </si>
  <si>
    <t>fill_27_3</t>
  </si>
  <si>
    <t>Service reconfiguration_2</t>
  </si>
  <si>
    <t>fill_30_2</t>
  </si>
  <si>
    <t>I29</t>
  </si>
  <si>
    <t>DirectorGiven8</t>
  </si>
  <si>
    <t>undefined_18</t>
  </si>
  <si>
    <t>Witness Full Name Please print_2</t>
  </si>
  <si>
    <t>DeleteShop3</t>
  </si>
  <si>
    <t>UPOP</t>
  </si>
  <si>
    <t>Retail Sales</t>
  </si>
  <si>
    <t>PhoneC11</t>
  </si>
  <si>
    <t>fill_1_2</t>
  </si>
  <si>
    <t>Wireless_SPOS</t>
  </si>
  <si>
    <t>Fax</t>
  </si>
  <si>
    <t>Full Refund_5</t>
  </si>
  <si>
    <t>ShopAddr5</t>
  </si>
  <si>
    <t>DirectorIDTypeOther6</t>
  </si>
  <si>
    <t>MarketingShop8</t>
  </si>
  <si>
    <t>Guarantor 3 IdentificationPassport Number</t>
  </si>
  <si>
    <t>Director8PassportX</t>
  </si>
  <si>
    <t>FSA8</t>
  </si>
  <si>
    <t>Name of Signatory</t>
  </si>
  <si>
    <t>fill_6_2</t>
  </si>
  <si>
    <t>DirectorYYYY8</t>
  </si>
  <si>
    <t>toggle_23</t>
  </si>
  <si>
    <t>fill_19_4</t>
  </si>
  <si>
    <t>Con7MrsX</t>
  </si>
  <si>
    <t>Alias1</t>
  </si>
  <si>
    <t>toggle_3_2</t>
  </si>
  <si>
    <t>toggle_3_3</t>
  </si>
  <si>
    <t>Comtel</t>
  </si>
  <si>
    <t>ContTel7</t>
  </si>
  <si>
    <t>Sign2</t>
  </si>
  <si>
    <t>Con6MrX</t>
  </si>
  <si>
    <t>MturnoverAW</t>
  </si>
  <si>
    <t>Fax1</t>
  </si>
  <si>
    <t>Text2</t>
  </si>
  <si>
    <t>toggle_39</t>
  </si>
  <si>
    <t>toggle_28_2</t>
  </si>
  <si>
    <t>DeleteCon2</t>
  </si>
  <si>
    <t>toggle_56</t>
  </si>
  <si>
    <t>Text1</t>
  </si>
  <si>
    <t>Director1IDTypeOtherX</t>
  </si>
  <si>
    <t>ShopPadQT4</t>
  </si>
  <si>
    <t>Witness Signature_2</t>
  </si>
  <si>
    <t>DirectorID5</t>
  </si>
  <si>
    <t>toggle_20_2</t>
  </si>
  <si>
    <t>fill_5_4</t>
  </si>
  <si>
    <t>fill_12_4</t>
  </si>
  <si>
    <t>7Days_SPOS</t>
  </si>
  <si>
    <t>Director6MrsX</t>
  </si>
  <si>
    <t>DirectorMM7</t>
  </si>
  <si>
    <t>If  30 days please specify</t>
  </si>
  <si>
    <t>NewApplication</t>
  </si>
  <si>
    <t>Sign1</t>
  </si>
  <si>
    <t>CardData25Yes</t>
  </si>
  <si>
    <t>Director5MrX</t>
  </si>
  <si>
    <t>toggle_13</t>
  </si>
  <si>
    <t>Full Refund_7</t>
  </si>
  <si>
    <t>Director8SPX</t>
  </si>
  <si>
    <t>toggle_24</t>
  </si>
  <si>
    <t>Director5MissX</t>
  </si>
  <si>
    <t>undefined_34</t>
  </si>
  <si>
    <t>toggle_1_2</t>
  </si>
  <si>
    <t>Terminal Required_1AB</t>
  </si>
  <si>
    <t>AddDirector3</t>
  </si>
  <si>
    <t>toggle_18_3</t>
  </si>
  <si>
    <t>User 2User ID</t>
  </si>
  <si>
    <t>DirectorIDTypeOther5</t>
  </si>
  <si>
    <t>Director7ARX</t>
  </si>
  <si>
    <t>DirectorGiven4EN</t>
  </si>
  <si>
    <t>Director6BOX</t>
  </si>
  <si>
    <t>DirectorCountryOther8X</t>
  </si>
  <si>
    <t>Director5DX</t>
  </si>
  <si>
    <t>FSA4</t>
  </si>
  <si>
    <t>ContTel8</t>
  </si>
  <si>
    <t>ShopAddr8</t>
  </si>
  <si>
    <t>undefined_15</t>
  </si>
  <si>
    <t>DirectorCountryCHK7X</t>
  </si>
  <si>
    <t>ITMrsX</t>
  </si>
  <si>
    <t>DirectorCountryCHK8X</t>
  </si>
  <si>
    <t>DirectorGiven7</t>
  </si>
  <si>
    <t>MOTO_SPOS</t>
  </si>
  <si>
    <t>ContFam5</t>
  </si>
  <si>
    <t>Post Code1</t>
  </si>
  <si>
    <t>undefined_13</t>
  </si>
  <si>
    <t>SmartPOS212</t>
  </si>
  <si>
    <t>Funding Frequency</t>
  </si>
  <si>
    <t>ContTitle6</t>
  </si>
  <si>
    <t>fill_44</t>
  </si>
  <si>
    <t>toggle_21</t>
  </si>
  <si>
    <t>Witness' position</t>
  </si>
  <si>
    <t>IP_04</t>
  </si>
  <si>
    <t>fill_40</t>
  </si>
  <si>
    <t>Director5ARX</t>
  </si>
  <si>
    <t>DirectorCountryCMO7X</t>
  </si>
  <si>
    <t>Director7SPX</t>
  </si>
  <si>
    <t>toggle_5</t>
  </si>
  <si>
    <t>Director7MsX</t>
  </si>
  <si>
    <t>DirectorFam4EN</t>
  </si>
  <si>
    <t>Director6MsX</t>
  </si>
  <si>
    <t>ParMOwnX</t>
  </si>
  <si>
    <t>fill_9_2</t>
  </si>
  <si>
    <t>fill_1_4</t>
  </si>
  <si>
    <t>undefined_12</t>
  </si>
  <si>
    <t>DirectorYYYY5</t>
  </si>
  <si>
    <t>DeleteDirector2</t>
  </si>
  <si>
    <t>fill_10_4</t>
  </si>
  <si>
    <t>toggle_16_2</t>
  </si>
  <si>
    <t>ShopTel9</t>
  </si>
  <si>
    <t>Director7DX</t>
  </si>
  <si>
    <t>User 2User Name</t>
  </si>
  <si>
    <t>IP_02</t>
  </si>
  <si>
    <t>O2OPMoffer</t>
  </si>
  <si>
    <t>New setup_2</t>
  </si>
  <si>
    <t>ContGiven8</t>
  </si>
  <si>
    <t>toggle_11_2</t>
  </si>
  <si>
    <t>fill_39</t>
  </si>
  <si>
    <t>ShopEmail5</t>
  </si>
  <si>
    <t>ShopAddr9</t>
  </si>
  <si>
    <t>toggle_3</t>
  </si>
  <si>
    <t>StockEX</t>
  </si>
  <si>
    <t>Director7BOX</t>
  </si>
  <si>
    <t>If yes name of processor</t>
  </si>
  <si>
    <t>fill_29_2</t>
  </si>
  <si>
    <t>fill_26_4</t>
  </si>
  <si>
    <t>AddDirector8</t>
  </si>
  <si>
    <t>Signature_3</t>
  </si>
  <si>
    <t>OperationShop4</t>
  </si>
  <si>
    <t>fill_33</t>
  </si>
  <si>
    <t>DeleteCon1</t>
  </si>
  <si>
    <t>CorporateShop4</t>
  </si>
  <si>
    <t>DeleteDirector6</t>
  </si>
  <si>
    <t>FSA6</t>
  </si>
  <si>
    <t>Director7MissX</t>
  </si>
  <si>
    <t>Con8MsX</t>
  </si>
  <si>
    <t>Signature11</t>
  </si>
  <si>
    <t>Remarks</t>
  </si>
  <si>
    <t>ShopAddr6</t>
  </si>
  <si>
    <t>TerminalYes_SPOS</t>
  </si>
  <si>
    <t>Referral</t>
  </si>
  <si>
    <t>AddDirector2</t>
  </si>
  <si>
    <t>toggle_49</t>
  </si>
  <si>
    <t>toggle_27</t>
  </si>
  <si>
    <t>Funding Currency</t>
  </si>
  <si>
    <t>DeleteSign1</t>
  </si>
  <si>
    <t>ShopTel7</t>
  </si>
  <si>
    <t>Salesman</t>
  </si>
  <si>
    <t>fill_15_3</t>
  </si>
  <si>
    <t>undefined_21</t>
  </si>
  <si>
    <t>fill_17_4</t>
  </si>
  <si>
    <t>fill_22_4</t>
  </si>
  <si>
    <t>ME_2</t>
  </si>
  <si>
    <t>Catering/Restaurant</t>
  </si>
  <si>
    <t>SignEN2</t>
  </si>
  <si>
    <t>061X</t>
  </si>
  <si>
    <t>Post Code</t>
  </si>
  <si>
    <t>FinanceShop3</t>
  </si>
  <si>
    <t>Service reconnection_2</t>
  </si>
  <si>
    <t>fill_19_3</t>
  </si>
  <si>
    <t>DirectorGiven5</t>
  </si>
  <si>
    <t>fill_28_3</t>
  </si>
  <si>
    <t>Payment Channels</t>
  </si>
  <si>
    <t>Contacts</t>
  </si>
  <si>
    <r>
      <t>D</t>
    </r>
    <r>
      <rPr>
        <sz val="11"/>
        <color theme="1"/>
        <rFont val="Calibri"/>
        <family val="2"/>
        <scheme val="minor"/>
      </rPr>
      <t>VT202408XXX</t>
    </r>
  </si>
  <si>
    <r>
      <t xml:space="preserve">Sales Name                               </t>
    </r>
    <r>
      <rPr>
        <sz val="9"/>
        <color theme="7" tint="-0.499984740745262"/>
        <rFont val="Wingdings 3"/>
        <family val="1"/>
        <charset val="2"/>
      </rPr>
      <t>q</t>
    </r>
  </si>
  <si>
    <r>
      <t xml:space="preserve">Sales Code          </t>
    </r>
    <r>
      <rPr>
        <sz val="11"/>
        <color theme="1"/>
        <rFont val="Calibri"/>
        <family val="1"/>
        <charset val="136"/>
        <scheme val="minor"/>
      </rPr>
      <t xml:space="preserve"> (automatic input)</t>
    </r>
  </si>
  <si>
    <r>
      <t>S</t>
    </r>
    <r>
      <rPr>
        <sz val="11"/>
        <color theme="1"/>
        <rFont val="Calibri"/>
        <family val="2"/>
        <scheme val="minor"/>
      </rPr>
      <t>ales Executive</t>
    </r>
  </si>
  <si>
    <r>
      <t>6</t>
    </r>
    <r>
      <rPr>
        <sz val="11"/>
        <color theme="1"/>
        <rFont val="Calibri"/>
        <family val="2"/>
        <scheme val="minor"/>
      </rPr>
      <t>620 2468</t>
    </r>
  </si>
  <si>
    <r>
      <t xml:space="preserve">Cert. Of Incorp. Country             </t>
    </r>
    <r>
      <rPr>
        <sz val="9"/>
        <color theme="7" tint="-0.499984740745262"/>
        <rFont val="Wingdings 3"/>
        <family val="1"/>
        <charset val="2"/>
      </rPr>
      <t>q</t>
    </r>
  </si>
  <si>
    <r>
      <t>5</t>
    </r>
    <r>
      <rPr>
        <sz val="11"/>
        <color theme="1"/>
        <rFont val="Calibri"/>
        <family val="2"/>
        <scheme val="minor"/>
      </rPr>
      <t>401 9126</t>
    </r>
  </si>
  <si>
    <r>
      <t>ICL / Tap&amp;GO MCC</t>
    </r>
    <r>
      <rPr>
        <sz val="11"/>
        <color theme="1"/>
        <rFont val="Calibri"/>
        <family val="2"/>
        <scheme val="minor"/>
      </rPr>
      <t xml:space="preserve">        (automatic input)</t>
    </r>
  </si>
  <si>
    <r>
      <t xml:space="preserve">Tap&amp;Go Remark   </t>
    </r>
    <r>
      <rPr>
        <b/>
        <sz val="11"/>
        <rFont val="Wingdings 3"/>
        <family val="1"/>
        <charset val="2"/>
      </rPr>
      <t></t>
    </r>
  </si>
  <si>
    <t>kailam0126@hotmail.com</t>
    <phoneticPr fontId="39" type="noConversion"/>
  </si>
  <si>
    <r>
      <t>FD MCC</t>
    </r>
    <r>
      <rPr>
        <sz val="11"/>
        <color theme="1"/>
        <rFont val="Calibri"/>
        <family val="2"/>
        <scheme val="minor"/>
      </rPr>
      <t xml:space="preserve">                          (automatic input)</t>
    </r>
  </si>
  <si>
    <r>
      <t xml:space="preserve">Tap&amp;Go PromoCode  </t>
    </r>
    <r>
      <rPr>
        <b/>
        <sz val="11"/>
        <rFont val="Wingdings 3"/>
        <family val="1"/>
        <charset val="2"/>
      </rPr>
      <t></t>
    </r>
  </si>
  <si>
    <r>
      <t>EASYLINK MCC</t>
    </r>
    <r>
      <rPr>
        <sz val="11"/>
        <color theme="1"/>
        <rFont val="Calibri"/>
        <family val="2"/>
        <scheme val="minor"/>
      </rPr>
      <t xml:space="preserve">             (automatic input)</t>
    </r>
  </si>
  <si>
    <t>Default = B25 to B30</t>
    <phoneticPr fontId="39" type="noConversion"/>
  </si>
  <si>
    <r>
      <t>TONG HO RESTAURANT LIMITED</t>
    </r>
    <r>
      <rPr>
        <sz val="11"/>
        <color theme="1"/>
        <rFont val="Calibri"/>
        <family val="2"/>
        <scheme val="minor"/>
      </rPr>
      <t>~Test 1</t>
    </r>
  </si>
  <si>
    <r>
      <t>潼灝餐飲有限公司~</t>
    </r>
    <r>
      <rPr>
        <sz val="11"/>
        <color theme="1"/>
        <rFont val="Calibri"/>
        <family val="2"/>
        <scheme val="minor"/>
      </rPr>
      <t>Test 1</t>
    </r>
  </si>
  <si>
    <t>FPS Cap (Not in use)</t>
    <phoneticPr fontId="39" type="noConversion"/>
  </si>
  <si>
    <t>≤HKD 8000</t>
  </si>
  <si>
    <r>
      <t>SHARETEA</t>
    </r>
    <r>
      <rPr>
        <sz val="11"/>
        <color theme="1"/>
        <rFont val="Calibri"/>
        <family val="2"/>
        <scheme val="minor"/>
      </rPr>
      <t>~Test 1</t>
    </r>
  </si>
  <si>
    <r>
      <t>歇腳亭~</t>
    </r>
    <r>
      <rPr>
        <sz val="11"/>
        <color theme="1"/>
        <rFont val="Calibri"/>
        <family val="2"/>
        <scheme val="minor"/>
      </rPr>
      <t>Test 1</t>
    </r>
  </si>
  <si>
    <r>
      <t xml:space="preserve">Busiess Type                             </t>
    </r>
    <r>
      <rPr>
        <sz val="9"/>
        <color theme="7" tint="-0.499984740745262"/>
        <rFont val="Wingdings 3"/>
        <family val="1"/>
        <charset val="2"/>
      </rPr>
      <t>q</t>
    </r>
  </si>
  <si>
    <t>74765840-000-01-24-5</t>
    <phoneticPr fontId="39" type="noConversion"/>
  </si>
  <si>
    <r>
      <t>Business Nature</t>
    </r>
    <r>
      <rPr>
        <sz val="11"/>
        <color theme="1"/>
        <rFont val="Calibri"/>
        <family val="2"/>
        <scheme val="minor"/>
      </rPr>
      <t xml:space="preserve">                         </t>
    </r>
    <r>
      <rPr>
        <sz val="9"/>
        <color theme="7" tint="-0.499984740745262"/>
        <rFont val="Wingdings 3"/>
        <family val="1"/>
        <charset val="2"/>
      </rPr>
      <t>q</t>
    </r>
  </si>
  <si>
    <r>
      <t>T</t>
    </r>
    <r>
      <rPr>
        <sz val="11"/>
        <color theme="1"/>
        <rFont val="Calibri"/>
        <family val="2"/>
        <scheme val="minor"/>
      </rPr>
      <t>ONG HO RESTAURANT LIMITED</t>
    </r>
  </si>
  <si>
    <t>S8A</t>
  </si>
  <si>
    <r>
      <t xml:space="preserve">Bank Code                               </t>
    </r>
    <r>
      <rPr>
        <sz val="9"/>
        <color theme="7" tint="-0.499984740745262"/>
        <rFont val="Wingdings 3"/>
        <family val="1"/>
        <charset val="2"/>
      </rPr>
      <t>q</t>
    </r>
  </si>
  <si>
    <r>
      <t xml:space="preserve">Fiserv SMB (only)                        </t>
    </r>
    <r>
      <rPr>
        <sz val="9"/>
        <color theme="7" tint="-0.499984740745262"/>
        <rFont val="Wingdings 3"/>
        <family val="1"/>
        <charset val="2"/>
      </rPr>
      <t>q</t>
    </r>
  </si>
  <si>
    <t>G/F</t>
  </si>
  <si>
    <r>
      <t>6</t>
    </r>
    <r>
      <rPr>
        <sz val="11"/>
        <color theme="1"/>
        <rFont val="Calibri"/>
        <family val="2"/>
        <scheme val="minor"/>
      </rPr>
      <t>63</t>
    </r>
  </si>
  <si>
    <t>BAUHINIA GARDEN</t>
  </si>
  <si>
    <r>
      <t>2</t>
    </r>
    <r>
      <rPr>
        <sz val="11"/>
        <color rgb="FF000000"/>
        <rFont val="Arial"/>
        <family val="2"/>
      </rPr>
      <t>-012695-3</t>
    </r>
  </si>
  <si>
    <t>11 TONG CHUN ST</t>
    <phoneticPr fontId="39" type="noConversion"/>
  </si>
  <si>
    <t>S8A G/F BAUHINIA GARDEN 11 TONG CHUN ST TSEUNG KWAN O NT HK</t>
    <phoneticPr fontId="39" type="noConversion"/>
  </si>
  <si>
    <r>
      <t>BR District</t>
    </r>
    <r>
      <rPr>
        <sz val="11"/>
        <color theme="1"/>
        <rFont val="Calibri"/>
        <family val="2"/>
        <scheme val="minor"/>
      </rPr>
      <t xml:space="preserve">                               </t>
    </r>
    <r>
      <rPr>
        <sz val="9"/>
        <color theme="7" tint="-0.499984740745262"/>
        <rFont val="Wingdings 3"/>
        <family val="1"/>
        <charset val="2"/>
      </rPr>
      <t>q</t>
    </r>
  </si>
  <si>
    <r>
      <t>Bank Name</t>
    </r>
    <r>
      <rPr>
        <sz val="11"/>
        <color theme="1"/>
        <rFont val="Calibri"/>
        <family val="2"/>
        <scheme val="minor"/>
      </rPr>
      <t xml:space="preserve">         (automatic input)</t>
    </r>
  </si>
  <si>
    <r>
      <t xml:space="preserve">BR Region                                </t>
    </r>
    <r>
      <rPr>
        <sz val="9"/>
        <color theme="7" tint="-0.499984740745262"/>
        <rFont val="Wingdings 3"/>
        <family val="1"/>
        <charset val="2"/>
      </rPr>
      <t>q</t>
    </r>
  </si>
  <si>
    <r>
      <t>SWIFT Code</t>
    </r>
    <r>
      <rPr>
        <sz val="11"/>
        <color theme="1"/>
        <rFont val="Calibri"/>
        <family val="2"/>
        <scheme val="minor"/>
      </rPr>
      <t xml:space="preserve">       (automatic input)</t>
    </r>
  </si>
  <si>
    <r>
      <rPr>
        <sz val="11"/>
        <rFont val="Arial"/>
        <family val="2"/>
      </rPr>
      <t>JW</t>
    </r>
    <r>
      <rPr>
        <sz val="11"/>
        <color rgb="FF000000"/>
        <rFont val="Arial"/>
        <family val="2"/>
      </rPr>
      <t xml:space="preserve"> </t>
    </r>
    <r>
      <rPr>
        <sz val="11"/>
        <color theme="7" tint="-0.499984740745262"/>
        <rFont val="Arial"/>
        <family val="2"/>
      </rPr>
      <t xml:space="preserve">= Bank Code {e.g.: </t>
    </r>
    <r>
      <rPr>
        <b/>
        <sz val="11"/>
        <color rgb="FF0000FF"/>
        <rFont val="Arial"/>
        <family val="2"/>
      </rPr>
      <t>004</t>
    </r>
    <r>
      <rPr>
        <sz val="11"/>
        <color theme="7" tint="-0.499984740745262"/>
        <rFont val="Arial"/>
        <family val="2"/>
      </rPr>
      <t>}</t>
    </r>
  </si>
  <si>
    <r>
      <rPr>
        <b/>
        <sz val="11"/>
        <color rgb="FFFF0000"/>
        <rFont val="Arial"/>
        <family val="2"/>
      </rPr>
      <t>JX</t>
    </r>
    <r>
      <rPr>
        <sz val="11"/>
        <color rgb="FF000000"/>
        <rFont val="Arial"/>
        <family val="2"/>
      </rPr>
      <t xml:space="preserve"> </t>
    </r>
    <r>
      <rPr>
        <sz val="11"/>
        <color theme="7" tint="-0.499984740745262"/>
        <rFont val="Arial"/>
        <family val="2"/>
      </rPr>
      <t xml:space="preserve">= </t>
    </r>
    <r>
      <rPr>
        <b/>
        <sz val="11"/>
        <color rgb="FF0000FF"/>
        <rFont val="Arial"/>
        <family val="2"/>
      </rPr>
      <t>BankCodeVM</t>
    </r>
    <r>
      <rPr>
        <sz val="11"/>
        <color theme="7" tint="-0.499984740745262"/>
        <rFont val="Arial"/>
        <family val="2"/>
      </rPr>
      <t xml:space="preserve"> {e.g.: </t>
    </r>
    <r>
      <rPr>
        <b/>
        <sz val="11"/>
        <color rgb="FF0000FF"/>
        <rFont val="Arial"/>
        <family val="2"/>
      </rPr>
      <t>0004</t>
    </r>
    <r>
      <rPr>
        <sz val="11"/>
        <color theme="7" tint="-0.499984740745262"/>
        <rFont val="Arial"/>
        <family val="2"/>
      </rPr>
      <t>} [ Fiserv V/M P.2 -Bank Routing/Sort Code: ]</t>
    </r>
  </si>
  <si>
    <r>
      <t>&lt;--</t>
    </r>
    <r>
      <rPr>
        <b/>
        <sz val="14"/>
        <color rgb="FFFF0000"/>
        <rFont val="細明體"/>
        <family val="3"/>
        <charset val="136"/>
      </rPr>
      <t>≠</t>
    </r>
    <r>
      <rPr>
        <sz val="12"/>
        <color theme="7" tint="-0.499984740745262"/>
        <rFont val="Times New Roman"/>
        <family val="1"/>
      </rPr>
      <t>B37</t>
    </r>
  </si>
  <si>
    <t>SHARETEA~Test 1</t>
    <phoneticPr fontId="39" type="noConversion"/>
  </si>
  <si>
    <r>
      <t>&lt;--</t>
    </r>
    <r>
      <rPr>
        <b/>
        <sz val="14"/>
        <color rgb="FFFF0000"/>
        <rFont val="細明體"/>
        <family val="3"/>
        <charset val="136"/>
      </rPr>
      <t>≠</t>
    </r>
    <r>
      <rPr>
        <sz val="12"/>
        <color theme="7" tint="-0.499984740745262"/>
        <rFont val="Times New Roman"/>
        <family val="1"/>
      </rPr>
      <t>B38</t>
    </r>
    <r>
      <rPr>
        <sz val="11"/>
        <color theme="1"/>
        <rFont val="Calibri"/>
        <family val="2"/>
        <scheme val="minor"/>
      </rPr>
      <t/>
    </r>
  </si>
  <si>
    <r>
      <t>&lt;--</t>
    </r>
    <r>
      <rPr>
        <b/>
        <sz val="14"/>
        <color rgb="FFFF0000"/>
        <rFont val="細明體"/>
        <family val="3"/>
        <charset val="136"/>
      </rPr>
      <t>≠</t>
    </r>
    <r>
      <rPr>
        <sz val="12"/>
        <color theme="7" tint="-0.499984740745262"/>
        <rFont val="Times New Roman"/>
        <family val="1"/>
      </rPr>
      <t>B39</t>
    </r>
    <r>
      <rPr>
        <sz val="11"/>
        <color theme="1"/>
        <rFont val="Calibri"/>
        <family val="2"/>
        <scheme val="minor"/>
      </rPr>
      <t/>
    </r>
  </si>
  <si>
    <r>
      <t>&lt;--</t>
    </r>
    <r>
      <rPr>
        <b/>
        <sz val="14"/>
        <color rgb="FFFF0000"/>
        <rFont val="細明體"/>
        <family val="3"/>
        <charset val="136"/>
      </rPr>
      <t>≠</t>
    </r>
    <r>
      <rPr>
        <sz val="12"/>
        <color theme="7" tint="-0.499984740745262"/>
        <rFont val="Times New Roman"/>
        <family val="1"/>
      </rPr>
      <t>B40</t>
    </r>
    <r>
      <rPr>
        <sz val="11"/>
        <color theme="1"/>
        <rFont val="Calibri"/>
        <family val="2"/>
        <scheme val="minor"/>
      </rPr>
      <t/>
    </r>
  </si>
  <si>
    <r>
      <t>&lt;--</t>
    </r>
    <r>
      <rPr>
        <b/>
        <sz val="14"/>
        <color rgb="FFFF0000"/>
        <rFont val="細明體"/>
        <family val="3"/>
        <charset val="136"/>
      </rPr>
      <t>≠</t>
    </r>
    <r>
      <rPr>
        <sz val="12"/>
        <color theme="7" tint="-0.499984740745262"/>
        <rFont val="Times New Roman"/>
        <family val="1"/>
      </rPr>
      <t>B41</t>
    </r>
    <r>
      <rPr>
        <sz val="11"/>
        <color theme="1"/>
        <rFont val="Calibri"/>
        <family val="2"/>
        <scheme val="minor"/>
      </rPr>
      <t/>
    </r>
  </si>
  <si>
    <r>
      <t>&lt;--</t>
    </r>
    <r>
      <rPr>
        <b/>
        <sz val="14"/>
        <color rgb="FFFF0000"/>
        <rFont val="細明體"/>
        <family val="3"/>
        <charset val="136"/>
      </rPr>
      <t>≠</t>
    </r>
    <r>
      <rPr>
        <sz val="12"/>
        <color theme="7" tint="-0.499984740745262"/>
        <rFont val="Times New Roman"/>
        <family val="1"/>
      </rPr>
      <t>B42</t>
    </r>
    <r>
      <rPr>
        <sz val="11"/>
        <color theme="1"/>
        <rFont val="Calibri"/>
        <family val="2"/>
        <scheme val="minor"/>
      </rPr>
      <t/>
    </r>
  </si>
  <si>
    <r>
      <t>&lt;--</t>
    </r>
    <r>
      <rPr>
        <b/>
        <sz val="14"/>
        <color rgb="FFFF0000"/>
        <rFont val="細明體"/>
        <family val="3"/>
        <charset val="136"/>
      </rPr>
      <t>≠</t>
    </r>
    <r>
      <rPr>
        <sz val="12"/>
        <color theme="7" tint="-0.499984740745262"/>
        <rFont val="Times New Roman"/>
        <family val="1"/>
      </rPr>
      <t>B43</t>
    </r>
    <r>
      <rPr>
        <sz val="11"/>
        <color theme="1"/>
        <rFont val="Calibri"/>
        <family val="2"/>
        <scheme val="minor"/>
      </rPr>
      <t/>
    </r>
  </si>
  <si>
    <r>
      <t>&lt;--</t>
    </r>
    <r>
      <rPr>
        <b/>
        <sz val="14"/>
        <color rgb="FFFF0000"/>
        <rFont val="細明體"/>
        <family val="3"/>
        <charset val="136"/>
      </rPr>
      <t>≠</t>
    </r>
    <r>
      <rPr>
        <sz val="12"/>
        <color theme="7" tint="-0.499984740745262"/>
        <rFont val="Times New Roman"/>
        <family val="1"/>
      </rPr>
      <t>B44</t>
    </r>
    <r>
      <rPr>
        <sz val="11"/>
        <color theme="1"/>
        <rFont val="Calibri"/>
        <family val="2"/>
        <scheme val="minor"/>
      </rPr>
      <t/>
    </r>
  </si>
  <si>
    <r>
      <t>&lt;--</t>
    </r>
    <r>
      <rPr>
        <b/>
        <sz val="14"/>
        <color rgb="FFFF0000"/>
        <rFont val="細明體"/>
        <family val="3"/>
        <charset val="136"/>
      </rPr>
      <t>≠</t>
    </r>
    <r>
      <rPr>
        <sz val="12"/>
        <color theme="7" tint="-0.499984740745262"/>
        <rFont val="Times New Roman"/>
        <family val="1"/>
      </rPr>
      <t>B45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</si>
  <si>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sz val="11"/>
        <color theme="1"/>
        <rFont val="Calibri"/>
        <family val="2"/>
        <scheme val="minor"/>
      </rPr>
      <t>/A</t>
    </r>
  </si>
  <si>
    <r>
      <t>T</t>
    </r>
    <r>
      <rPr>
        <sz val="11"/>
        <color theme="1"/>
        <rFont val="Calibri"/>
        <family val="2"/>
        <scheme val="minor"/>
      </rPr>
      <t>el</t>
    </r>
  </si>
  <si>
    <r>
      <t>&lt;--</t>
    </r>
    <r>
      <rPr>
        <b/>
        <sz val="14"/>
        <color rgb="FFFF0000"/>
        <rFont val="細明體"/>
        <family val="3"/>
        <charset val="136"/>
      </rPr>
      <t>≠</t>
    </r>
    <r>
      <rPr>
        <sz val="12"/>
        <color theme="7" tint="-0.499984740745262"/>
        <rFont val="Times New Roman"/>
        <family val="1"/>
      </rPr>
      <t>B46</t>
    </r>
    <r>
      <rPr>
        <sz val="11"/>
        <color theme="1"/>
        <rFont val="Calibri"/>
        <family val="2"/>
        <scheme val="minor"/>
      </rPr>
      <t/>
    </r>
  </si>
  <si>
    <r>
      <t>&lt;--</t>
    </r>
    <r>
      <rPr>
        <b/>
        <sz val="14"/>
        <color rgb="FFFF0000"/>
        <rFont val="細明體"/>
        <family val="3"/>
        <charset val="136"/>
      </rPr>
      <t>≠</t>
    </r>
    <r>
      <rPr>
        <sz val="12"/>
        <color theme="7" tint="-0.499984740745262"/>
        <rFont val="Times New Roman"/>
        <family val="1"/>
      </rPr>
      <t>B47</t>
    </r>
    <r>
      <rPr>
        <sz val="11"/>
        <color theme="1"/>
        <rFont val="Calibri"/>
        <family val="2"/>
        <scheme val="minor"/>
      </rPr>
      <t/>
    </r>
  </si>
  <si>
    <r>
      <t xml:space="preserve">No of POS </t>
    </r>
    <r>
      <rPr>
        <b/>
        <sz val="10"/>
        <color rgb="FF0000FF"/>
        <rFont val="Times New Roman"/>
        <family val="1"/>
      </rPr>
      <t>&lt; No. of mPOS (Shop 1) &gt;</t>
    </r>
  </si>
  <si>
    <r>
      <t xml:space="preserve">No of POS </t>
    </r>
    <r>
      <rPr>
        <b/>
        <sz val="10"/>
        <color rgb="FF0000FF"/>
        <rFont val="Times New Roman"/>
        <family val="1"/>
      </rPr>
      <t>&lt; No. of mPOS (Shop 2) &gt;</t>
    </r>
  </si>
  <si>
    <r>
      <t>B</t>
    </r>
    <r>
      <rPr>
        <sz val="11"/>
        <color theme="1"/>
        <rFont val="Calibri"/>
        <family val="2"/>
        <scheme val="minor"/>
      </rPr>
      <t>V</t>
    </r>
  </si>
  <si>
    <r>
      <t>&lt;--</t>
    </r>
    <r>
      <rPr>
        <b/>
        <sz val="14"/>
        <color rgb="FFFF0000"/>
        <rFont val="細明體"/>
        <family val="3"/>
        <charset val="136"/>
      </rPr>
      <t>≠</t>
    </r>
    <r>
      <rPr>
        <sz val="12"/>
        <color theme="7" tint="-0.499984740745262"/>
        <rFont val="Times New Roman"/>
        <family val="1"/>
      </rPr>
      <t>B48</t>
    </r>
    <r>
      <rPr>
        <sz val="11"/>
        <color theme="1"/>
        <rFont val="Calibri"/>
        <family val="2"/>
        <scheme val="minor"/>
      </rPr>
      <t/>
    </r>
  </si>
  <si>
    <r>
      <t xml:space="preserve">Display address (default = Shop)
</t>
    </r>
    <r>
      <rPr>
        <b/>
        <sz val="10"/>
        <color rgb="FF0000FF"/>
        <rFont val="Times New Roman"/>
        <family val="1"/>
      </rPr>
      <t>(default = B40,B41,B42,B43,B44,B45)</t>
    </r>
  </si>
  <si>
    <r>
      <t xml:space="preserve">Installation address (default = Shop)
</t>
    </r>
    <r>
      <rPr>
        <b/>
        <sz val="10"/>
        <color rgb="FF0000FF"/>
        <rFont val="Times New Roman"/>
        <family val="1"/>
      </rPr>
      <t>(default = B40,B41,B42,B43,B44,B45)</t>
    </r>
  </si>
  <si>
    <r>
      <t xml:space="preserve">Smartpos Installation </t>
    </r>
    <r>
      <rPr>
        <b/>
        <u/>
        <sz val="11"/>
        <color theme="1"/>
        <rFont val="Calibri"/>
        <family val="2"/>
        <scheme val="minor"/>
      </rPr>
      <t>Primary</t>
    </r>
    <r>
      <rPr>
        <sz val="11"/>
        <color theme="1"/>
        <rFont val="Calibri"/>
        <family val="2"/>
        <scheme val="minor"/>
      </rPr>
      <t xml:space="preserve"> Contact Person</t>
    </r>
  </si>
  <si>
    <t>MR CHEN</t>
    <phoneticPr fontId="39" type="noConversion"/>
  </si>
  <si>
    <r>
      <t xml:space="preserve">Smartpos Installation </t>
    </r>
    <r>
      <rPr>
        <b/>
        <u/>
        <sz val="11"/>
        <color theme="1"/>
        <rFont val="Calibri"/>
        <family val="2"/>
        <scheme val="minor"/>
      </rPr>
      <t>Primary</t>
    </r>
    <r>
      <rPr>
        <sz val="11"/>
        <color theme="1"/>
        <rFont val="Calibri"/>
        <family val="2"/>
        <scheme val="minor"/>
      </rPr>
      <t xml:space="preserve"> Contact Position</t>
    </r>
  </si>
  <si>
    <t>DIRECTOR</t>
    <phoneticPr fontId="39" type="noConversion"/>
  </si>
  <si>
    <r>
      <t>Smartpos Installation</t>
    </r>
    <r>
      <rPr>
        <b/>
        <u/>
        <sz val="11"/>
        <color theme="1"/>
        <rFont val="Calibri"/>
        <family val="2"/>
        <scheme val="minor"/>
      </rPr>
      <t xml:space="preserve"> Primary</t>
    </r>
    <r>
      <rPr>
        <sz val="11"/>
        <color theme="1"/>
        <rFont val="Calibri"/>
        <family val="2"/>
        <scheme val="minor"/>
      </rPr>
      <t xml:space="preserve"> Contact tel</t>
    </r>
  </si>
  <si>
    <r>
      <t xml:space="preserve">Smartpos Installation </t>
    </r>
    <r>
      <rPr>
        <b/>
        <u/>
        <sz val="11"/>
        <color theme="1"/>
        <rFont val="Calibri"/>
        <family val="2"/>
        <scheme val="minor"/>
      </rPr>
      <t>Primary</t>
    </r>
    <r>
      <rPr>
        <sz val="11"/>
        <color theme="1"/>
        <rFont val="Calibri"/>
        <family val="2"/>
        <scheme val="minor"/>
      </rPr>
      <t xml:space="preserve"> Contact email</t>
    </r>
  </si>
  <si>
    <r>
      <t xml:space="preserve">Smartpos Installation </t>
    </r>
    <r>
      <rPr>
        <b/>
        <u/>
        <sz val="11"/>
        <color theme="1"/>
        <rFont val="Calibri"/>
        <family val="2"/>
        <scheme val="minor"/>
      </rPr>
      <t xml:space="preserve">Second </t>
    </r>
    <r>
      <rPr>
        <sz val="11"/>
        <color theme="1"/>
        <rFont val="Calibri"/>
        <family val="2"/>
        <scheme val="minor"/>
      </rPr>
      <t>Contact Person</t>
    </r>
  </si>
  <si>
    <r>
      <t xml:space="preserve">Smartpos Installation </t>
    </r>
    <r>
      <rPr>
        <b/>
        <u/>
        <sz val="11"/>
        <color theme="1"/>
        <rFont val="Calibri"/>
        <family val="2"/>
        <scheme val="minor"/>
      </rPr>
      <t>Second</t>
    </r>
    <r>
      <rPr>
        <sz val="11"/>
        <color theme="1"/>
        <rFont val="Calibri"/>
        <family val="2"/>
        <scheme val="minor"/>
      </rPr>
      <t xml:space="preserve"> Contact Position</t>
    </r>
  </si>
  <si>
    <r>
      <t xml:space="preserve">Smartpos Installation </t>
    </r>
    <r>
      <rPr>
        <b/>
        <u/>
        <sz val="11"/>
        <color theme="1"/>
        <rFont val="Calibri"/>
        <family val="2"/>
        <scheme val="minor"/>
      </rPr>
      <t xml:space="preserve">Second </t>
    </r>
    <r>
      <rPr>
        <sz val="11"/>
        <color theme="1"/>
        <rFont val="Calibri"/>
        <family val="2"/>
        <scheme val="minor"/>
      </rPr>
      <t>Contact tel</t>
    </r>
  </si>
  <si>
    <r>
      <t xml:space="preserve">Smartpos Installation </t>
    </r>
    <r>
      <rPr>
        <b/>
        <u/>
        <sz val="11"/>
        <color theme="1"/>
        <rFont val="Calibri"/>
        <family val="2"/>
        <scheme val="minor"/>
      </rPr>
      <t>Second</t>
    </r>
    <r>
      <rPr>
        <sz val="11"/>
        <color theme="1"/>
        <rFont val="Calibri"/>
        <family val="2"/>
        <scheme val="minor"/>
      </rPr>
      <t xml:space="preserve"> Contact email</t>
    </r>
  </si>
  <si>
    <r>
      <t>S</t>
    </r>
    <r>
      <rPr>
        <sz val="11"/>
        <color theme="1"/>
        <rFont val="Calibri"/>
        <family val="2"/>
        <scheme val="minor"/>
      </rPr>
      <t>HARETEA</t>
    </r>
  </si>
  <si>
    <r>
      <t>S</t>
    </r>
    <r>
      <rPr>
        <sz val="11"/>
        <color theme="1"/>
        <rFont val="Calibri"/>
        <family val="2"/>
        <scheme val="minor"/>
      </rPr>
      <t>8A G/F BAUHINIA GDN 11 TONG CHUN ST TKO NT</t>
    </r>
  </si>
  <si>
    <r>
      <t xml:space="preserve">SmartPOS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</si>
  <si>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FPS Suite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</si>
  <si>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HKT POS Mobile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</si>
  <si>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OPG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</si>
  <si>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**HKTPOS Monthly Plan Offer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</si>
  <si>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SmartPOSPlan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</si>
  <si>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HKT POS Plan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</si>
  <si>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O2OF&amp;B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</si>
  <si>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Businees Sub-Type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</si>
  <si>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VM (WLB)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</si>
  <si>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O2OPM </t>
    </r>
    <r>
      <rPr>
        <b/>
        <sz val="10"/>
        <color rgb="FF000000"/>
        <rFont val="Wingdings 3"/>
        <family val="1"/>
        <charset val="2"/>
      </rPr>
      <t></t>
    </r>
  </si>
  <si>
    <t>FAST FOOD</t>
    <phoneticPr fontId="39" type="noConversion"/>
  </si>
  <si>
    <r>
      <t xml:space="preserve">Octopus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</si>
  <si>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O2OSB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</si>
  <si>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Due Diligence Category </t>
    </r>
    <r>
      <rPr>
        <b/>
        <sz val="10"/>
        <color rgb="FF000000"/>
        <rFont val="Wingdings 3"/>
        <family val="1"/>
        <charset val="2"/>
      </rPr>
      <t></t>
    </r>
  </si>
  <si>
    <r>
      <t>Paymentasia- Alipay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</si>
  <si>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T&amp;G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</si>
  <si>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O2OCater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</si>
  <si>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Paymentasia- WeChatPay </t>
    </r>
    <r>
      <rPr>
        <b/>
        <sz val="10"/>
        <color rgb="FF000000"/>
        <rFont val="Wingdings 3"/>
        <family val="1"/>
        <charset val="2"/>
      </rPr>
      <t></t>
    </r>
  </si>
  <si>
    <t>No. of Outlet</t>
    <phoneticPr fontId="39" type="noConversion"/>
  </si>
  <si>
    <r>
      <t xml:space="preserve">O2OSmartSch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</si>
  <si>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UnionPay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</si>
  <si>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FPS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</si>
  <si>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Direct Marketing </t>
    </r>
    <r>
      <rPr>
        <b/>
        <sz val="10"/>
        <color rgb="FF000000"/>
        <rFont val="Wingdings 3"/>
        <family val="1"/>
        <charset val="2"/>
      </rPr>
      <t></t>
    </r>
    <r>
      <rPr>
        <b/>
        <sz val="10"/>
        <color rgb="FF000000"/>
        <rFont val="Calibri"/>
        <family val="2"/>
        <scheme val="minor"/>
      </rPr>
      <t></t>
    </r>
  </si>
  <si>
    <r>
      <t xml:space="preserve">WLB VM </t>
    </r>
    <r>
      <rPr>
        <b/>
        <sz val="10"/>
        <color rgb="FF000000"/>
        <rFont val="Wingdings 3"/>
        <family val="1"/>
        <charset val="2"/>
      </rPr>
      <t></t>
    </r>
  </si>
  <si>
    <t>BANK OF CHINA (HONG KONG) LIMITED</t>
    <phoneticPr fontId="39" type="noConversion"/>
  </si>
  <si>
    <r>
      <t xml:space="preserve">SmartPOS Display Language - CHI </t>
    </r>
    <r>
      <rPr>
        <b/>
        <sz val="10"/>
        <color rgb="FF000000"/>
        <rFont val="Wingdings 3"/>
        <family val="1"/>
        <charset val="2"/>
      </rPr>
      <t></t>
    </r>
  </si>
  <si>
    <r>
      <t>VM</t>
    </r>
    <r>
      <rPr>
        <b/>
        <sz val="10"/>
        <color rgb="FF000000"/>
        <rFont val="Wingdings 3"/>
        <family val="1"/>
        <charset val="2"/>
      </rPr>
      <t></t>
    </r>
  </si>
  <si>
    <r>
      <t>SmartPOS Display Language -  ENG</t>
    </r>
    <r>
      <rPr>
        <b/>
        <sz val="10"/>
        <color rgb="FF000000"/>
        <rFont val="Wingdings 3"/>
        <family val="1"/>
        <charset val="2"/>
      </rPr>
      <t></t>
    </r>
  </si>
  <si>
    <r>
      <t>**SmartPOS Monthly Plan Offer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</si>
  <si>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THECLUB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</si>
  <si>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CUP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</si>
  <si>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K-Dollar </t>
    </r>
    <r>
      <rPr>
        <b/>
        <sz val="10"/>
        <color rgb="FF000000"/>
        <rFont val="Wingdings 3"/>
        <family val="1"/>
        <charset val="2"/>
      </rPr>
      <t></t>
    </r>
  </si>
  <si>
    <r>
      <t>CUP QR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</si>
  <si>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Mobile Card </t>
    </r>
    <r>
      <rPr>
        <b/>
        <sz val="10"/>
        <color rgb="FF000000"/>
        <rFont val="Wingdings 3"/>
        <family val="1"/>
        <charset val="2"/>
      </rPr>
      <t></t>
    </r>
  </si>
  <si>
    <r>
      <t>Mira Point [Coming Soon]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</si>
  <si>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THE CLUB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</si>
  <si>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EFT- Alipay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</si>
  <si>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EFT- WeChatPay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</si>
  <si>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OCL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</si>
  <si>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VM (Fiserv)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</si>
  <si>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ALIPAY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</si>
  <si>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WECHAT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</si>
  <si>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UnionPay (Easylink) </t>
    </r>
    <r>
      <rPr>
        <b/>
        <sz val="10"/>
        <color rgb="FF000000"/>
        <rFont val="Wingdings 3"/>
        <family val="1"/>
        <charset val="2"/>
      </rPr>
      <t></t>
    </r>
  </si>
  <si>
    <r>
      <t>POSSYTEM_Yes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</si>
  <si>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POSSYTEM_No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</si>
  <si>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SI Name (IF Yes) </t>
    </r>
    <r>
      <rPr>
        <b/>
        <sz val="10"/>
        <color rgb="FF000000"/>
        <rFont val="Wingdings 3"/>
        <family val="1"/>
        <charset val="2"/>
      </rPr>
      <t></t>
    </r>
  </si>
  <si>
    <r>
      <t xml:space="preserve">Other_SI </t>
    </r>
    <r>
      <rPr>
        <b/>
        <sz val="10"/>
        <color rgb="FF000000"/>
        <rFont val="Wingdings 3"/>
        <family val="1"/>
        <charset val="2"/>
      </rPr>
      <t></t>
    </r>
  </si>
  <si>
    <r>
      <t xml:space="preserve">Apply SmartPOS +HKT POS </t>
    </r>
    <r>
      <rPr>
        <b/>
        <sz val="11"/>
        <color rgb="FF000000"/>
        <rFont val="Wingdings 3"/>
        <family val="1"/>
        <charset val="2"/>
      </rPr>
      <t></t>
    </r>
  </si>
  <si>
    <r>
      <rPr>
        <b/>
        <u/>
        <sz val="11"/>
        <color rgb="FFFF0000"/>
        <rFont val="Calibri Light"/>
        <family val="2"/>
        <scheme val="major"/>
      </rPr>
      <t>ONLY</t>
    </r>
    <r>
      <rPr>
        <b/>
        <sz val="11"/>
        <color rgb="FF000000"/>
        <rFont val="Calibri Light"/>
        <family val="2"/>
        <scheme val="major"/>
      </rPr>
      <t xml:space="preserve"> Apply SmartPOS</t>
    </r>
  </si>
  <si>
    <r>
      <rPr>
        <b/>
        <u/>
        <sz val="11"/>
        <color rgb="FFFF0000"/>
        <rFont val="Calibri Light"/>
        <family val="2"/>
        <scheme val="major"/>
      </rPr>
      <t xml:space="preserve">ONLY </t>
    </r>
    <r>
      <rPr>
        <b/>
        <sz val="11"/>
        <color rgb="FF000000"/>
        <rFont val="Calibri Light"/>
        <family val="2"/>
        <scheme val="major"/>
      </rPr>
      <t>Apply HKTPOS</t>
    </r>
  </si>
  <si>
    <r>
      <t xml:space="preserve">Courtesy                  </t>
    </r>
    <r>
      <rPr>
        <sz val="9"/>
        <color theme="7" tint="-0.499984740745262"/>
        <rFont val="Wingdings 3"/>
        <family val="1"/>
        <charset val="2"/>
      </rPr>
      <t>q</t>
    </r>
  </si>
  <si>
    <t>CHEN</t>
    <phoneticPr fontId="39" type="noConversion"/>
  </si>
  <si>
    <r>
      <rPr>
        <sz val="11"/>
        <color rgb="FF000000"/>
        <rFont val="Calibri"/>
        <family val="2"/>
      </rPr>
      <t xml:space="preserve">LG </t>
    </r>
    <r>
      <rPr>
        <sz val="11"/>
        <color rgb="FF806000"/>
        <rFont val="Calibri"/>
        <family val="2"/>
      </rPr>
      <t>=R16</t>
    </r>
  </si>
  <si>
    <r>
      <t>Given</t>
    </r>
    <r>
      <rPr>
        <sz val="11"/>
        <color theme="1"/>
        <rFont val="Calibri"/>
        <family val="2"/>
        <scheme val="minor"/>
      </rPr>
      <t xml:space="preserve"> / First</t>
    </r>
    <r>
      <rPr>
        <sz val="11"/>
        <color theme="1"/>
        <rFont val="Calibri"/>
        <family val="2"/>
        <scheme val="minor"/>
      </rPr>
      <t xml:space="preserve"> Name</t>
    </r>
    <r>
      <rPr>
        <sz val="11"/>
        <color theme="1"/>
        <rFont val="Calibri"/>
        <family val="2"/>
        <scheme val="minor"/>
      </rPr>
      <t xml:space="preserve"> 名</t>
    </r>
  </si>
  <si>
    <r>
      <rPr>
        <sz val="11"/>
        <color rgb="FF000000"/>
        <rFont val="Calibri"/>
        <family val="2"/>
      </rPr>
      <t xml:space="preserve">LH </t>
    </r>
    <r>
      <rPr>
        <sz val="11"/>
        <color rgb="FF806000"/>
        <rFont val="Calibri"/>
        <family val="2"/>
      </rPr>
      <t>=R17</t>
    </r>
  </si>
  <si>
    <t>陳</t>
  </si>
  <si>
    <r>
      <rPr>
        <sz val="11"/>
        <color rgb="FF000000"/>
        <rFont val="Calibri"/>
        <family val="2"/>
      </rPr>
      <t xml:space="preserve">LJ </t>
    </r>
    <r>
      <rPr>
        <sz val="11"/>
        <color rgb="FF806000"/>
        <rFont val="Calibri"/>
        <family val="2"/>
      </rPr>
      <t>=R20&amp;R21</t>
    </r>
  </si>
  <si>
    <r>
      <rPr>
        <sz val="11"/>
        <color rgb="FF000000"/>
        <rFont val="Calibri"/>
        <family val="2"/>
      </rPr>
      <t xml:space="preserve">LK </t>
    </r>
    <r>
      <rPr>
        <sz val="11"/>
        <color rgb="FF806000"/>
        <rFont val="Calibri"/>
        <family val="2"/>
      </rPr>
      <t>=R18</t>
    </r>
  </si>
  <si>
    <t>5401 9126</t>
    <phoneticPr fontId="39" type="noConversion"/>
  </si>
  <si>
    <t>AFG N/A Tel</t>
    <phoneticPr fontId="39" type="noConversion"/>
  </si>
  <si>
    <r>
      <rPr>
        <sz val="11"/>
        <color rgb="FF000000"/>
        <rFont val="Calibri"/>
        <family val="2"/>
      </rPr>
      <t>LL</t>
    </r>
    <r>
      <rPr>
        <sz val="11"/>
        <color rgb="FF806000"/>
        <rFont val="Calibri"/>
        <family val="2"/>
      </rPr>
      <t>=R22</t>
    </r>
  </si>
  <si>
    <r>
      <rPr>
        <sz val="11"/>
        <color rgb="FF000000"/>
        <rFont val="Calibri"/>
        <family val="2"/>
      </rPr>
      <t xml:space="preserve">LO </t>
    </r>
    <r>
      <rPr>
        <sz val="11"/>
        <color rgb="FF806000"/>
        <rFont val="Calibri"/>
        <family val="2"/>
      </rPr>
      <t>=R23</t>
    </r>
  </si>
  <si>
    <r>
      <rPr>
        <sz val="11"/>
        <color rgb="FF000000"/>
        <rFont val="Calibri"/>
        <family val="2"/>
      </rPr>
      <t xml:space="preserve">LP - LT </t>
    </r>
    <r>
      <rPr>
        <sz val="11"/>
        <color rgb="FF806000"/>
        <rFont val="Calibri"/>
        <family val="2"/>
      </rPr>
      <t>=R24</t>
    </r>
  </si>
  <si>
    <r>
      <rPr>
        <sz val="11"/>
        <color rgb="FF000000"/>
        <rFont val="Calibri"/>
        <family val="2"/>
      </rPr>
      <t xml:space="preserve">LU </t>
    </r>
    <r>
      <rPr>
        <sz val="11"/>
        <color rgb="FF806000"/>
        <rFont val="Calibri"/>
        <family val="2"/>
      </rPr>
      <t>=R25</t>
    </r>
  </si>
  <si>
    <t>HANDE</t>
    <phoneticPr fontId="39" type="noConversion"/>
  </si>
  <si>
    <r>
      <t xml:space="preserve">Title                         </t>
    </r>
    <r>
      <rPr>
        <sz val="9"/>
        <color theme="7" tint="-0.499984740745262"/>
        <rFont val="Wingdings 3"/>
        <family val="1"/>
        <charset val="2"/>
      </rPr>
      <t>q</t>
    </r>
  </si>
  <si>
    <t>漢得</t>
  </si>
  <si>
    <r>
      <t xml:space="preserve">ID Type                  </t>
    </r>
    <r>
      <rPr>
        <sz val="9"/>
        <color theme="7" tint="-0.499984740745262"/>
        <rFont val="Wingdings 3"/>
        <family val="1"/>
        <charset val="2"/>
      </rPr>
      <t>q</t>
    </r>
  </si>
  <si>
    <t>R526008(5)</t>
  </si>
  <si>
    <r>
      <t xml:space="preserve">Nationality              </t>
    </r>
    <r>
      <rPr>
        <sz val="9"/>
        <color theme="7" tint="-0.499984740745262"/>
        <rFont val="Wingdings 3"/>
        <family val="1"/>
        <charset val="2"/>
      </rPr>
      <t>q</t>
    </r>
  </si>
  <si>
    <r>
      <t xml:space="preserve">Capacity                  </t>
    </r>
    <r>
      <rPr>
        <sz val="9"/>
        <color theme="7" tint="-0.499984740745262"/>
        <rFont val="Wingdings 3"/>
        <family val="1"/>
        <charset val="2"/>
      </rPr>
      <t>q</t>
    </r>
  </si>
  <si>
    <t>FLAT 1</t>
  </si>
  <si>
    <t>17/F</t>
  </si>
  <si>
    <t>BLOCK C,</t>
  </si>
  <si>
    <t>YU MOON HOUSE, PHASE 1, YU CHUI COURT</t>
  </si>
  <si>
    <t>6 NGAU PEI SHA STREET, YUEN CHAU KOK</t>
    <phoneticPr fontId="39" type="noConversion"/>
  </si>
  <si>
    <r>
      <t xml:space="preserve">Res. Add. District    </t>
    </r>
    <r>
      <rPr>
        <sz val="9"/>
        <color theme="7" tint="-0.499984740745262"/>
        <rFont val="Wingdings 3"/>
        <family val="1"/>
        <charset val="2"/>
      </rPr>
      <t>q</t>
    </r>
  </si>
  <si>
    <r>
      <t xml:space="preserve">Res. Add. Region    </t>
    </r>
    <r>
      <rPr>
        <sz val="9"/>
        <color theme="7" tint="-0.499984740745262"/>
        <rFont val="Wingdings 3"/>
        <family val="1"/>
        <charset val="2"/>
      </rPr>
      <t>q</t>
    </r>
  </si>
  <si>
    <t>Own Res. Add. (Property owner?)</t>
    <phoneticPr fontId="39" type="noConversion"/>
  </si>
  <si>
    <r>
      <rPr>
        <sz val="11"/>
        <color rgb="FF000000"/>
        <rFont val="Calibri"/>
        <family val="2"/>
      </rPr>
      <t>NW</t>
    </r>
    <r>
      <rPr>
        <sz val="11"/>
        <color rgb="FF000000"/>
        <rFont val="Wingdings 3"/>
        <family val="1"/>
        <charset val="2"/>
      </rPr>
      <t></t>
    </r>
  </si>
  <si>
    <r>
      <t>Own Res. Add.</t>
    </r>
    <r>
      <rPr>
        <sz val="11"/>
        <color theme="1"/>
        <rFont val="Calibri"/>
        <family val="2"/>
        <scheme val="minor"/>
      </rPr>
      <t xml:space="preserve">       </t>
    </r>
    <r>
      <rPr>
        <sz val="9"/>
        <color theme="7" tint="-0.499984740745262"/>
        <rFont val="Wingdings 3"/>
        <family val="1"/>
        <charset val="2"/>
      </rPr>
      <t>q</t>
    </r>
  </si>
  <si>
    <t>Shareholder</t>
    <phoneticPr fontId="39" type="noConversion"/>
  </si>
  <si>
    <t>Default = Director 1</t>
    <phoneticPr fontId="39" type="noConversion"/>
  </si>
  <si>
    <r>
      <t>Title</t>
    </r>
    <r>
      <rPr>
        <sz val="11"/>
        <color theme="1"/>
        <rFont val="Calibri"/>
        <family val="2"/>
        <scheme val="minor"/>
      </rPr>
      <t xml:space="preserve">          </t>
    </r>
    <r>
      <rPr>
        <b/>
        <sz val="11"/>
        <color rgb="FFFF00FF"/>
        <rFont val="Calibri"/>
        <family val="1"/>
        <charset val="136"/>
        <scheme val="minor"/>
      </rPr>
      <t xml:space="preserve">[ </t>
    </r>
    <r>
      <rPr>
        <b/>
        <sz val="11"/>
        <color rgb="FFFF00FF"/>
        <rFont val="新細明體"/>
        <family val="1"/>
        <charset val="136"/>
      </rPr>
      <t>≠</t>
    </r>
    <r>
      <rPr>
        <b/>
        <sz val="11"/>
        <color rgb="FFFF00FF"/>
        <rFont val="Calibri"/>
        <family val="1"/>
        <charset val="136"/>
        <scheme val="minor"/>
      </rPr>
      <t>B26 ]</t>
    </r>
  </si>
  <si>
    <t>SHAREHOLDER</t>
  </si>
  <si>
    <r>
      <t xml:space="preserve">Title          </t>
    </r>
    <r>
      <rPr>
        <b/>
        <sz val="11"/>
        <color rgb="FFFF00FF"/>
        <rFont val="Calibri"/>
        <family val="1"/>
        <charset val="136"/>
        <scheme val="minor"/>
      </rPr>
      <t>[ ≠F26 ]</t>
    </r>
  </si>
  <si>
    <r>
      <t xml:space="preserve">Title          </t>
    </r>
    <r>
      <rPr>
        <b/>
        <sz val="11"/>
        <color rgb="FFFF00FF"/>
        <rFont val="Calibri"/>
        <family val="1"/>
        <charset val="136"/>
        <scheme val="minor"/>
      </rPr>
      <t>[ ≠J26 ]</t>
    </r>
  </si>
  <si>
    <r>
      <t xml:space="preserve">Title          </t>
    </r>
    <r>
      <rPr>
        <b/>
        <sz val="11"/>
        <color rgb="FFFF00FF"/>
        <rFont val="Calibri"/>
        <family val="1"/>
        <charset val="136"/>
        <scheme val="minor"/>
      </rPr>
      <t>[ ≠N26 ]</t>
    </r>
  </si>
  <si>
    <r>
      <t xml:space="preserve">Address Room    </t>
    </r>
    <r>
      <rPr>
        <sz val="11"/>
        <color theme="7" tint="-0.249977111117893"/>
        <rFont val="Calibri"/>
        <family val="1"/>
        <charset val="136"/>
        <scheme val="minor"/>
      </rPr>
      <t>"",B27)</t>
    </r>
  </si>
  <si>
    <t>Rental Fee (Smart POS)</t>
  </si>
  <si>
    <t>Rental Fee Amount</t>
  </si>
  <si>
    <t>Rental Fee (Soft POS)</t>
  </si>
  <si>
    <t>Newly Add</t>
  </si>
  <si>
    <t>Part1_3_BR_Cert_Number</t>
  </si>
  <si>
    <t>Part1_5_Comp_Contact_Email</t>
  </si>
  <si>
    <t>Part1_6_ComTel</t>
  </si>
  <si>
    <t>Part1_8_Billing_Address</t>
  </si>
  <si>
    <t>Part1_9_Primary_Contact_Name</t>
  </si>
  <si>
    <t>Part1_10_Primary_Contact_Title</t>
  </si>
  <si>
    <t>Part1_11_Primary_Contact_Tel</t>
  </si>
  <si>
    <t>Part1_12_Primary_Contact_Email</t>
  </si>
  <si>
    <t>Part1_13_Secondary_Contact_Name</t>
  </si>
  <si>
    <t>Part1_14_Secondary_Contact_Title</t>
  </si>
  <si>
    <t>Part1_15_Secondary_Contact_Tel</t>
  </si>
  <si>
    <t>Part1_16_Secondary_Contact_Email</t>
  </si>
  <si>
    <t>Full Name</t>
  </si>
  <si>
    <t>Contacts_Contacts 1_Full Name</t>
  </si>
  <si>
    <t>Part1_2_BR_Name_EN</t>
  </si>
  <si>
    <t>Part1_7_BR_Address</t>
  </si>
  <si>
    <t>Part1_4_BR_Nature</t>
  </si>
  <si>
    <t>Application Merchant_From BR_Full BR Number (20 Char)</t>
  </si>
  <si>
    <t>Application Merchant_From BR_Business Nature                         q</t>
  </si>
  <si>
    <t>Application Merchant_ShopName1 / Installation_Installation address (default = Shop)
(default = B40,B41,B42,B43,B44,B45)</t>
  </si>
  <si>
    <t>Application Merchant_From BR_BR Address</t>
  </si>
  <si>
    <t>Contacts_Contacts 2_Full Name</t>
  </si>
  <si>
    <t>Contacts_Contacts 1_Title</t>
  </si>
  <si>
    <t>Contacts_Contacts 1_Tel</t>
  </si>
  <si>
    <t>Contacts_Contacts 1_Email</t>
  </si>
  <si>
    <t>Contacts_Contacts 2_Title</t>
  </si>
  <si>
    <t>Contacts_Contacts 2_Tel</t>
  </si>
  <si>
    <t>Contacts_Contacts 2_Email</t>
  </si>
  <si>
    <t>Part2_2_HKTPOS_Box</t>
  </si>
  <si>
    <t>Part2_1_SmartPOS_Terminal_Box</t>
  </si>
  <si>
    <t>Application Type</t>
  </si>
  <si>
    <t>Contract Renewal</t>
  </si>
  <si>
    <t>New Setup</t>
  </si>
  <si>
    <t>Additional Terminal/ Outlet</t>
  </si>
  <si>
    <t>Service Reconnection</t>
  </si>
  <si>
    <t>Service Reconfiguration</t>
  </si>
  <si>
    <t>x</t>
  </si>
  <si>
    <t>Part2A_2_SmartPOS_Indicative_Start_Date</t>
  </si>
  <si>
    <t>Part2A_3_SmartPOS_Language_CN</t>
  </si>
  <si>
    <t>Part2A_4_SmartPOS_Language_EN</t>
  </si>
  <si>
    <t>Part2A_5_VM_PA</t>
  </si>
  <si>
    <t>Part2A_6_VM_Fiserv</t>
  </si>
  <si>
    <t>Part2A_7_VM_WLB</t>
  </si>
  <si>
    <t>Part2A_8_Ali_EFT</t>
  </si>
  <si>
    <t>Part2A_9_WeChat_EFT</t>
  </si>
  <si>
    <t>Part2A_10_Ali_PA</t>
  </si>
  <si>
    <t>Part2A_11_WeChat_PA</t>
  </si>
  <si>
    <t>Part2A_12_Unionpay</t>
  </si>
  <si>
    <t>Part2A_13_Octopus</t>
  </si>
  <si>
    <t>Part2A_14_Kdollar</t>
  </si>
  <si>
    <t>Part2A_15_TheClub</t>
  </si>
  <si>
    <t>Part2A_16_MobileCard</t>
  </si>
  <si>
    <t>Part2A_17_erun</t>
  </si>
  <si>
    <t>Part2A_18_Everyware</t>
  </si>
  <si>
    <t>Part2A_19_IBS</t>
  </si>
  <si>
    <t>Part2A_20_Postify</t>
  </si>
  <si>
    <t>Part2A_21_Gingersoft</t>
  </si>
  <si>
    <t>Part2A_22_Pime</t>
  </si>
  <si>
    <t>Part2A_23_MeterSquare</t>
  </si>
  <si>
    <t>Part2A_24_Other_SI</t>
  </si>
  <si>
    <t>Part2A_25_New Set up</t>
  </si>
  <si>
    <t>Part2A_26_Migration</t>
  </si>
  <si>
    <t>Part2A_27_Contract Renewal</t>
  </si>
  <si>
    <t>Part2A_28_Additaional Terminal/ Outlet</t>
  </si>
  <si>
    <t>Part2A_29_Service_Reconnection</t>
  </si>
  <si>
    <t>Part2A_30_Service_Reconfiguration</t>
  </si>
  <si>
    <t>Part2A_1_SmartPOS_No</t>
  </si>
  <si>
    <t>Payment Channels_SmartPOS_No. of POS</t>
  </si>
  <si>
    <t>Payment Channels_SmartPOS_Effective Date</t>
  </si>
  <si>
    <t>Payment Channels_SmartPOS**_SmartPOS Display Language - CHI </t>
  </si>
  <si>
    <t>Payment Channels_SmartPOS**_SmartPOS Display Language -  ENG</t>
  </si>
  <si>
    <t>Payment Channels_SmartPOS**_EFT- Alipay </t>
  </si>
  <si>
    <t>Payment Channels_SmartPOS**_EFT- WeChatPay </t>
  </si>
  <si>
    <t>Payment Channels_SmartPOS**_VM (WLB) </t>
  </si>
  <si>
    <t>Payment Channels_SmartPOS**_VM (Fiserv) </t>
  </si>
  <si>
    <t>Payment Channels_SmartPOS**_VM (Paymentasia)[Coming Soon]</t>
  </si>
  <si>
    <t>Payment Channels_SmartPOS**_UnionPay (Easylink) </t>
  </si>
  <si>
    <t>Payment Channels_SmartPOS**_Octopus </t>
  </si>
  <si>
    <t>Payment Channels_SmartPOS**_K-Dollar </t>
  </si>
  <si>
    <t>Payment Channels_SmartPOS**_THECLUB </t>
  </si>
  <si>
    <t>ERN</t>
  </si>
  <si>
    <t>EveryWare</t>
  </si>
  <si>
    <t>IBS</t>
  </si>
  <si>
    <t>Newly Added</t>
  </si>
  <si>
    <t>Payment Channels_SmartPOS**_ERN</t>
  </si>
  <si>
    <t>Payment Channels_SmartPOS**_EveryWare</t>
  </si>
  <si>
    <t>Payment Channels_SmartPOS**_IBS</t>
  </si>
  <si>
    <t>Payment Channels_SmartPOS**_Posify</t>
  </si>
  <si>
    <t>Payment Channels_SmartPOS**_Gingersoft</t>
  </si>
  <si>
    <t>Payment Channels_SmartPOS**_PinMe</t>
  </si>
  <si>
    <t>Payment Channels_SmartPOS**_MeterSquare</t>
  </si>
  <si>
    <t>Payment Channels_SmartPOS**_Other</t>
  </si>
  <si>
    <t>Payment Channels_SmartPOS**_Mobile Card </t>
  </si>
  <si>
    <t>Specail Request</t>
  </si>
  <si>
    <t>Refund PIN</t>
  </si>
  <si>
    <t>Application Merchant_Specail Request_Refund PIN</t>
  </si>
  <si>
    <t>Application Merchant_Application Type_New Setup</t>
  </si>
  <si>
    <t>Application Merchant_Application Type_Migration</t>
  </si>
  <si>
    <t>Application Merchant_Application Type_Contract Renewal</t>
  </si>
  <si>
    <t>Application Merchant_Application Type_Additional Terminal/ Outlet</t>
  </si>
  <si>
    <t>Application Merchant_Application Type_Service Reconnection</t>
  </si>
  <si>
    <t>Application Merchant_Application Type_Service Reconfiguration</t>
  </si>
  <si>
    <t>Part2A_31_Refind Pin</t>
  </si>
  <si>
    <t>Part2B_2_POS_App_Indicative_Start_Date</t>
  </si>
  <si>
    <t>Part2B_3_VM_WLB</t>
  </si>
  <si>
    <t>Part2B_4_Ali_PA</t>
  </si>
  <si>
    <t>Part2B_5_WeChat_PA</t>
  </si>
  <si>
    <t>Payment Channels_HKT POS Mobile App_No. of License</t>
  </si>
  <si>
    <t>Payment Channels_HKT POS Mobile App_Effective Date</t>
  </si>
  <si>
    <t>Payment Channels_HKT POS Mobile App_VM (WLB) </t>
  </si>
  <si>
    <t>Payment Channels_HKT POS Mobile App_Paymentasia- Alipay</t>
  </si>
  <si>
    <t>Payment Channels_HKT POS Mobile App_Paymentasia- WeChatPay </t>
  </si>
  <si>
    <t>Part4A_3_SmartPOS_Internal_Code</t>
  </si>
  <si>
    <t>Part4A_1_SmartPOS_Cheque_no</t>
  </si>
  <si>
    <t>Part4A_2_SmartPOS_Cheque_Issuing_Bank</t>
  </si>
  <si>
    <t>Part4A_4_Rental_Plan</t>
  </si>
  <si>
    <t>Payment Channels_SmartPOS**_Cheque_No</t>
  </si>
  <si>
    <t>Application Merchant_Rental Fee (Smart POS)_Rental Fee Amount</t>
  </si>
  <si>
    <t>Application Merchant_Rental Fee (Smart POS)_Code</t>
  </si>
  <si>
    <t>Part4B_2_POS_App_Internal_Code</t>
  </si>
  <si>
    <t>Part4B_1_Rental_Plan</t>
  </si>
  <si>
    <t>Application Merchant_Rental Fee (Soft POS)_Rental Fee Amount</t>
  </si>
  <si>
    <t>Application Merchant_Rental Fee (Soft POS)_Code</t>
  </si>
  <si>
    <t>Part5_10_SmartPOS_Delivery_Address</t>
  </si>
  <si>
    <t>Part5_11_Primary_Intall_Contact_Name</t>
  </si>
  <si>
    <t>Part5_12_Primary_Intall_Contact_Title</t>
  </si>
  <si>
    <t>Part5_13_Primary_Intall_Contact_Tel</t>
  </si>
  <si>
    <t>Part5_14_Primary_Intall_Contact_Email</t>
  </si>
  <si>
    <t>Part5_15_Secondary_Intall_Contact_Name</t>
  </si>
  <si>
    <t>Part5_16_Secondary_Intall_Contact_Title</t>
  </si>
  <si>
    <t>Part5_17_Secondary_Intall_Contact_Tel</t>
  </si>
  <si>
    <t>Part5_18_Secondary_Intall_Contact_Email</t>
  </si>
  <si>
    <t>Part5_19_POS_App_Display_Name</t>
  </si>
  <si>
    <t>Part5_2_Full_BR_Number_Full</t>
  </si>
  <si>
    <t>Part5_20_POS_App_Display_Address</t>
  </si>
  <si>
    <t>Part5_7_SmartPOS_Display_Name</t>
  </si>
  <si>
    <t>Part5_8_SmartPOS_DisplayAddress</t>
  </si>
  <si>
    <t>Part5_9_Installation_Address</t>
  </si>
  <si>
    <t>Part5_1_BR_Name_EN</t>
  </si>
  <si>
    <t>Part5_4_BR_Nature</t>
  </si>
  <si>
    <t>Part5_3_BR_Address</t>
  </si>
  <si>
    <t>Part5_5_SmartPOS_No</t>
  </si>
  <si>
    <t>Part5_6_POS_App_License</t>
  </si>
  <si>
    <t>Application Merchant_ShopName1 / Installation_ShopName1 - Display name</t>
  </si>
  <si>
    <t>Part2B_1_POS_App_License</t>
  </si>
  <si>
    <t>Part1_1_The_Owner</t>
  </si>
  <si>
    <t>Payment Channels_HKT POS Mobile App_HKT POS Plan </t>
  </si>
  <si>
    <t>Application Merchant_Merchant Info_Office email</t>
  </si>
  <si>
    <t>Application Merchant_Merchant Info_Office Tel</t>
  </si>
  <si>
    <t>Payment Channels_SmartPOS**_ONLY Apply HKTPOS</t>
  </si>
  <si>
    <r>
      <t>Payment Channels_SmartPOS**_</t>
    </r>
    <r>
      <rPr>
        <sz val="11"/>
        <color rgb="FFFF0000"/>
        <rFont val="Arial"/>
        <family val="2"/>
      </rPr>
      <t>Paymentasia- Alipay [Coming Soon]</t>
    </r>
  </si>
  <si>
    <r>
      <t>Payment Channels_SmartPOS**</t>
    </r>
    <r>
      <rPr>
        <sz val="11"/>
        <color rgb="FFFF0000"/>
        <rFont val="Arial"/>
        <family val="2"/>
      </rPr>
      <t>_Paymentasia- WeChatPay [Coming Soon]</t>
    </r>
  </si>
  <si>
    <t>Payment Channels_SmartPOS**_Cheque_bank</t>
  </si>
  <si>
    <t>Application Merchant_HKTPOS Rental Form_HKTPOS APP Display Trading Name</t>
  </si>
  <si>
    <t>Application Merchant_HKTPOS Rental Form_HKTPOS APP Display Address</t>
  </si>
  <si>
    <t>Application Merchant_ShopName1 / Installation_SmartPOS Delivery Address (not same as installation address</t>
  </si>
  <si>
    <t>ABC Limited</t>
  </si>
  <si>
    <t>LastPart_1_Fulll_Name_Sign_Title</t>
  </si>
  <si>
    <t>LastPart_Sign_Date</t>
  </si>
  <si>
    <t>Contacts_Auth Signer_Title</t>
  </si>
  <si>
    <t>Contacts_Auth Signer_Full Name</t>
  </si>
  <si>
    <t>Application Merchant__Application Date</t>
  </si>
  <si>
    <t>LastPart_1_Fulll_Name_Sign_Name</t>
  </si>
  <si>
    <t>Part1A_7_Merchant_Name</t>
  </si>
  <si>
    <t>Part1A_1_Merchant_Name_EN</t>
  </si>
  <si>
    <t>Part1A_2_Merchant_Name_CN</t>
  </si>
  <si>
    <t>Part1A_8_StoreName_Address</t>
  </si>
  <si>
    <t>Part1A_9_Shop_Tel</t>
  </si>
  <si>
    <t>Part1A_5_Sole_Pro</t>
  </si>
  <si>
    <t>Part1A_4_Partnership</t>
  </si>
  <si>
    <t>Part1A_3_Limited_Co</t>
  </si>
  <si>
    <t>Part1A_6_Other_Box</t>
  </si>
  <si>
    <t>Part1A_10_Other_Detail</t>
  </si>
  <si>
    <t>Application Merchant_From BR_Business / Branch Name (EN)</t>
  </si>
  <si>
    <t>Application Merchant_From BR_Business / Branch Name (TC繁)</t>
  </si>
  <si>
    <t>Application Merchant_From BR_Busiess Type                             q</t>
  </si>
  <si>
    <t>Part1B_1_Merchant_Registered_Name_EN</t>
  </si>
  <si>
    <t>Part1B_2_Merchant_Registered_Name_CN</t>
  </si>
  <si>
    <t>Part1B_4_BR_Issue_Date</t>
  </si>
  <si>
    <t>Part1B_3_BR_number</t>
  </si>
  <si>
    <t>Application Merchant_From BR_Name of Business (TC繁)</t>
  </si>
  <si>
    <t>Application Merchant_From BR_BR Issue Date</t>
  </si>
  <si>
    <t>Part1C_5_CI_Country_HK</t>
  </si>
  <si>
    <t>Part1C_6_CI_Country_Other</t>
  </si>
  <si>
    <t>Part1C_7_CI_Country_Other_Detail</t>
  </si>
  <si>
    <t>Part1C_2_CI_Date</t>
  </si>
  <si>
    <t>Part1C_3_CI_Month</t>
  </si>
  <si>
    <t>Part1C_4_CI_Year</t>
  </si>
  <si>
    <t>Part1C_1_CI_Number</t>
  </si>
  <si>
    <t>Application Merchant__DD</t>
  </si>
  <si>
    <t>Application Merchant__MM</t>
  </si>
  <si>
    <t>Application Merchant__YYYY</t>
  </si>
  <si>
    <t>Application Merchant_From CI_Cert. Of Incorp. Number</t>
  </si>
  <si>
    <t>Application Merchant_From CI_Cert. Of Incorp. Country             q</t>
  </si>
  <si>
    <t>Application Merchant_MCC_ICL / Tap&amp;GO MCC        (automatic input)</t>
  </si>
  <si>
    <t>Part1E_2_MCC7298</t>
  </si>
  <si>
    <t>Part1E_1_MCC_Code</t>
  </si>
  <si>
    <t>Part1E_2</t>
  </si>
  <si>
    <t>Part1E_3</t>
  </si>
  <si>
    <t>Part1E_4</t>
  </si>
  <si>
    <t>Part1E_5</t>
  </si>
  <si>
    <t>Part1E_6</t>
  </si>
  <si>
    <t>Part1E_7</t>
  </si>
  <si>
    <t>Part1E_8</t>
  </si>
  <si>
    <t>Part1E_9</t>
  </si>
  <si>
    <t>Part1E_10</t>
  </si>
  <si>
    <t>Part1E_11</t>
  </si>
  <si>
    <t>Part1E_12</t>
  </si>
  <si>
    <t>Part1E_13</t>
  </si>
  <si>
    <t>Part1E_14</t>
  </si>
  <si>
    <t>Part1E_15</t>
  </si>
  <si>
    <t>Part1E_16</t>
  </si>
  <si>
    <t>Part1E_17</t>
  </si>
  <si>
    <t>Part1E_18</t>
  </si>
  <si>
    <t>Part1E_19</t>
  </si>
  <si>
    <t>Part1E_20</t>
  </si>
  <si>
    <t>Part1E_21</t>
  </si>
  <si>
    <t>Part1E_22</t>
  </si>
  <si>
    <t>Part1E_23</t>
  </si>
  <si>
    <t>Part1E_24</t>
  </si>
  <si>
    <t>Part1E_25</t>
  </si>
  <si>
    <t>Part1E_26</t>
  </si>
  <si>
    <t>Part1E_27</t>
  </si>
  <si>
    <t>Part1E_28</t>
  </si>
  <si>
    <t>Part1E_29</t>
  </si>
  <si>
    <t>Part1E_30</t>
  </si>
  <si>
    <t>Part1E_31</t>
  </si>
  <si>
    <t>Part1E_32</t>
  </si>
  <si>
    <t>Part1E_33</t>
  </si>
  <si>
    <t>Part1E_34</t>
  </si>
  <si>
    <t>Part1E_35</t>
  </si>
  <si>
    <t>Part1E_36</t>
  </si>
  <si>
    <t>Part1E_37</t>
  </si>
  <si>
    <t>Part1E_38</t>
  </si>
  <si>
    <t>Part1E_39</t>
  </si>
  <si>
    <t>Part1E_40</t>
  </si>
  <si>
    <t>Part1E_41</t>
  </si>
  <si>
    <t>Part1E_42</t>
  </si>
  <si>
    <t>Part1E_43</t>
  </si>
  <si>
    <t>Part1E_44</t>
  </si>
  <si>
    <t>Part1E_45</t>
  </si>
  <si>
    <t>Part1E_46</t>
  </si>
  <si>
    <t>Part1E_47</t>
  </si>
  <si>
    <t>Part1E_48</t>
  </si>
  <si>
    <t>Part1E_49</t>
  </si>
  <si>
    <t>Part1E_50</t>
  </si>
  <si>
    <t>Part1E_51</t>
  </si>
  <si>
    <t>Part1E_52</t>
  </si>
  <si>
    <t>Part1E_53</t>
  </si>
  <si>
    <t>Part1E_54</t>
  </si>
  <si>
    <t>Part1E_55</t>
  </si>
  <si>
    <t>Part1E_56</t>
  </si>
  <si>
    <t>Part1E_57</t>
  </si>
  <si>
    <t>Part1E_58</t>
  </si>
  <si>
    <t>Part1E_59</t>
  </si>
  <si>
    <t>Part1E_60</t>
  </si>
  <si>
    <t>Part1E_61</t>
  </si>
  <si>
    <t>Part1E_62</t>
  </si>
  <si>
    <t>Part1E_63</t>
  </si>
  <si>
    <t>Part1E_64</t>
  </si>
  <si>
    <t>Part1E_65</t>
  </si>
  <si>
    <t>Part1E_66</t>
  </si>
  <si>
    <t>Part1E_67</t>
  </si>
  <si>
    <t>Part1E_68</t>
  </si>
  <si>
    <t>Part1E_69</t>
  </si>
  <si>
    <t>Part1E_70</t>
  </si>
  <si>
    <t>Part1E_71</t>
  </si>
  <si>
    <t>Part1E_72</t>
  </si>
  <si>
    <t>Part1E_73</t>
  </si>
  <si>
    <t>Part1E_74</t>
  </si>
  <si>
    <t>Part1E_75</t>
  </si>
  <si>
    <t>Part1E_76</t>
  </si>
  <si>
    <t>Part1E_77</t>
  </si>
  <si>
    <t>Part1E_78</t>
  </si>
  <si>
    <t>Part1E_79</t>
  </si>
  <si>
    <t>Part1E_80</t>
  </si>
  <si>
    <t>Part1E_81</t>
  </si>
  <si>
    <t>Part1E_82</t>
  </si>
  <si>
    <t>Part1E_83</t>
  </si>
  <si>
    <t>Part1E_84</t>
  </si>
  <si>
    <t>Part1E_85</t>
  </si>
  <si>
    <t>Part1E_86</t>
  </si>
  <si>
    <t>Part1E_87</t>
  </si>
  <si>
    <t>Part1E_88</t>
  </si>
  <si>
    <t>Application Merchant_Merchant Sales Volumn_Annual FPS,T&amp;G Turnover</t>
  </si>
  <si>
    <t>Part1F_5_Contact_Family_Name</t>
  </si>
  <si>
    <t>Part1F_6_Contact_Given_Name</t>
  </si>
  <si>
    <t>Part1F_7_Contact_Title</t>
  </si>
  <si>
    <t>Part1F_8_Contact_Email</t>
  </si>
  <si>
    <t>Part1F_9_Contact_Mobile</t>
  </si>
  <si>
    <t>Part1F_14_Update_Contact_Family_Name</t>
  </si>
  <si>
    <t>Part1F_15_Update_Contact_Given_Name</t>
  </si>
  <si>
    <t>Part1F_16_Update_Contact_Title</t>
  </si>
  <si>
    <t>Part1F_17_Update_Contact_Email</t>
  </si>
  <si>
    <t>Part1F_18_Update_Contact_Tel</t>
  </si>
  <si>
    <t>Contacts_Contacts 1_Courtesy                  q</t>
  </si>
  <si>
    <t>Contacts_Contacts 1_Family / Last Name 姓</t>
  </si>
  <si>
    <t>Contacts_Contacts 1_Given / First Name 名</t>
  </si>
  <si>
    <t>Contacts_Contacts 2_Courtesy                  q</t>
  </si>
  <si>
    <t>Contacts_Contacts 2_Family Name</t>
  </si>
  <si>
    <t>Contacts_Contacts 2_Given Name</t>
  </si>
  <si>
    <t>Part2A_1_HSBC</t>
  </si>
  <si>
    <t>Part2A_2_SCB</t>
  </si>
  <si>
    <t>Part2A_3_BOC</t>
  </si>
  <si>
    <t>Part2A_4_HASE</t>
  </si>
  <si>
    <t>Part2A_5_Bocom</t>
  </si>
  <si>
    <t>Part2A_6_OCBC</t>
  </si>
  <si>
    <t>Part2A_7_Citic</t>
  </si>
  <si>
    <t>Part2A_8_Shacom</t>
  </si>
  <si>
    <t>Part2A_9_CCB</t>
  </si>
  <si>
    <t>Part2A_11_CHB</t>
  </si>
  <si>
    <t>Part2A_12_BEA</t>
  </si>
  <si>
    <t>Part2A_13_Citi</t>
  </si>
  <si>
    <t>Part2A_14_WLB</t>
  </si>
  <si>
    <t>Part2A_15_DSB</t>
  </si>
  <si>
    <t>Part2A_16_Nanyang</t>
  </si>
  <si>
    <t>Part2A_17_DBS</t>
  </si>
  <si>
    <t>Part2A_18_ICBC</t>
  </si>
  <si>
    <t>Part2A_19_Fubon</t>
  </si>
  <si>
    <t>Part2A_10_TSB</t>
  </si>
  <si>
    <t>Application Merchant_Bank Account Info._Bank Code                               q</t>
  </si>
  <si>
    <t>Part2A_20_Other</t>
  </si>
  <si>
    <t>Part2B_1_Bank_Account_BranchCode</t>
  </si>
  <si>
    <t>Part2B_1_Bank_Account_AccountNo</t>
  </si>
  <si>
    <t>Application Merchant_Bank Account Info._Branch Code</t>
  </si>
  <si>
    <t>Application Merchant_Bank Account Info._Account Number (7-9 digit)</t>
  </si>
  <si>
    <t>Application Merchant_Bank Account Info._Bank Name         (automatic input)</t>
  </si>
  <si>
    <t>Part3A_16_Director1_ID_No</t>
  </si>
  <si>
    <t>Part3A_17_Director1_DOB_Date</t>
  </si>
  <si>
    <t>Part3A_18_Director1_DOB_Month</t>
  </si>
  <si>
    <t>Part3A_19_Director1_DOB_Year</t>
  </si>
  <si>
    <t>Part3A_20_Director1_Nationality_Chinese</t>
  </si>
  <si>
    <t>Part3A_21_Director1_Nationality_HK</t>
  </si>
  <si>
    <t>Part3A_22_Director1_Nationality_Macau</t>
  </si>
  <si>
    <t>Part3A_23_Director1_Nationality_Other_Box</t>
  </si>
  <si>
    <t>Part3A_24_Director1_Nationality_Other_Detail</t>
  </si>
  <si>
    <t>Contacts_Director 1_Title                         q</t>
  </si>
  <si>
    <t>Contacts_Director 1_Courtesy                  q</t>
  </si>
  <si>
    <t>Contacts_Director 1_Chi. Family Name</t>
  </si>
  <si>
    <t>Contacts_Director 1_ID Number</t>
  </si>
  <si>
    <t>Contacts_Director 2_ID Type                  q</t>
  </si>
  <si>
    <t>Contacts_Director 1_ID Type                  q</t>
  </si>
  <si>
    <t>Contacts_Director 1_Date of Birth</t>
  </si>
  <si>
    <t>Contacts_Director 1_Nationality              q</t>
  </si>
  <si>
    <t>Part3B_16_Director2_ID_No</t>
  </si>
  <si>
    <t>Part3B_17_Director2_DOB_Date</t>
  </si>
  <si>
    <t>Part3B_18_Director2_DOB_Month</t>
  </si>
  <si>
    <t>Part3B_19_Director2_DOB_Year</t>
  </si>
  <si>
    <t>Part3B_20_Director2_Nationality_Chinese</t>
  </si>
  <si>
    <t>Part3B_21_Director2_Nationality_HK</t>
  </si>
  <si>
    <t>Part3B_22_Director2_Nationality_Macau</t>
  </si>
  <si>
    <t>Part3B_23_Director2_Nationality_Other_Box</t>
  </si>
  <si>
    <t>Part3B_24_Director2_Nationality_Other_Detail</t>
  </si>
  <si>
    <t>Contacts_Director 2_Courtesy                  q</t>
  </si>
  <si>
    <t>Contacts_Director 2_Title                         q</t>
  </si>
  <si>
    <t>Contacts_Director 2_Chi. Family Name</t>
  </si>
  <si>
    <t>Contacts_Director 2_ID Number</t>
  </si>
  <si>
    <t>Contacts_Director 2_Date of Birth</t>
  </si>
  <si>
    <t>Contacts_Director 2_Nationality              q</t>
  </si>
  <si>
    <t>Part4_1_SmartPOS</t>
  </si>
  <si>
    <t>Part4_2_HKTPOS</t>
  </si>
  <si>
    <t>Part4_3_FPS_Suite</t>
  </si>
  <si>
    <t>Part4_4_Offline_FPS</t>
  </si>
  <si>
    <t>Part4_5_Offline_FPS_MDR</t>
  </si>
  <si>
    <t>Part4_6_Offline_TnG</t>
  </si>
  <si>
    <t>Part4_7_Offline_TnG_MDR</t>
  </si>
  <si>
    <t>Part4_8_Online_FPS</t>
  </si>
  <si>
    <t>Part4_9_Online_FPS_MDR</t>
  </si>
  <si>
    <t>Part4_10_Online_TnG</t>
  </si>
  <si>
    <t>Part4_11_Online_TnG_MDR</t>
  </si>
  <si>
    <t>Part4_12_Bill_Payment_FPS</t>
  </si>
  <si>
    <t>Part4_13_Bill_Payment_FPS_MDR</t>
  </si>
  <si>
    <t>Part4_14_Bill_Payment_TnG</t>
  </si>
  <si>
    <t>Part4_15_Bill_Payment_TnG_MDR</t>
  </si>
  <si>
    <t>Part4_16_TnG_Remarks</t>
  </si>
  <si>
    <t>Payment Channels_SmartPOS_SmartPOS </t>
  </si>
  <si>
    <t>Payment Channels_FPS Suite_FPS Suite </t>
  </si>
  <si>
    <t>Payment Channels_SmartPOS_T&amp;G </t>
  </si>
  <si>
    <t>Payment Channels_SmartPOS_T&amp;G MDR</t>
  </si>
  <si>
    <t>Payment Channels_SmartPOS_FPS </t>
  </si>
  <si>
    <t>Payment Channels_SmartPOS_FPS MDR</t>
  </si>
  <si>
    <t>Payment Channels_OPG_FPS MDR</t>
  </si>
  <si>
    <t>Payment Channels_OPG_T&amp;G MDR</t>
  </si>
  <si>
    <t>Part1B_5_Registered_Adddress</t>
  </si>
  <si>
    <t>Payment Channels_HKT POS Mobile App_HKT POS Mobile </t>
  </si>
  <si>
    <t>Part1E_89_Annual_Turn_Over</t>
  </si>
  <si>
    <t>Parent Company Details</t>
  </si>
  <si>
    <t>Registered Name of Parent Company</t>
  </si>
  <si>
    <t>Registered Name of Parent Company (CN)</t>
  </si>
  <si>
    <t>Nature of Ownership to the Merchant</t>
  </si>
  <si>
    <t>Name of Stock Exchange</t>
  </si>
  <si>
    <t>ABC公司</t>
  </si>
  <si>
    <t>Nasdaq</t>
  </si>
  <si>
    <t>Part1D_1_Registered Name of Parent Company</t>
  </si>
  <si>
    <t>Application Merchant_Parent Company Details_Registered Name of Parent Company</t>
  </si>
  <si>
    <t>Application Merchant_Parent Company Details_Registered Name of Parent Company (CN)</t>
  </si>
  <si>
    <t>Application Merchant_Parent Company Details_Name of Stock Exchange</t>
  </si>
  <si>
    <t>Direct Ownership</t>
  </si>
  <si>
    <t>Multilayered Ownership</t>
  </si>
  <si>
    <r>
      <t xml:space="preserve">Nature of Ownership to the Merchant        </t>
    </r>
    <r>
      <rPr>
        <sz val="9"/>
        <color theme="7" tint="-0.499984740745262"/>
        <rFont val="Wingdings 3"/>
        <family val="1"/>
        <charset val="2"/>
      </rPr>
      <t>q</t>
    </r>
  </si>
  <si>
    <t>Application Merchant_Parent Company Details_Nature of Ownership to the Merchant        q</t>
  </si>
  <si>
    <t>Part1D_3_Direct Ownership</t>
  </si>
  <si>
    <t>Part1D_4_Multilayered Ownership</t>
  </si>
  <si>
    <t>Part1D_2_Registered Name of Parent Company (CN)</t>
  </si>
  <si>
    <t>Part1D_5_Name of Stock Exchange</t>
  </si>
  <si>
    <t>Part1F_1_Contact_Mr</t>
  </si>
  <si>
    <t>Part1F_2_Contact_Mrs</t>
  </si>
  <si>
    <t>Part1F_3_Contact_Miss</t>
  </si>
  <si>
    <t>Part1F_4_Contact_Ms</t>
  </si>
  <si>
    <t>Part1F_10_Update_Contact_Mr</t>
  </si>
  <si>
    <t>Part1F_11_Update_Contact_Mrs</t>
  </si>
  <si>
    <t>Part1F_12_Update_Contact_Miss</t>
  </si>
  <si>
    <t>Part1F_13_Update_Contact_Ms</t>
  </si>
  <si>
    <t>Part2A_21_Other_Code</t>
  </si>
  <si>
    <t>Part2B_2_Bank_Account_Name</t>
  </si>
  <si>
    <t>Part3A_1_Director1_Role_Director</t>
  </si>
  <si>
    <t>Part3A_2_Director1_Role_Partner</t>
  </si>
  <si>
    <t>Part3A_3_Director1_Role_Sole_Pro</t>
  </si>
  <si>
    <t>Part3A_4_Director1_Role_Auth_Signer</t>
  </si>
  <si>
    <t>Part3A_5_Director1_Role_Benficiary_Owner</t>
  </si>
  <si>
    <t>Part3A_6_Director1_Mr</t>
  </si>
  <si>
    <t>Part3A_7_Director1_Mrs</t>
  </si>
  <si>
    <t>Part3A_8_Director1_Miss</t>
  </si>
  <si>
    <t>Part3A_9_Director1_Ms</t>
  </si>
  <si>
    <t>Part3A_10_Director1_Name_EN</t>
  </si>
  <si>
    <t>Part3A_11_Director1_Name_TC</t>
  </si>
  <si>
    <t>Part3A_12_Director1_HKID_Box</t>
  </si>
  <si>
    <t>Part3A_13_Director1_Passport_Box</t>
  </si>
  <si>
    <t>Part3B_1_Director2_Role_Director</t>
  </si>
  <si>
    <t>Part3B_2_Director2_Role_Partner</t>
  </si>
  <si>
    <t>Part3B_3_Director2_Role_Sole_Pro</t>
  </si>
  <si>
    <t>Part3B_4_Director2_Role_Auth_Signer</t>
  </si>
  <si>
    <t>Part3B_5_Director2_Role_Benficiary_Owner</t>
  </si>
  <si>
    <t>Part3B_6_Director2_Mr</t>
  </si>
  <si>
    <t>Part3B_7_Director2_Mrs</t>
  </si>
  <si>
    <t>Part3B_8_Director2_Miss</t>
  </si>
  <si>
    <t>Part3B_9_Director2_Ms</t>
  </si>
  <si>
    <t>Part3B_10_Director2_Name_EN</t>
  </si>
  <si>
    <t>Part3B_11_Director2_Name_TC</t>
  </si>
  <si>
    <t>Part3B_12_Director2_HKID_Box</t>
  </si>
  <si>
    <t>Part3B_13_Director2_Passport_Box</t>
  </si>
  <si>
    <t>Part5_1_Sign_Person1_Name</t>
  </si>
  <si>
    <t>Part5_2_Sign_Person1_Title</t>
  </si>
  <si>
    <t>Part5_3_Sign_Person1_Sign_Date</t>
  </si>
  <si>
    <t>Contacts_Auth Signer_Given Name</t>
  </si>
  <si>
    <t>Appendix1_2_Shop_2_Address</t>
  </si>
  <si>
    <t>Appendix1_3_Shop_2_tel</t>
  </si>
  <si>
    <t>Appendix1_1_Shop_2_Name</t>
  </si>
  <si>
    <t>Appendix2_4_Bank_Address</t>
  </si>
  <si>
    <t>Appendix2_1_Bank_Name</t>
  </si>
  <si>
    <t>Appendix2_3_Bank_Account_Name</t>
  </si>
  <si>
    <t>Appendix2_5_Authorized_Bank_Sign_Date</t>
  </si>
  <si>
    <t>Application Merchant_Bank Account Info._Bank Statement Address (Full)</t>
  </si>
  <si>
    <t>Application Merchant_Bank Account Info._Account Name</t>
  </si>
  <si>
    <t>Appendix2_2_Full_Bank_account_No</t>
  </si>
  <si>
    <t>Part4.5_Optout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</si>
</sst>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  <numFmt numFmtId="165" formatCode="#,##0&quot; &quot;;&quot;(&quot;#,##0&quot;)&quot;;&quot;- &quot;;&quot; &quot;@&quot; &quot;"/>
    <numFmt numFmtId="166" formatCode="&quot;$&quot;#,##0"/>
    <numFmt numFmtId="167" formatCode="[$-13C09]d\ mmm\ yyyy;@"/>
    <numFmt numFmtId="168" formatCode="[$-409]d\-mmm\-yyyy;@"/>
    <numFmt numFmtId="169" formatCode="dd/mmm/yyyy"/>
    <numFmt numFmtId="170" formatCode="dd\-mm\-yyyy"/>
    <numFmt numFmtId="171" formatCode="_-* #,##0_-;\-* #,##0_-;_-* &quot;-&quot;??_-;_-@_-"/>
    <numFmt numFmtId="172" formatCode="_-* #,##0.00_-;\-* #,##0.00_-;_-* &quot;-&quot;??_-;_-@_-"/>
    <numFmt numFmtId="173" formatCode="[$-409]mmmm\ d\,\ yyyy;@"/>
    <numFmt numFmtId="174" formatCode="dd/mm/yyyy;@"/>
    <numFmt numFmtId="175" formatCode="dd/mm/yy;@"/>
    <numFmt numFmtId="176" formatCode="[$-13C09]d/m/yyyy;@"/>
    <numFmt numFmtId="177" formatCode="[$-409]d\-mmm\-yy;@"/>
  </numFmts>
  <fonts count="90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11"/>
      <color rgb="FFFFFFFF"/>
      <name val="Arial"/>
      <family val="2"/>
    </font>
    <font>
      <sz val="11"/>
      <color rgb="FF7030A0"/>
      <name val="Arial"/>
      <family val="2"/>
    </font>
    <font>
      <strike/>
      <sz val="11"/>
      <color rgb="FF00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b/>
      <sz val="24"/>
      <color rgb="FF000000"/>
      <name val="Arial"/>
      <family val="2"/>
    </font>
    <font>
      <u/>
      <sz val="10"/>
      <color rgb="FF0000EE"/>
      <name val="Arial"/>
      <family val="2"/>
    </font>
    <font>
      <b/>
      <sz val="7"/>
      <color rgb="FF000000"/>
      <name val="Calibri"/>
      <family val="2"/>
    </font>
    <font>
      <sz val="7"/>
      <color rgb="FF000000"/>
      <name val="Calibri"/>
      <family val="2"/>
    </font>
    <font>
      <sz val="11"/>
      <color rgb="FF000000"/>
      <name val="Calibri"/>
      <family val="2"/>
    </font>
    <font>
      <sz val="8"/>
      <color rgb="FF000000"/>
      <name val="Calibri"/>
      <family val="2"/>
    </font>
    <font>
      <b/>
      <sz val="11"/>
      <color rgb="FF9C6500"/>
      <name val="Calibri"/>
      <family val="2"/>
    </font>
    <font>
      <u/>
      <sz val="11"/>
      <color rgb="FF0000FF"/>
      <name val="Cambria"/>
      <family val="1"/>
    </font>
    <font>
      <sz val="11"/>
      <color rgb="FF9C6500"/>
      <name val="Calibri"/>
      <family val="2"/>
    </font>
    <font>
      <sz val="11"/>
      <color rgb="FF9C57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9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3"/>
      <color rgb="FF7030A0"/>
      <name val="Calibri"/>
      <family val="2"/>
      <scheme val="minor"/>
    </font>
    <font>
      <sz val="13"/>
      <name val="Calibri"/>
      <family val="2"/>
      <scheme val="minor"/>
    </font>
    <font>
      <sz val="12"/>
      <name val="Times New Roman"/>
      <family val="1"/>
    </font>
    <font>
      <sz val="10"/>
      <name val="Times New Roman"/>
      <family val="1"/>
    </font>
    <font>
      <sz val="11"/>
      <color rgb="FF000000"/>
      <name val="Calibri Light"/>
      <family val="2"/>
      <scheme val="major"/>
    </font>
    <font>
      <sz val="11"/>
      <color rgb="FF000000"/>
      <name val="Verdana"/>
      <family val="2"/>
    </font>
    <font>
      <b/>
      <sz val="11"/>
      <color theme="1"/>
      <name val="Calibri"/>
      <family val="2"/>
      <scheme val="minor"/>
    </font>
    <font>
      <u/>
      <sz val="11"/>
      <color rgb="FF0000EE"/>
      <name val="Arial"/>
      <family val="2"/>
    </font>
    <font>
      <b/>
      <sz val="12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rgb="FF7030A0"/>
      <name val="Calibri"/>
      <family val="2"/>
      <scheme val="minor"/>
    </font>
    <font>
      <sz val="11"/>
      <color theme="1"/>
      <name val="Calibri"/>
      <family val="1"/>
      <charset val="136"/>
      <scheme val="minor"/>
    </font>
    <font>
      <sz val="12"/>
      <color theme="7" tint="-0.499984740745262"/>
      <name val="Times New Roman"/>
      <family val="1"/>
    </font>
    <font>
      <sz val="11"/>
      <color rgb="FF000000"/>
      <name val="Calibri"/>
      <family val="1"/>
      <charset val="136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Arial"/>
      <family val="2"/>
    </font>
    <font>
      <b/>
      <sz val="10"/>
      <color rgb="FF000000"/>
      <name val="Calibri"/>
      <family val="2"/>
      <scheme val="minor"/>
    </font>
    <font>
      <b/>
      <sz val="11"/>
      <color rgb="FF0000FF"/>
      <name val="Book Antiqua"/>
      <family val="1"/>
    </font>
    <font>
      <sz val="8"/>
      <color rgb="FF000000"/>
      <name val="Arial"/>
      <family val="2"/>
    </font>
    <font>
      <sz val="11"/>
      <color theme="7" tint="-0.249977111117893"/>
      <name val="Times New Roman"/>
      <family val="1"/>
    </font>
    <font>
      <sz val="7"/>
      <color rgb="FF000000"/>
      <name val="Arial"/>
      <family val="2"/>
    </font>
    <font>
      <b/>
      <sz val="11"/>
      <color rgb="FF7030A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0000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rgb="FF000000"/>
      <name val="Calibri Light"/>
      <family val="2"/>
      <scheme val="major"/>
    </font>
    <font>
      <sz val="11"/>
      <color rgb="FF0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b/>
      <sz val="11"/>
      <name val="Arial"/>
      <family val="2"/>
    </font>
    <font>
      <sz val="9"/>
      <color indexed="81"/>
      <name val="Tahoma"/>
      <family val="2"/>
    </font>
    <font>
      <sz val="9"/>
      <color theme="7" tint="-0.499984740745262"/>
      <name val="Wingdings 3"/>
      <family val="1"/>
      <charset val="2"/>
    </font>
    <font>
      <b/>
      <sz val="11"/>
      <name val="Wingdings 3"/>
      <family val="1"/>
      <charset val="2"/>
    </font>
    <font>
      <sz val="11"/>
      <name val="Arial"/>
      <family val="2"/>
    </font>
    <font>
      <sz val="11"/>
      <color theme="7" tint="-0.499984740745262"/>
      <name val="Arial"/>
      <family val="2"/>
    </font>
    <font>
      <b/>
      <sz val="11"/>
      <color rgb="FF0000FF"/>
      <name val="Arial"/>
      <family val="2"/>
    </font>
    <font>
      <b/>
      <sz val="14"/>
      <color rgb="FFFF0000"/>
      <name val="細明體"/>
      <family val="3"/>
      <charset val="136"/>
    </font>
    <font>
      <b/>
      <sz val="10"/>
      <color rgb="FF0000FF"/>
      <name val="Times New Roman"/>
      <family val="1"/>
    </font>
    <font>
      <b/>
      <u/>
      <sz val="11"/>
      <color theme="1"/>
      <name val="Calibri"/>
      <family val="2"/>
      <scheme val="minor"/>
    </font>
    <font>
      <b/>
      <sz val="10"/>
      <color rgb="FF000000"/>
      <name val="Wingdings 3"/>
      <family val="1"/>
      <charset val="2"/>
    </font>
    <font>
      <b/>
      <sz val="11"/>
      <color rgb="FF000000"/>
      <name val="Wingdings 3"/>
      <family val="1"/>
      <charset val="2"/>
    </font>
    <font>
      <b/>
      <u/>
      <sz val="11"/>
      <color rgb="FFFF0000"/>
      <name val="Calibri Light"/>
      <family val="2"/>
      <scheme val="major"/>
    </font>
    <font>
      <b/>
      <sz val="9"/>
      <color indexed="81"/>
      <name val="Tahoma"/>
      <family val="2"/>
    </font>
    <font>
      <sz val="11"/>
      <color rgb="FF806000"/>
      <name val="Calibri"/>
      <family val="2"/>
    </font>
    <font>
      <sz val="11"/>
      <color rgb="FF000000"/>
      <name val="Wingdings 3"/>
      <family val="1"/>
      <charset val="2"/>
    </font>
    <font>
      <b/>
      <sz val="11"/>
      <color rgb="FFFF00FF"/>
      <name val="Calibri"/>
      <family val="1"/>
      <charset val="136"/>
      <scheme val="minor"/>
    </font>
    <font>
      <b/>
      <sz val="11"/>
      <color rgb="FFFF00FF"/>
      <name val="新細明體"/>
      <family val="1"/>
      <charset val="136"/>
    </font>
    <font>
      <sz val="11"/>
      <color theme="7" tint="-0.249977111117893"/>
      <name val="Calibri"/>
      <family val="1"/>
      <charset val="136"/>
      <scheme val="minor"/>
    </font>
    <font>
      <sz val="8"/>
      <name val="Arial"/>
      <family val="2"/>
    </font>
  </fonts>
  <fills count="6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EFEFEF"/>
        <bgColor rgb="FFEFEFEF"/>
      </patternFill>
    </fill>
    <fill>
      <patternFill patternType="solid">
        <fgColor rgb="FFFFEB9C"/>
        <bgColor rgb="FFFFEB9C"/>
      </patternFill>
    </fill>
    <fill>
      <patternFill patternType="solid">
        <fgColor rgb="FF3A3838"/>
        <bgColor rgb="FF3A3838"/>
      </patternFill>
    </fill>
    <fill>
      <patternFill patternType="solid">
        <fgColor rgb="FFC6E0B4"/>
        <bgColor rgb="FFC6E0B4"/>
      </patternFill>
    </fill>
    <fill>
      <patternFill patternType="solid">
        <fgColor theme="5"/>
        <bgColor rgb="FFB7E1CD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EFEFE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EFEFE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rgb="FFEFEFEF"/>
      </patternFill>
    </fill>
    <fill>
      <patternFill patternType="solid">
        <fgColor theme="5" tint="0.59999389629810485"/>
        <bgColor rgb="FFB7E1CD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rgb="FFB7E1CD"/>
      </patternFill>
    </fill>
    <fill>
      <patternFill patternType="solid">
        <fgColor theme="0" tint="-0.14999847407452621"/>
        <bgColor rgb="FFB7E1CD"/>
      </patternFill>
    </fill>
    <fill>
      <patternFill patternType="solid">
        <fgColor theme="9"/>
        <bgColor rgb="FFB7E1CD"/>
      </patternFill>
    </fill>
    <fill>
      <patternFill patternType="solid">
        <fgColor rgb="FFFFC000"/>
        <bgColor rgb="FFB7E1CD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rgb="FFEFEFEF"/>
      </patternFill>
    </fill>
    <fill>
      <patternFill patternType="solid">
        <fgColor theme="7" tint="0.39997558519241921"/>
        <bgColor rgb="FFB7E1CD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rgb="FFB7E1CD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33"/>
        <bgColor rgb="FFB7E1CD"/>
      </patternFill>
    </fill>
    <fill>
      <patternFill patternType="solid">
        <fgColor rgb="FFCC99FF"/>
        <bgColor rgb="FFB7E1CD"/>
      </patternFill>
    </fill>
    <fill>
      <patternFill patternType="solid">
        <fgColor rgb="FFCC99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B0F0"/>
        <bgColor rgb="FFB7E1CD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2" tint="-9.9978637043366805E-2"/>
        <bgColor rgb="FFB7E1CD"/>
      </patternFill>
    </fill>
    <fill>
      <patternFill patternType="solid">
        <fgColor theme="9" tint="0.59999389629810485"/>
        <bgColor rgb="FFB7E1CD"/>
      </patternFill>
    </fill>
    <fill>
      <patternFill patternType="solid">
        <fgColor theme="9" tint="0.39997558519241921"/>
        <bgColor rgb="FFB7E1CD"/>
      </patternFill>
    </fill>
    <fill>
      <patternFill patternType="solid">
        <fgColor rgb="FF808000"/>
        <bgColor indexed="64"/>
      </patternFill>
    </fill>
    <fill>
      <patternFill patternType="solid">
        <fgColor theme="2"/>
        <bgColor rgb="FFB7E1CD"/>
      </patternFill>
    </fill>
    <fill>
      <patternFill patternType="solid">
        <fgColor theme="2"/>
        <bgColor indexed="64"/>
      </patternFill>
    </fill>
    <fill>
      <patternFill patternType="solid">
        <fgColor rgb="FFFF5353"/>
        <bgColor rgb="FFB7E1CD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dotted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rgb="FF000000"/>
      </left>
      <right style="thin">
        <color rgb="FF000000"/>
      </right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0000"/>
      </top>
      <bottom/>
      <diagonal/>
    </border>
  </borders>
  <cellStyleXfs count="39">
    <xf numFmtId="0" fontId="0" fillId="0" borderId="0"/>
    <xf numFmtId="0" fontId="8" fillId="0" borderId="0"/>
    <xf numFmtId="0" fontId="9" fillId="2" borderId="0"/>
    <xf numFmtId="0" fontId="9" fillId="3" borderId="0"/>
    <xf numFmtId="0" fontId="8" fillId="4" borderId="0"/>
    <xf numFmtId="0" fontId="7" fillId="5" borderId="0"/>
    <xf numFmtId="0" fontId="11" fillId="6" borderId="0"/>
    <xf numFmtId="0" fontId="12" fillId="6" borderId="0"/>
    <xf numFmtId="0" fontId="13" fillId="7" borderId="0"/>
    <xf numFmtId="0" fontId="14" fillId="0" borderId="0"/>
    <xf numFmtId="0" fontId="7" fillId="0" borderId="0"/>
    <xf numFmtId="0" fontId="14" fillId="8" borderId="0"/>
    <xf numFmtId="0" fontId="15" fillId="2" borderId="0"/>
    <xf numFmtId="0" fontId="7" fillId="5" borderId="0"/>
    <xf numFmtId="0" fontId="16" fillId="9" borderId="0"/>
    <xf numFmtId="0" fontId="17" fillId="0" borderId="0"/>
    <xf numFmtId="0" fontId="18" fillId="0" borderId="0"/>
    <xf numFmtId="0" fontId="19" fillId="0" borderId="0"/>
    <xf numFmtId="0" fontId="7" fillId="0" borderId="0"/>
    <xf numFmtId="0" fontId="7" fillId="0" borderId="0"/>
    <xf numFmtId="0" fontId="10" fillId="0" borderId="0"/>
    <xf numFmtId="9" fontId="7" fillId="0" borderId="0"/>
    <xf numFmtId="0" fontId="39" fillId="0" borderId="0"/>
    <xf numFmtId="0" fontId="6" fillId="0" borderId="0"/>
    <xf numFmtId="0" fontId="19" fillId="0" borderId="0"/>
    <xf numFmtId="9" fontId="7" fillId="0" borderId="0"/>
    <xf numFmtId="9" fontId="6" fillId="0" borderId="0"/>
    <xf numFmtId="0" fontId="6" fillId="0" borderId="0"/>
    <xf numFmtId="172" fontId="7" fillId="0" borderId="0"/>
    <xf numFmtId="0" fontId="6" fillId="0" borderId="0"/>
    <xf numFmtId="9" fontId="6" fillId="0" borderId="0"/>
    <xf numFmtId="0" fontId="6" fillId="0" borderId="0"/>
    <xf numFmtId="0" fontId="6" fillId="0" borderId="0"/>
    <xf numFmtId="9" fontId="6" fillId="0" borderId="0"/>
    <xf numFmtId="0" fontId="6" fillId="0" borderId="0"/>
    <xf numFmtId="0" fontId="6" fillId="0" borderId="0"/>
    <xf numFmtId="9" fontId="6" fillId="0" borderId="0"/>
    <xf numFmtId="0" fontId="6" fillId="0" borderId="0"/>
    <xf numFmtId="44" fontId="7" fillId="0" borderId="0" applyFont="0" applyFill="0" applyBorder="0" applyAlignment="0" applyProtection="0"/>
  </cellStyleXfs>
  <cellXfs count="403">
    <xf numFmtId="0" fontId="0" fillId="0" borderId="0" xfId="0"/>
    <xf numFmtId="0" fontId="20" fillId="0" borderId="0" xfId="0" applyFont="1" applyAlignment="1">
      <alignment wrapText="1"/>
    </xf>
    <xf numFmtId="0" fontId="20" fillId="5" borderId="0" xfId="0" applyFont="1" applyFill="1" applyAlignment="1">
      <alignment wrapText="1"/>
    </xf>
    <xf numFmtId="0" fontId="20" fillId="0" borderId="0" xfId="0" applyFont="1"/>
    <xf numFmtId="49" fontId="20" fillId="0" borderId="0" xfId="0" applyNumberFormat="1" applyFont="1"/>
    <xf numFmtId="0" fontId="20" fillId="5" borderId="1" xfId="0" applyFont="1" applyFill="1" applyBorder="1" applyAlignment="1">
      <alignment horizontal="center" wrapText="1"/>
    </xf>
    <xf numFmtId="0" fontId="20" fillId="5" borderId="0" xfId="0" applyFont="1" applyFill="1" applyAlignment="1">
      <alignment horizontal="center" wrapText="1"/>
    </xf>
    <xf numFmtId="0" fontId="20" fillId="5" borderId="0" xfId="0" applyFont="1" applyFill="1"/>
    <xf numFmtId="0" fontId="21" fillId="0" borderId="0" xfId="0" applyFont="1" applyAlignment="1">
      <alignment wrapText="1"/>
    </xf>
    <xf numFmtId="0" fontId="21" fillId="0" borderId="0" xfId="0" applyFont="1" applyAlignment="1">
      <alignment horizontal="right" wrapText="1"/>
    </xf>
    <xf numFmtId="49" fontId="21" fillId="0" borderId="0" xfId="0" applyNumberFormat="1" applyFont="1" applyAlignment="1">
      <alignment horizontal="right" wrapText="1"/>
    </xf>
    <xf numFmtId="0" fontId="21" fillId="0" borderId="0" xfId="0" applyFont="1" applyAlignment="1">
      <alignment horizontal="left" wrapText="1"/>
    </xf>
    <xf numFmtId="0" fontId="21" fillId="0" borderId="0" xfId="0" applyFont="1"/>
    <xf numFmtId="49" fontId="21" fillId="0" borderId="0" xfId="0" applyNumberFormat="1" applyFont="1"/>
    <xf numFmtId="0" fontId="22" fillId="0" borderId="0" xfId="0" applyFont="1"/>
    <xf numFmtId="10" fontId="21" fillId="0" borderId="0" xfId="0" applyNumberFormat="1" applyFont="1" applyAlignment="1">
      <alignment wrapText="1"/>
    </xf>
    <xf numFmtId="9" fontId="21" fillId="0" borderId="0" xfId="0" applyNumberFormat="1" applyFont="1" applyAlignment="1">
      <alignment wrapText="1"/>
    </xf>
    <xf numFmtId="0" fontId="23" fillId="8" borderId="0" xfId="0" applyFont="1" applyFill="1" applyAlignment="1">
      <alignment horizontal="left"/>
    </xf>
    <xf numFmtId="0" fontId="21" fillId="8" borderId="0" xfId="0" applyFont="1" applyFill="1" applyAlignment="1">
      <alignment horizontal="left"/>
    </xf>
    <xf numFmtId="0" fontId="22" fillId="0" borderId="0" xfId="0" applyFont="1" applyAlignment="1">
      <alignment wrapText="1"/>
    </xf>
    <xf numFmtId="0" fontId="24" fillId="0" borderId="0" xfId="0" applyFont="1" applyAlignment="1">
      <alignment horizontal="left" vertical="center" wrapText="1"/>
    </xf>
    <xf numFmtId="0" fontId="25" fillId="0" borderId="0" xfId="0" applyFont="1" applyAlignment="1">
      <alignment wrapText="1"/>
    </xf>
    <xf numFmtId="0" fontId="26" fillId="0" borderId="0" xfId="0" applyFont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22" fillId="0" borderId="0" xfId="0" applyFont="1" applyAlignment="1">
      <alignment horizontal="center" vertical="center" wrapText="1"/>
    </xf>
    <xf numFmtId="0" fontId="27" fillId="11" borderId="0" xfId="0" applyFont="1" applyFill="1" applyAlignment="1">
      <alignment horizontal="center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left" wrapText="1"/>
    </xf>
    <xf numFmtId="10" fontId="22" fillId="0" borderId="0" xfId="0" applyNumberFormat="1" applyFont="1" applyAlignment="1">
      <alignment horizontal="center" wrapText="1"/>
    </xf>
    <xf numFmtId="0" fontId="22" fillId="12" borderId="0" xfId="0" applyFont="1" applyFill="1" applyAlignment="1">
      <alignment horizontal="center" wrapText="1"/>
    </xf>
    <xf numFmtId="10" fontId="22" fillId="12" borderId="0" xfId="0" applyNumberFormat="1" applyFont="1" applyFill="1" applyAlignment="1">
      <alignment horizontal="center" wrapText="1"/>
    </xf>
    <xf numFmtId="0" fontId="28" fillId="0" borderId="0" xfId="0" applyFont="1" applyAlignment="1">
      <alignment horizontal="center" wrapText="1"/>
    </xf>
    <xf numFmtId="0" fontId="28" fillId="0" borderId="0" xfId="0" applyFont="1" applyAlignment="1">
      <alignment horizontal="left" wrapText="1"/>
    </xf>
    <xf numFmtId="10" fontId="28" fillId="0" borderId="0" xfId="0" applyNumberFormat="1" applyFont="1" applyAlignment="1">
      <alignment horizontal="center" wrapText="1"/>
    </xf>
    <xf numFmtId="0" fontId="28" fillId="12" borderId="0" xfId="0" applyFont="1" applyFill="1" applyAlignment="1">
      <alignment horizontal="center" wrapText="1"/>
    </xf>
    <xf numFmtId="10" fontId="28" fillId="12" borderId="0" xfId="0" applyNumberFormat="1" applyFont="1" applyFill="1" applyAlignment="1">
      <alignment horizontal="center" wrapText="1"/>
    </xf>
    <xf numFmtId="0" fontId="22" fillId="13" borderId="0" xfId="0" applyFont="1" applyFill="1" applyAlignment="1">
      <alignment horizontal="center" wrapText="1"/>
    </xf>
    <xf numFmtId="0" fontId="22" fillId="13" borderId="0" xfId="0" applyFont="1" applyFill="1" applyAlignment="1">
      <alignment horizontal="left" wrapText="1"/>
    </xf>
    <xf numFmtId="10" fontId="22" fillId="13" borderId="0" xfId="0" applyNumberFormat="1" applyFont="1" applyFill="1" applyAlignment="1">
      <alignment horizontal="center" wrapText="1"/>
    </xf>
    <xf numFmtId="9" fontId="22" fillId="13" borderId="0" xfId="0" applyNumberFormat="1" applyFont="1" applyFill="1" applyAlignment="1">
      <alignment horizontal="center" wrapText="1"/>
    </xf>
    <xf numFmtId="9" fontId="22" fillId="12" borderId="0" xfId="0" applyNumberFormat="1" applyFont="1" applyFill="1" applyAlignment="1">
      <alignment horizontal="center" wrapText="1"/>
    </xf>
    <xf numFmtId="0" fontId="28" fillId="13" borderId="0" xfId="0" applyFont="1" applyFill="1" applyAlignment="1">
      <alignment horizontal="center" wrapText="1"/>
    </xf>
    <xf numFmtId="0" fontId="28" fillId="13" borderId="0" xfId="0" applyFont="1" applyFill="1" applyAlignment="1">
      <alignment horizontal="left" wrapText="1"/>
    </xf>
    <xf numFmtId="0" fontId="29" fillId="14" borderId="2" xfId="0" applyFont="1" applyFill="1" applyBorder="1" applyAlignment="1">
      <alignment horizontal="center" wrapText="1"/>
    </xf>
    <xf numFmtId="0" fontId="30" fillId="0" borderId="0" xfId="0" applyFont="1"/>
    <xf numFmtId="49" fontId="30" fillId="0" borderId="0" xfId="0" applyNumberFormat="1" applyFont="1"/>
    <xf numFmtId="9" fontId="30" fillId="0" borderId="0" xfId="0" applyNumberFormat="1" applyFont="1"/>
    <xf numFmtId="164" fontId="30" fillId="0" borderId="0" xfId="0" applyNumberFormat="1" applyFont="1"/>
    <xf numFmtId="9" fontId="30" fillId="0" borderId="0" xfId="2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9" fillId="0" borderId="0" xfId="0" applyFont="1" applyAlignment="1">
      <alignment vertical="top"/>
    </xf>
    <xf numFmtId="0" fontId="0" fillId="16" borderId="0" xfId="0" applyFill="1" applyAlignment="1">
      <alignment vertical="top"/>
    </xf>
    <xf numFmtId="49" fontId="0" fillId="16" borderId="0" xfId="0" applyNumberFormat="1" applyFill="1" applyAlignment="1">
      <alignment vertical="top"/>
    </xf>
    <xf numFmtId="49" fontId="39" fillId="16" borderId="0" xfId="0" applyNumberFormat="1" applyFont="1" applyFill="1" applyAlignment="1">
      <alignment vertical="top"/>
    </xf>
    <xf numFmtId="0" fontId="39" fillId="16" borderId="0" xfId="0" applyFont="1" applyFill="1" applyAlignment="1">
      <alignment vertical="top"/>
    </xf>
    <xf numFmtId="49" fontId="39" fillId="16" borderId="0" xfId="22" applyNumberFormat="1" applyFill="1" applyAlignment="1">
      <alignment vertical="top"/>
    </xf>
    <xf numFmtId="0" fontId="39" fillId="16" borderId="0" xfId="22" applyFill="1" applyAlignment="1">
      <alignment vertical="top"/>
    </xf>
    <xf numFmtId="49" fontId="40" fillId="0" borderId="0" xfId="0" applyNumberFormat="1" applyFont="1" applyAlignment="1">
      <alignment vertical="top"/>
    </xf>
    <xf numFmtId="0" fontId="40" fillId="0" borderId="0" xfId="0" applyFont="1" applyAlignment="1">
      <alignment vertical="top"/>
    </xf>
    <xf numFmtId="0" fontId="42" fillId="0" borderId="8" xfId="0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16" borderId="0" xfId="0" applyFill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16" borderId="0" xfId="0" applyFill="1" applyAlignment="1">
      <alignment horizontal="center" vertical="center"/>
    </xf>
    <xf numFmtId="49" fontId="0" fillId="0" borderId="0" xfId="0" applyNumberFormat="1"/>
    <xf numFmtId="0" fontId="29" fillId="14" borderId="2" xfId="0" applyFont="1" applyFill="1" applyBorder="1" applyAlignment="1">
      <alignment horizontal="center"/>
    </xf>
    <xf numFmtId="0" fontId="43" fillId="34" borderId="0" xfId="27" applyFont="1" applyFill="1"/>
    <xf numFmtId="165" fontId="0" fillId="0" borderId="0" xfId="0" applyNumberFormat="1"/>
    <xf numFmtId="0" fontId="7" fillId="16" borderId="0" xfId="0" applyFont="1" applyFill="1"/>
    <xf numFmtId="0" fontId="7" fillId="0" borderId="0" xfId="0" applyFont="1"/>
    <xf numFmtId="0" fontId="7" fillId="0" borderId="0" xfId="0" applyFont="1" applyAlignment="1">
      <alignment horizontal="left"/>
    </xf>
    <xf numFmtId="0" fontId="44" fillId="0" borderId="0" xfId="17" applyFont="1" applyAlignment="1">
      <alignment horizontal="left"/>
    </xf>
    <xf numFmtId="0" fontId="30" fillId="0" borderId="0" xfId="0" applyFont="1" applyAlignment="1">
      <alignment horizontal="left"/>
    </xf>
    <xf numFmtId="0" fontId="30" fillId="36" borderId="0" xfId="0" applyFont="1" applyFill="1" applyAlignment="1">
      <alignment horizontal="left"/>
    </xf>
    <xf numFmtId="0" fontId="29" fillId="14" borderId="1" xfId="0" applyFont="1" applyFill="1" applyBorder="1" applyAlignment="1">
      <alignment horizontal="center"/>
    </xf>
    <xf numFmtId="0" fontId="29" fillId="0" borderId="0" xfId="0" applyFont="1"/>
    <xf numFmtId="0" fontId="30" fillId="23" borderId="0" xfId="0" applyFont="1" applyFill="1"/>
    <xf numFmtId="0" fontId="30" fillId="23" borderId="9" xfId="0" applyFont="1" applyFill="1" applyBorder="1"/>
    <xf numFmtId="0" fontId="30" fillId="23" borderId="0" xfId="0" applyFont="1" applyFill="1" applyAlignment="1">
      <alignment horizontal="left"/>
    </xf>
    <xf numFmtId="166" fontId="0" fillId="0" borderId="0" xfId="0" applyNumberFormat="1"/>
    <xf numFmtId="10" fontId="0" fillId="0" borderId="0" xfId="0" applyNumberFormat="1"/>
    <xf numFmtId="0" fontId="30" fillId="0" borderId="0" xfId="0" applyFont="1" applyAlignment="1">
      <alignment horizontal="center"/>
    </xf>
    <xf numFmtId="0" fontId="45" fillId="16" borderId="0" xfId="0" applyFont="1" applyFill="1" applyAlignment="1">
      <alignment horizontal="center" wrapText="1"/>
    </xf>
    <xf numFmtId="0" fontId="46" fillId="16" borderId="0" xfId="0" applyFont="1" applyFill="1" applyAlignment="1">
      <alignment horizontal="left" wrapText="1"/>
    </xf>
    <xf numFmtId="0" fontId="41" fillId="23" borderId="0" xfId="0" applyFont="1" applyFill="1" applyAlignment="1">
      <alignment horizontal="left"/>
    </xf>
    <xf numFmtId="0" fontId="0" fillId="23" borderId="0" xfId="0" applyFill="1" applyAlignment="1">
      <alignment horizontal="left"/>
    </xf>
    <xf numFmtId="10" fontId="41" fillId="23" borderId="0" xfId="21" applyNumberFormat="1" applyFont="1" applyFill="1" applyAlignment="1">
      <alignment horizontal="left"/>
    </xf>
    <xf numFmtId="10" fontId="41" fillId="23" borderId="0" xfId="0" applyNumberFormat="1" applyFont="1" applyFill="1" applyAlignment="1">
      <alignment horizontal="left"/>
    </xf>
    <xf numFmtId="167" fontId="30" fillId="23" borderId="0" xfId="0" applyNumberFormat="1" applyFont="1" applyFill="1" applyAlignment="1">
      <alignment horizontal="left"/>
    </xf>
    <xf numFmtId="0" fontId="30" fillId="23" borderId="0" xfId="0" applyFont="1" applyFill="1" applyAlignment="1">
      <alignment horizontal="left" wrapText="1"/>
    </xf>
    <xf numFmtId="9" fontId="30" fillId="23" borderId="0" xfId="0" applyNumberFormat="1" applyFont="1" applyFill="1" applyAlignment="1">
      <alignment horizontal="left"/>
    </xf>
    <xf numFmtId="0" fontId="0" fillId="39" borderId="0" xfId="0" applyFill="1" applyAlignment="1">
      <alignment horizontal="left"/>
    </xf>
    <xf numFmtId="10" fontId="41" fillId="41" borderId="0" xfId="0" applyNumberFormat="1" applyFont="1" applyFill="1" applyAlignment="1">
      <alignment horizontal="left"/>
    </xf>
    <xf numFmtId="10" fontId="41" fillId="41" borderId="0" xfId="21" applyNumberFormat="1" applyFont="1" applyFill="1" applyAlignment="1">
      <alignment horizontal="left"/>
    </xf>
    <xf numFmtId="0" fontId="41" fillId="41" borderId="0" xfId="0" applyFont="1" applyFill="1" applyAlignment="1">
      <alignment horizontal="left"/>
    </xf>
    <xf numFmtId="0" fontId="30" fillId="41" borderId="0" xfId="0" applyFont="1" applyFill="1" applyAlignment="1">
      <alignment horizontal="left"/>
    </xf>
    <xf numFmtId="168" fontId="30" fillId="41" borderId="0" xfId="0" applyNumberFormat="1" applyFont="1" applyFill="1" applyAlignment="1">
      <alignment horizontal="left"/>
    </xf>
    <xf numFmtId="0" fontId="0" fillId="41" borderId="0" xfId="0" applyFill="1"/>
    <xf numFmtId="167" fontId="30" fillId="41" borderId="0" xfId="0" applyNumberFormat="1" applyFont="1" applyFill="1" applyAlignment="1">
      <alignment horizontal="left"/>
    </xf>
    <xf numFmtId="0" fontId="0" fillId="41" borderId="0" xfId="0" applyFill="1" applyAlignment="1">
      <alignment horizontal="left"/>
    </xf>
    <xf numFmtId="0" fontId="49" fillId="0" borderId="0" xfId="0" applyFont="1" applyAlignment="1">
      <alignment horizontal="left"/>
    </xf>
    <xf numFmtId="0" fontId="50" fillId="36" borderId="0" xfId="0" applyFont="1" applyFill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52" fillId="0" borderId="0" xfId="0" applyFont="1"/>
    <xf numFmtId="0" fontId="53" fillId="38" borderId="0" xfId="0" applyFont="1" applyFill="1" applyAlignment="1">
      <alignment horizontal="left"/>
    </xf>
    <xf numFmtId="0" fontId="53" fillId="27" borderId="0" xfId="0" applyFont="1" applyFill="1" applyAlignment="1">
      <alignment horizontal="left"/>
    </xf>
    <xf numFmtId="0" fontId="29" fillId="42" borderId="2" xfId="0" applyFont="1" applyFill="1" applyBorder="1" applyAlignment="1">
      <alignment horizontal="center"/>
    </xf>
    <xf numFmtId="0" fontId="49" fillId="43" borderId="0" xfId="27" quotePrefix="1" applyFont="1" applyFill="1"/>
    <xf numFmtId="0" fontId="0" fillId="43" borderId="0" xfId="0" applyFill="1"/>
    <xf numFmtId="0" fontId="30" fillId="16" borderId="0" xfId="0" applyFont="1" applyFill="1"/>
    <xf numFmtId="0" fontId="57" fillId="0" borderId="0" xfId="0" applyFont="1" applyAlignment="1">
      <alignment wrapText="1"/>
    </xf>
    <xf numFmtId="0" fontId="57" fillId="0" borderId="0" xfId="0" applyFont="1"/>
    <xf numFmtId="0" fontId="57" fillId="0" borderId="0" xfId="0" applyFont="1" applyAlignment="1">
      <alignment horizontal="center"/>
    </xf>
    <xf numFmtId="0" fontId="46" fillId="16" borderId="0" xfId="0" applyFont="1" applyFill="1" applyAlignment="1">
      <alignment horizontal="left"/>
    </xf>
    <xf numFmtId="0" fontId="29" fillId="14" borderId="4" xfId="0" applyFont="1" applyFill="1" applyBorder="1" applyAlignment="1">
      <alignment horizontal="center" vertical="center" wrapText="1"/>
    </xf>
    <xf numFmtId="0" fontId="29" fillId="14" borderId="5" xfId="0" applyFont="1" applyFill="1" applyBorder="1" applyAlignment="1">
      <alignment horizontal="center" vertical="center" wrapText="1"/>
    </xf>
    <xf numFmtId="164" fontId="29" fillId="28" borderId="4" xfId="0" applyNumberFormat="1" applyFont="1" applyFill="1" applyBorder="1" applyAlignment="1">
      <alignment horizontal="center" vertical="center" wrapText="1"/>
    </xf>
    <xf numFmtId="0" fontId="29" fillId="5" borderId="3" xfId="0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60" fillId="0" borderId="0" xfId="0" applyFont="1"/>
    <xf numFmtId="0" fontId="29" fillId="51" borderId="3" xfId="0" applyFont="1" applyFill="1" applyBorder="1" applyAlignment="1">
      <alignment horizontal="center" vertical="center" wrapText="1"/>
    </xf>
    <xf numFmtId="6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 wrapText="1"/>
    </xf>
    <xf numFmtId="49" fontId="0" fillId="0" borderId="7" xfId="0" applyNumberFormat="1" applyBorder="1" applyAlignment="1">
      <alignment vertical="top"/>
    </xf>
    <xf numFmtId="49" fontId="0" fillId="0" borderId="7" xfId="0" applyNumberFormat="1" applyBorder="1" applyAlignment="1">
      <alignment vertical="top" wrapText="1"/>
    </xf>
    <xf numFmtId="0" fontId="0" fillId="0" borderId="7" xfId="0" applyBorder="1" applyAlignment="1">
      <alignment vertical="top"/>
    </xf>
    <xf numFmtId="0" fontId="0" fillId="0" borderId="7" xfId="0" applyBorder="1"/>
    <xf numFmtId="0" fontId="52" fillId="0" borderId="7" xfId="0" applyFont="1" applyBorder="1" applyAlignment="1">
      <alignment horizontal="center" vertical="center"/>
    </xf>
    <xf numFmtId="0" fontId="52" fillId="0" borderId="0" xfId="0" applyFont="1" applyAlignment="1">
      <alignment vertical="center"/>
    </xf>
    <xf numFmtId="0" fontId="52" fillId="0" borderId="7" xfId="0" applyFont="1" applyBorder="1" applyAlignment="1">
      <alignment vertical="center"/>
    </xf>
    <xf numFmtId="0" fontId="63" fillId="16" borderId="0" xfId="0" applyFont="1" applyFill="1" applyAlignment="1">
      <alignment horizontal="left" vertical="center"/>
    </xf>
    <xf numFmtId="0" fontId="51" fillId="23" borderId="0" xfId="0" applyFont="1" applyFill="1" applyAlignment="1">
      <alignment horizontal="left"/>
    </xf>
    <xf numFmtId="0" fontId="62" fillId="23" borderId="0" xfId="0" applyFont="1" applyFill="1"/>
    <xf numFmtId="0" fontId="63" fillId="16" borderId="0" xfId="0" applyFont="1" applyFill="1" applyAlignment="1">
      <alignment horizontal="left"/>
    </xf>
    <xf numFmtId="0" fontId="53" fillId="31" borderId="0" xfId="0" applyFont="1" applyFill="1" applyAlignment="1">
      <alignment horizontal="left"/>
    </xf>
    <xf numFmtId="0" fontId="51" fillId="31" borderId="0" xfId="0" applyFont="1" applyFill="1" applyAlignment="1">
      <alignment horizontal="left"/>
    </xf>
    <xf numFmtId="0" fontId="53" fillId="55" borderId="0" xfId="0" applyFont="1" applyFill="1" applyAlignment="1">
      <alignment horizontal="left"/>
    </xf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0" fontId="41" fillId="0" borderId="0" xfId="0" applyFont="1"/>
    <xf numFmtId="0" fontId="41" fillId="0" borderId="0" xfId="0" applyFont="1" applyAlignment="1">
      <alignment horizontal="left"/>
    </xf>
    <xf numFmtId="0" fontId="52" fillId="45" borderId="2" xfId="0" applyFont="1" applyFill="1" applyBorder="1" applyAlignment="1">
      <alignment horizontal="center"/>
    </xf>
    <xf numFmtId="0" fontId="52" fillId="45" borderId="2" xfId="0" applyFont="1" applyFill="1" applyBorder="1" applyAlignment="1">
      <alignment horizontal="left"/>
    </xf>
    <xf numFmtId="0" fontId="52" fillId="14" borderId="2" xfId="0" applyFont="1" applyFill="1" applyBorder="1" applyAlignment="1">
      <alignment horizontal="center"/>
    </xf>
    <xf numFmtId="0" fontId="52" fillId="14" borderId="2" xfId="0" applyFont="1" applyFill="1" applyBorder="1" applyAlignment="1">
      <alignment horizontal="left"/>
    </xf>
    <xf numFmtId="0" fontId="52" fillId="46" borderId="2" xfId="0" applyFont="1" applyFill="1" applyBorder="1" applyAlignment="1">
      <alignment horizontal="center"/>
    </xf>
    <xf numFmtId="0" fontId="52" fillId="46" borderId="2" xfId="0" applyFont="1" applyFill="1" applyBorder="1" applyAlignment="1">
      <alignment horizontal="left"/>
    </xf>
    <xf numFmtId="0" fontId="53" fillId="26" borderId="0" xfId="0" applyFont="1" applyFill="1" applyAlignment="1">
      <alignment horizontal="left"/>
    </xf>
    <xf numFmtId="0" fontId="53" fillId="56" borderId="0" xfId="0" applyFont="1" applyFill="1" applyAlignment="1">
      <alignment horizontal="left"/>
    </xf>
    <xf numFmtId="0" fontId="53" fillId="54" borderId="0" xfId="0" applyFont="1" applyFill="1" applyAlignment="1">
      <alignment horizontal="left"/>
    </xf>
    <xf numFmtId="0" fontId="53" fillId="27" borderId="0" xfId="0" applyFont="1" applyFill="1"/>
    <xf numFmtId="0" fontId="53" fillId="48" borderId="0" xfId="0" applyFont="1" applyFill="1"/>
    <xf numFmtId="0" fontId="53" fillId="16" borderId="0" xfId="0" applyFont="1" applyFill="1"/>
    <xf numFmtId="0" fontId="53" fillId="0" borderId="0" xfId="0" applyFont="1"/>
    <xf numFmtId="0" fontId="0" fillId="59" borderId="0" xfId="0" applyFill="1"/>
    <xf numFmtId="0" fontId="30" fillId="59" borderId="0" xfId="0" applyFont="1" applyFill="1"/>
    <xf numFmtId="49" fontId="29" fillId="14" borderId="4" xfId="0" applyNumberFormat="1" applyFont="1" applyFill="1" applyBorder="1" applyAlignment="1">
      <alignment horizontal="center" vertical="center" wrapText="1"/>
    </xf>
    <xf numFmtId="0" fontId="29" fillId="5" borderId="4" xfId="0" applyFont="1" applyFill="1" applyBorder="1" applyAlignment="1">
      <alignment horizontal="center" vertical="center" wrapText="1"/>
    </xf>
    <xf numFmtId="170" fontId="29" fillId="5" borderId="4" xfId="0" applyNumberFormat="1" applyFont="1" applyFill="1" applyBorder="1" applyAlignment="1">
      <alignment horizontal="center" vertical="center" wrapText="1"/>
    </xf>
    <xf numFmtId="0" fontId="29" fillId="14" borderId="16" xfId="0" applyFont="1" applyFill="1" applyBorder="1" applyAlignment="1">
      <alignment horizontal="center" vertical="center" wrapText="1"/>
    </xf>
    <xf numFmtId="0" fontId="29" fillId="14" borderId="17" xfId="0" applyFont="1" applyFill="1" applyBorder="1" applyAlignment="1">
      <alignment horizontal="center" vertical="center" wrapText="1"/>
    </xf>
    <xf numFmtId="0" fontId="29" fillId="14" borderId="18" xfId="0" applyFont="1" applyFill="1" applyBorder="1" applyAlignment="1">
      <alignment horizontal="center" vertical="center" wrapText="1"/>
    </xf>
    <xf numFmtId="0" fontId="29" fillId="5" borderId="19" xfId="0" applyFont="1" applyFill="1" applyBorder="1" applyAlignment="1">
      <alignment horizontal="center" vertical="center" wrapText="1"/>
    </xf>
    <xf numFmtId="0" fontId="29" fillId="5" borderId="17" xfId="0" applyFont="1" applyFill="1" applyBorder="1" applyAlignment="1">
      <alignment horizontal="center" vertical="center" wrapText="1"/>
    </xf>
    <xf numFmtId="0" fontId="29" fillId="14" borderId="20" xfId="0" applyFont="1" applyFill="1" applyBorder="1" applyAlignment="1">
      <alignment horizontal="center" vertical="center" wrapText="1"/>
    </xf>
    <xf numFmtId="0" fontId="29" fillId="14" borderId="19" xfId="0" applyFont="1" applyFill="1" applyBorder="1" applyAlignment="1">
      <alignment horizontal="center" vertical="center" wrapText="1"/>
    </xf>
    <xf numFmtId="164" fontId="29" fillId="14" borderId="4" xfId="0" applyNumberFormat="1" applyFont="1" applyFill="1" applyBorder="1" applyAlignment="1">
      <alignment horizontal="center" vertical="center" wrapText="1"/>
    </xf>
    <xf numFmtId="166" fontId="29" fillId="14" borderId="4" xfId="0" applyNumberFormat="1" applyFont="1" applyFill="1" applyBorder="1" applyAlignment="1">
      <alignment horizontal="center" vertical="center" wrapText="1"/>
    </xf>
    <xf numFmtId="9" fontId="29" fillId="14" borderId="4" xfId="0" applyNumberFormat="1" applyFont="1" applyFill="1" applyBorder="1" applyAlignment="1">
      <alignment horizontal="center" vertical="center" wrapText="1"/>
    </xf>
    <xf numFmtId="165" fontId="29" fillId="14" borderId="4" xfId="0" applyNumberFormat="1" applyFont="1" applyFill="1" applyBorder="1" applyAlignment="1">
      <alignment horizontal="center" vertical="center" wrapText="1"/>
    </xf>
    <xf numFmtId="3" fontId="29" fillId="14" borderId="4" xfId="0" applyNumberFormat="1" applyFont="1" applyFill="1" applyBorder="1" applyAlignment="1">
      <alignment horizontal="center" vertical="center" wrapText="1"/>
    </xf>
    <xf numFmtId="10" fontId="29" fillId="5" borderId="4" xfId="0" applyNumberFormat="1" applyFont="1" applyFill="1" applyBorder="1" applyAlignment="1">
      <alignment horizontal="center" vertical="center" wrapText="1"/>
    </xf>
    <xf numFmtId="10" fontId="29" fillId="5" borderId="17" xfId="0" applyNumberFormat="1" applyFont="1" applyFill="1" applyBorder="1" applyAlignment="1">
      <alignment horizontal="center" vertical="center" wrapText="1"/>
    </xf>
    <xf numFmtId="10" fontId="29" fillId="5" borderId="16" xfId="0" applyNumberFormat="1" applyFont="1" applyFill="1" applyBorder="1" applyAlignment="1">
      <alignment horizontal="center" vertical="center" wrapText="1"/>
    </xf>
    <xf numFmtId="10" fontId="29" fillId="5" borderId="21" xfId="0" applyNumberFormat="1" applyFont="1" applyFill="1" applyBorder="1" applyAlignment="1">
      <alignment horizontal="center" vertical="center" wrapText="1"/>
    </xf>
    <xf numFmtId="10" fontId="29" fillId="5" borderId="18" xfId="0" applyNumberFormat="1" applyFont="1" applyFill="1" applyBorder="1" applyAlignment="1">
      <alignment horizontal="center" vertical="center" wrapText="1"/>
    </xf>
    <xf numFmtId="10" fontId="29" fillId="5" borderId="19" xfId="0" applyNumberFormat="1" applyFont="1" applyFill="1" applyBorder="1" applyAlignment="1">
      <alignment horizontal="center" vertical="center" wrapText="1"/>
    </xf>
    <xf numFmtId="10" fontId="29" fillId="5" borderId="22" xfId="0" applyNumberFormat="1" applyFont="1" applyFill="1" applyBorder="1" applyAlignment="1">
      <alignment horizontal="center" vertical="center" wrapText="1"/>
    </xf>
    <xf numFmtId="49" fontId="29" fillId="5" borderId="4" xfId="0" applyNumberFormat="1" applyFont="1" applyFill="1" applyBorder="1" applyAlignment="1">
      <alignment horizontal="center" vertical="center" wrapText="1"/>
    </xf>
    <xf numFmtId="0" fontId="29" fillId="28" borderId="4" xfId="0" applyFont="1" applyFill="1" applyBorder="1" applyAlignment="1">
      <alignment horizontal="center" vertical="center" wrapText="1"/>
    </xf>
    <xf numFmtId="49" fontId="29" fillId="14" borderId="17" xfId="0" applyNumberFormat="1" applyFont="1" applyFill="1" applyBorder="1" applyAlignment="1">
      <alignment horizontal="center" vertical="center" wrapText="1"/>
    </xf>
    <xf numFmtId="49" fontId="29" fillId="29" borderId="4" xfId="0" applyNumberFormat="1" applyFont="1" applyFill="1" applyBorder="1" applyAlignment="1">
      <alignment horizontal="center" vertical="center" wrapText="1"/>
    </xf>
    <xf numFmtId="0" fontId="29" fillId="28" borderId="18" xfId="0" applyFont="1" applyFill="1" applyBorder="1" applyAlignment="1">
      <alignment horizontal="center" vertical="center" wrapText="1"/>
    </xf>
    <xf numFmtId="170" fontId="29" fillId="14" borderId="4" xfId="0" applyNumberFormat="1" applyFont="1" applyFill="1" applyBorder="1" applyAlignment="1">
      <alignment horizontal="center" vertical="center" wrapText="1"/>
    </xf>
    <xf numFmtId="9" fontId="29" fillId="28" borderId="18" xfId="21" applyFont="1" applyFill="1" applyBorder="1" applyAlignment="1">
      <alignment horizontal="center" vertical="center" wrapText="1"/>
    </xf>
    <xf numFmtId="0" fontId="29" fillId="5" borderId="5" xfId="0" applyFont="1" applyFill="1" applyBorder="1" applyAlignment="1">
      <alignment horizontal="center" vertical="center" wrapText="1"/>
    </xf>
    <xf numFmtId="0" fontId="29" fillId="25" borderId="4" xfId="0" applyFont="1" applyFill="1" applyBorder="1" applyAlignment="1">
      <alignment horizontal="center" vertical="center" wrapText="1"/>
    </xf>
    <xf numFmtId="0" fontId="29" fillId="30" borderId="21" xfId="0" applyFont="1" applyFill="1" applyBorder="1" applyAlignment="1">
      <alignment horizontal="center" vertical="center" wrapText="1"/>
    </xf>
    <xf numFmtId="0" fontId="29" fillId="5" borderId="21" xfId="0" applyFont="1" applyFill="1" applyBorder="1" applyAlignment="1">
      <alignment horizontal="center" vertical="center" wrapText="1"/>
    </xf>
    <xf numFmtId="0" fontId="29" fillId="58" borderId="21" xfId="0" applyFont="1" applyFill="1" applyBorder="1" applyAlignment="1">
      <alignment horizontal="center" vertical="center" wrapText="1"/>
    </xf>
    <xf numFmtId="0" fontId="29" fillId="31" borderId="21" xfId="0" applyFont="1" applyFill="1" applyBorder="1" applyAlignment="1">
      <alignment horizontal="center" vertical="center" wrapText="1"/>
    </xf>
    <xf numFmtId="0" fontId="29" fillId="27" borderId="21" xfId="0" applyFont="1" applyFill="1" applyBorder="1" applyAlignment="1">
      <alignment vertical="center"/>
    </xf>
    <xf numFmtId="0" fontId="29" fillId="32" borderId="21" xfId="0" applyFont="1" applyFill="1" applyBorder="1" applyAlignment="1">
      <alignment vertical="center"/>
    </xf>
    <xf numFmtId="0" fontId="29" fillId="32" borderId="10" xfId="0" applyFont="1" applyFill="1" applyBorder="1" applyAlignment="1">
      <alignment vertical="center"/>
    </xf>
    <xf numFmtId="0" fontId="29" fillId="47" borderId="21" xfId="0" applyFont="1" applyFill="1" applyBorder="1" applyAlignment="1">
      <alignment horizontal="center" vertical="center" wrapText="1"/>
    </xf>
    <xf numFmtId="0" fontId="61" fillId="47" borderId="21" xfId="0" applyFont="1" applyFill="1" applyBorder="1" applyAlignment="1">
      <alignment horizontal="center" vertical="center" wrapText="1"/>
    </xf>
    <xf numFmtId="0" fontId="29" fillId="50" borderId="21" xfId="0" applyFont="1" applyFill="1" applyBorder="1" applyAlignment="1">
      <alignment vertical="center" wrapText="1"/>
    </xf>
    <xf numFmtId="0" fontId="31" fillId="0" borderId="0" xfId="0" applyFont="1" applyAlignment="1">
      <alignment horizontal="center" wrapText="1"/>
    </xf>
    <xf numFmtId="49" fontId="31" fillId="0" borderId="0" xfId="0" applyNumberFormat="1" applyFont="1" applyAlignment="1">
      <alignment horizontal="center" wrapText="1"/>
    </xf>
    <xf numFmtId="170" fontId="31" fillId="0" borderId="0" xfId="0" applyNumberFormat="1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32" fillId="0" borderId="0" xfId="0" applyFont="1" applyAlignment="1">
      <alignment horizontal="center" wrapText="1"/>
    </xf>
    <xf numFmtId="0" fontId="34" fillId="0" borderId="0" xfId="0" applyFont="1" applyAlignment="1">
      <alignment horizontal="center" wrapText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horizontal="center" wrapText="1"/>
    </xf>
    <xf numFmtId="164" fontId="34" fillId="0" borderId="0" xfId="0" applyNumberFormat="1" applyFont="1" applyAlignment="1">
      <alignment horizontal="center" wrapText="1"/>
    </xf>
    <xf numFmtId="166" fontId="34" fillId="0" borderId="0" xfId="0" applyNumberFormat="1" applyFont="1" applyAlignment="1">
      <alignment horizontal="center" wrapText="1"/>
    </xf>
    <xf numFmtId="166" fontId="31" fillId="0" borderId="0" xfId="0" applyNumberFormat="1" applyFont="1" applyAlignment="1">
      <alignment horizontal="center" wrapText="1"/>
    </xf>
    <xf numFmtId="9" fontId="31" fillId="0" borderId="0" xfId="0" applyNumberFormat="1" applyFont="1" applyAlignment="1">
      <alignment horizontal="center" wrapText="1"/>
    </xf>
    <xf numFmtId="165" fontId="34" fillId="0" borderId="0" xfId="0" applyNumberFormat="1" applyFont="1" applyAlignment="1">
      <alignment horizontal="center" wrapText="1"/>
    </xf>
    <xf numFmtId="165" fontId="31" fillId="0" borderId="0" xfId="0" applyNumberFormat="1" applyFont="1" applyAlignment="1">
      <alignment horizontal="center" wrapText="1"/>
    </xf>
    <xf numFmtId="3" fontId="31" fillId="0" borderId="0" xfId="0" applyNumberFormat="1" applyFont="1" applyAlignment="1">
      <alignment horizontal="center" wrapText="1"/>
    </xf>
    <xf numFmtId="9" fontId="34" fillId="0" borderId="0" xfId="0" applyNumberFormat="1" applyFont="1" applyAlignment="1">
      <alignment horizontal="center" wrapText="1"/>
    </xf>
    <xf numFmtId="10" fontId="31" fillId="0" borderId="0" xfId="0" applyNumberFormat="1" applyFont="1" applyAlignment="1">
      <alignment horizontal="center" wrapText="1"/>
    </xf>
    <xf numFmtId="49" fontId="34" fillId="0" borderId="0" xfId="0" applyNumberFormat="1" applyFont="1" applyAlignment="1">
      <alignment horizontal="center" wrapText="1"/>
    </xf>
    <xf numFmtId="49" fontId="34" fillId="0" borderId="0" xfId="0" applyNumberFormat="1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wrapText="1"/>
    </xf>
    <xf numFmtId="170" fontId="34" fillId="0" borderId="0" xfId="0" applyNumberFormat="1" applyFont="1" applyAlignment="1">
      <alignment horizontal="center" wrapText="1"/>
    </xf>
    <xf numFmtId="0" fontId="34" fillId="0" borderId="0" xfId="0" applyFont="1" applyAlignment="1">
      <alignment wrapText="1"/>
    </xf>
    <xf numFmtId="0" fontId="30" fillId="0" borderId="0" xfId="0" applyFont="1" applyAlignment="1">
      <alignment horizontal="center" wrapText="1"/>
    </xf>
    <xf numFmtId="9" fontId="31" fillId="0" borderId="0" xfId="21" applyFont="1" applyAlignment="1">
      <alignment horizontal="center" wrapText="1"/>
    </xf>
    <xf numFmtId="0" fontId="38" fillId="0" borderId="0" xfId="0" applyFont="1" applyAlignment="1">
      <alignment horizontal="center" wrapText="1"/>
    </xf>
    <xf numFmtId="0" fontId="37" fillId="0" borderId="0" xfId="0" applyFont="1" applyAlignment="1">
      <alignment horizontal="center" wrapText="1"/>
    </xf>
    <xf numFmtId="0" fontId="32" fillId="0" borderId="0" xfId="0" applyFont="1" applyAlignment="1">
      <alignment horizontal="center" vertical="center" wrapText="1"/>
    </xf>
    <xf numFmtId="0" fontId="55" fillId="0" borderId="0" xfId="0" applyFont="1" applyAlignment="1">
      <alignment vertical="top" wrapText="1"/>
    </xf>
    <xf numFmtId="0" fontId="30" fillId="0" borderId="0" xfId="0" applyFont="1" applyAlignment="1">
      <alignment horizontal="center" vertical="top" wrapText="1"/>
    </xf>
    <xf numFmtId="0" fontId="59" fillId="0" borderId="0" xfId="0" applyFont="1" applyAlignment="1">
      <alignment horizontal="center" vertical="center" wrapText="1"/>
    </xf>
    <xf numFmtId="0" fontId="30" fillId="0" borderId="0" xfId="0" applyFont="1" applyAlignment="1">
      <alignment wrapText="1"/>
    </xf>
    <xf numFmtId="0" fontId="45" fillId="0" borderId="0" xfId="0" applyFont="1" applyAlignment="1">
      <alignment horizontal="center" wrapText="1"/>
    </xf>
    <xf numFmtId="0" fontId="45" fillId="10" borderId="0" xfId="0" applyFont="1" applyFill="1" applyAlignment="1">
      <alignment horizontal="center" wrapText="1"/>
    </xf>
    <xf numFmtId="170" fontId="45" fillId="10" borderId="0" xfId="0" applyNumberFormat="1" applyFont="1" applyFill="1" applyAlignment="1">
      <alignment horizontal="center" wrapText="1"/>
    </xf>
    <xf numFmtId="0" fontId="45" fillId="17" borderId="0" xfId="0" applyFont="1" applyFill="1" applyAlignment="1">
      <alignment horizontal="center" wrapText="1"/>
    </xf>
    <xf numFmtId="0" fontId="45" fillId="18" borderId="0" xfId="0" applyFont="1" applyFill="1" applyAlignment="1">
      <alignment horizontal="center" wrapText="1"/>
    </xf>
    <xf numFmtId="0" fontId="45" fillId="19" borderId="0" xfId="0" applyFont="1" applyFill="1" applyAlignment="1">
      <alignment horizontal="center" wrapText="1"/>
    </xf>
    <xf numFmtId="164" fontId="45" fillId="10" borderId="0" xfId="0" applyNumberFormat="1" applyFont="1" applyFill="1" applyAlignment="1">
      <alignment horizontal="center" wrapText="1"/>
    </xf>
    <xf numFmtId="3" fontId="45" fillId="15" borderId="0" xfId="0" applyNumberFormat="1" applyFont="1" applyFill="1" applyAlignment="1">
      <alignment horizontal="center" wrapText="1"/>
    </xf>
    <xf numFmtId="9" fontId="45" fillId="10" borderId="0" xfId="0" applyNumberFormat="1" applyFont="1" applyFill="1" applyAlignment="1">
      <alignment horizontal="center" wrapText="1"/>
    </xf>
    <xf numFmtId="165" fontId="45" fillId="0" borderId="0" xfId="0" applyNumberFormat="1" applyFont="1" applyAlignment="1">
      <alignment horizontal="center" wrapText="1"/>
    </xf>
    <xf numFmtId="165" fontId="45" fillId="10" borderId="0" xfId="0" applyNumberFormat="1" applyFont="1" applyFill="1" applyAlignment="1">
      <alignment horizontal="center" wrapText="1"/>
    </xf>
    <xf numFmtId="9" fontId="45" fillId="0" borderId="0" xfId="0" applyNumberFormat="1" applyFont="1" applyAlignment="1">
      <alignment horizontal="center" wrapText="1"/>
    </xf>
    <xf numFmtId="10" fontId="45" fillId="10" borderId="0" xfId="0" applyNumberFormat="1" applyFont="1" applyFill="1" applyAlignment="1">
      <alignment horizontal="center" wrapText="1"/>
    </xf>
    <xf numFmtId="10" fontId="45" fillId="0" borderId="0" xfId="0" applyNumberFormat="1" applyFont="1" applyAlignment="1">
      <alignment horizontal="center" wrapText="1"/>
    </xf>
    <xf numFmtId="49" fontId="45" fillId="10" borderId="0" xfId="0" applyNumberFormat="1" applyFont="1" applyFill="1" applyAlignment="1">
      <alignment horizontal="center" wrapText="1"/>
    </xf>
    <xf numFmtId="0" fontId="45" fillId="0" borderId="0" xfId="0" quotePrefix="1" applyFont="1" applyAlignment="1">
      <alignment horizontal="center" wrapText="1"/>
    </xf>
    <xf numFmtId="170" fontId="45" fillId="0" borderId="0" xfId="0" applyNumberFormat="1" applyFont="1" applyAlignment="1">
      <alignment horizontal="center" wrapText="1"/>
    </xf>
    <xf numFmtId="0" fontId="47" fillId="19" borderId="0" xfId="0" applyFont="1" applyFill="1" applyAlignment="1">
      <alignment horizontal="center" wrapText="1"/>
    </xf>
    <xf numFmtId="0" fontId="0" fillId="40" borderId="0" xfId="0" applyFill="1" applyAlignment="1">
      <alignment horizontal="center"/>
    </xf>
    <xf numFmtId="0" fontId="45" fillId="0" borderId="0" xfId="0" applyFont="1" applyAlignment="1">
      <alignment horizontal="center"/>
    </xf>
    <xf numFmtId="0" fontId="45" fillId="20" borderId="0" xfId="0" applyFont="1" applyFill="1" applyAlignment="1">
      <alignment horizontal="center" wrapText="1"/>
    </xf>
    <xf numFmtId="170" fontId="45" fillId="20" borderId="0" xfId="0" applyNumberFormat="1" applyFont="1" applyFill="1" applyAlignment="1">
      <alignment horizontal="center" wrapText="1"/>
    </xf>
    <xf numFmtId="0" fontId="45" fillId="21" borderId="0" xfId="0" applyFont="1" applyFill="1" applyAlignment="1">
      <alignment horizontal="center" wrapText="1"/>
    </xf>
    <xf numFmtId="0" fontId="45" fillId="22" borderId="0" xfId="0" applyFont="1" applyFill="1" applyAlignment="1">
      <alignment horizontal="center" wrapText="1"/>
    </xf>
    <xf numFmtId="0" fontId="45" fillId="37" borderId="0" xfId="0" applyFont="1" applyFill="1" applyAlignment="1">
      <alignment horizontal="center" wrapText="1"/>
    </xf>
    <xf numFmtId="49" fontId="45" fillId="24" borderId="0" xfId="0" applyNumberFormat="1" applyFont="1" applyFill="1" applyAlignment="1">
      <alignment horizontal="center" wrapText="1"/>
    </xf>
    <xf numFmtId="0" fontId="45" fillId="24" borderId="0" xfId="0" applyFont="1" applyFill="1" applyAlignment="1">
      <alignment horizontal="center" wrapText="1"/>
    </xf>
    <xf numFmtId="170" fontId="45" fillId="24" borderId="0" xfId="0" applyNumberFormat="1" applyFont="1" applyFill="1" applyAlignment="1">
      <alignment horizontal="center" wrapText="1"/>
    </xf>
    <xf numFmtId="170" fontId="45" fillId="22" borderId="0" xfId="0" applyNumberFormat="1" applyFont="1" applyFill="1" applyAlignment="1">
      <alignment horizontal="center" wrapText="1"/>
    </xf>
    <xf numFmtId="0" fontId="45" fillId="0" borderId="0" xfId="0" applyFont="1" applyAlignment="1">
      <alignment horizontal="center" vertical="center" wrapText="1"/>
    </xf>
    <xf numFmtId="0" fontId="45" fillId="59" borderId="0" xfId="0" applyFont="1" applyFill="1" applyAlignment="1">
      <alignment horizontal="center" wrapText="1"/>
    </xf>
    <xf numFmtId="0" fontId="58" fillId="0" borderId="0" xfId="0" applyFont="1" applyAlignment="1">
      <alignment horizontal="center"/>
    </xf>
    <xf numFmtId="0" fontId="58" fillId="0" borderId="0" xfId="0" applyFont="1" applyAlignment="1">
      <alignment horizontal="center" wrapText="1"/>
    </xf>
    <xf numFmtId="10" fontId="43" fillId="5" borderId="19" xfId="0" applyNumberFormat="1" applyFont="1" applyFill="1" applyBorder="1" applyAlignment="1">
      <alignment horizontal="center" vertical="center" wrapText="1"/>
    </xf>
    <xf numFmtId="10" fontId="31" fillId="17" borderId="0" xfId="0" applyNumberFormat="1" applyFont="1" applyFill="1" applyAlignment="1">
      <alignment horizontal="center" wrapText="1"/>
    </xf>
    <xf numFmtId="164" fontId="41" fillId="23" borderId="0" xfId="0" applyNumberFormat="1" applyFont="1" applyFill="1" applyAlignment="1">
      <alignment horizontal="left"/>
    </xf>
    <xf numFmtId="10" fontId="45" fillId="59" borderId="0" xfId="0" applyNumberFormat="1" applyFont="1" applyFill="1" applyAlignment="1">
      <alignment horizontal="center" wrapText="1"/>
    </xf>
    <xf numFmtId="0" fontId="46" fillId="5" borderId="4" xfId="0" applyFont="1" applyFill="1" applyBorder="1" applyAlignment="1">
      <alignment horizontal="center" vertical="center" wrapText="1"/>
    </xf>
    <xf numFmtId="10" fontId="46" fillId="5" borderId="4" xfId="0" applyNumberFormat="1" applyFont="1" applyFill="1" applyBorder="1" applyAlignment="1">
      <alignment horizontal="center" vertical="center" wrapText="1"/>
    </xf>
    <xf numFmtId="170" fontId="45" fillId="16" borderId="0" xfId="0" applyNumberFormat="1" applyFont="1" applyFill="1" applyAlignment="1">
      <alignment horizontal="center" wrapText="1"/>
    </xf>
    <xf numFmtId="170" fontId="0" fillId="0" borderId="0" xfId="0" applyNumberFormat="1"/>
    <xf numFmtId="170" fontId="30" fillId="0" borderId="0" xfId="0" applyNumberFormat="1" applyFont="1"/>
    <xf numFmtId="170" fontId="41" fillId="23" borderId="0" xfId="0" applyNumberFormat="1" applyFont="1" applyFill="1" applyAlignment="1">
      <alignment horizontal="left"/>
    </xf>
    <xf numFmtId="0" fontId="53" fillId="0" borderId="0" xfId="0" applyFont="1" applyAlignment="1">
      <alignment horizontal="left"/>
    </xf>
    <xf numFmtId="0" fontId="46" fillId="60" borderId="4" xfId="0" applyFont="1" applyFill="1" applyBorder="1" applyAlignment="1">
      <alignment horizontal="center" vertical="center" wrapText="1"/>
    </xf>
    <xf numFmtId="0" fontId="29" fillId="50" borderId="2" xfId="0" applyFont="1" applyFill="1" applyBorder="1" applyAlignment="1">
      <alignment horizontal="center"/>
    </xf>
    <xf numFmtId="0" fontId="30" fillId="59" borderId="0" xfId="0" applyFont="1" applyFill="1" applyAlignment="1">
      <alignment horizontal="left"/>
    </xf>
    <xf numFmtId="166" fontId="29" fillId="54" borderId="4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19" fillId="0" borderId="0" xfId="17"/>
    <xf numFmtId="10" fontId="41" fillId="49" borderId="0" xfId="0" applyNumberFormat="1" applyFont="1" applyFill="1" applyAlignment="1">
      <alignment horizontal="left"/>
    </xf>
    <xf numFmtId="0" fontId="68" fillId="16" borderId="7" xfId="0" applyFont="1" applyFill="1" applyBorder="1" applyAlignment="1">
      <alignment vertical="center" wrapText="1"/>
    </xf>
    <xf numFmtId="170" fontId="67" fillId="0" borderId="0" xfId="0" applyNumberFormat="1" applyFont="1" applyAlignment="1">
      <alignment horizontal="center" wrapText="1"/>
    </xf>
    <xf numFmtId="170" fontId="66" fillId="0" borderId="0" xfId="0" applyNumberFormat="1" applyFont="1" applyAlignment="1">
      <alignment wrapText="1"/>
    </xf>
    <xf numFmtId="170" fontId="66" fillId="0" borderId="0" xfId="0" applyNumberFormat="1" applyFont="1"/>
    <xf numFmtId="0" fontId="45" fillId="0" borderId="0" xfId="0" applyFont="1" applyAlignment="1">
      <alignment horizontal="center" vertical="top" wrapText="1"/>
    </xf>
    <xf numFmtId="9" fontId="32" fillId="0" borderId="0" xfId="0" applyNumberFormat="1" applyFont="1" applyAlignment="1">
      <alignment horizontal="center" wrapText="1"/>
    </xf>
    <xf numFmtId="9" fontId="0" fillId="0" borderId="0" xfId="0" applyNumberFormat="1"/>
    <xf numFmtId="9" fontId="45" fillId="0" borderId="0" xfId="21" applyFont="1" applyAlignment="1">
      <alignment horizontal="center" wrapText="1"/>
    </xf>
    <xf numFmtId="0" fontId="0" fillId="0" borderId="0" xfId="0" applyAlignment="1">
      <alignment vertical="center"/>
    </xf>
    <xf numFmtId="167" fontId="30" fillId="0" borderId="0" xfId="27" applyNumberFormat="1" applyFont="1" applyAlignment="1">
      <alignment horizontal="left"/>
    </xf>
    <xf numFmtId="0" fontId="48" fillId="0" borderId="0" xfId="27" applyFont="1"/>
    <xf numFmtId="0" fontId="51" fillId="0" borderId="0" xfId="0" applyFont="1"/>
    <xf numFmtId="0" fontId="56" fillId="0" borderId="0" xfId="0" applyFont="1"/>
    <xf numFmtId="0" fontId="69" fillId="0" borderId="0" xfId="0" applyFont="1"/>
    <xf numFmtId="0" fontId="0" fillId="15" borderId="0" xfId="0" applyFill="1"/>
    <xf numFmtId="0" fontId="66" fillId="0" borderId="0" xfId="0" applyFont="1" applyAlignment="1">
      <alignment wrapText="1"/>
    </xf>
    <xf numFmtId="0" fontId="67" fillId="0" borderId="0" xfId="0" applyFont="1" applyAlignment="1">
      <alignment horizontal="center" wrapText="1"/>
    </xf>
    <xf numFmtId="0" fontId="66" fillId="0" borderId="0" xfId="0" applyFont="1"/>
    <xf numFmtId="0" fontId="29" fillId="16" borderId="7" xfId="0" applyFont="1" applyFill="1" applyBorder="1" applyAlignment="1">
      <alignment vertical="center" wrapText="1"/>
    </xf>
    <xf numFmtId="0" fontId="65" fillId="16" borderId="23" xfId="0" applyFont="1" applyFill="1" applyBorder="1"/>
    <xf numFmtId="0" fontId="62" fillId="23" borderId="24" xfId="0" applyFont="1" applyFill="1" applyBorder="1"/>
    <xf numFmtId="0" fontId="65" fillId="16" borderId="25" xfId="0" applyFont="1" applyFill="1" applyBorder="1"/>
    <xf numFmtId="0" fontId="62" fillId="23" borderId="26" xfId="0" applyFont="1" applyFill="1" applyBorder="1"/>
    <xf numFmtId="0" fontId="65" fillId="16" borderId="27" xfId="0" applyFont="1" applyFill="1" applyBorder="1"/>
    <xf numFmtId="0" fontId="62" fillId="23" borderId="29" xfId="0" applyFont="1" applyFill="1" applyBorder="1"/>
    <xf numFmtId="0" fontId="53" fillId="27" borderId="23" xfId="0" applyFont="1" applyFill="1" applyBorder="1" applyAlignment="1">
      <alignment horizontal="left"/>
    </xf>
    <xf numFmtId="0" fontId="51" fillId="23" borderId="24" xfId="0" applyFont="1" applyFill="1" applyBorder="1" applyAlignment="1">
      <alignment horizontal="left"/>
    </xf>
    <xf numFmtId="0" fontId="53" fillId="27" borderId="27" xfId="0" applyFont="1" applyFill="1" applyBorder="1" applyAlignment="1">
      <alignment horizontal="left"/>
    </xf>
    <xf numFmtId="0" fontId="51" fillId="23" borderId="29" xfId="0" applyFont="1" applyFill="1" applyBorder="1" applyAlignment="1">
      <alignment horizontal="left"/>
    </xf>
    <xf numFmtId="0" fontId="53" fillId="55" borderId="23" xfId="0" applyFont="1" applyFill="1" applyBorder="1" applyAlignment="1">
      <alignment horizontal="left"/>
    </xf>
    <xf numFmtId="0" fontId="53" fillId="55" borderId="27" xfId="0" applyFont="1" applyFill="1" applyBorder="1" applyAlignment="1">
      <alignment horizontal="left"/>
    </xf>
    <xf numFmtId="0" fontId="63" fillId="62" borderId="0" xfId="0" applyFont="1" applyFill="1" applyAlignment="1">
      <alignment horizontal="left" vertical="center"/>
    </xf>
    <xf numFmtId="0" fontId="0" fillId="16" borderId="0" xfId="0" applyFill="1"/>
    <xf numFmtId="3" fontId="0" fillId="0" borderId="0" xfId="0" applyNumberFormat="1" applyAlignment="1">
      <alignment horizontal="left"/>
    </xf>
    <xf numFmtId="0" fontId="70" fillId="0" borderId="30" xfId="0" applyFont="1" applyBorder="1" applyAlignment="1">
      <alignment horizontal="center" vertical="top"/>
    </xf>
    <xf numFmtId="0" fontId="52" fillId="53" borderId="0" xfId="0" applyFont="1" applyFill="1"/>
    <xf numFmtId="0" fontId="5" fillId="0" borderId="0" xfId="27" applyFont="1" applyAlignment="1">
      <alignment horizontal="left"/>
    </xf>
    <xf numFmtId="0" fontId="5" fillId="16" borderId="0" xfId="27" applyFont="1" applyFill="1"/>
    <xf numFmtId="169" fontId="5" fillId="41" borderId="0" xfId="27" applyNumberFormat="1" applyFont="1" applyFill="1" applyAlignment="1">
      <alignment horizontal="left"/>
    </xf>
    <xf numFmtId="169" fontId="5" fillId="0" borderId="0" xfId="27" applyNumberFormat="1" applyFont="1" applyAlignment="1">
      <alignment horizontal="left"/>
    </xf>
    <xf numFmtId="169" fontId="5" fillId="0" borderId="0" xfId="27" applyNumberFormat="1" applyFont="1" applyAlignment="1">
      <alignment horizontal="right"/>
    </xf>
    <xf numFmtId="0" fontId="5" fillId="0" borderId="0" xfId="27" applyFont="1"/>
    <xf numFmtId="0" fontId="5" fillId="23" borderId="0" xfId="27" applyFont="1" applyFill="1" applyAlignment="1">
      <alignment horizontal="left"/>
    </xf>
    <xf numFmtId="0" fontId="5" fillId="0" borderId="0" xfId="27" applyFont="1" applyAlignment="1">
      <alignment horizontal="right"/>
    </xf>
    <xf numFmtId="0" fontId="5" fillId="33" borderId="0" xfId="27" applyFont="1" applyFill="1"/>
    <xf numFmtId="0" fontId="5" fillId="33" borderId="0" xfId="27" applyFont="1" applyFill="1" applyAlignment="1">
      <alignment horizontal="left"/>
    </xf>
    <xf numFmtId="0" fontId="5" fillId="41" borderId="0" xfId="27" applyFont="1" applyFill="1" applyAlignment="1">
      <alignment horizontal="left"/>
    </xf>
    <xf numFmtId="0" fontId="19" fillId="23" borderId="0" xfId="17" applyFill="1"/>
    <xf numFmtId="167" fontId="5" fillId="23" borderId="0" xfId="27" applyNumberFormat="1" applyFont="1" applyFill="1" applyAlignment="1">
      <alignment horizontal="left"/>
    </xf>
    <xf numFmtId="0" fontId="54" fillId="36" borderId="30" xfId="0" applyFont="1" applyFill="1" applyBorder="1" applyAlignment="1">
      <alignment horizontal="left"/>
    </xf>
    <xf numFmtId="3" fontId="5" fillId="23" borderId="0" xfId="27" applyNumberFormat="1" applyFont="1" applyFill="1" applyAlignment="1">
      <alignment horizontal="left"/>
    </xf>
    <xf numFmtId="0" fontId="5" fillId="61" borderId="0" xfId="27" applyFont="1" applyFill="1"/>
    <xf numFmtId="171" fontId="5" fillId="61" borderId="0" xfId="28" applyNumberFormat="1" applyFont="1" applyFill="1" applyAlignment="1">
      <alignment horizontal="left"/>
    </xf>
    <xf numFmtId="167" fontId="5" fillId="0" borderId="0" xfId="27" applyNumberFormat="1" applyFont="1" applyAlignment="1">
      <alignment horizontal="left"/>
    </xf>
    <xf numFmtId="167" fontId="5" fillId="0" borderId="0" xfId="27" applyNumberFormat="1" applyFont="1" applyAlignment="1">
      <alignment horizontal="right"/>
    </xf>
    <xf numFmtId="167" fontId="5" fillId="0" borderId="0" xfId="27" applyNumberFormat="1" applyFont="1"/>
    <xf numFmtId="9" fontId="5" fillId="23" borderId="0" xfId="27" applyNumberFormat="1" applyFont="1" applyFill="1" applyAlignment="1">
      <alignment horizontal="left"/>
    </xf>
    <xf numFmtId="49" fontId="5" fillId="23" borderId="0" xfId="27" applyNumberFormat="1" applyFont="1" applyFill="1" applyAlignment="1">
      <alignment horizontal="left"/>
    </xf>
    <xf numFmtId="9" fontId="5" fillId="23" borderId="0" xfId="21" applyFont="1" applyFill="1" applyAlignment="1">
      <alignment horizontal="left"/>
    </xf>
    <xf numFmtId="0" fontId="5" fillId="35" borderId="0" xfId="27" applyFont="1" applyFill="1" applyAlignment="1">
      <alignment horizontal="center"/>
    </xf>
    <xf numFmtId="0" fontId="5" fillId="43" borderId="0" xfId="27" applyFont="1" applyFill="1" applyAlignment="1">
      <alignment horizontal="left"/>
    </xf>
    <xf numFmtId="0" fontId="5" fillId="43" borderId="0" xfId="27" applyFont="1" applyFill="1"/>
    <xf numFmtId="0" fontId="5" fillId="16" borderId="0" xfId="27" applyFont="1" applyFill="1" applyAlignment="1">
      <alignment vertical="center" wrapText="1"/>
    </xf>
    <xf numFmtId="0" fontId="5" fillId="41" borderId="0" xfId="27" applyFont="1" applyFill="1" applyAlignment="1">
      <alignment horizontal="left" vertical="center" wrapText="1"/>
    </xf>
    <xf numFmtId="0" fontId="5" fillId="0" borderId="0" xfId="27" applyFont="1" applyAlignment="1">
      <alignment horizontal="left" vertical="center"/>
    </xf>
    <xf numFmtId="0" fontId="5" fillId="16" borderId="0" xfId="27" applyFont="1" applyFill="1" applyAlignment="1">
      <alignment vertical="top" wrapText="1"/>
    </xf>
    <xf numFmtId="0" fontId="5" fillId="21" borderId="0" xfId="27" applyFont="1" applyFill="1" applyAlignment="1">
      <alignment horizontal="left" vertical="center"/>
    </xf>
    <xf numFmtId="0" fontId="5" fillId="21" borderId="0" xfId="27" applyFont="1" applyFill="1" applyAlignment="1">
      <alignment horizontal="left" vertical="center" wrapText="1"/>
    </xf>
    <xf numFmtId="0" fontId="19" fillId="0" borderId="0" xfId="17" applyAlignment="1">
      <alignment vertical="center"/>
    </xf>
    <xf numFmtId="0" fontId="5" fillId="36" borderId="0" xfId="27" applyFont="1" applyFill="1" applyAlignment="1">
      <alignment vertical="center"/>
    </xf>
    <xf numFmtId="0" fontId="5" fillId="39" borderId="0" xfId="27" applyFont="1" applyFill="1" applyAlignment="1">
      <alignment horizontal="left" vertical="center"/>
    </xf>
    <xf numFmtId="0" fontId="29" fillId="36" borderId="30" xfId="0" applyFont="1" applyFill="1" applyBorder="1" applyAlignment="1">
      <alignment horizontal="left"/>
    </xf>
    <xf numFmtId="9" fontId="7" fillId="0" borderId="0" xfId="21"/>
    <xf numFmtId="0" fontId="0" fillId="19" borderId="0" xfId="0" applyFill="1"/>
    <xf numFmtId="0" fontId="0" fillId="17" borderId="0" xfId="0" applyFill="1"/>
    <xf numFmtId="0" fontId="0" fillId="63" borderId="0" xfId="0" applyFill="1"/>
    <xf numFmtId="0" fontId="5" fillId="44" borderId="0" xfId="27" applyFont="1" applyFill="1"/>
    <xf numFmtId="0" fontId="36" fillId="44" borderId="0" xfId="27" applyFont="1" applyFill="1"/>
    <xf numFmtId="0" fontId="32" fillId="44" borderId="0" xfId="27" applyFont="1" applyFill="1"/>
    <xf numFmtId="0" fontId="0" fillId="0" borderId="0" xfId="0" applyAlignment="1">
      <alignment wrapText="1"/>
    </xf>
    <xf numFmtId="0" fontId="5" fillId="44" borderId="0" xfId="27" applyFont="1" applyFill="1" applyAlignment="1">
      <alignment horizontal="left" vertical="top"/>
    </xf>
    <xf numFmtId="10" fontId="7" fillId="0" borderId="0" xfId="21" applyNumberFormat="1"/>
    <xf numFmtId="173" fontId="0" fillId="0" borderId="0" xfId="0" applyNumberFormat="1" applyAlignment="1">
      <alignment horizontal="left"/>
    </xf>
    <xf numFmtId="0" fontId="53" fillId="27" borderId="25" xfId="0" applyFont="1" applyFill="1" applyBorder="1" applyAlignment="1">
      <alignment horizontal="left"/>
    </xf>
    <xf numFmtId="0" fontId="12" fillId="44" borderId="0" xfId="0" applyFont="1" applyFill="1"/>
    <xf numFmtId="0" fontId="36" fillId="44" borderId="0" xfId="0" applyFont="1" applyFill="1" applyAlignment="1">
      <alignment horizontal="left"/>
    </xf>
    <xf numFmtId="0" fontId="36" fillId="44" borderId="0" xfId="0" applyFont="1" applyFill="1"/>
    <xf numFmtId="0" fontId="4" fillId="49" borderId="0" xfId="27" applyFont="1" applyFill="1" applyAlignment="1">
      <alignment horizontal="left" vertical="center"/>
    </xf>
    <xf numFmtId="0" fontId="0" fillId="44" borderId="0" xfId="0" applyFill="1"/>
    <xf numFmtId="174" fontId="0" fillId="0" borderId="0" xfId="0" applyNumberFormat="1"/>
    <xf numFmtId="175" fontId="0" fillId="0" borderId="0" xfId="0" applyNumberFormat="1"/>
    <xf numFmtId="0" fontId="3" fillId="23" borderId="0" xfId="27" applyFont="1" applyFill="1" applyAlignment="1">
      <alignment horizontal="left"/>
    </xf>
    <xf numFmtId="0" fontId="0" fillId="0" borderId="0" xfId="0" quotePrefix="1"/>
    <xf numFmtId="174" fontId="0" fillId="0" borderId="0" xfId="0" applyNumberFormat="1" applyAlignment="1">
      <alignment horizontal="left"/>
    </xf>
    <xf numFmtId="0" fontId="62" fillId="0" borderId="0" xfId="0" applyFont="1"/>
    <xf numFmtId="44" fontId="62" fillId="0" borderId="0" xfId="38" applyFont="1"/>
    <xf numFmtId="10" fontId="62" fillId="0" borderId="0" xfId="21" applyNumberFormat="1" applyFont="1"/>
    <xf numFmtId="0" fontId="20" fillId="28" borderId="0" xfId="0" applyFont="1" applyFill="1" applyAlignment="1">
      <alignment horizontal="center" wrapText="1"/>
    </xf>
    <xf numFmtId="0" fontId="2" fillId="16" borderId="0" xfId="27" applyFont="1" applyFill="1"/>
    <xf numFmtId="0" fontId="0" fillId="16" borderId="0" xfId="0" applyFill="1" applyAlignment="1">
      <alignment wrapText="1"/>
    </xf>
    <xf numFmtId="0" fontId="62" fillId="16" borderId="0" xfId="0" applyFont="1" applyFill="1"/>
    <xf numFmtId="176" fontId="62" fillId="0" borderId="0" xfId="0" applyNumberFormat="1" applyFont="1"/>
    <xf numFmtId="177" fontId="62" fillId="0" borderId="0" xfId="0" applyNumberFormat="1" applyFont="1"/>
    <xf numFmtId="0" fontId="43" fillId="44" borderId="0" xfId="27" applyFont="1" applyFill="1" applyAlignment="1">
      <alignment horizontal="center"/>
    </xf>
    <xf numFmtId="0" fontId="64" fillId="57" borderId="0" xfId="0" applyFont="1" applyFill="1" applyAlignment="1">
      <alignment horizontal="center"/>
    </xf>
    <xf numFmtId="0" fontId="52" fillId="53" borderId="0" xfId="0" applyFont="1" applyFill="1" applyAlignment="1">
      <alignment horizontal="center"/>
    </xf>
    <xf numFmtId="0" fontId="63" fillId="62" borderId="31" xfId="0" applyFont="1" applyFill="1" applyBorder="1" applyAlignment="1">
      <alignment horizontal="center" vertical="center" wrapText="1"/>
    </xf>
    <xf numFmtId="0" fontId="63" fillId="62" borderId="0" xfId="0" applyFont="1" applyFill="1" applyAlignment="1">
      <alignment horizontal="center" vertical="center"/>
    </xf>
    <xf numFmtId="0" fontId="63" fillId="62" borderId="28" xfId="0" applyFont="1" applyFill="1" applyBorder="1" applyAlignment="1">
      <alignment horizontal="center" vertical="center"/>
    </xf>
    <xf numFmtId="0" fontId="52" fillId="46" borderId="6" xfId="0" applyFont="1" applyFill="1" applyBorder="1" applyAlignment="1">
      <alignment horizontal="center"/>
    </xf>
    <xf numFmtId="0" fontId="52" fillId="46" borderId="0" xfId="0" applyFont="1" applyFill="1" applyAlignment="1">
      <alignment horizontal="center"/>
    </xf>
    <xf numFmtId="0" fontId="63" fillId="62" borderId="31" xfId="0" applyFont="1" applyFill="1" applyBorder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0" fillId="0" borderId="0" xfId="0"/>
    <xf numFmtId="0" fontId="22" fillId="13" borderId="0" xfId="0" applyFont="1" applyFill="1" applyAlignment="1">
      <alignment horizontal="center" wrapText="1"/>
    </xf>
    <xf numFmtId="0" fontId="52" fillId="52" borderId="0" xfId="0" applyFont="1" applyFill="1" applyAlignment="1">
      <alignment horizontal="center"/>
    </xf>
    <xf numFmtId="0" fontId="52" fillId="34" borderId="0" xfId="0" applyFont="1" applyFill="1" applyAlignment="1">
      <alignment horizontal="center"/>
    </xf>
  </cellXfs>
  <cellStyles count="39">
    <cellStyle name="Accent" xfId="1" xr:uid="{00000000-0005-0000-0000-000007000000}"/>
    <cellStyle name="Accent 1" xfId="2" xr:uid="{00000000-0005-0000-0000-000008000000}"/>
    <cellStyle name="Accent 2" xfId="3" xr:uid="{00000000-0005-0000-0000-000009000000}"/>
    <cellStyle name="Accent 3" xfId="4" xr:uid="{00000000-0005-0000-0000-00000A000000}"/>
    <cellStyle name="cf1" xfId="5" xr:uid="{00000000-0005-0000-0000-00000B000000}"/>
    <cellStyle name="cf2" xfId="6" xr:uid="{00000000-0005-0000-0000-00000C000000}"/>
    <cellStyle name="cf3" xfId="7" xr:uid="{00000000-0005-0000-0000-00000D000000}"/>
    <cellStyle name="cf4" xfId="8" xr:uid="{00000000-0005-0000-0000-00000E000000}"/>
    <cellStyle name="cf5" xfId="9" xr:uid="{00000000-0005-0000-0000-00000F000000}"/>
    <cellStyle name="cf6" xfId="10" xr:uid="{00000000-0005-0000-0000-000010000000}"/>
    <cellStyle name="cf7" xfId="11" xr:uid="{00000000-0005-0000-0000-000011000000}"/>
    <cellStyle name="cf8" xfId="12" xr:uid="{00000000-0005-0000-0000-000012000000}"/>
    <cellStyle name="Comma" xfId="28" builtinId="3"/>
    <cellStyle name="ConditionalStyle_1" xfId="13" xr:uid="{00000000-0005-0000-0000-000013000000}"/>
    <cellStyle name="Currency" xfId="38" builtinId="4"/>
    <cellStyle name="Error" xfId="14" xr:uid="{00000000-0005-0000-0000-000014000000}"/>
    <cellStyle name="Footnote" xfId="15" xr:uid="{00000000-0005-0000-0000-000015000000}"/>
    <cellStyle name="Heading" xfId="16" xr:uid="{00000000-0005-0000-0000-000016000000}"/>
    <cellStyle name="Hyperlink" xfId="17" xr:uid="{00000000-0005-0000-0000-000017000000}"/>
    <cellStyle name="Hyperlink 2" xfId="24" xr:uid="{00000000-0005-0000-0000-00001E000000}"/>
    <cellStyle name="Normal" xfId="0" builtinId="0"/>
    <cellStyle name="Normal 2" xfId="23" xr:uid="{00000000-0005-0000-0000-00001D000000}"/>
    <cellStyle name="Normal 2 2" xfId="29" xr:uid="{00000000-0005-0000-0000-000023000000}"/>
    <cellStyle name="Normal 2 2 2" xfId="35" xr:uid="{00000000-0005-0000-0000-000029000000}"/>
    <cellStyle name="Normal 2 3" xfId="32" xr:uid="{00000000-0005-0000-0000-000026000000}"/>
    <cellStyle name="Normal 3" xfId="27" xr:uid="{00000000-0005-0000-0000-000021000000}"/>
    <cellStyle name="Normal 3 2" xfId="31" xr:uid="{00000000-0005-0000-0000-000025000000}"/>
    <cellStyle name="Normal 3 2 2" xfId="37" xr:uid="{00000000-0005-0000-0000-00002B000000}"/>
    <cellStyle name="Normal 3 3" xfId="34" xr:uid="{00000000-0005-0000-0000-000028000000}"/>
    <cellStyle name="Normal_Sheet1" xfId="22" xr:uid="{00000000-0005-0000-0000-00001C000000}"/>
    <cellStyle name="Percent" xfId="21" builtinId="5"/>
    <cellStyle name="Percent 2" xfId="25" xr:uid="{00000000-0005-0000-0000-00001F000000}"/>
    <cellStyle name="Percent 3" xfId="26" xr:uid="{00000000-0005-0000-0000-000020000000}"/>
    <cellStyle name="Percent 3 2" xfId="30" xr:uid="{00000000-0005-0000-0000-000024000000}"/>
    <cellStyle name="Percent 3 2 2" xfId="36" xr:uid="{00000000-0005-0000-0000-00002A000000}"/>
    <cellStyle name="Percent 3 3" xfId="33" xr:uid="{00000000-0005-0000-0000-000027000000}"/>
    <cellStyle name="Status" xfId="18" xr:uid="{00000000-0005-0000-0000-000018000000}"/>
    <cellStyle name="Text" xfId="19" xr:uid="{00000000-0005-0000-0000-000019000000}"/>
    <cellStyle name="Warning" xfId="20" xr:uid="{00000000-0005-0000-0000-00001A000000}"/>
  </cellStyles>
  <dxfs count="742">
    <dxf>
      <font>
        <color rgb="FF000000"/>
      </font>
      <fill>
        <patternFill patternType="solid">
          <fgColor rgb="FFB7E1CD"/>
          <bgColor rgb="FFB7E1CD"/>
        </patternFill>
      </fill>
    </dxf>
    <dxf>
      <font>
        <strike/>
        <color rgb="FF000000"/>
      </font>
      <fill>
        <patternFill patternType="solid">
          <fgColor rgb="FF000000"/>
          <bgColor rgb="FF000000"/>
        </patternFill>
      </fill>
    </dxf>
    <dxf>
      <font>
        <strike/>
        <color rgb="FF000000"/>
      </font>
      <fill>
        <patternFill patternType="solid">
          <fgColor rgb="FF000000"/>
          <bgColor rgb="FF000000"/>
        </patternFill>
      </fill>
    </dxf>
    <dxf>
      <font>
        <color rgb="FF00000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7030A0"/>
      </font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170" formatCode="dd\-mm\-yyyy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  <scheme val="minor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family val="2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solid">
          <bgColor theme="2"/>
        </patternFill>
      </fill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>
          <bgColor theme="2"/>
        </patternFill>
      </fill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ill>
        <patternFill>
          <bgColor theme="2"/>
        </patternFill>
      </fill>
    </dxf>
    <dxf>
      <fill>
        <patternFill>
          <bgColor theme="2"/>
        </patternFill>
      </fill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alignment horizontal="center" vertical="bottom" wrapText="1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numFmt numFmtId="170" formatCode="dd\-mm\-yyyy"/>
    </dxf>
    <dxf>
      <numFmt numFmtId="170" formatCode="dd\-mm\-yyyy"/>
    </dxf>
    <dxf>
      <font>
        <strike val="0"/>
        <outline val="0"/>
        <shadow val="0"/>
        <vertAlign val="baseline"/>
        <sz val="11"/>
        <name val="Calibri"/>
        <scheme val="minor"/>
      </font>
      <numFmt numFmtId="170" formatCode="dd\-mm\-yyyy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alignment horizontal="center" vertical="bottom" wrapText="1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numFmt numFmtId="170" formatCode="dd\-mm\-yyyy"/>
    </dxf>
    <dxf>
      <numFmt numFmtId="170" formatCode="dd\-mm\-yyyy"/>
    </dxf>
    <dxf>
      <font>
        <strike val="0"/>
        <outline val="0"/>
        <shadow val="0"/>
        <vertAlign val="baseline"/>
        <sz val="11"/>
        <name val="Calibri"/>
        <scheme val="minor"/>
      </font>
      <numFmt numFmtId="170" formatCode="dd\-mm\-yyyy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alignment horizontal="center" vertical="bottom" wrapText="1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numFmt numFmtId="0" formatCode="General"/>
    </dxf>
    <dxf>
      <numFmt numFmtId="170" formatCode="dd\-mm\-yyyy"/>
    </dxf>
    <dxf>
      <font>
        <strike val="0"/>
        <outline val="0"/>
        <shadow val="0"/>
        <vertAlign val="baseline"/>
        <sz val="11"/>
        <name val="Calibri"/>
        <scheme val="minor"/>
      </font>
      <numFmt numFmtId="170" formatCode="dd\-mm\-yyyy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170" formatCode="dd\-mm\-yyyy"/>
      <fill>
        <patternFill patternType="solid">
          <fgColor rgb="FFEFEFEF"/>
          <bgColor rgb="FFEFEFEF"/>
        </patternFill>
      </fill>
      <alignment horizontal="center" vertical="bottom" wrapText="1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fill>
        <patternFill patternType="solid">
          <fgColor rgb="FFEFEFEF"/>
          <bgColor rgb="FFEFEFEF"/>
        </patternFill>
      </fill>
      <alignment horizontal="center" vertical="bottom" wrapText="1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fill>
        <patternFill patternType="solid">
          <fgColor rgb="FFEFEFEF"/>
          <bgColor rgb="FFEFEFEF"/>
        </patternFill>
      </fill>
      <alignment horizontal="center" vertical="bottom" wrapText="1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fill>
        <patternFill patternType="solid">
          <fgColor rgb="FFEFEFEF"/>
          <bgColor theme="9" tint="0.79998168889431442"/>
        </patternFill>
      </fill>
      <alignment horizontal="center" vertical="bottom" wrapText="1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fill>
        <patternFill patternType="solid">
          <fgColor rgb="FFEFEFEF"/>
          <bgColor theme="9" tint="0.79998168889431442"/>
        </patternFill>
      </fill>
      <alignment horizontal="center" vertical="bottom" wrapText="1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fill>
        <patternFill patternType="solid">
          <fgColor rgb="FFEFEFEF"/>
          <bgColor theme="9" tint="0.79998168889431442"/>
        </patternFill>
      </fill>
      <alignment horizontal="center" vertical="bottom" wrapText="1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fill>
        <patternFill patternType="solid">
          <fgColor rgb="FFEFEFEF"/>
          <bgColor theme="9" tint="0.79998168889431442"/>
        </patternFill>
      </fill>
      <alignment horizontal="center" vertical="bottom" wrapText="1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fill>
        <patternFill patternType="solid">
          <fgColor rgb="FFEFEFEF"/>
          <bgColor theme="9" tint="0.79998168889431442"/>
        </patternFill>
      </fill>
      <alignment horizontal="center" vertical="bottom" wrapText="1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fill>
        <patternFill patternType="solid">
          <fgColor rgb="FFEFEFEF"/>
          <bgColor theme="9" tint="0.79998168889431442"/>
        </patternFill>
      </fill>
      <alignment horizontal="center" vertical="bottom" wrapText="1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alignment horizontal="center" vertical="bottom" wrapText="1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numFmt numFmtId="170" formatCode="dd\-mm\-yyyy"/>
    </dxf>
    <dxf>
      <numFmt numFmtId="170" formatCode="dd\-mm\-yyyy"/>
    </dxf>
    <dxf>
      <font>
        <strike val="0"/>
        <outline val="0"/>
        <shadow val="0"/>
        <vertAlign val="baseline"/>
        <sz val="11"/>
        <name val="Calibri"/>
        <scheme val="minor"/>
      </font>
      <numFmt numFmtId="170" formatCode="dd\-mm\-yyyy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170" formatCode="dd\-mm\-yyyy"/>
      <fill>
        <patternFill patternType="solid">
          <fgColor rgb="FFEFEFEF"/>
          <bgColor rgb="FFEFEFEF"/>
        </patternFill>
      </fill>
      <alignment horizontal="center" vertical="bottom" wrapText="1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fill>
        <patternFill patternType="solid">
          <fgColor rgb="FFEFEFEF"/>
          <bgColor rgb="FFEFEFEF"/>
        </patternFill>
      </fill>
      <alignment horizontal="center" vertical="bottom" wrapText="1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fill>
        <patternFill patternType="solid">
          <fgColor rgb="FFEFEFEF"/>
          <bgColor rgb="FFEFEFEF"/>
        </patternFill>
      </fill>
      <alignment horizontal="center" vertical="bottom" wrapText="1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fill>
        <patternFill patternType="solid">
          <fgColor rgb="FFEFEFEF"/>
          <bgColor theme="8" tint="0.59999389629810485"/>
        </patternFill>
      </fill>
      <alignment horizontal="center" vertical="bottom" wrapText="1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fill>
        <patternFill patternType="solid">
          <fgColor rgb="FFEFEFEF"/>
          <bgColor theme="8" tint="0.59999389629810485"/>
        </patternFill>
      </fill>
      <alignment horizontal="center" vertical="bottom" wrapText="1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fill>
        <patternFill patternType="solid">
          <fgColor rgb="FFEFEFEF"/>
          <bgColor theme="8" tint="0.59999389629810485"/>
        </patternFill>
      </fill>
      <alignment horizontal="center" vertical="bottom" wrapText="1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fill>
        <patternFill patternType="solid">
          <fgColor rgb="FFEFEFEF"/>
          <bgColor theme="8" tint="0.59999389629810485"/>
        </patternFill>
      </fill>
      <alignment horizontal="center" vertical="bottom" wrapText="1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fill>
        <patternFill patternType="solid">
          <fgColor rgb="FFEFEFEF"/>
          <bgColor theme="8" tint="0.59999389629810485"/>
        </patternFill>
      </fill>
      <alignment horizontal="center" vertical="bottom" wrapText="1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fill>
        <patternFill patternType="solid">
          <fgColor rgb="FFEFEFEF"/>
          <bgColor theme="8" tint="0.59999389629810485"/>
        </patternFill>
      </fill>
      <alignment horizontal="center" vertical="bottom" wrapText="1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170" formatCode="dd\-mm\-yyyy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alignment horizontal="center" vertical="bottom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30" formatCode="@"/>
      <fill>
        <patternFill patternType="solid">
          <fgColor rgb="FFEFEFEF"/>
          <bgColor rgb="FFEFEFEF"/>
        </patternFill>
      </fill>
      <alignment horizontal="center" vertical="bottom" wrapText="1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alignment horizontal="center" vertical="bottom"/>
    </dxf>
    <dxf>
      <font>
        <strike val="0"/>
        <outline val="0"/>
        <shadow val="0"/>
        <vertAlign val="baseline"/>
        <sz val="11"/>
        <name val="Calibri"/>
        <scheme val="minor"/>
      </font>
      <alignment horizontal="center" vertical="bottom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30" formatCode="@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0" formatCode="General"/>
      <alignment horizontal="center" vertical="bottom" wrapText="1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0" formatCode="General"/>
      <alignment horizontal="center" vertical="bottom" wrapText="1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0" formatCode="General"/>
      <alignment horizontal="center" vertical="bottom" wrapText="1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30" formatCode="@"/>
      <alignment horizontal="center" vertical="bottom" wrapText="1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alignment horizontal="center" vertical="bottom" wrapText="1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170" formatCode="dd\-mm\-yyyy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30" formatCode="@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14" formatCode="0.00%"/>
    </dxf>
    <dxf>
      <font>
        <strike val="0"/>
        <outline val="0"/>
        <shadow val="0"/>
        <vertAlign val="baseline"/>
        <sz val="11"/>
        <name val="Calibri"/>
        <scheme val="minor"/>
      </font>
      <numFmt numFmtId="14" formatCode="0.00%"/>
    </dxf>
    <dxf>
      <font>
        <strike val="0"/>
        <outline val="0"/>
        <shadow val="0"/>
        <vertAlign val="baseline"/>
        <sz val="11"/>
        <name val="Calibri"/>
        <scheme val="minor"/>
      </font>
      <numFmt numFmtId="14" formatCode="0.00%"/>
    </dxf>
    <dxf>
      <font>
        <strike val="0"/>
        <outline val="0"/>
        <shadow val="0"/>
        <vertAlign val="baseline"/>
        <sz val="11"/>
        <name val="Calibri"/>
        <scheme val="minor"/>
      </font>
      <numFmt numFmtId="14" formatCode="0.00%"/>
    </dxf>
    <dxf>
      <font>
        <strike val="0"/>
        <outline val="0"/>
        <shadow val="0"/>
        <vertAlign val="baseline"/>
        <sz val="11"/>
        <name val="Calibri"/>
        <scheme val="minor"/>
      </font>
      <numFmt numFmtId="14" formatCode="0.00%"/>
    </dxf>
    <dxf>
      <font>
        <strike val="0"/>
        <outline val="0"/>
        <shadow val="0"/>
        <vertAlign val="baseline"/>
        <sz val="11"/>
        <name val="Calibri"/>
        <scheme val="minor"/>
      </font>
      <numFmt numFmtId="14" formatCode="0.00%"/>
    </dxf>
    <dxf>
      <font>
        <strike val="0"/>
        <outline val="0"/>
        <shadow val="0"/>
        <vertAlign val="baseline"/>
        <sz val="11"/>
        <name val="Calibri"/>
        <scheme val="minor"/>
      </font>
      <numFmt numFmtId="14" formatCode="0.00%"/>
    </dxf>
    <dxf>
      <font>
        <strike val="0"/>
        <outline val="0"/>
        <shadow val="0"/>
        <vertAlign val="baseline"/>
        <sz val="11"/>
        <name val="Calibri"/>
        <scheme val="minor"/>
      </font>
      <numFmt numFmtId="14" formatCode="0.00%"/>
    </dxf>
    <dxf>
      <font>
        <strike val="0"/>
        <outline val="0"/>
        <shadow val="0"/>
        <vertAlign val="baseline"/>
        <sz val="11"/>
        <name val="Calibri"/>
        <scheme val="minor"/>
      </font>
      <numFmt numFmtId="14" formatCode="0.00%"/>
    </dxf>
    <dxf>
      <font>
        <strike val="0"/>
        <outline val="0"/>
        <shadow val="0"/>
        <vertAlign val="baseline"/>
        <sz val="11"/>
        <name val="Calibri"/>
        <scheme val="minor"/>
      </font>
      <numFmt numFmtId="14" formatCode="0.00%"/>
    </dxf>
    <dxf>
      <font>
        <strike val="0"/>
        <outline val="0"/>
        <shadow val="0"/>
        <vertAlign val="baseline"/>
        <sz val="11"/>
        <name val="Calibri"/>
        <scheme val="minor"/>
      </font>
      <numFmt numFmtId="14" formatCode="0.00%"/>
    </dxf>
    <dxf>
      <font>
        <strike val="0"/>
        <outline val="0"/>
        <shadow val="0"/>
        <vertAlign val="baseline"/>
        <sz val="11"/>
        <name val="Calibri"/>
        <scheme val="minor"/>
      </font>
      <numFmt numFmtId="14" formatCode="0.00%"/>
    </dxf>
    <dxf>
      <font>
        <strike val="0"/>
        <outline val="0"/>
        <shadow val="0"/>
        <vertAlign val="baseline"/>
        <sz val="11"/>
        <name val="Calibri"/>
        <scheme val="minor"/>
      </font>
      <numFmt numFmtId="14" formatCode="0.00%"/>
    </dxf>
    <dxf>
      <font>
        <strike val="0"/>
        <outline val="0"/>
        <shadow val="0"/>
        <vertAlign val="baseline"/>
        <sz val="11"/>
        <name val="Calibri"/>
        <scheme val="minor"/>
      </font>
      <numFmt numFmtId="14" formatCode="0.00%"/>
    </dxf>
    <dxf>
      <font>
        <strike val="0"/>
        <outline val="0"/>
        <shadow val="0"/>
        <vertAlign val="baseline"/>
        <sz val="11"/>
        <name val="Calibri"/>
        <scheme val="minor"/>
      </font>
      <numFmt numFmtId="14" formatCode="0.00%"/>
    </dxf>
    <dxf>
      <font>
        <strike val="0"/>
        <outline val="0"/>
        <shadow val="0"/>
        <vertAlign val="baseline"/>
        <sz val="11"/>
        <name val="Calibri"/>
        <scheme val="minor"/>
      </font>
      <numFmt numFmtId="14" formatCode="0.00%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14" formatCode="0.00%"/>
      <fill>
        <patternFill patternType="solid">
          <fgColor rgb="FFEFEFEF"/>
          <bgColor rgb="FFEFEFEF"/>
        </patternFill>
      </fill>
      <alignment horizontal="center" vertical="bottom" wrapText="1"/>
      <border>
        <left/>
        <right/>
        <top/>
        <bottom style="thin">
          <color rgb="FFD9D9D9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14" formatCode="0.00%"/>
      <fill>
        <patternFill patternType="solid">
          <fgColor rgb="FFEFEFEF"/>
          <bgColor rgb="FFEFEFEF"/>
        </patternFill>
      </fill>
      <alignment horizontal="center" vertical="bottom" wrapText="1"/>
      <border>
        <left/>
        <right/>
        <top/>
        <bottom style="thin">
          <color rgb="FFD9D9D9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14" formatCode="0.00%"/>
      <fill>
        <patternFill patternType="solid">
          <fgColor rgb="FFEFEFEF"/>
          <bgColor rgb="FFEFEFEF"/>
        </patternFill>
      </fill>
      <alignment horizontal="center" vertical="bottom" wrapText="1"/>
      <border>
        <left/>
        <right/>
        <top/>
        <bottom style="thin">
          <color rgb="FFD9D9D9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14" formatCode="0.00%"/>
      <fill>
        <patternFill patternType="solid">
          <fgColor rgb="FFEFEFEF"/>
          <bgColor rgb="FFEFEFEF"/>
        </patternFill>
      </fill>
      <alignment horizontal="center" vertical="bottom" wrapText="1"/>
      <border>
        <left/>
        <right/>
        <top/>
        <bottom style="thin">
          <color rgb="FFD9D9D9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14" formatCode="0.00%"/>
      <fill>
        <patternFill patternType="solid">
          <fgColor rgb="FFEFEFEF"/>
          <bgColor rgb="FFEFEFEF"/>
        </patternFill>
      </fill>
      <alignment horizontal="center" vertical="bottom" wrapText="1"/>
      <border>
        <left/>
        <right/>
        <top/>
        <bottom style="thin">
          <color rgb="FFD9D9D9"/>
        </bottom>
        <vertical/>
        <horizontal/>
      </border>
    </dxf>
    <dxf>
      <font>
        <strike val="0"/>
        <outline val="0"/>
        <shadow val="0"/>
        <vertAlign val="baseline"/>
        <sz val="11"/>
        <name val="Calibri"/>
        <scheme val="minor"/>
      </font>
      <numFmt numFmtId="14" formatCode="0.00%"/>
    </dxf>
    <dxf>
      <font>
        <strike val="0"/>
        <outline val="0"/>
        <shadow val="0"/>
        <vertAlign val="baseline"/>
        <sz val="11"/>
        <name val="Calibri"/>
        <scheme val="minor"/>
      </font>
      <numFmt numFmtId="14" formatCode="0.00%"/>
    </dxf>
    <dxf>
      <font>
        <strike val="0"/>
        <outline val="0"/>
        <shadow val="0"/>
        <vertAlign val="baseline"/>
        <sz val="11"/>
        <name val="Calibri"/>
        <scheme val="minor"/>
      </font>
      <numFmt numFmtId="14" formatCode="0.00%"/>
    </dxf>
    <dxf>
      <numFmt numFmtId="14" formatCode="0.00%"/>
    </dxf>
    <dxf>
      <numFmt numFmtId="14" formatCode="0.00%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14" formatCode="0.00%"/>
      <fill>
        <patternFill patternType="solid">
          <fgColor rgb="FFEFEFEF"/>
          <bgColor rgb="FFEFEFEF"/>
        </patternFill>
      </fill>
      <alignment horizontal="center" vertical="bottom" wrapText="1"/>
      <border>
        <left/>
        <right/>
        <top/>
        <bottom style="thin">
          <color rgb="FFD9D9D9"/>
        </bottom>
        <vertical/>
        <horizontal/>
      </border>
    </dxf>
    <dxf>
      <numFmt numFmtId="14" formatCode="0.00%"/>
    </dxf>
    <dxf>
      <numFmt numFmtId="14" formatCode="0.00%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14" formatCode="0.00%"/>
      <fill>
        <patternFill patternType="solid">
          <fgColor rgb="FFEFEFEF"/>
          <bgColor rgb="FFEFEFEF"/>
        </patternFill>
      </fill>
      <alignment horizontal="center" vertical="bottom" wrapText="1"/>
      <border>
        <left/>
        <right/>
        <top/>
        <bottom style="thin">
          <color rgb="FFD9D9D9"/>
        </bottom>
        <vertical/>
        <horizontal/>
      </border>
    </dxf>
    <dxf>
      <font>
        <strike val="0"/>
        <outline val="0"/>
        <shadow val="0"/>
        <vertAlign val="baseline"/>
        <sz val="11"/>
        <name val="Calibri"/>
        <scheme val="minor"/>
      </font>
      <numFmt numFmtId="14" formatCode="0.00%"/>
    </dxf>
    <dxf>
      <font>
        <strike val="0"/>
        <outline val="0"/>
        <shadow val="0"/>
        <vertAlign val="baseline"/>
        <sz val="11"/>
        <name val="Calibri"/>
        <scheme val="minor"/>
      </font>
      <numFmt numFmtId="14" formatCode="0.00%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14" formatCode="0.00%"/>
      <fill>
        <patternFill patternType="solid">
          <fgColor rgb="FFEFEFEF"/>
          <bgColor rgb="FFEFEFEF"/>
        </patternFill>
      </fill>
      <alignment horizontal="center" vertical="bottom" wrapText="1"/>
      <border>
        <left style="thin">
          <color rgb="FFD9D9D9"/>
        </left>
        <right/>
        <top/>
        <bottom style="thin">
          <color rgb="FFD9D9D9"/>
        </bottom>
        <vertical/>
        <horizontal/>
      </border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14" formatCode="0.00%"/>
      <fill>
        <patternFill patternType="solid">
          <fgColor rgb="FFEFEFEF"/>
          <bgColor rgb="FFEFEFEF"/>
        </patternFill>
      </fill>
      <alignment horizontal="center" vertical="bottom" wrapText="1"/>
      <border>
        <left style="thin">
          <color rgb="FFD9D9D9"/>
        </left>
        <right style="thin">
          <color rgb="FFD9D9D9"/>
        </right>
        <top/>
        <bottom style="thin">
          <color rgb="FFD9D9D9"/>
        </bottom>
        <vertical/>
        <horizontal/>
      </border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14" formatCode="0.00%"/>
      <fill>
        <patternFill patternType="solid">
          <fgColor rgb="FFEFEFEF"/>
          <bgColor rgb="FFEFEFEF"/>
        </patternFill>
      </fill>
      <alignment horizontal="center" vertical="bottom" wrapText="1"/>
      <border>
        <left style="thin">
          <color rgb="FFD9D9D9"/>
        </left>
        <right style="thin">
          <color rgb="FFD9D9D9"/>
        </right>
        <top/>
        <bottom style="thin">
          <color rgb="FFD9D9D9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14" formatCode="0.00%"/>
      <fill>
        <patternFill patternType="solid">
          <fgColor rgb="FFEFEFEF"/>
          <bgColor rgb="FFEFEFEF"/>
        </patternFill>
      </fill>
      <alignment horizontal="center" vertical="bottom" wrapText="1"/>
      <border>
        <left style="thin">
          <color rgb="FFD9D9D9"/>
        </left>
        <right style="thin">
          <color rgb="FFD9D9D9"/>
        </right>
        <top/>
        <bottom style="thin">
          <color rgb="FFD9D9D9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14" formatCode="0.00%"/>
      <fill>
        <patternFill patternType="solid">
          <fgColor rgb="FFEFEFEF"/>
          <bgColor rgb="FFEFEFEF"/>
        </patternFill>
      </fill>
      <alignment horizontal="center" vertical="bottom" wrapText="1"/>
      <border>
        <left style="thin">
          <color rgb="FFD9D9D9"/>
        </left>
        <right style="thin">
          <color rgb="FFD9D9D9"/>
        </right>
        <top/>
        <bottom style="thin">
          <color rgb="FFD9D9D9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14" formatCode="0.00%"/>
      <fill>
        <patternFill patternType="solid">
          <fgColor rgb="FFEFEFEF"/>
          <bgColor rgb="FFEFEFEF"/>
        </patternFill>
      </fill>
      <alignment horizontal="center" vertical="bottom" wrapText="1"/>
      <border>
        <left style="thin">
          <color rgb="FFD9D9D9"/>
        </left>
        <right style="thin">
          <color rgb="FFD9D9D9"/>
        </right>
        <top/>
        <bottom style="thin">
          <color rgb="FFD9D9D9"/>
        </bottom>
        <vertical/>
        <horizontal/>
      </border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14" formatCode="0.00%"/>
      <fill>
        <patternFill patternType="solid">
          <fgColor rgb="FFEFEFEF"/>
          <bgColor rgb="FFEFEFEF"/>
        </patternFill>
      </fill>
      <alignment horizontal="center" vertical="bottom" wrapText="1"/>
      <border>
        <left style="thin">
          <color rgb="FFD9D9D9"/>
        </left>
        <right style="thin">
          <color rgb="FFD9D9D9"/>
        </right>
        <top/>
        <bottom style="thin">
          <color rgb="FFD9D9D9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14" formatCode="0.00%"/>
      <fill>
        <patternFill patternType="solid">
          <fgColor rgb="FFEFEFEF"/>
          <bgColor rgb="FFEFEFEF"/>
        </patternFill>
      </fill>
      <alignment horizontal="center" vertical="bottom" wrapText="1"/>
      <border>
        <left style="thin">
          <color rgb="FFD9D9D9"/>
        </left>
        <right style="thin">
          <color rgb="FFD9D9D9"/>
        </right>
        <top/>
        <bottom style="thin">
          <color rgb="FFD9D9D9"/>
        </bottom>
        <vertical/>
        <horizontal/>
      </border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14" formatCode="0.00%"/>
      <fill>
        <patternFill patternType="solid">
          <fgColor rgb="FFEFEFEF"/>
          <bgColor rgb="FFEFEFEF"/>
        </patternFill>
      </fill>
      <alignment horizontal="center" vertical="bottom" wrapText="1"/>
      <border>
        <left style="thin">
          <color rgb="FFD9D9D9"/>
        </left>
        <right style="thin">
          <color rgb="FFD9D9D9"/>
        </right>
        <top/>
        <bottom style="thin">
          <color rgb="FFD9D9D9"/>
        </bottom>
        <vertical/>
        <horizontal/>
      </border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14" formatCode="0.00%"/>
      <fill>
        <patternFill patternType="solid">
          <fgColor rgb="FFEFEFEF"/>
          <bgColor rgb="FFEFEFEF"/>
        </patternFill>
      </fill>
      <alignment horizontal="center" vertical="bottom" wrapText="1"/>
      <border>
        <left style="thin">
          <color rgb="FFD9D9D9"/>
        </left>
        <right style="thin">
          <color rgb="FFD9D9D9"/>
        </right>
        <top/>
        <bottom style="thin">
          <color rgb="FFD9D9D9"/>
        </bottom>
        <vertical/>
        <horizontal/>
      </border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14" formatCode="0.00%"/>
      <fill>
        <patternFill patternType="solid">
          <fgColor rgb="FFEFEFEF"/>
          <bgColor rgb="FFEFEFEF"/>
        </patternFill>
      </fill>
      <alignment horizontal="center" vertical="bottom" wrapText="1"/>
      <border>
        <left/>
        <right style="thin">
          <color rgb="FFD9D9D9"/>
        </right>
        <top/>
        <bottom style="thin">
          <color rgb="FFD9D9D9"/>
        </bottom>
        <vertical/>
        <horizontal/>
      </border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fill>
        <patternFill patternType="solid">
          <fgColor rgb="FFEFEFEF"/>
          <bgColor rgb="FFEFEFEF"/>
        </patternFill>
      </fill>
      <alignment horizontal="center" vertical="bottom" wrapText="1"/>
      <border>
        <left/>
        <right/>
        <top/>
        <bottom style="thin">
          <color rgb="FFD9D9D9"/>
        </bottom>
        <vertical/>
        <horizontal/>
      </border>
    </dxf>
    <dxf>
      <font>
        <strike val="0"/>
        <outline val="0"/>
        <shadow val="0"/>
        <vertAlign val="baseline"/>
        <sz val="11"/>
        <name val="Calibri"/>
        <scheme val="minor"/>
      </font>
      <numFmt numFmtId="14" formatCode="0.00%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14" formatCode="0.00%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13" formatCode="0%"/>
    </dxf>
    <dxf>
      <font>
        <strike val="0"/>
        <outline val="0"/>
        <shadow val="0"/>
        <vertAlign val="baseline"/>
        <sz val="11"/>
        <name val="Calibri"/>
        <scheme val="minor"/>
      </font>
      <numFmt numFmtId="13" formatCode="0%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165" formatCode="#,##0&quot; &quot;;&quot;(&quot;#,##0&quot;)&quot;;&quot;- &quot;;&quot; &quot;@&quot; &quot;"/>
    </dxf>
    <dxf>
      <font>
        <strike val="0"/>
        <outline val="0"/>
        <shadow val="0"/>
        <vertAlign val="baseline"/>
        <sz val="11"/>
        <name val="Calibri"/>
        <scheme val="minor"/>
      </font>
      <numFmt numFmtId="165" formatCode="#,##0&quot; &quot;;&quot;(&quot;#,##0&quot;)&quot;;&quot;- &quot;;&quot; &quot;@&quot; &quot;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13" formatCode="0%"/>
    </dxf>
    <dxf>
      <font>
        <strike val="0"/>
        <outline val="0"/>
        <shadow val="0"/>
        <vertAlign val="baseline"/>
        <sz val="11"/>
        <name val="Calibri"/>
        <scheme val="minor"/>
      </font>
      <numFmt numFmtId="13" formatCode="0%"/>
    </dxf>
    <dxf>
      <font>
        <strike val="0"/>
        <outline val="0"/>
        <shadow val="0"/>
        <vertAlign val="baseline"/>
        <sz val="11"/>
        <name val="Calibri"/>
        <scheme val="minor"/>
      </font>
      <numFmt numFmtId="13" formatCode="0%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164" formatCode="&quot;$&quot;#,##0.00"/>
      <fill>
        <patternFill patternType="solid">
          <fgColor rgb="FFEFEFEF"/>
          <bgColor rgb="FFEFEFEF"/>
        </patternFill>
      </fill>
      <alignment horizontal="center" vertical="bottom" wrapText="1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164" formatCode="&quot;$&quot;#,##0.00"/>
      <fill>
        <patternFill patternType="solid">
          <fgColor rgb="FFEFEFEF"/>
          <bgColor rgb="FFEFEFEF"/>
        </patternFill>
      </fill>
      <alignment horizontal="center" vertical="bottom" wrapText="1"/>
    </dxf>
    <dxf>
      <font>
        <strike val="0"/>
        <outline val="0"/>
        <shadow val="0"/>
        <vertAlign val="baseline"/>
        <sz val="11"/>
        <name val="Calibri"/>
        <scheme val="minor"/>
      </font>
      <numFmt numFmtId="164" formatCode="&quot;$&quot;#,##0.00"/>
    </dxf>
    <dxf>
      <font>
        <strike val="0"/>
        <outline val="0"/>
        <shadow val="0"/>
        <vertAlign val="baseline"/>
        <sz val="11"/>
        <name val="Calibri"/>
        <scheme val="minor"/>
      </font>
      <numFmt numFmtId="166" formatCode="&quot;$&quot;#,##0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164" formatCode="&quot;$&quot;#,##0.00"/>
      <alignment horizontal="center" vertical="bottom" wrapText="1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color rgb="FF000000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alignment horizontal="center" vertical="bottom" wrapText="1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alignment horizontal="center" vertical="bottom" wrapText="1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0" formatCode="General"/>
      <alignment horizontal="center" vertical="bottom" wrapText="1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alignment horizontal="center" vertical="bottom" wrapText="1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numFmt numFmtId="0" formatCode="General"/>
    </dxf>
    <dxf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wrapText="1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vertical="bottom" wrapText="1"/>
    </dxf>
    <dxf>
      <font>
        <strike val="0"/>
        <condense val="0"/>
        <extend val="0"/>
        <outline val="0"/>
        <shadow val="0"/>
        <vertAlign val="baseline"/>
        <sz val="11"/>
        <color rgb="FF7030A0"/>
        <name val="Calibri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center" vertical="bottom" wrapText="1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numFmt numFmtId="170" formatCode="dd\-mm\-yyyy"/>
    </dxf>
    <dxf>
      <numFmt numFmtId="170" formatCode="dd\-mm\-yyyy"/>
    </dxf>
    <dxf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sz val="11"/>
        <name val="Calibri"/>
        <scheme val="minor"/>
      </font>
      <numFmt numFmtId="30" formatCode="@"/>
    </dxf>
    <dxf>
      <font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vertAlign val="baseline"/>
        <sz val="11"/>
        <name val="Calibri"/>
        <scheme val="minor"/>
      </font>
    </dxf>
    <dxf>
      <font>
        <b/>
        <strike val="0"/>
        <outline val="0"/>
        <shadow val="0"/>
        <vertAlign val="baseline"/>
        <sz val="11"/>
        <color rgb="FF000000"/>
        <name val="Calibri"/>
        <scheme val="minor"/>
      </font>
      <alignment vertical="center"/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02005321\OneDrive%20-%20pccw.com\HKTMS%20Data%20Base\Desktop\AFG%20Program\HKTMS%20MasterAFG%20TEMPLATE%20V2_19082024~Test%201.xlsx" TargetMode="External"/><Relationship Id="rId1" Type="http://schemas.openxmlformats.org/officeDocument/2006/relationships/externalLinkPath" Target="HKTMS%20MasterAFG%20TEMPLATE%20V2_19082024~Test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sting"/>
      <sheetName val="Application Merchant"/>
      <sheetName val="Payment Channels"/>
      <sheetName val="Contacts"/>
      <sheetName val="AFG_Input"/>
      <sheetName val="MCC_Booklet"/>
      <sheetName val="BankCodes"/>
      <sheetName val="OtherCodes"/>
      <sheetName val="Droplist"/>
      <sheetName val="Sheet1"/>
      <sheetName val="Rental Co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C3" t="str">
            <v>Display Name (ENG)</v>
          </cell>
          <cell r="D3" t="str">
            <v>Display Name (TC)</v>
          </cell>
          <cell r="E3" t="str">
            <v>MCC Code (on AP)</v>
          </cell>
        </row>
        <row r="4">
          <cell r="C4" t="str">
            <v>Beauty Salons and Spas</v>
          </cell>
          <cell r="D4" t="str">
            <v>美容院及水療</v>
          </cell>
          <cell r="E4">
            <v>7298</v>
          </cell>
        </row>
        <row r="5">
          <cell r="C5" t="str">
            <v>Hair Salons</v>
          </cell>
          <cell r="D5" t="str">
            <v>髮型屋</v>
          </cell>
          <cell r="E5">
            <v>7230</v>
          </cell>
        </row>
        <row r="6">
          <cell r="C6" t="str">
            <v>Sauna and Massage Services</v>
          </cell>
          <cell r="D6" t="str">
            <v>桑拿及按摩</v>
          </cell>
          <cell r="E6">
            <v>7297</v>
          </cell>
        </row>
        <row r="7">
          <cell r="C7" t="str">
            <v>Bakeries</v>
          </cell>
          <cell r="D7" t="str">
            <v>麵包店</v>
          </cell>
          <cell r="E7">
            <v>5462</v>
          </cell>
        </row>
        <row r="8">
          <cell r="C8" t="str">
            <v>Bars and Lounges</v>
          </cell>
          <cell r="D8" t="str">
            <v>酒吧及酒廊</v>
          </cell>
          <cell r="E8">
            <v>5813</v>
          </cell>
        </row>
        <row r="9">
          <cell r="C9" t="str">
            <v>Fast Food Restaurants</v>
          </cell>
          <cell r="D9" t="str">
            <v>快餐店</v>
          </cell>
          <cell r="E9">
            <v>5814</v>
          </cell>
        </row>
        <row r="10">
          <cell r="C10" t="str">
            <v>Hotels, Guesthouses, and Boarding Houses</v>
          </cell>
          <cell r="D10" t="str">
            <v>酒店、賓館及旅舍</v>
          </cell>
          <cell r="E10">
            <v>7011</v>
          </cell>
        </row>
        <row r="11">
          <cell r="C11" t="str">
            <v>Restauntants</v>
          </cell>
          <cell r="D11" t="str">
            <v>餐廳</v>
          </cell>
          <cell r="E11">
            <v>5812</v>
          </cell>
        </row>
        <row r="12">
          <cell r="C12" t="str">
            <v>Advertising</v>
          </cell>
          <cell r="D12" t="str">
            <v>廣告</v>
          </cell>
          <cell r="E12">
            <v>7311</v>
          </cell>
        </row>
        <row r="13">
          <cell r="C13" t="str">
            <v>Books, Periodicals, and Newspapers Wholesale</v>
          </cell>
          <cell r="D13" t="str">
            <v>書報及期刊批發</v>
          </cell>
          <cell r="E13">
            <v>5192</v>
          </cell>
        </row>
        <row r="14">
          <cell r="C14" t="str">
            <v>Distance Educations</v>
          </cell>
          <cell r="D14" t="str">
            <v>遙距教育</v>
          </cell>
          <cell r="E14">
            <v>8241</v>
          </cell>
        </row>
        <row r="15">
          <cell r="C15" t="str">
            <v>Newspaper Stands</v>
          </cell>
          <cell r="D15" t="str">
            <v>報攤</v>
          </cell>
          <cell r="E15">
            <v>5994</v>
          </cell>
        </row>
        <row r="16">
          <cell r="C16" t="str">
            <v>Publishing and Printing</v>
          </cell>
          <cell r="D16" t="str">
            <v>出版及印刷</v>
          </cell>
          <cell r="E16">
            <v>5192</v>
          </cell>
        </row>
        <row r="17">
          <cell r="C17" t="str">
            <v>Telesales</v>
          </cell>
          <cell r="D17" t="str">
            <v>電話營銷</v>
          </cell>
          <cell r="E17">
            <v>4812</v>
          </cell>
        </row>
        <row r="18">
          <cell r="C18" t="str">
            <v>Universities and Colleges</v>
          </cell>
          <cell r="D18" t="str">
            <v>大學及專上學院</v>
          </cell>
          <cell r="E18">
            <v>8220</v>
          </cell>
        </row>
        <row r="19">
          <cell r="C19" t="str">
            <v>Secondary Schools, Primary Schools and Kindergartens</v>
          </cell>
          <cell r="D19" t="str">
            <v>中學、小學及幼稚園</v>
          </cell>
          <cell r="E19">
            <v>8211</v>
          </cell>
        </row>
        <row r="20">
          <cell r="C20" t="str">
            <v>Debt and Finanical Advisories</v>
          </cell>
          <cell r="D20" t="str">
            <v>貸款及投資顧問</v>
          </cell>
          <cell r="E20">
            <v>7277</v>
          </cell>
        </row>
        <row r="21">
          <cell r="C21" t="str">
            <v>Pawnshops</v>
          </cell>
          <cell r="D21" t="str">
            <v>當舖</v>
          </cell>
          <cell r="E21">
            <v>5933</v>
          </cell>
        </row>
        <row r="22">
          <cell r="C22" t="str">
            <v>Remittances</v>
          </cell>
          <cell r="D22" t="str">
            <v>匯款</v>
          </cell>
          <cell r="E22">
            <v>6537</v>
          </cell>
        </row>
        <row r="23">
          <cell r="C23" t="str">
            <v>Insurances</v>
          </cell>
          <cell r="D23" t="str">
            <v>保險</v>
          </cell>
          <cell r="E23">
            <v>6300</v>
          </cell>
        </row>
        <row r="24">
          <cell r="C24" t="str">
            <v>Investments and Securities Brokerages</v>
          </cell>
          <cell r="D24" t="str">
            <v>投資及證券經紀</v>
          </cell>
          <cell r="E24">
            <v>6211</v>
          </cell>
        </row>
        <row r="25">
          <cell r="C25" t="str">
            <v>Charities and NGOs</v>
          </cell>
          <cell r="D25" t="str">
            <v>慈善團體及非牟利機構</v>
          </cell>
          <cell r="E25">
            <v>8398</v>
          </cell>
        </row>
        <row r="26">
          <cell r="C26" t="str">
            <v>Trade Unions</v>
          </cell>
          <cell r="D26" t="str">
            <v>工會</v>
          </cell>
          <cell r="E26">
            <v>8641</v>
          </cell>
        </row>
        <row r="27">
          <cell r="C27" t="str">
            <v>Political Organizations</v>
          </cell>
          <cell r="D27" t="str">
            <v>政治組織</v>
          </cell>
          <cell r="E27">
            <v>8651</v>
          </cell>
        </row>
        <row r="28">
          <cell r="C28" t="str">
            <v>Religious Organizations</v>
          </cell>
          <cell r="D28" t="str">
            <v>宗教組織</v>
          </cell>
          <cell r="E28">
            <v>8661</v>
          </cell>
        </row>
        <row r="29">
          <cell r="C29" t="str">
            <v>Government Administrations - Economic and Social Services</v>
          </cell>
          <cell r="D29" t="str">
            <v>政府行政—經濟及社會服務</v>
          </cell>
          <cell r="E29">
            <v>9211</v>
          </cell>
        </row>
        <row r="30">
          <cell r="E30">
            <v>9222</v>
          </cell>
        </row>
        <row r="31">
          <cell r="E31">
            <v>9311</v>
          </cell>
        </row>
        <row r="32">
          <cell r="C32" t="str">
            <v>Postal Services</v>
          </cell>
          <cell r="D32" t="str">
            <v>郵政服務</v>
          </cell>
          <cell r="E32">
            <v>9402</v>
          </cell>
        </row>
        <row r="33">
          <cell r="C33" t="str">
            <v>Public Utilities</v>
          </cell>
          <cell r="D33" t="str">
            <v>公共事業</v>
          </cell>
          <cell r="E33">
            <v>4900</v>
          </cell>
        </row>
        <row r="34">
          <cell r="C34" t="str">
            <v>Real Estate Brokerages and Agencies</v>
          </cell>
          <cell r="D34" t="str">
            <v>地產經紀及代理</v>
          </cell>
          <cell r="E34">
            <v>6513</v>
          </cell>
        </row>
        <row r="35">
          <cell r="C35" t="str">
            <v>Buses</v>
          </cell>
          <cell r="D35" t="str">
            <v>巴士</v>
          </cell>
          <cell r="E35">
            <v>4131</v>
          </cell>
        </row>
        <row r="36">
          <cell r="C36" t="str">
            <v>Car Parks</v>
          </cell>
          <cell r="D36" t="str">
            <v>停車場</v>
          </cell>
          <cell r="E36">
            <v>7523</v>
          </cell>
        </row>
        <row r="37">
          <cell r="C37" t="str">
            <v>Car Rental Services</v>
          </cell>
          <cell r="D37" t="str">
            <v>汽車租賃</v>
          </cell>
          <cell r="E37">
            <v>7512</v>
          </cell>
        </row>
        <row r="38">
          <cell r="C38" t="str">
            <v>Ferries</v>
          </cell>
          <cell r="D38" t="str">
            <v>渡輪</v>
          </cell>
          <cell r="E38">
            <v>4111</v>
          </cell>
        </row>
        <row r="39">
          <cell r="C39" t="str">
            <v>Local Deliveries</v>
          </cell>
          <cell r="D39" t="str">
            <v>本地貨運</v>
          </cell>
          <cell r="E39">
            <v>4214</v>
          </cell>
        </row>
        <row r="40">
          <cell r="C40" t="str">
            <v>Self Storages</v>
          </cell>
          <cell r="D40" t="str">
            <v>自存倉</v>
          </cell>
          <cell r="E40">
            <v>4225</v>
          </cell>
        </row>
        <row r="41">
          <cell r="C41" t="str">
            <v>Rails</v>
          </cell>
          <cell r="D41" t="str">
            <v>鐵路</v>
          </cell>
          <cell r="E41">
            <v>4112</v>
          </cell>
        </row>
        <row r="42">
          <cell r="C42" t="str">
            <v>Taxis</v>
          </cell>
          <cell r="D42" t="str">
            <v>的士</v>
          </cell>
          <cell r="E42">
            <v>4121</v>
          </cell>
        </row>
        <row r="43">
          <cell r="C43" t="str">
            <v>Telecommunication Services</v>
          </cell>
          <cell r="D43" t="str">
            <v>電訊服務</v>
          </cell>
          <cell r="E43">
            <v>4814</v>
          </cell>
        </row>
        <row r="44">
          <cell r="C44" t="str">
            <v>Travel Agencies</v>
          </cell>
          <cell r="D44" t="str">
            <v>旅行社</v>
          </cell>
          <cell r="E44">
            <v>4722</v>
          </cell>
        </row>
        <row r="45">
          <cell r="C45" t="str">
            <v>Other Business Services</v>
          </cell>
          <cell r="D45" t="str">
            <v>其他商業服務</v>
          </cell>
          <cell r="E45">
            <v>7399</v>
          </cell>
        </row>
        <row r="46">
          <cell r="C46" t="str">
            <v>Other Transportations</v>
          </cell>
          <cell r="D46" t="str">
            <v>其他交通工具</v>
          </cell>
          <cell r="E46">
            <v>4789</v>
          </cell>
        </row>
        <row r="47">
          <cell r="C47" t="str">
            <v>Clinics</v>
          </cell>
          <cell r="D47" t="str">
            <v>診所</v>
          </cell>
          <cell r="E47">
            <v>8099</v>
          </cell>
        </row>
        <row r="48">
          <cell r="C48" t="str">
            <v>Dental Clinics</v>
          </cell>
          <cell r="D48" t="str">
            <v>牙科診所</v>
          </cell>
          <cell r="E48">
            <v>8021</v>
          </cell>
        </row>
        <row r="49">
          <cell r="C49" t="str">
            <v>Drug Stores</v>
          </cell>
          <cell r="D49" t="str">
            <v>藥房</v>
          </cell>
          <cell r="E49">
            <v>5912</v>
          </cell>
        </row>
        <row r="50">
          <cell r="C50" t="str">
            <v>Dentaland Medical Laboratories</v>
          </cell>
          <cell r="D50" t="str">
            <v>牙科及醫療化驗所</v>
          </cell>
          <cell r="E50">
            <v>8071</v>
          </cell>
        </row>
        <row r="51">
          <cell r="C51" t="str">
            <v>Hospitals</v>
          </cell>
          <cell r="D51" t="str">
            <v>醫院</v>
          </cell>
          <cell r="E51">
            <v>8062</v>
          </cell>
        </row>
        <row r="52">
          <cell r="C52" t="str">
            <v>Optometric Services (include optical stores)</v>
          </cell>
          <cell r="D52" t="str">
            <v>視光服務 (包括眼鏡店)</v>
          </cell>
          <cell r="E52">
            <v>8043</v>
          </cell>
        </row>
        <row r="53">
          <cell r="C53" t="str">
            <v>Wholesale of Medical, Health and Hospital Equipment and Supplies</v>
          </cell>
          <cell r="D53" t="str">
            <v>醫療、衛生及醫院設備與用品批發供應商</v>
          </cell>
          <cell r="E53">
            <v>5047</v>
          </cell>
        </row>
        <row r="54">
          <cell r="C54" t="str">
            <v>Butcher Stores</v>
          </cell>
          <cell r="D54" t="str">
            <v>凍肉店</v>
          </cell>
          <cell r="E54">
            <v>5422</v>
          </cell>
        </row>
        <row r="55">
          <cell r="C55" t="str">
            <v>Book Stores</v>
          </cell>
          <cell r="D55" t="str">
            <v>書店</v>
          </cell>
          <cell r="E55">
            <v>5942</v>
          </cell>
        </row>
        <row r="56">
          <cell r="C56" t="str">
            <v>Car Repairing Services</v>
          </cell>
          <cell r="D56" t="str">
            <v>汽車維修服務</v>
          </cell>
          <cell r="E56">
            <v>7531</v>
          </cell>
        </row>
        <row r="57">
          <cell r="C57" t="str">
            <v>Car Washing Services</v>
          </cell>
          <cell r="D57" t="str">
            <v>洗車服務</v>
          </cell>
          <cell r="E57">
            <v>7542</v>
          </cell>
        </row>
        <row r="58">
          <cell r="C58" t="str">
            <v>Children’s and Infants’ Clothing and Accessories Stores</v>
          </cell>
          <cell r="D58" t="str">
            <v>兒童及嬰兒服裝及配飾店</v>
          </cell>
          <cell r="E58">
            <v>5641</v>
          </cell>
        </row>
        <row r="59">
          <cell r="C59" t="str">
            <v>Clock, Watch and Jewelry Repair Stores</v>
          </cell>
          <cell r="D59" t="str">
            <v>鐘錶及珠寶維修店</v>
          </cell>
          <cell r="E59">
            <v>7631</v>
          </cell>
        </row>
        <row r="60">
          <cell r="C60" t="str">
            <v>Clock, Watch and Jewelry Stores</v>
          </cell>
          <cell r="D60" t="str">
            <v>鐘錶及珠寶店</v>
          </cell>
          <cell r="E60">
            <v>5944</v>
          </cell>
        </row>
        <row r="61">
          <cell r="C61" t="str">
            <v>Confectionery Stores</v>
          </cell>
          <cell r="D61" t="str">
            <v>糖果店</v>
          </cell>
          <cell r="E61">
            <v>5441</v>
          </cell>
        </row>
        <row r="62">
          <cell r="C62" t="str">
            <v>Convenience Stores</v>
          </cell>
          <cell r="D62" t="str">
            <v>便利店</v>
          </cell>
          <cell r="E62">
            <v>5499</v>
          </cell>
        </row>
        <row r="63">
          <cell r="C63" t="str">
            <v>Cosmetic Stores</v>
          </cell>
          <cell r="D63" t="str">
            <v>化妝品店</v>
          </cell>
          <cell r="E63">
            <v>5977</v>
          </cell>
        </row>
        <row r="64">
          <cell r="C64" t="str">
            <v>Department Stores</v>
          </cell>
          <cell r="D64" t="str">
            <v>百貨公司</v>
          </cell>
          <cell r="E64">
            <v>5311</v>
          </cell>
        </row>
        <row r="65">
          <cell r="C65" t="str">
            <v>Discount Stores</v>
          </cell>
          <cell r="D65" t="str">
            <v>特賣場</v>
          </cell>
          <cell r="E65">
            <v>5310</v>
          </cell>
        </row>
        <row r="66">
          <cell r="C66" t="str">
            <v>Duty Free Stores</v>
          </cell>
          <cell r="D66" t="str">
            <v>免稅店</v>
          </cell>
          <cell r="E66">
            <v>5309</v>
          </cell>
        </row>
        <row r="67">
          <cell r="C67" t="str">
            <v>Flowers and Florists Supplies</v>
          </cell>
          <cell r="D67" t="str">
            <v>鮮花及園藝用品店</v>
          </cell>
          <cell r="E67">
            <v>5193</v>
          </cell>
        </row>
        <row r="68">
          <cell r="C68" t="str">
            <v>Game and Toy Stores</v>
          </cell>
          <cell r="D68" t="str">
            <v>遊戲及玩具店</v>
          </cell>
          <cell r="E68">
            <v>5945</v>
          </cell>
        </row>
        <row r="69">
          <cell r="C69" t="str">
            <v>Gas Stations</v>
          </cell>
          <cell r="D69" t="str">
            <v>油站</v>
          </cell>
          <cell r="E69">
            <v>5983</v>
          </cell>
        </row>
        <row r="70">
          <cell r="C70" t="str">
            <v>Gift Stores</v>
          </cell>
          <cell r="D70" t="str">
            <v>禮品店</v>
          </cell>
          <cell r="E70">
            <v>5947</v>
          </cell>
        </row>
        <row r="71">
          <cell r="C71" t="str">
            <v>Home Appliances Stores</v>
          </cell>
          <cell r="D71" t="str">
            <v>家居電器店</v>
          </cell>
          <cell r="E71">
            <v>5722</v>
          </cell>
        </row>
        <row r="72">
          <cell r="C72" t="str">
            <v>Men's and Women's Clothing and Accessories Stores</v>
          </cell>
          <cell r="D72" t="str">
            <v>男女服裝及配飾店</v>
          </cell>
          <cell r="E72">
            <v>5691</v>
          </cell>
        </row>
        <row r="73">
          <cell r="C73" t="str">
            <v>Office Supplies</v>
          </cell>
          <cell r="D73" t="str">
            <v>文儀用品</v>
          </cell>
          <cell r="E73">
            <v>5943</v>
          </cell>
        </row>
        <row r="74">
          <cell r="C74" t="str">
            <v>Supermarkets and Grocery Stores</v>
          </cell>
          <cell r="D74" t="str">
            <v>超級市場及雜貨店</v>
          </cell>
          <cell r="E74">
            <v>5411</v>
          </cell>
        </row>
        <row r="75">
          <cell r="C75" t="str">
            <v>Pet Food and Supplies</v>
          </cell>
          <cell r="D75" t="str">
            <v>寵物及寵物用品店</v>
          </cell>
          <cell r="E75">
            <v>5995</v>
          </cell>
        </row>
        <row r="76">
          <cell r="C76" t="str">
            <v>Photofinishing Services</v>
          </cell>
          <cell r="D76" t="str">
            <v>沖晒服務</v>
          </cell>
          <cell r="E76">
            <v>7395</v>
          </cell>
        </row>
        <row r="77">
          <cell r="C77" t="str">
            <v>Photographic Equipments and Supplies Boutiques</v>
          </cell>
          <cell r="D77" t="str">
            <v>攝影器材及用品專賣店</v>
          </cell>
          <cell r="E77">
            <v>5946</v>
          </cell>
        </row>
        <row r="78">
          <cell r="C78" t="str">
            <v>Photographic Studios</v>
          </cell>
          <cell r="D78" t="str">
            <v>影樓</v>
          </cell>
          <cell r="E78">
            <v>7221</v>
          </cell>
        </row>
        <row r="79">
          <cell r="C79" t="str">
            <v>Record Stores</v>
          </cell>
          <cell r="D79" t="str">
            <v>唱片店</v>
          </cell>
          <cell r="E79">
            <v>5735</v>
          </cell>
        </row>
        <row r="80">
          <cell r="C80" t="str">
            <v>Security Devices and Services</v>
          </cell>
          <cell r="D80" t="str">
            <v>保安用品及服務</v>
          </cell>
          <cell r="E80">
            <v>7393</v>
          </cell>
        </row>
        <row r="81">
          <cell r="C81" t="str">
            <v>Specialized Clothing and Accessories Stores</v>
          </cell>
          <cell r="D81" t="str">
            <v>專門服裝及配飾店</v>
          </cell>
          <cell r="E81">
            <v>5699</v>
          </cell>
        </row>
        <row r="82">
          <cell r="C82" t="str">
            <v>Wetmarkets</v>
          </cell>
          <cell r="D82" t="str">
            <v>鮮活市場</v>
          </cell>
          <cell r="E82">
            <v>5499</v>
          </cell>
        </row>
        <row r="83">
          <cell r="C83" t="str">
            <v>Amusement Parks and Theme Parks</v>
          </cell>
          <cell r="D83" t="str">
            <v>遊樂園及主題樂園</v>
          </cell>
          <cell r="E83">
            <v>7996</v>
          </cell>
        </row>
        <row r="84">
          <cell r="C84" t="str">
            <v>Museums and Other Cultural Activities</v>
          </cell>
          <cell r="D84" t="str">
            <v>博物館及其他文化活動</v>
          </cell>
          <cell r="E84">
            <v>7991</v>
          </cell>
        </row>
        <row r="85">
          <cell r="C85" t="str">
            <v>Gaming Centers</v>
          </cell>
          <cell r="D85" t="str">
            <v>遊戲機中心</v>
          </cell>
          <cell r="E85">
            <v>7994</v>
          </cell>
        </row>
        <row r="86">
          <cell r="C86" t="str">
            <v>Golf Centres</v>
          </cell>
          <cell r="D86" t="str">
            <v>高爾夫球場</v>
          </cell>
          <cell r="E86">
            <v>7992</v>
          </cell>
        </row>
        <row r="87">
          <cell r="C87" t="str">
            <v>Mahjong Schools, Casinos and Other Gambling Centers</v>
          </cell>
          <cell r="D87" t="str">
            <v>麻雀館、賭場及其它博彩中心</v>
          </cell>
          <cell r="E87">
            <v>7995</v>
          </cell>
        </row>
        <row r="88">
          <cell r="C88" t="str">
            <v>Membership Clubs</v>
          </cell>
          <cell r="D88" t="str">
            <v>會員俱樂部</v>
          </cell>
          <cell r="E88">
            <v>7997</v>
          </cell>
        </row>
        <row r="89">
          <cell r="C89" t="str">
            <v>Movie Theaters</v>
          </cell>
          <cell r="D89" t="str">
            <v>電影院</v>
          </cell>
          <cell r="E89">
            <v>7832</v>
          </cell>
        </row>
        <row r="90">
          <cell r="C90" t="str">
            <v>Sports Facilities</v>
          </cell>
          <cell r="D90" t="str">
            <v>體育設施</v>
          </cell>
          <cell r="E90">
            <v>7941</v>
          </cell>
        </row>
        <row r="91">
          <cell r="C91" t="str">
            <v>Not Found: Please Update Sheet "MCC Blooklet" Cell C91)</v>
          </cell>
        </row>
        <row r="93">
          <cell r="C93" t="str">
            <v>維他命藥 / 海味店</v>
          </cell>
          <cell r="E93">
            <v>5499</v>
          </cell>
        </row>
        <row r="94">
          <cell r="C94" t="str">
            <v>水晶鏈</v>
          </cell>
          <cell r="E94">
            <v>5631</v>
          </cell>
        </row>
        <row r="95">
          <cell r="C95" t="str">
            <v>電子榜</v>
          </cell>
          <cell r="E95">
            <v>5732</v>
          </cell>
        </row>
        <row r="96">
          <cell r="C96" t="str">
            <v>Kitchenware</v>
          </cell>
          <cell r="E96">
            <v>5719</v>
          </cell>
        </row>
        <row r="97">
          <cell r="C97" t="str">
            <v>Local Logistics / 迷你倉</v>
          </cell>
          <cell r="E97">
            <v>4214</v>
          </cell>
        </row>
        <row r="98">
          <cell r="C98" t="str">
            <v>Materials</v>
          </cell>
          <cell r="E98">
            <v>5948</v>
          </cell>
        </row>
        <row r="99">
          <cell r="C99" t="str">
            <v>Sports equipment</v>
          </cell>
          <cell r="E99">
            <v>5655</v>
          </cell>
        </row>
        <row r="100">
          <cell r="C100" t="str">
            <v>Co-work space / Party Room</v>
          </cell>
          <cell r="E100">
            <v>7394</v>
          </cell>
        </row>
        <row r="101">
          <cell r="C101" t="str">
            <v>food delivery platform</v>
          </cell>
          <cell r="E101">
            <v>5965</v>
          </cell>
        </row>
        <row r="102">
          <cell r="C102" t="str">
            <v>Engineering</v>
          </cell>
          <cell r="E102">
            <v>8911</v>
          </cell>
        </row>
        <row r="103">
          <cell r="C103" t="str">
            <v>Gym room , fitness</v>
          </cell>
          <cell r="E103">
            <v>7997</v>
          </cell>
        </row>
        <row r="104">
          <cell r="C104" t="str">
            <v>補習社興趣班</v>
          </cell>
          <cell r="E104">
            <v>8299</v>
          </cell>
        </row>
      </sheetData>
      <sheetData sheetId="6">
        <row r="2">
          <cell r="A2" t="str">
            <v>003</v>
          </cell>
          <cell r="B2" t="str">
            <v>STANDARD CHARTERED BANK (HONG KONG) LIMITED</v>
          </cell>
          <cell r="C2" t="str">
            <v>SCBLHKHHXXX</v>
          </cell>
        </row>
        <row r="3">
          <cell r="A3" t="str">
            <v>004</v>
          </cell>
          <cell r="B3" t="str">
            <v>THE HONGKONG AND SHANGHAI BANKING CORPORATION LTD</v>
          </cell>
          <cell r="C3" t="str">
            <v>HSBCHKHHXXX</v>
          </cell>
        </row>
        <row r="4">
          <cell r="A4" t="str">
            <v>005</v>
          </cell>
          <cell r="B4" t="str">
            <v>CREDIT AGRICOLE CORPORATE AND INVESTMENT BANK</v>
          </cell>
          <cell r="C4" t="e">
            <v>#N/A</v>
          </cell>
        </row>
        <row r="5">
          <cell r="A5" t="str">
            <v>006</v>
          </cell>
          <cell r="B5" t="str">
            <v>CITIBANK N.A.</v>
          </cell>
          <cell r="C5" t="str">
            <v>CITIHKHXXXX</v>
          </cell>
        </row>
        <row r="6">
          <cell r="A6" t="str">
            <v>007</v>
          </cell>
          <cell r="B6" t="str">
            <v>JPMORGAN CHASE BANK, N.A.</v>
          </cell>
          <cell r="C6" t="e">
            <v>#N/A</v>
          </cell>
        </row>
        <row r="7">
          <cell r="A7" t="str">
            <v>009</v>
          </cell>
          <cell r="B7" t="str">
            <v>CHINA CONSTRUCTION BANK (ASIA) CORPORATION LIMITED</v>
          </cell>
          <cell r="C7" t="str">
            <v>CCBQHKAXXXX</v>
          </cell>
        </row>
        <row r="8">
          <cell r="A8" t="str">
            <v>012</v>
          </cell>
          <cell r="B8" t="str">
            <v>BANK OF CHINA (HONG KONG) LIMITED</v>
          </cell>
          <cell r="C8" t="str">
            <v>BKCHHKHHXXX</v>
          </cell>
        </row>
        <row r="9">
          <cell r="A9" t="str">
            <v>014</v>
          </cell>
          <cell r="B9" t="str">
            <v>BANK OF CHINA (HONG KONG) LIMITED</v>
          </cell>
          <cell r="C9" t="str">
            <v>BKCHHKHHXXX</v>
          </cell>
        </row>
        <row r="10">
          <cell r="A10" t="str">
            <v>015</v>
          </cell>
          <cell r="B10" t="str">
            <v>THE BANK OF EAST ASIA, LIMITED</v>
          </cell>
          <cell r="C10" t="str">
            <v>BEASHKHHXXX</v>
          </cell>
        </row>
        <row r="11">
          <cell r="A11" t="str">
            <v>016</v>
          </cell>
          <cell r="B11" t="str">
            <v>DBS BANK (HONG KONG) LIMITED</v>
          </cell>
          <cell r="C11" t="str">
            <v>DHBKHKHHXXX</v>
          </cell>
        </row>
        <row r="12">
          <cell r="A12" t="str">
            <v>018</v>
          </cell>
          <cell r="B12" t="str">
            <v>CHINA CITIC BANK INTERNATIONAL LIMITED</v>
          </cell>
          <cell r="C12" t="str">
            <v>KWHKHKHHXXX</v>
          </cell>
        </row>
        <row r="13">
          <cell r="A13" t="str">
            <v>019</v>
          </cell>
          <cell r="B13" t="str">
            <v>BANK OF CHINA (HONG KONG) LIMITED</v>
          </cell>
          <cell r="C13" t="str">
            <v>BKCHHKHHXXX</v>
          </cell>
        </row>
        <row r="14">
          <cell r="A14" t="str">
            <v>020</v>
          </cell>
          <cell r="B14" t="str">
            <v>CMB WING LUNG BANK LIMITED</v>
          </cell>
          <cell r="C14" t="str">
            <v>WUBAHKHHXXX</v>
          </cell>
        </row>
        <row r="15">
          <cell r="A15" t="str">
            <v>022</v>
          </cell>
          <cell r="B15" t="str">
            <v>OVERSEA-CHINESE BANKING CORPORATION LTD</v>
          </cell>
          <cell r="C15" t="e">
            <v>#N/A</v>
          </cell>
        </row>
        <row r="16">
          <cell r="A16" t="str">
            <v>024</v>
          </cell>
          <cell r="B16" t="str">
            <v>HANG SENG BANK LTD</v>
          </cell>
          <cell r="C16" t="str">
            <v>HASEHKHHXXX</v>
          </cell>
        </row>
        <row r="17">
          <cell r="A17" t="str">
            <v>025</v>
          </cell>
          <cell r="B17" t="str">
            <v>SHANGHAI COMMERCIAL BANK LTD</v>
          </cell>
          <cell r="C17" t="str">
            <v>SCBKHKHHXXX</v>
          </cell>
        </row>
        <row r="18">
          <cell r="A18" t="str">
            <v>026</v>
          </cell>
          <cell r="B18" t="str">
            <v>BANK OF CHINA (HONG KONG) LIMITED</v>
          </cell>
          <cell r="C18" t="str">
            <v>BKCHHKHHXXX</v>
          </cell>
        </row>
        <row r="19">
          <cell r="A19" t="str">
            <v>027</v>
          </cell>
          <cell r="B19" t="str">
            <v>BANK OF COMMUNICATIONS CO., LTD.</v>
          </cell>
          <cell r="C19" t="str">
            <v>COMMHKHHXXX</v>
          </cell>
        </row>
        <row r="20">
          <cell r="A20" t="str">
            <v>028</v>
          </cell>
          <cell r="B20" t="str">
            <v>PUBLIC BANK (HONG KONG) LIMITED</v>
          </cell>
          <cell r="C20" t="str">
            <v>CBHKHKHHXXX</v>
          </cell>
        </row>
        <row r="21">
          <cell r="A21" t="str">
            <v>029</v>
          </cell>
          <cell r="B21" t="str">
            <v xml:space="preserve">INDUSTRIAL AND COMMERCIAL BANK OF CHINA (ASIA) LTD </v>
          </cell>
          <cell r="C21" t="e">
            <v>#N/A</v>
          </cell>
        </row>
        <row r="22">
          <cell r="A22" t="str">
            <v>030</v>
          </cell>
          <cell r="B22" t="str">
            <v>BANK OF CHINA (HONG KONG) LIMITED</v>
          </cell>
          <cell r="C22" t="str">
            <v>BKCHHKHHXXX</v>
          </cell>
        </row>
        <row r="23">
          <cell r="A23" t="str">
            <v>031</v>
          </cell>
          <cell r="B23" t="str">
            <v>BANK OF CHINA (HONG KONG) LIMITED</v>
          </cell>
          <cell r="C23" t="str">
            <v>BKCHHKHHXXX</v>
          </cell>
        </row>
        <row r="24">
          <cell r="A24" t="str">
            <v>032</v>
          </cell>
          <cell r="B24" t="str">
            <v>DBS BANK (HONG KONG) LIMITED</v>
          </cell>
          <cell r="C24" t="str">
            <v>DHBKHKHHXXX</v>
          </cell>
        </row>
        <row r="25">
          <cell r="A25" t="str">
            <v>033</v>
          </cell>
          <cell r="B25" t="str">
            <v>BANK OF CHINA (HONG KONG) LIMITED</v>
          </cell>
          <cell r="C25" t="str">
            <v>BKCHHKHHXXX</v>
          </cell>
        </row>
        <row r="26">
          <cell r="A26" t="str">
            <v>035</v>
          </cell>
          <cell r="B26" t="str">
            <v>OCBC BANK (HONG KONG) LIMITED</v>
          </cell>
          <cell r="C26" t="str">
            <v>OCBCHKHHXXX</v>
          </cell>
        </row>
        <row r="27">
          <cell r="A27" t="str">
            <v>036</v>
          </cell>
          <cell r="B27" t="str">
            <v>BANK OF CHINA (HONG KONG) LIMITED</v>
          </cell>
          <cell r="C27" t="str">
            <v>BKCHHKHHXXX</v>
          </cell>
        </row>
        <row r="28">
          <cell r="A28" t="str">
            <v>038</v>
          </cell>
          <cell r="B28" t="str">
            <v>TAI YAU BANK LTD</v>
          </cell>
          <cell r="C28" t="e">
            <v>#N/A</v>
          </cell>
        </row>
        <row r="29">
          <cell r="A29" t="str">
            <v>039</v>
          </cell>
          <cell r="B29" t="str">
            <v>CHIYU BANKING CORPORATION LTD</v>
          </cell>
          <cell r="C29" t="e">
            <v>#N/A</v>
          </cell>
        </row>
        <row r="30">
          <cell r="A30" t="str">
            <v>040</v>
          </cell>
          <cell r="B30" t="str">
            <v>DAH SING BANK LTD</v>
          </cell>
          <cell r="C30" t="str">
            <v>DSBAHKHHXXX</v>
          </cell>
        </row>
        <row r="31">
          <cell r="A31" t="str">
            <v>041</v>
          </cell>
          <cell r="B31" t="str">
            <v>CHONG HING BANK LIMITED</v>
          </cell>
          <cell r="C31" t="str">
            <v>LCHBHKHHXXX</v>
          </cell>
        </row>
        <row r="32">
          <cell r="A32" t="str">
            <v>043</v>
          </cell>
          <cell r="B32" t="str">
            <v>NANYANG COMMERCIAL BANK LTD</v>
          </cell>
          <cell r="C32" t="str">
            <v>NYCBHKHHXXX</v>
          </cell>
        </row>
        <row r="33">
          <cell r="A33" t="str">
            <v>044</v>
          </cell>
          <cell r="B33" t="str">
            <v>OCBC BANK (HONG KONG) LIMITED</v>
          </cell>
          <cell r="C33" t="e">
            <v>#N/A</v>
          </cell>
        </row>
        <row r="34">
          <cell r="A34" t="str">
            <v>045</v>
          </cell>
          <cell r="B34" t="str">
            <v>UCO BANK</v>
          </cell>
          <cell r="C34" t="str">
            <v>UCBAHKHHXXX</v>
          </cell>
        </row>
        <row r="35">
          <cell r="A35" t="str">
            <v>046</v>
          </cell>
          <cell r="B35" t="str">
            <v>KEB HANA BANK</v>
          </cell>
          <cell r="C35" t="e">
            <v>#N/A</v>
          </cell>
        </row>
        <row r="36">
          <cell r="A36" t="str">
            <v>047</v>
          </cell>
          <cell r="B36" t="str">
            <v>MUFG BANK, LTD.</v>
          </cell>
          <cell r="C36" t="e">
            <v>#N/A</v>
          </cell>
        </row>
        <row r="37">
          <cell r="A37" t="str">
            <v>049</v>
          </cell>
          <cell r="B37" t="str">
            <v>BANGKOK BANK PUBLIC COMPANY LTD</v>
          </cell>
          <cell r="C37" t="e">
            <v>#N/A</v>
          </cell>
        </row>
        <row r="38">
          <cell r="A38" t="str">
            <v>050</v>
          </cell>
          <cell r="B38" t="str">
            <v>INDIAN OVERSEAS BANK</v>
          </cell>
          <cell r="C38" t="e">
            <v>#N/A</v>
          </cell>
        </row>
        <row r="39">
          <cell r="A39" t="str">
            <v>051</v>
          </cell>
          <cell r="B39" t="str">
            <v>CHINA CITIC BANK INTERNATIONAL LIMITED</v>
          </cell>
          <cell r="C39" t="e">
            <v>#N/A</v>
          </cell>
        </row>
        <row r="40">
          <cell r="A40" t="str">
            <v>052</v>
          </cell>
          <cell r="B40" t="str">
            <v>DBS BANK (HONG KONG) LIMITED</v>
          </cell>
          <cell r="C40" t="str">
            <v>DHBKHKHHXXX</v>
          </cell>
        </row>
        <row r="41">
          <cell r="A41" t="str">
            <v>054</v>
          </cell>
          <cell r="B41" t="str">
            <v>DEUTSCHE BANK AG</v>
          </cell>
          <cell r="C41" t="str">
            <v>DEUTHKHHXXX</v>
          </cell>
        </row>
        <row r="42">
          <cell r="A42" t="str">
            <v>055</v>
          </cell>
          <cell r="B42" t="str">
            <v>BANK OF AMERICA, NATIONAL ASSOCIATION</v>
          </cell>
          <cell r="C42" t="e">
            <v>#N/A</v>
          </cell>
        </row>
        <row r="43">
          <cell r="A43" t="str">
            <v>056</v>
          </cell>
          <cell r="B43" t="str">
            <v>BNP PARIBAS</v>
          </cell>
          <cell r="C43" t="str">
            <v>BNPAHKHHXXX</v>
          </cell>
        </row>
        <row r="44">
          <cell r="A44" t="str">
            <v>058</v>
          </cell>
          <cell r="B44" t="str">
            <v>BANK OF INDIA</v>
          </cell>
          <cell r="C44" t="str">
            <v>BKIDHKHHXXX</v>
          </cell>
        </row>
        <row r="45">
          <cell r="A45" t="str">
            <v>060</v>
          </cell>
          <cell r="B45" t="str">
            <v>NATIONAL BANK OF PAKISTAN</v>
          </cell>
          <cell r="C45" t="e">
            <v>#N/A</v>
          </cell>
        </row>
        <row r="46">
          <cell r="A46" t="str">
            <v>061</v>
          </cell>
          <cell r="B46" t="str">
            <v>TAI SANG BANK LTD</v>
          </cell>
          <cell r="C46" t="str">
            <v>TSBLHKHHXXX</v>
          </cell>
        </row>
        <row r="47">
          <cell r="A47" t="str">
            <v>063</v>
          </cell>
          <cell r="B47" t="str">
            <v>MALAYAN BANKING BERHAD (MAYBANK)</v>
          </cell>
          <cell r="C47" t="e">
            <v>#N/A</v>
          </cell>
        </row>
        <row r="48">
          <cell r="A48" t="str">
            <v>064</v>
          </cell>
          <cell r="B48" t="str">
            <v>BANK OF CHINA (HONG KONG) LIMITED</v>
          </cell>
          <cell r="C48" t="str">
            <v>BKCHHKHHXXX</v>
          </cell>
        </row>
        <row r="49">
          <cell r="A49" t="str">
            <v>065</v>
          </cell>
          <cell r="B49" t="str">
            <v>SUMITOMO MITSUI BANKING CORPORATION</v>
          </cell>
          <cell r="C49" t="str">
            <v>SMBCHKHHXXX</v>
          </cell>
        </row>
        <row r="50">
          <cell r="A50" t="str">
            <v>066</v>
          </cell>
          <cell r="B50" t="str">
            <v>PT. BANK NEGARA INDONESIA (PERSERO) TBK.</v>
          </cell>
          <cell r="C50" t="e">
            <v>#N/A</v>
          </cell>
        </row>
        <row r="51">
          <cell r="A51" t="str">
            <v>067</v>
          </cell>
          <cell r="B51" t="str">
            <v>BDO UNIBANK, INC.</v>
          </cell>
          <cell r="C51" t="e">
            <v>#N/A</v>
          </cell>
        </row>
        <row r="52">
          <cell r="A52" t="str">
            <v>070</v>
          </cell>
          <cell r="B52" t="str">
            <v>BANK OF CHINA (HONG KONG) LIMITED</v>
          </cell>
          <cell r="C52" t="str">
            <v>BKCHHKHHXXX</v>
          </cell>
        </row>
        <row r="53">
          <cell r="A53" t="str">
            <v>071</v>
          </cell>
          <cell r="B53" t="str">
            <v>UNITED OVERSEAS BANK LTD</v>
          </cell>
          <cell r="C53" t="e">
            <v>#N/A</v>
          </cell>
        </row>
        <row r="54">
          <cell r="A54" t="str">
            <v>072</v>
          </cell>
          <cell r="B54" t="str">
            <v xml:space="preserve">INDUSTRIAL AND COMMERCIAL BANK OF CHINA (ASIA) LTD </v>
          </cell>
          <cell r="C54" t="str">
            <v>UBHKHKHHXXX</v>
          </cell>
        </row>
        <row r="55">
          <cell r="A55" t="str">
            <v>074</v>
          </cell>
          <cell r="B55" t="str">
            <v>BARCLAYS BANK PLC</v>
          </cell>
          <cell r="C55" t="str">
            <v>BARCHKHHXXX</v>
          </cell>
        </row>
        <row r="56">
          <cell r="A56" t="str">
            <v>076</v>
          </cell>
          <cell r="B56" t="str">
            <v>THE BANK OF NOVA SCOTIA</v>
          </cell>
          <cell r="C56" t="e">
            <v>#N/A</v>
          </cell>
        </row>
        <row r="57">
          <cell r="A57" t="str">
            <v>080</v>
          </cell>
          <cell r="B57" t="str">
            <v>ROYAL BANK OF CANADA</v>
          </cell>
          <cell r="C57" t="str">
            <v>ROYCHKHHXXX</v>
          </cell>
        </row>
        <row r="58">
          <cell r="A58" t="str">
            <v>081</v>
          </cell>
          <cell r="B58" t="str">
            <v>SOCIETE GENERALE</v>
          </cell>
          <cell r="C58" t="e">
            <v>#N/A</v>
          </cell>
        </row>
        <row r="59">
          <cell r="A59" t="str">
            <v>082</v>
          </cell>
          <cell r="B59" t="str">
            <v>STATE BANK OF INDIA</v>
          </cell>
          <cell r="C59" t="str">
            <v>SBINHKHHXXX</v>
          </cell>
        </row>
        <row r="60">
          <cell r="A60" t="str">
            <v>085</v>
          </cell>
          <cell r="B60" t="str">
            <v>THE TORONTO-DOMINION BANK</v>
          </cell>
          <cell r="C60" t="e">
            <v>#N/A</v>
          </cell>
        </row>
        <row r="61">
          <cell r="A61" t="str">
            <v>086</v>
          </cell>
          <cell r="B61" t="str">
            <v>BANK OF MONTREAL</v>
          </cell>
          <cell r="C61" t="str">
            <v>BOFMHKHHXXX</v>
          </cell>
        </row>
        <row r="62">
          <cell r="A62" t="str">
            <v>092</v>
          </cell>
          <cell r="B62" t="str">
            <v>CANADIAN IMPERIAL BANK OF COMMERCE</v>
          </cell>
          <cell r="C62" t="str">
            <v>CIBCHKHHXXX</v>
          </cell>
        </row>
        <row r="63">
          <cell r="A63" t="str">
            <v>103</v>
          </cell>
          <cell r="B63" t="str">
            <v>UBS AG, HONG KONG</v>
          </cell>
          <cell r="C63" t="e">
            <v>#N/A</v>
          </cell>
        </row>
        <row r="64">
          <cell r="A64" t="str">
            <v>106</v>
          </cell>
          <cell r="B64" t="str">
            <v>HSBC BANK USA, NATIONAL ASSOCIATION</v>
          </cell>
          <cell r="C64" t="e">
            <v>#N/A</v>
          </cell>
        </row>
        <row r="65">
          <cell r="A65" t="str">
            <v>109</v>
          </cell>
          <cell r="B65" t="str">
            <v>MIZUHO BANK, LTD.</v>
          </cell>
          <cell r="C65" t="e">
            <v>#N/A</v>
          </cell>
        </row>
        <row r="66">
          <cell r="A66" t="str">
            <v>113</v>
          </cell>
          <cell r="B66" t="str">
            <v>DZ BANK AG DEUTSCHE ZENTRAL-GENOSSENSCHAFTSBANK</v>
          </cell>
          <cell r="C66" t="e">
            <v>#N/A</v>
          </cell>
        </row>
        <row r="67">
          <cell r="A67" t="str">
            <v>118</v>
          </cell>
          <cell r="B67" t="str">
            <v xml:space="preserve">WOORI BANK </v>
          </cell>
          <cell r="C67" t="e">
            <v>#N/A</v>
          </cell>
        </row>
        <row r="68">
          <cell r="A68" t="str">
            <v>119</v>
          </cell>
          <cell r="B68" t="str">
            <v>PHILIPPINE NATIONAL BANK</v>
          </cell>
          <cell r="C68" t="str">
            <v>PNBMHKHHXXX</v>
          </cell>
        </row>
        <row r="69">
          <cell r="A69" t="str">
            <v>128</v>
          </cell>
          <cell r="B69" t="str">
            <v>FUBON BANK (HONG KONG) LIMITED</v>
          </cell>
          <cell r="C69" t="str">
            <v>IBALHKHHXXX</v>
          </cell>
        </row>
        <row r="70">
          <cell r="A70" t="str">
            <v>138</v>
          </cell>
          <cell r="B70" t="str">
            <v>MITSUBISHI UFJ TRUST AND BANKING CORPORATION</v>
          </cell>
          <cell r="C70" t="str">
            <v>MTBCHKHHXXX</v>
          </cell>
        </row>
        <row r="71">
          <cell r="A71" t="str">
            <v>139</v>
          </cell>
          <cell r="B71" t="str">
            <v>THE BANK OF NEW YORK MELLON</v>
          </cell>
          <cell r="C71" t="e">
            <v>#N/A</v>
          </cell>
        </row>
        <row r="72">
          <cell r="A72" t="str">
            <v>145</v>
          </cell>
          <cell r="B72" t="str">
            <v>ING BANK N.V.</v>
          </cell>
          <cell r="C72" t="str">
            <v>INGBHKHHXXX</v>
          </cell>
        </row>
        <row r="73">
          <cell r="A73" t="str">
            <v>147</v>
          </cell>
          <cell r="B73" t="str">
            <v>BANCO BILBAO VIZCAYA ARGENTARIA, S.A.</v>
          </cell>
          <cell r="C73" t="e">
            <v>#N/A</v>
          </cell>
        </row>
        <row r="74">
          <cell r="A74" t="str">
            <v>150</v>
          </cell>
          <cell r="B74" t="str">
            <v>NATIONAL AUSTRALIA BANK LTD</v>
          </cell>
          <cell r="C74" t="e">
            <v>#N/A</v>
          </cell>
        </row>
        <row r="75">
          <cell r="A75" t="str">
            <v>152</v>
          </cell>
          <cell r="B75" t="str">
            <v>AUSTRALIA AND NEW ZEALAND BANKING GROUP LTD</v>
          </cell>
          <cell r="C75" t="str">
            <v>ANZBHKHXXXX</v>
          </cell>
        </row>
        <row r="76">
          <cell r="A76" t="str">
            <v>153</v>
          </cell>
          <cell r="B76" t="str">
            <v>COMMONWEALTH BANK OF AUSTRALIA</v>
          </cell>
          <cell r="C76" t="e">
            <v>#N/A</v>
          </cell>
        </row>
        <row r="77">
          <cell r="A77" t="str">
            <v>161</v>
          </cell>
          <cell r="B77" t="str">
            <v>INTESA SANPAOLO S.P.A.</v>
          </cell>
          <cell r="C77" t="e">
            <v>#N/A</v>
          </cell>
        </row>
        <row r="78">
          <cell r="A78" t="str">
            <v>164</v>
          </cell>
          <cell r="B78" t="str">
            <v>UNICREDIT BANK AG</v>
          </cell>
          <cell r="C78" t="e">
            <v>#N/A</v>
          </cell>
        </row>
        <row r="79">
          <cell r="A79" t="str">
            <v>170</v>
          </cell>
          <cell r="B79" t="str">
            <v>THE CHIBA BANK LTD</v>
          </cell>
          <cell r="C79" t="e">
            <v>#N/A</v>
          </cell>
        </row>
        <row r="80">
          <cell r="A80" t="str">
            <v>178</v>
          </cell>
          <cell r="B80" t="str">
            <v>KBC BANK N.V.</v>
          </cell>
          <cell r="C80" t="e">
            <v>#N/A</v>
          </cell>
        </row>
        <row r="81">
          <cell r="A81" t="str">
            <v>180</v>
          </cell>
          <cell r="B81" t="str">
            <v>WELLS FARGO BANK, N.A.</v>
          </cell>
          <cell r="C81" t="e">
            <v>#N/A</v>
          </cell>
        </row>
        <row r="82">
          <cell r="A82" t="str">
            <v>183</v>
          </cell>
          <cell r="B82" t="str">
            <v xml:space="preserve">COOPERATIEVE RABOBANK U.A. </v>
          </cell>
          <cell r="C82" t="e">
            <v>#N/A</v>
          </cell>
        </row>
        <row r="83">
          <cell r="A83" t="str">
            <v>185</v>
          </cell>
          <cell r="B83" t="str">
            <v>DBS BANK LTD, HONG KONG BRANCH</v>
          </cell>
          <cell r="C83" t="str">
            <v>DBSSHKHHXXX</v>
          </cell>
        </row>
        <row r="84">
          <cell r="A84" t="str">
            <v>186</v>
          </cell>
          <cell r="B84" t="str">
            <v>THE SHIZUOKA BANK, LTD</v>
          </cell>
          <cell r="C84" t="e">
            <v>#N/A</v>
          </cell>
        </row>
        <row r="85">
          <cell r="A85" t="str">
            <v>188</v>
          </cell>
          <cell r="B85" t="str">
            <v>THE HACHIJUNI BANK, LTD</v>
          </cell>
          <cell r="C85" t="e">
            <v>#N/A</v>
          </cell>
        </row>
        <row r="86">
          <cell r="A86" t="str">
            <v>198</v>
          </cell>
          <cell r="B86" t="str">
            <v>HUA NAN COMMERCIAL BANK LTD</v>
          </cell>
          <cell r="C86" t="e">
            <v>#N/A</v>
          </cell>
        </row>
        <row r="87">
          <cell r="A87" t="str">
            <v>199</v>
          </cell>
          <cell r="B87" t="str">
            <v>THE SHIGA BANK, LTD.</v>
          </cell>
          <cell r="C87" t="e">
            <v>#N/A</v>
          </cell>
        </row>
        <row r="88">
          <cell r="A88" t="str">
            <v>201</v>
          </cell>
          <cell r="B88" t="str">
            <v>BANK OF TAIWAN</v>
          </cell>
          <cell r="C88" t="e">
            <v>#N/A</v>
          </cell>
        </row>
        <row r="89">
          <cell r="A89" t="str">
            <v>202</v>
          </cell>
          <cell r="B89" t="str">
            <v>THE CHUGOKU BANK LTD</v>
          </cell>
          <cell r="C89" t="e">
            <v>#N/A</v>
          </cell>
        </row>
        <row r="90">
          <cell r="A90" t="str">
            <v>203</v>
          </cell>
          <cell r="B90" t="str">
            <v>FIRST COMMERCIAL BANK</v>
          </cell>
          <cell r="C90" t="e">
            <v>#N/A</v>
          </cell>
        </row>
        <row r="91">
          <cell r="A91" t="str">
            <v>206</v>
          </cell>
          <cell r="B91" t="str">
            <v>CHANG HWA COMMERCIAL BANK LTD</v>
          </cell>
          <cell r="C91" t="e">
            <v>#N/A</v>
          </cell>
        </row>
        <row r="92">
          <cell r="A92" t="str">
            <v>210</v>
          </cell>
          <cell r="B92" t="str">
            <v>NATIXIS</v>
          </cell>
          <cell r="C92" t="e">
            <v>#N/A</v>
          </cell>
        </row>
        <row r="93">
          <cell r="A93" t="str">
            <v>214</v>
          </cell>
          <cell r="B93" t="str">
            <v>INDUSTRIAL AND COMMERCIAL BANK OF CHINA LIMITED</v>
          </cell>
          <cell r="C93" t="e">
            <v>#N/A</v>
          </cell>
        </row>
        <row r="94">
          <cell r="A94" t="str">
            <v>220</v>
          </cell>
          <cell r="B94" t="str">
            <v>STATE STREET BANK AND TRUST COMPANY</v>
          </cell>
          <cell r="C94" t="e">
            <v>#N/A</v>
          </cell>
        </row>
        <row r="95">
          <cell r="A95" t="str">
            <v>221</v>
          </cell>
          <cell r="B95" t="str">
            <v>CHINA CONSTRUCTION BANK CORPORATION</v>
          </cell>
          <cell r="C95" t="str">
            <v>PCBCHKHHXXX</v>
          </cell>
        </row>
        <row r="96">
          <cell r="A96" t="str">
            <v>222</v>
          </cell>
          <cell r="B96" t="str">
            <v>AGRICULTURAL BANK OF CHINA LIMITED</v>
          </cell>
          <cell r="C96" t="e">
            <v>#N/A</v>
          </cell>
        </row>
        <row r="97">
          <cell r="A97" t="str">
            <v>227</v>
          </cell>
          <cell r="B97" t="str">
            <v>ERSTE GROUP BANK AG</v>
          </cell>
          <cell r="C97" t="str">
            <v>GIBAHKHHXXX</v>
          </cell>
        </row>
        <row r="98">
          <cell r="A98" t="str">
            <v>229</v>
          </cell>
          <cell r="B98" t="str">
            <v>CTBC BANK CO., LTD.</v>
          </cell>
          <cell r="C98" t="e">
            <v>#N/A</v>
          </cell>
        </row>
        <row r="99">
          <cell r="A99" t="str">
            <v>230</v>
          </cell>
          <cell r="B99" t="str">
            <v>TAIWAN BUSINESS BANK, LTD.</v>
          </cell>
          <cell r="C99" t="e">
            <v>#N/A</v>
          </cell>
        </row>
        <row r="100">
          <cell r="A100" t="str">
            <v>233</v>
          </cell>
          <cell r="B100" t="str">
            <v>CREDIT SUISSE AG</v>
          </cell>
          <cell r="C100" t="e">
            <v>#N/A</v>
          </cell>
        </row>
        <row r="101">
          <cell r="A101" t="str">
            <v>236</v>
          </cell>
          <cell r="B101" t="str">
            <v>CATHAY UNITED BANK COMPANY, LIMITED</v>
          </cell>
          <cell r="C101" t="e">
            <v>#N/A</v>
          </cell>
        </row>
        <row r="102">
          <cell r="A102" t="str">
            <v>237</v>
          </cell>
          <cell r="B102" t="str">
            <v>EFG BANK AG</v>
          </cell>
          <cell r="C102" t="str">
            <v>EFGBHKHHXXX</v>
          </cell>
        </row>
        <row r="103">
          <cell r="A103" t="str">
            <v>238</v>
          </cell>
          <cell r="B103" t="str">
            <v>CHINA MERCHANTS BANK CO., LTD.</v>
          </cell>
          <cell r="C103" t="e">
            <v>#N/A</v>
          </cell>
        </row>
        <row r="104">
          <cell r="A104" t="str">
            <v>239</v>
          </cell>
          <cell r="B104" t="str">
            <v>TAIPEI FUBON COMMERCIAL BANK CO., LTD.</v>
          </cell>
          <cell r="C104" t="e">
            <v>#N/A</v>
          </cell>
        </row>
        <row r="105">
          <cell r="A105" t="str">
            <v>241</v>
          </cell>
          <cell r="B105" t="str">
            <v>BANK SINOPAC</v>
          </cell>
          <cell r="C105" t="str">
            <v>SINOHKHHXXX</v>
          </cell>
        </row>
        <row r="106">
          <cell r="A106" t="str">
            <v>242</v>
          </cell>
          <cell r="B106" t="str">
            <v>MEGA INTERNATIONAL COMMERCIAL BANK CO., LTD.</v>
          </cell>
          <cell r="C106" t="e">
            <v>#N/A</v>
          </cell>
        </row>
        <row r="107">
          <cell r="A107" t="str">
            <v>243</v>
          </cell>
          <cell r="B107" t="str">
            <v>E.SUN COMMERCIAL BANK, LTD</v>
          </cell>
          <cell r="C107" t="e">
            <v>#N/A</v>
          </cell>
        </row>
        <row r="108">
          <cell r="A108" t="str">
            <v>244</v>
          </cell>
          <cell r="B108" t="str">
            <v>BANK SINOPAC</v>
          </cell>
          <cell r="C108" t="str">
            <v>SINOHKHHXXX</v>
          </cell>
        </row>
        <row r="109">
          <cell r="A109" t="str">
            <v>245</v>
          </cell>
          <cell r="B109" t="str">
            <v>TAISHIN INTERNATIONAL BANK CO., LTD</v>
          </cell>
          <cell r="C109" t="e">
            <v>#N/A</v>
          </cell>
        </row>
        <row r="110">
          <cell r="A110" t="str">
            <v>248</v>
          </cell>
          <cell r="B110" t="str">
            <v>HONG LEONG BANK BERHAD</v>
          </cell>
          <cell r="C110" t="e">
            <v>#N/A</v>
          </cell>
        </row>
        <row r="111">
          <cell r="A111" t="str">
            <v>249</v>
          </cell>
          <cell r="B111" t="str">
            <v>STANDARD CHARTERED BANK HONG KONG BRANCH</v>
          </cell>
          <cell r="C111" t="e">
            <v>#N/A</v>
          </cell>
        </row>
        <row r="112">
          <cell r="A112" t="str">
            <v>250</v>
          </cell>
          <cell r="B112" t="str">
            <v>CITIBANK (HONG KONG) LIMITED</v>
          </cell>
          <cell r="C112" t="str">
            <v>CITIHKAXXXX</v>
          </cell>
        </row>
        <row r="113">
          <cell r="A113" t="str">
            <v>251</v>
          </cell>
          <cell r="B113" t="str">
            <v>ICICI BANK LIMITED</v>
          </cell>
          <cell r="C113" t="e">
            <v>#N/A</v>
          </cell>
        </row>
        <row r="114">
          <cell r="A114" t="str">
            <v>254</v>
          </cell>
          <cell r="B114" t="str">
            <v>MELLI BANK PLC</v>
          </cell>
          <cell r="C114" t="e">
            <v>#N/A</v>
          </cell>
        </row>
        <row r="115">
          <cell r="A115" t="str">
            <v>258</v>
          </cell>
          <cell r="B115" t="str">
            <v>EAST WEST BANK</v>
          </cell>
          <cell r="C115" t="str">
            <v>EWBKHKHHXXX</v>
          </cell>
        </row>
        <row r="116">
          <cell r="A116" t="str">
            <v>260</v>
          </cell>
          <cell r="B116" t="str">
            <v>FAR EASTERN INTERNATIONAL BANK</v>
          </cell>
          <cell r="C116" t="e">
            <v>#N/A</v>
          </cell>
        </row>
        <row r="117">
          <cell r="A117" t="str">
            <v>263</v>
          </cell>
          <cell r="B117" t="str">
            <v xml:space="preserve">CATHAY BANK </v>
          </cell>
          <cell r="C117" t="e">
            <v>#N/A</v>
          </cell>
        </row>
        <row r="118">
          <cell r="A118" t="str">
            <v>264</v>
          </cell>
          <cell r="B118" t="str">
            <v>LAND BANK OF TAIWAN CO., LTD.</v>
          </cell>
          <cell r="C118" t="e">
            <v>#N/A</v>
          </cell>
        </row>
        <row r="119">
          <cell r="A119" t="str">
            <v>265</v>
          </cell>
          <cell r="B119" t="str">
            <v>TAIWAN COOPERATIVE BANK, LTD.</v>
          </cell>
          <cell r="C119" t="e">
            <v>#N/A</v>
          </cell>
        </row>
        <row r="120">
          <cell r="A120" t="str">
            <v>267</v>
          </cell>
          <cell r="B120" t="str">
            <v>BANCO SANTANDER S.A.</v>
          </cell>
          <cell r="C120" t="e">
            <v>#N/A</v>
          </cell>
        </row>
        <row r="121">
          <cell r="A121" t="str">
            <v>269</v>
          </cell>
          <cell r="B121" t="str">
            <v>THE SHANGHAI COMMERCIAL &amp; SAVINGS BANK LTD</v>
          </cell>
          <cell r="C121" t="e">
            <v>#N/A</v>
          </cell>
        </row>
        <row r="122">
          <cell r="A122" t="str">
            <v>271</v>
          </cell>
          <cell r="B122" t="str">
            <v>INDUSTRIAL BANK OF KOREA</v>
          </cell>
          <cell r="C122" t="e">
            <v>#N/A</v>
          </cell>
        </row>
        <row r="123">
          <cell r="A123" t="str">
            <v>272</v>
          </cell>
          <cell r="B123" t="str">
            <v>BANK OF SINGAPORE LIMITED</v>
          </cell>
          <cell r="C123" t="e">
            <v>#N/A</v>
          </cell>
        </row>
        <row r="124">
          <cell r="A124" t="str">
            <v>273</v>
          </cell>
          <cell r="B124" t="str">
            <v>SHINHAN BANK</v>
          </cell>
          <cell r="C124" t="e">
            <v>#N/A</v>
          </cell>
        </row>
        <row r="125">
          <cell r="A125" t="str">
            <v>274</v>
          </cell>
          <cell r="B125" t="str">
            <v>O-BANK CO., LTD.</v>
          </cell>
          <cell r="C125" t="e">
            <v>#N/A</v>
          </cell>
        </row>
        <row r="126">
          <cell r="A126" t="str">
            <v>276</v>
          </cell>
          <cell r="B126" t="str">
            <v>CHINA DEVELOPMENT BANK</v>
          </cell>
          <cell r="C126" t="e">
            <v>#N/A</v>
          </cell>
        </row>
        <row r="127">
          <cell r="A127" t="str">
            <v>277</v>
          </cell>
          <cell r="B127" t="str">
            <v>FIRST ABU DHABI BANK PJSC</v>
          </cell>
          <cell r="C127" t="e">
            <v>#N/A</v>
          </cell>
        </row>
        <row r="128">
          <cell r="A128" t="str">
            <v>278</v>
          </cell>
          <cell r="B128" t="str">
            <v>BANK J. SAFRA SARASIN LTD</v>
          </cell>
          <cell r="C128" t="e">
            <v>#N/A</v>
          </cell>
        </row>
        <row r="129">
          <cell r="A129" t="str">
            <v>279</v>
          </cell>
          <cell r="B129" t="str">
            <v>BANK OF CHINA (HONG KONG) LIMITED, MANILA BRANCH</v>
          </cell>
          <cell r="C129" t="e">
            <v>#N/A</v>
          </cell>
        </row>
        <row r="130">
          <cell r="A130" t="str">
            <v>280</v>
          </cell>
          <cell r="B130" t="str">
            <v>BANK OF CHINA LIMITED TOKYO BRANCH</v>
          </cell>
          <cell r="C130" t="e">
            <v>#N/A</v>
          </cell>
        </row>
        <row r="131">
          <cell r="A131" t="str">
            <v>281</v>
          </cell>
          <cell r="B131" t="str">
            <v>PT BANK CENTRAL ASIA TBK, INDONESIA</v>
          </cell>
          <cell r="C131" t="e">
            <v>#N/A</v>
          </cell>
        </row>
        <row r="132">
          <cell r="A132" t="str">
            <v>282</v>
          </cell>
          <cell r="B132" t="str">
            <v>BANK OF CHINA (MALAYSIA) BERHAD</v>
          </cell>
          <cell r="C132" t="e">
            <v>#N/A</v>
          </cell>
        </row>
        <row r="133">
          <cell r="A133" t="str">
            <v>283</v>
          </cell>
          <cell r="B133" t="str">
            <v>JOINT-STOCK COMMERCIAL BANK &lt;BANK OF CHINA (RUSSIA)&gt;</v>
          </cell>
          <cell r="C133" t="e">
            <v>#N/A</v>
          </cell>
        </row>
        <row r="134">
          <cell r="A134" t="str">
            <v>284</v>
          </cell>
          <cell r="B134" t="str">
            <v>BANK OF CHINA LIMITED JAKARTA BRANCH</v>
          </cell>
          <cell r="C134" t="e">
            <v>#N/A</v>
          </cell>
        </row>
        <row r="135">
          <cell r="A135" t="str">
            <v>285</v>
          </cell>
          <cell r="B135" t="str">
            <v>BANK OF CHINA LIMITED SEOUL BRANCH</v>
          </cell>
          <cell r="C135" t="e">
            <v>#N/A</v>
          </cell>
        </row>
        <row r="136">
          <cell r="A136" t="str">
            <v>286</v>
          </cell>
          <cell r="B136" t="str">
            <v>BANK OF CHINA LIMITED SINGAPORE BRANCH</v>
          </cell>
          <cell r="C136" t="e">
            <v>#N/A</v>
          </cell>
        </row>
        <row r="137">
          <cell r="A137" t="str">
            <v>287</v>
          </cell>
          <cell r="B137" t="str">
            <v>BANK OF CHINA LIMITED FRANKFURT BRANCH</v>
          </cell>
          <cell r="C137" t="e">
            <v>#N/A</v>
          </cell>
        </row>
        <row r="138">
          <cell r="A138" t="str">
            <v>288</v>
          </cell>
          <cell r="B138" t="str">
            <v>BANK OF CHINA LIMITED SYDNEY BRANCH</v>
          </cell>
          <cell r="C138" t="e">
            <v>#N/A</v>
          </cell>
        </row>
        <row r="139">
          <cell r="A139" t="str">
            <v>289</v>
          </cell>
          <cell r="B139" t="str">
            <v xml:space="preserve">BANK OF CHINA (THAI) PUBLIC COMPANY LIMITED </v>
          </cell>
          <cell r="C139" t="e">
            <v>#N/A</v>
          </cell>
        </row>
        <row r="140">
          <cell r="A140" t="str">
            <v>290</v>
          </cell>
          <cell r="B140" t="str">
            <v>BANK OF CHINA (CENTRAL AND EASTERN EUROPE) LIMITED</v>
          </cell>
          <cell r="C140" t="e">
            <v>#N/A</v>
          </cell>
        </row>
        <row r="141">
          <cell r="A141" t="str">
            <v>291</v>
          </cell>
          <cell r="B141" t="str">
            <v>BANK OF CHINA LIMITED MILAN BRANCH</v>
          </cell>
          <cell r="C141" t="e">
            <v>#N/A</v>
          </cell>
        </row>
        <row r="142">
          <cell r="A142" t="str">
            <v>292</v>
          </cell>
          <cell r="B142" t="str">
            <v>BANK OF CHINA LONDON BRANCH</v>
          </cell>
          <cell r="C142" t="e">
            <v>#N/A</v>
          </cell>
        </row>
        <row r="143">
          <cell r="A143" t="str">
            <v>293</v>
          </cell>
          <cell r="B143" t="str">
            <v>VIETNAM JOINT STOCK COMMERCIAL BANK FOR INDUSTRY AND TRADE</v>
          </cell>
          <cell r="C143" t="e">
            <v>#N/A</v>
          </cell>
        </row>
        <row r="144">
          <cell r="A144" t="str">
            <v>295</v>
          </cell>
          <cell r="B144" t="str">
            <v>METROPOLITAN BANK &amp; TRUST COMPANY</v>
          </cell>
          <cell r="C144" t="e">
            <v>#N/A</v>
          </cell>
        </row>
        <row r="145">
          <cell r="A145" t="str">
            <v>296</v>
          </cell>
          <cell r="B145" t="str">
            <v>SAIGON THUONG TIN COMMERCIAL JOINT STOCK BANK</v>
          </cell>
          <cell r="C145" t="e">
            <v>#N/A</v>
          </cell>
        </row>
        <row r="146">
          <cell r="A146" t="str">
            <v>298</v>
          </cell>
          <cell r="B146" t="str">
            <v>BANK OF CHINA LIMITED JOHANNESBURG BRANCH</v>
          </cell>
          <cell r="C146" t="e">
            <v>#N/A</v>
          </cell>
        </row>
        <row r="147">
          <cell r="A147" t="str">
            <v>300</v>
          </cell>
          <cell r="B147" t="str">
            <v>BANK OF CHINA (EUROPE) S.A.</v>
          </cell>
          <cell r="C147" t="e">
            <v>#N/A</v>
          </cell>
        </row>
        <row r="148">
          <cell r="A148" t="str">
            <v>301</v>
          </cell>
          <cell r="B148" t="str">
            <v>BANK OF CHINA LIMITED LUXEMBOURG BRANCH</v>
          </cell>
          <cell r="C148" t="e">
            <v>#N/A</v>
          </cell>
        </row>
        <row r="149">
          <cell r="A149" t="str">
            <v>302</v>
          </cell>
          <cell r="B149" t="str">
            <v>BANK OF CHINA LIMITED GRAND CAYMAN BRANCH</v>
          </cell>
          <cell r="C149" t="e">
            <v>#N/A</v>
          </cell>
        </row>
        <row r="150">
          <cell r="A150" t="str">
            <v>303</v>
          </cell>
          <cell r="B150" t="str">
            <v>BANK OF CHINA LIMITED PARIS BRANCH</v>
          </cell>
          <cell r="C150" t="e">
            <v>#N/A</v>
          </cell>
        </row>
        <row r="151">
          <cell r="A151" t="str">
            <v>304</v>
          </cell>
          <cell r="B151" t="str">
            <v>BANK OF CHINA LIMITED NEW YORK BRANCH</v>
          </cell>
          <cell r="C151" t="e">
            <v>#N/A</v>
          </cell>
        </row>
        <row r="152">
          <cell r="A152" t="str">
            <v>305</v>
          </cell>
          <cell r="B152" t="str">
            <v>JSC AB (BANK OF CHINA KAZAKHSTAN)</v>
          </cell>
          <cell r="C152" t="e">
            <v>#N/A</v>
          </cell>
        </row>
        <row r="153">
          <cell r="A153" t="str">
            <v>306</v>
          </cell>
          <cell r="B153" t="str">
            <v>BANK OF CHINA (ZAMBIA) LIMITED</v>
          </cell>
          <cell r="C153" t="e">
            <v>#N/A</v>
          </cell>
        </row>
        <row r="154">
          <cell r="A154" t="str">
            <v>308</v>
          </cell>
          <cell r="B154" t="str">
            <v>HDFC BANK LTD.</v>
          </cell>
          <cell r="C154" t="e">
            <v>#N/A</v>
          </cell>
        </row>
        <row r="155">
          <cell r="A155" t="str">
            <v>309</v>
          </cell>
          <cell r="B155" t="str">
            <v>UNION BANCAIRE PRIVEE, UBP SA</v>
          </cell>
          <cell r="C155" t="e">
            <v>#N/A</v>
          </cell>
        </row>
        <row r="156">
          <cell r="A156" t="str">
            <v>310</v>
          </cell>
          <cell r="B156" t="str">
            <v>BANK OF CHINA (CANADA)</v>
          </cell>
          <cell r="C156" t="e">
            <v>#N/A</v>
          </cell>
        </row>
        <row r="157">
          <cell r="A157" t="str">
            <v>311</v>
          </cell>
          <cell r="B157" t="str">
            <v>BANK OF CHINA LIMITED, PANAMA BRANCH</v>
          </cell>
          <cell r="C157" t="e">
            <v>#N/A</v>
          </cell>
        </row>
        <row r="158">
          <cell r="A158" t="str">
            <v>314</v>
          </cell>
          <cell r="B158" t="str">
            <v>BANK OF CHINA (UK) LIMITED</v>
          </cell>
          <cell r="C158" t="e">
            <v>#N/A</v>
          </cell>
        </row>
        <row r="159">
          <cell r="A159" t="str">
            <v>315</v>
          </cell>
          <cell r="B159" t="str">
            <v>BANK OF CHINA (AUSTRALIA) LIMITED</v>
          </cell>
          <cell r="C159" t="e">
            <v>#N/A</v>
          </cell>
        </row>
        <row r="160">
          <cell r="A160" t="str">
            <v>316</v>
          </cell>
          <cell r="B160" t="str">
            <v>SKANDINAVISKA ENSKILDA BANKEN AB</v>
          </cell>
          <cell r="C160" t="e">
            <v>#N/A</v>
          </cell>
        </row>
        <row r="161">
          <cell r="A161" t="str">
            <v>318</v>
          </cell>
          <cell r="B161" t="str">
            <v>KDB ASIA LIMITED</v>
          </cell>
          <cell r="C161" t="str">
            <v>KODBHKHHXXX</v>
          </cell>
        </row>
        <row r="162">
          <cell r="A162" t="str">
            <v>319</v>
          </cell>
          <cell r="B162" t="str">
            <v xml:space="preserve">COOPERATIEVE RABOBANK U.A., SINGAPORE </v>
          </cell>
          <cell r="C162" t="e">
            <v>#N/A</v>
          </cell>
        </row>
        <row r="163">
          <cell r="A163" t="str">
            <v>320</v>
          </cell>
          <cell r="B163" t="str">
            <v>BANK JULIUS BAER &amp; CO. LTD.</v>
          </cell>
          <cell r="C163" t="e">
            <v>#N/A</v>
          </cell>
        </row>
        <row r="164">
          <cell r="A164" t="str">
            <v>321</v>
          </cell>
          <cell r="B164" t="str">
            <v>BANK OF CHINA INTERNATIONAL LIMITED</v>
          </cell>
          <cell r="C164" t="str">
            <v>CDFCHKHHXXX</v>
          </cell>
        </row>
        <row r="165">
          <cell r="A165" t="str">
            <v>322</v>
          </cell>
          <cell r="B165" t="str">
            <v>HABIB BANK ZURICH (HONG KONG) LIMITED</v>
          </cell>
          <cell r="C165" t="e">
            <v>#N/A</v>
          </cell>
        </row>
        <row r="166">
          <cell r="A166" t="str">
            <v>324</v>
          </cell>
          <cell r="B166" t="str">
            <v>CREDIT INDUSTRIEL ET COMMERCIAL</v>
          </cell>
          <cell r="C166" t="e">
            <v>#N/A</v>
          </cell>
        </row>
        <row r="167">
          <cell r="A167" t="str">
            <v>325</v>
          </cell>
          <cell r="B167" t="str">
            <v>GRANIT BANK ZRT</v>
          </cell>
          <cell r="C167" t="e">
            <v>#N/A</v>
          </cell>
        </row>
        <row r="168">
          <cell r="A168" t="str">
            <v>326</v>
          </cell>
          <cell r="B168" t="str">
            <v>BANK OF CHINA (BRASIL) S.A.</v>
          </cell>
          <cell r="C168" t="e">
            <v>#N/A</v>
          </cell>
        </row>
        <row r="169">
          <cell r="A169" t="str">
            <v>327</v>
          </cell>
          <cell r="B169" t="str">
            <v>BANK OF CHINA LIMITED PHNOM PENH BRANCH</v>
          </cell>
          <cell r="C169" t="e">
            <v>#N/A</v>
          </cell>
        </row>
        <row r="170">
          <cell r="A170" t="str">
            <v>329</v>
          </cell>
          <cell r="B170" t="str">
            <v>THE BANK OF NOVA SCOTIA, SINGAPORE</v>
          </cell>
          <cell r="C170" t="e">
            <v>#N/A</v>
          </cell>
        </row>
        <row r="171">
          <cell r="A171" t="str">
            <v>331</v>
          </cell>
          <cell r="B171" t="str">
            <v>NATIONAL BANK OF CANADA</v>
          </cell>
          <cell r="C171" t="e">
            <v>#N/A</v>
          </cell>
        </row>
        <row r="172">
          <cell r="A172" t="str">
            <v>337</v>
          </cell>
          <cell r="B172" t="str">
            <v>TAIWAN SHIN KONG COMMERCIAL BANK CO., LTD.</v>
          </cell>
          <cell r="C172" t="e">
            <v>#N/A</v>
          </cell>
        </row>
        <row r="173">
          <cell r="A173" t="str">
            <v>338</v>
          </cell>
          <cell r="B173" t="str">
            <v>BANK OF CHINA LIMITED, HONG KONG BRANCH</v>
          </cell>
          <cell r="C173" t="e">
            <v>#N/A</v>
          </cell>
        </row>
        <row r="174">
          <cell r="A174" t="str">
            <v>339</v>
          </cell>
          <cell r="B174" t="str">
            <v>CA INDOSUEZ (SWITZERLAND) SA</v>
          </cell>
          <cell r="C174" t="e">
            <v>#N/A</v>
          </cell>
        </row>
        <row r="175">
          <cell r="A175" t="str">
            <v>340</v>
          </cell>
          <cell r="B175" t="str">
            <v>AGRICULTURAL BANK OF CHINA LIMITED, SINGAPORE BRANCH</v>
          </cell>
          <cell r="C175" t="e">
            <v>#N/A</v>
          </cell>
        </row>
        <row r="176">
          <cell r="A176" t="str">
            <v>342</v>
          </cell>
          <cell r="B176" t="str">
            <v>LGT BANK AG</v>
          </cell>
          <cell r="C176" t="e">
            <v>#N/A</v>
          </cell>
        </row>
        <row r="177">
          <cell r="A177" t="str">
            <v>343</v>
          </cell>
          <cell r="B177" t="str">
            <v>CIMB THAI BANK PUBLIC COMPANY LIMITED</v>
          </cell>
          <cell r="C177" t="e">
            <v>#N/A</v>
          </cell>
        </row>
        <row r="178">
          <cell r="A178" t="str">
            <v>345</v>
          </cell>
          <cell r="B178" t="str">
            <v>SHANGHAI PUDONG DEVELOPMENT BANK CO., LTD</v>
          </cell>
          <cell r="C178" t="e">
            <v>#N/A</v>
          </cell>
        </row>
        <row r="179">
          <cell r="A179" t="str">
            <v>348</v>
          </cell>
          <cell r="B179" t="str">
            <v>BANK OF CHINA (HONG KONG) LIMITED HO CHI MINH CITY BRANCH</v>
          </cell>
          <cell r="C179" t="e">
            <v>#N/A</v>
          </cell>
        </row>
        <row r="180">
          <cell r="A180" t="str">
            <v>349</v>
          </cell>
          <cell r="B180" t="str">
            <v>BANK OF COMMUNICATIONS SEOUL BRANCH</v>
          </cell>
          <cell r="C180" t="e">
            <v>#N/A</v>
          </cell>
        </row>
        <row r="181">
          <cell r="A181" t="str">
            <v>351</v>
          </cell>
          <cell r="B181" t="str">
            <v>CAMBODIA MEKONG BANK PUBLIC LIMITED</v>
          </cell>
          <cell r="C181" t="e">
            <v>#N/A</v>
          </cell>
        </row>
        <row r="182">
          <cell r="A182" t="str">
            <v>352</v>
          </cell>
          <cell r="B182" t="str">
            <v>MASHREQBANK PSC</v>
          </cell>
          <cell r="C182" t="e">
            <v>#N/A</v>
          </cell>
        </row>
        <row r="183">
          <cell r="A183" t="str">
            <v>353</v>
          </cell>
          <cell r="B183" t="str">
            <v>CHINA MINSHENG BANKING CORP., LTD.</v>
          </cell>
          <cell r="C183" t="e">
            <v>#N/A</v>
          </cell>
        </row>
        <row r="184">
          <cell r="A184" t="str">
            <v>356</v>
          </cell>
          <cell r="B184" t="str">
            <v>BANCO DO BRASIL S. A., TOKYO BRANCH</v>
          </cell>
          <cell r="C184" t="e">
            <v>#N/A</v>
          </cell>
        </row>
        <row r="185">
          <cell r="A185" t="str">
            <v>358</v>
          </cell>
          <cell r="B185" t="str">
            <v>CHINA CONSTRUCTION BANK CORPORATION SEOUL BRANCH</v>
          </cell>
          <cell r="C185" t="e">
            <v>#N/A</v>
          </cell>
        </row>
        <row r="186">
          <cell r="A186" t="str">
            <v>359</v>
          </cell>
          <cell r="B186" t="str">
            <v>CHINA GUANGFA BANK CO., LTD.</v>
          </cell>
          <cell r="C186" t="e">
            <v>#N/A</v>
          </cell>
        </row>
        <row r="187">
          <cell r="A187" t="str">
            <v>361</v>
          </cell>
          <cell r="B187" t="str">
            <v>CHINA BOHAI BANK CO., LTD.</v>
          </cell>
          <cell r="C187" t="e">
            <v>#N/A</v>
          </cell>
        </row>
        <row r="188">
          <cell r="A188" t="str">
            <v>364</v>
          </cell>
          <cell r="B188" t="str">
            <v>BANQUE PICTET &amp; CIE SA</v>
          </cell>
          <cell r="C188" t="e">
            <v>#N/A</v>
          </cell>
        </row>
        <row r="189">
          <cell r="A189" t="str">
            <v>365</v>
          </cell>
          <cell r="B189" t="str">
            <v>BANK OF DONGGUAN CO., LTD.</v>
          </cell>
          <cell r="C189" t="e">
            <v>#N/A</v>
          </cell>
        </row>
        <row r="190">
          <cell r="A190" t="str">
            <v>368</v>
          </cell>
          <cell r="B190" t="str">
            <v>CHINA EVERBRIGHT BANK CO., LTD</v>
          </cell>
          <cell r="C190" t="e">
            <v>#N/A</v>
          </cell>
        </row>
        <row r="191">
          <cell r="A191" t="str">
            <v>369</v>
          </cell>
          <cell r="B191" t="str">
            <v>BANK OF CHINA (DUBAI) BRANCH</v>
          </cell>
          <cell r="C191" t="e">
            <v>#N/A</v>
          </cell>
        </row>
        <row r="192">
          <cell r="A192" t="str">
            <v>371</v>
          </cell>
          <cell r="B192" t="str">
            <v>SUMITOMO MITSUI TRUST BANK, LIMITED</v>
          </cell>
          <cell r="C192" t="e">
            <v>#N/A</v>
          </cell>
        </row>
        <row r="193">
          <cell r="A193" t="str">
            <v>372</v>
          </cell>
          <cell r="B193" t="str">
            <v>BANK OF SHANGHAI (HONG KONG) LIMITED</v>
          </cell>
          <cell r="C193" t="e">
            <v>#N/A</v>
          </cell>
        </row>
        <row r="194">
          <cell r="A194" t="str">
            <v>374</v>
          </cell>
          <cell r="B194" t="str">
            <v>CIMB BANK BERHAD</v>
          </cell>
          <cell r="C194" t="e">
            <v>#N/A</v>
          </cell>
        </row>
        <row r="195">
          <cell r="A195" t="str">
            <v>375</v>
          </cell>
          <cell r="B195" t="str">
            <v>J.P. MORGAN SECURITIES (ASIA PACIFIC) LIMITED</v>
          </cell>
          <cell r="C195" t="e">
            <v>#N/A</v>
          </cell>
        </row>
        <row r="196">
          <cell r="A196" t="str">
            <v>376</v>
          </cell>
          <cell r="B196" t="str">
            <v>NONGHYUP BANK</v>
          </cell>
          <cell r="C196" t="e">
            <v>#N/A</v>
          </cell>
        </row>
        <row r="197">
          <cell r="A197" t="str">
            <v>377</v>
          </cell>
          <cell r="B197" t="str">
            <v>INDUSTRIAL BANK CO., LTD.</v>
          </cell>
          <cell r="C197" t="e">
            <v>#N/A</v>
          </cell>
        </row>
        <row r="198">
          <cell r="A198" t="str">
            <v>378</v>
          </cell>
          <cell r="B198" t="str">
            <v>YUANTA COMMERCIAL BANK CO., LTD.</v>
          </cell>
          <cell r="C198" t="e">
            <v>#N/A</v>
          </cell>
        </row>
        <row r="199">
          <cell r="A199" t="str">
            <v>379</v>
          </cell>
          <cell r="B199" t="str">
            <v>MASHREQ BANK - PUBLIC SHAREHOLDING COMPANY</v>
          </cell>
          <cell r="C199" t="e">
            <v>#N/A</v>
          </cell>
        </row>
        <row r="200">
          <cell r="A200" t="str">
            <v>380</v>
          </cell>
          <cell r="B200" t="str">
            <v>KASIKORNBANK PUBLIC COMPANY LIMITED</v>
          </cell>
          <cell r="C200" t="str">
            <v>KASIHKHHXXX</v>
          </cell>
        </row>
        <row r="201">
          <cell r="A201" t="str">
            <v>381</v>
          </cell>
          <cell r="B201" t="str">
            <v>KOOKMIN BANK</v>
          </cell>
          <cell r="C201" t="e">
            <v>#N/A</v>
          </cell>
        </row>
        <row r="202">
          <cell r="A202" t="str">
            <v>382</v>
          </cell>
          <cell r="B202" t="str">
            <v>BANK OF COMMUNICATIONS (HONG KONG) LIMITED</v>
          </cell>
          <cell r="C202" t="e">
            <v>#N/A</v>
          </cell>
        </row>
        <row r="203">
          <cell r="A203" t="str">
            <v>383</v>
          </cell>
          <cell r="B203" t="str">
            <v>CHINA ZHESHANG BANK CO., LTD.</v>
          </cell>
          <cell r="C203" t="e">
            <v>#N/A</v>
          </cell>
        </row>
        <row r="204">
          <cell r="A204" t="str">
            <v>384</v>
          </cell>
          <cell r="B204" t="str">
            <v>MORGAN STANLEY BANK ASIA LIMITED</v>
          </cell>
          <cell r="C204" t="e">
            <v>#N/A</v>
          </cell>
        </row>
        <row r="205">
          <cell r="A205" t="str">
            <v>385</v>
          </cell>
          <cell r="B205" t="str">
            <v>PING AN BANK CO., LTD.</v>
          </cell>
          <cell r="C205" t="e">
            <v>#N/A</v>
          </cell>
        </row>
        <row r="206">
          <cell r="A206" t="str">
            <v>386</v>
          </cell>
          <cell r="B206" t="str">
            <v>HUA XIA BANK CO., LIMITED</v>
          </cell>
          <cell r="C206" t="e">
            <v>#N/A</v>
          </cell>
        </row>
        <row r="207">
          <cell r="A207" t="str">
            <v>387</v>
          </cell>
          <cell r="B207" t="str">
            <v>ZA BANK LIMITED</v>
          </cell>
          <cell r="C207" t="e">
            <v>#N/A</v>
          </cell>
        </row>
        <row r="208">
          <cell r="A208" t="str">
            <v>388</v>
          </cell>
          <cell r="B208" t="str">
            <v>LIVI BANK LIMITED</v>
          </cell>
          <cell r="C208" t="e">
            <v>#N/A</v>
          </cell>
        </row>
        <row r="209">
          <cell r="A209" t="str">
            <v>389</v>
          </cell>
          <cell r="B209" t="str">
            <v>MOX BANK LIMITED</v>
          </cell>
          <cell r="C209" t="e">
            <v>#N/A</v>
          </cell>
        </row>
        <row r="210">
          <cell r="A210" t="str">
            <v>390</v>
          </cell>
          <cell r="B210" t="str">
            <v>WELAB BANK LIMITED</v>
          </cell>
          <cell r="C210" t="e">
            <v>#N/A</v>
          </cell>
        </row>
        <row r="211">
          <cell r="A211" t="str">
            <v>391</v>
          </cell>
          <cell r="B211" t="str">
            <v>FUSION BANK LIMITED</v>
          </cell>
          <cell r="C211" t="e">
            <v>#N/A</v>
          </cell>
        </row>
        <row r="212">
          <cell r="A212" t="str">
            <v>392</v>
          </cell>
          <cell r="B212" t="str">
            <v>PING AN ONECONNECT BANK (HONG KONG) LIMITED</v>
          </cell>
          <cell r="C212" t="e">
            <v>#N/A</v>
          </cell>
        </row>
        <row r="213">
          <cell r="A213" t="str">
            <v>393</v>
          </cell>
          <cell r="B213" t="str">
            <v>ANT BANK (HONG KONG) LIMITED</v>
          </cell>
          <cell r="C213" t="e">
            <v>#N/A</v>
          </cell>
        </row>
        <row r="214">
          <cell r="A214" t="str">
            <v>394</v>
          </cell>
          <cell r="B214" t="str">
            <v>QATAR NATIONAL BANK (Q.P.S.C.)</v>
          </cell>
          <cell r="C214" t="e">
            <v>#N/A</v>
          </cell>
        </row>
        <row r="215">
          <cell r="A215" t="str">
            <v>395</v>
          </cell>
          <cell r="B215" t="str">
            <v>AIRSTAR BANK LIMITED</v>
          </cell>
          <cell r="C215" t="e">
            <v>#N/A</v>
          </cell>
        </row>
        <row r="216">
          <cell r="A216" t="str">
            <v>396</v>
          </cell>
          <cell r="B216" t="str">
            <v>THE KOREA DEVELOPMENT BANK</v>
          </cell>
          <cell r="C216" t="e">
            <v>#N/A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o, Suki KY" id="{F3D09668-2CA3-42A1-BA85-C4AB2CF4A824}" userId="S::02011211@corphq.hk.pccw.com::f4732395-96f1-4a6f-8120-349e9696e91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1" displayName="__Anonymous_Sheet_DB__1" ref="A1:ABV25" totalsRowShown="0" headerRowDxfId="741" dataDxfId="740">
  <tableColumns count="750">
    <tableColumn id="1" xr3:uid="{00000000-0010-0000-0000-000001000000}" name="DD" dataDxfId="739"/>
    <tableColumn id="2" xr3:uid="{00000000-0010-0000-0000-000002000000}" name="MM" dataDxfId="738"/>
    <tableColumn id="3" xr3:uid="{00000000-0010-0000-0000-000003000000}" name="YYYY" dataDxfId="737"/>
    <tableColumn id="4" xr3:uid="{00000000-0010-0000-0000-000004000000}" name="YY" dataDxfId="736"/>
    <tableColumn id="5" xr3:uid="{00000000-0010-0000-0000-000005000000}" name="Date" dataDxfId="735"/>
    <tableColumn id="730" xr3:uid="{00000000-0010-0000-0000-0000DA020000}" name="T&amp;G_remark" dataDxfId="734">
      <calculatedColumnFormula>IF('Application Merchant'!N8=0,"",'Application Merchant'!N8)</calculatedColumnFormula>
    </tableColumn>
    <tableColumn id="6" xr3:uid="{00000000-0010-0000-0000-000006000000}" name="PromoCode" dataDxfId="733">
      <calculatedColumnFormula>IF('Application Merchant'!#REF!=0,"",'Application Merchant'!#REF!)</calculatedColumnFormula>
    </tableColumn>
    <tableColumn id="7" xr3:uid="{00000000-0010-0000-0000-000007000000}" name="SmartPOS" dataDxfId="732"/>
    <tableColumn id="12" xr3:uid="{00000000-0010-0000-0000-00000C000000}" name="HKTPOS" dataDxfId="731">
      <calculatedColumnFormula>+IF(#REF!=0,"",#REF!)</calculatedColumnFormula>
    </tableColumn>
    <tableColumn id="144" xr3:uid="{00000000-0010-0000-0000-000090000000}" name="Both"/>
    <tableColumn id="146" xr3:uid="{00000000-0010-0000-0000-000092000000}" name="SmartPOSEffective Date" dataDxfId="730"/>
    <tableColumn id="145" xr3:uid="{00000000-0010-0000-0000-000091000000}" name="HKTPOSEffective Date" dataDxfId="729"/>
    <tableColumn id="8" xr3:uid="{00000000-0010-0000-0000-000008000000}" name="SmartPOSPlan" dataDxfId="728">
      <calculatedColumnFormula>+IF('Payment Channels'!$B$3=0,"",'Payment Channels'!$B$3)</calculatedColumnFormula>
    </tableColumn>
    <tableColumn id="79" xr3:uid="{00000000-0010-0000-0000-00004F000000}" name="NoPOS" dataDxfId="727">
      <calculatedColumnFormula>+IF(#REF!=0,"",#REF!)</calculatedColumnFormula>
    </tableColumn>
    <tableColumn id="78" xr3:uid="{00000000-0010-0000-0000-00004E000000}" name="NoMID" dataDxfId="726">
      <calculatedColumnFormula>+IF('Payment Channels'!$B$5=0,"",'Payment Channels'!$B$5)</calculatedColumnFormula>
    </tableColumn>
    <tableColumn id="214" xr3:uid="{00000000-0010-0000-0000-0000D6000000}" name="No of Oultet" dataDxfId="725"/>
    <tableColumn id="9" xr3:uid="{00000000-0010-0000-0000-000009000000}" name="NoLocation" dataDxfId="724">
      <calculatedColumnFormula>+IF('Payment Channels'!$B$8=0,"",'Payment Channels'!$B$8)</calculatedColumnFormula>
    </tableColumn>
    <tableColumn id="584" xr3:uid="{00000000-0010-0000-0000-000048020000}" name="SmartPOS_CN" dataDxfId="723">
      <calculatedColumnFormula>+IF(#REF!=0,"",#REF!)</calculatedColumnFormula>
    </tableColumn>
    <tableColumn id="582" xr3:uid="{00000000-0010-0000-0000-000046020000}" name="SmartPOS_EN" dataDxfId="722">
      <calculatedColumnFormula>+IF(#REF!=0,"",#REF!)</calculatedColumnFormula>
    </tableColumn>
    <tableColumn id="10" xr3:uid="{00000000-0010-0000-0000-00000A000000}" name="SmartPOS24" dataDxfId="721">
      <calculatedColumnFormula>IF(M2="24 months", "X", " ")</calculatedColumnFormula>
    </tableColumn>
    <tableColumn id="11" xr3:uid="{00000000-0010-0000-0000-00000B000000}" name="SmartPOS12" dataDxfId="720">
      <calculatedColumnFormula>IF(M2="12 months", "X", " ")</calculatedColumnFormula>
    </tableColumn>
    <tableColumn id="732" xr3:uid="{00000000-0010-0000-0000-0000DC020000}" name="SmartPOS_SO" dataDxfId="719">
      <calculatedColumnFormula>IF(M2="36 months", "X", " ")</calculatedColumnFormula>
    </tableColumn>
    <tableColumn id="731" xr3:uid="{00000000-0010-0000-0000-0000DB020000}" name="PICS_optout"/>
    <tableColumn id="13" xr3:uid="{00000000-0010-0000-0000-00000D000000}" name="HKTPOSApp" dataDxfId="718"/>
    <tableColumn id="734" xr3:uid="{00000000-0010-0000-0000-0000DE020000}" name="NoLicense" dataDxfId="717">
      <calculatedColumnFormula>+IF(#REF!=0,"",#REF!)</calculatedColumnFormula>
    </tableColumn>
    <tableColumn id="733" xr3:uid="{00000000-0010-0000-0000-0000DD020000}" name="POS24" dataDxfId="716">
      <calculatedColumnFormula>IF(M2="12 months", "X", " ")</calculatedColumnFormula>
    </tableColumn>
    <tableColumn id="15" xr3:uid="{00000000-0010-0000-0000-00000F000000}" name="OPG" dataDxfId="715"/>
    <tableColumn id="19" xr3:uid="{00000000-0010-0000-0000-000013000000}" name="O2OF&amp;B" dataDxfId="714">
      <calculatedColumnFormula>IF(NOT(OR(S2="12 months", S2="24 months")), "X", " ")</calculatedColumnFormula>
    </tableColumn>
    <tableColumn id="20" xr3:uid="{00000000-0010-0000-0000-000014000000}" name="O2OPM" dataDxfId="713">
      <calculatedColumnFormula>IF('Payment Channels'!$N$4=0,"",'Payment Channels'!$N$4)</calculatedColumnFormula>
    </tableColumn>
    <tableColumn id="21" xr3:uid="{00000000-0010-0000-0000-000015000000}" name="O2OSB" dataDxfId="712">
      <calculatedColumnFormula>IF('Payment Channels'!$N$5=0,"",'Payment Channels'!$N$5)</calculatedColumnFormula>
    </tableColumn>
    <tableColumn id="22" xr3:uid="{00000000-0010-0000-0000-000016000000}" name="O2OCater" dataDxfId="711">
      <calculatedColumnFormula>IF('Payment Channels'!$N$6=0,"",'Payment Channels'!$N$6)</calculatedColumnFormula>
    </tableColumn>
    <tableColumn id="23" xr3:uid="{00000000-0010-0000-0000-000017000000}" name="O2OSmartSch" dataDxfId="710">
      <calculatedColumnFormula>IF('Payment Channels'!$N$7=0,"",'Payment Channels'!$N$7)</calculatedColumnFormula>
    </tableColumn>
    <tableColumn id="213" xr3:uid="{00000000-0010-0000-0000-0000D5000000}" name="Sales Reference Code" dataDxfId="709"/>
    <tableColumn id="37" xr3:uid="{00000000-0010-0000-0000-000025000000}" name="MerchantNameEN" dataDxfId="708"/>
    <tableColumn id="595" xr3:uid="{00000000-0010-0000-0000-000053020000}" name="MerchantNameEN2" dataDxfId="707">
      <calculatedColumnFormula>LEFT(AH2,25)</calculatedColumnFormula>
    </tableColumn>
    <tableColumn id="38" xr3:uid="{00000000-0010-0000-0000-000026000000}" name="MerchantNameTC" dataDxfId="706"/>
    <tableColumn id="18" xr3:uid="{00000000-0010-0000-0000-000012000000}" name="MerchantNameSC" dataDxfId="705"/>
    <tableColumn id="39" xr3:uid="{00000000-0010-0000-0000-000027000000}" name="NoShop" dataDxfId="704"/>
    <tableColumn id="40" xr3:uid="{00000000-0010-0000-0000-000028000000}" name="ShopName1" dataDxfId="703"/>
    <tableColumn id="41" xr3:uid="{00000000-0010-0000-0000-000029000000}" name="ShopName1*" dataDxfId="702">
      <calculatedColumnFormula>IF(AM2="","",AM2)</calculatedColumnFormula>
    </tableColumn>
    <tableColumn id="42" xr3:uid="{00000000-0010-0000-0000-00002A000000}" name="Shop1FltRm" dataDxfId="701"/>
    <tableColumn id="43" xr3:uid="{00000000-0010-0000-0000-00002B000000}" name="Shop1Floor" dataDxfId="700">
      <calculatedColumnFormula>+IF('Application Merchant'!B40=0,"",'Application Merchant'!B40)</calculatedColumnFormula>
    </tableColumn>
    <tableColumn id="44" xr3:uid="{00000000-0010-0000-0000-00002C000000}" name="Shop1BlkBldg" dataDxfId="699">
      <calculatedColumnFormula>+IF('Application Merchant'!B41=0,"",'Application Merchant'!B41)</calculatedColumnFormula>
    </tableColumn>
    <tableColumn id="45" xr3:uid="{00000000-0010-0000-0000-00002D000000}" name="Shop1Street" dataDxfId="698">
      <calculatedColumnFormula>+IF('Application Merchant'!B41=0,"",'Application Merchant'!B41)</calculatedColumnFormula>
    </tableColumn>
    <tableColumn id="46" xr3:uid="{00000000-0010-0000-0000-00002E000000}" name="Shop1District" dataDxfId="697">
      <calculatedColumnFormula>+IF('Application Merchant'!B43=0,"",'Application Merchant'!B43)</calculatedColumnFormula>
    </tableColumn>
    <tableColumn id="47" xr3:uid="{00000000-0010-0000-0000-00002F000000}" name="Shop1Region" dataDxfId="696">
      <calculatedColumnFormula>+IF('Application Merchant'!B44=0,"",'Application Merchant'!B44)</calculatedColumnFormula>
    </tableColumn>
    <tableColumn id="48" xr3:uid="{00000000-0010-0000-0000-000030000000}" name="ShopAddr1" dataDxfId="695">
      <calculatedColumnFormula>IF('Application Merchant'!B49=0,"",'Application Merchant'!B49)</calculatedColumnFormula>
    </tableColumn>
    <tableColumn id="16" xr3:uid="{00000000-0010-0000-0000-000010000000}" name="DisplayAddress" dataDxfId="694"/>
    <tableColumn id="747" xr3:uid="{00000000-0010-0000-0000-0000EB020000}" name="SmartPOSDeliveryAddress1"/>
    <tableColumn id="51" xr3:uid="{00000000-0010-0000-0000-000033000000}" name="ShopTel1" dataDxfId="693"/>
    <tableColumn id="52" xr3:uid="{00000000-0010-0000-0000-000034000000}" name="ShopBR1" dataDxfId="692"/>
    <tableColumn id="53" xr3:uid="{00000000-0010-0000-0000-000035000000}" name="ShopBRNameEN1" dataDxfId="691"/>
    <tableColumn id="54" xr3:uid="{00000000-0010-0000-0000-000036000000}" name="ShopBRNameTC1" dataDxfId="690"/>
    <tableColumn id="55" xr3:uid="{00000000-0010-0000-0000-000037000000}" name="ShopPOSQT1" dataDxfId="689"/>
    <tableColumn id="24" xr3:uid="{00000000-0010-0000-0000-000018000000}" name="SmartposInstallationCont1"/>
    <tableColumn id="25" xr3:uid="{00000000-0010-0000-0000-000019000000}" name="SmartposInstallationCont1job"/>
    <tableColumn id="27" xr3:uid="{00000000-0010-0000-0000-00001B000000}" name="SmartposInstallationCont1tel"/>
    <tableColumn id="26" xr3:uid="{00000000-0010-0000-0000-00001A000000}" name="SmartposInstallationCont1email"/>
    <tableColumn id="30" xr3:uid="{00000000-0010-0000-0000-00001E000000}" name="SmartposInstallationCont2"/>
    <tableColumn id="29" xr3:uid="{00000000-0010-0000-0000-00001D000000}" name="SmartposInstallationCont2job"/>
    <tableColumn id="28" xr3:uid="{00000000-0010-0000-0000-00001C000000}" name="SmartposInstallationCont2tel"/>
    <tableColumn id="14" xr3:uid="{00000000-0010-0000-0000-00000E000000}" name="SmartposInstallationCont2email"/>
    <tableColumn id="56" xr3:uid="{00000000-0010-0000-0000-000038000000}" name="ShopName2" dataDxfId="688">
      <calculatedColumnFormula>IF(NOT(OR(BB2="12 months", BB2="24 months")), "X", " ")</calculatedColumnFormula>
    </tableColumn>
    <tableColumn id="57" xr3:uid="{00000000-0010-0000-0000-000039000000}" name="ShopName2*" dataDxfId="687">
      <calculatedColumnFormula>IF(NOT(OR(BC2="12 months", BC2="24 months")), "X", " ")</calculatedColumnFormula>
    </tableColumn>
    <tableColumn id="58" xr3:uid="{00000000-0010-0000-0000-00003A000000}" name="Shop2FltRm" dataDxfId="686">
      <calculatedColumnFormula>IF(NOT(OR(BD2="12 months", BD2="24 months")), "X", " ")</calculatedColumnFormula>
    </tableColumn>
    <tableColumn id="59" xr3:uid="{00000000-0010-0000-0000-00003B000000}" name="Shop2Floor" dataDxfId="685">
      <calculatedColumnFormula>IF(NOT(OR(BE2="12 months", BE2="24 months")), "X", " ")</calculatedColumnFormula>
    </tableColumn>
    <tableColumn id="60" xr3:uid="{00000000-0010-0000-0000-00003C000000}" name="Shop2BlkBldg" dataDxfId="684">
      <calculatedColumnFormula>IF(NOT(OR(BF2="12 months", BF2="24 months")), "X", " ")</calculatedColumnFormula>
    </tableColumn>
    <tableColumn id="61" xr3:uid="{00000000-0010-0000-0000-00003D000000}" name="Shop2Street" dataDxfId="683">
      <calculatedColumnFormula>IF(NOT(OR(BG2="12 months", BG2="24 months")), "X", " ")</calculatedColumnFormula>
    </tableColumn>
    <tableColumn id="62" xr3:uid="{00000000-0010-0000-0000-00003E000000}" name="Shop2District" dataDxfId="682">
      <calculatedColumnFormula>IF(NOT(OR(BH2="12 months", BH2="24 months")), "X", " ")</calculatedColumnFormula>
    </tableColumn>
    <tableColumn id="63" xr3:uid="{00000000-0010-0000-0000-00003F000000}" name="Shop2Region" dataDxfId="681">
      <calculatedColumnFormula>IF(NOT(OR(BI2="12 months", BI2="24 months")), "X", " ")</calculatedColumnFormula>
    </tableColumn>
    <tableColumn id="64" xr3:uid="{00000000-0010-0000-0000-000040000000}" name="ShopAddr2" dataDxfId="680">
      <calculatedColumnFormula>IF(NOT(OR(BJ2="12 months", BJ2="24 months")), "X", " ")</calculatedColumnFormula>
    </tableColumn>
    <tableColumn id="65" xr3:uid="{00000000-0010-0000-0000-000041000000}" name="ShopTel2" dataDxfId="679">
      <calculatedColumnFormula>IF(NOT(OR(BK2="12 months", BK2="24 months")), "X", " ")</calculatedColumnFormula>
    </tableColumn>
    <tableColumn id="66" xr3:uid="{00000000-0010-0000-0000-000042000000}" name="ShopBR2" dataDxfId="678">
      <calculatedColumnFormula>IF(NOT(OR(BL2="12 months", BL2="24 months")), "X", " ")</calculatedColumnFormula>
    </tableColumn>
    <tableColumn id="67" xr3:uid="{00000000-0010-0000-0000-000043000000}" name="ShopBRNameEN2" dataDxfId="677">
      <calculatedColumnFormula>IF(NOT(OR(BM2="12 months", BM2="24 months")), "X", " ")</calculatedColumnFormula>
    </tableColumn>
    <tableColumn id="68" xr3:uid="{00000000-0010-0000-0000-000044000000}" name="ShopBRNameTC2" dataDxfId="676">
      <calculatedColumnFormula>IF(NOT(OR(BN2="12 months", BN2="24 months")), "X", " ")</calculatedColumnFormula>
    </tableColumn>
    <tableColumn id="69" xr3:uid="{00000000-0010-0000-0000-000045000000}" name="ShopPOSQT2" dataDxfId="675">
      <calculatedColumnFormula>IF(NOT(OR(BO2="12 months", BO2="24 months")), "X", " ")</calculatedColumnFormula>
    </tableColumn>
    <tableColumn id="70" xr3:uid="{00000000-0010-0000-0000-000046000000}" name="RetailShopBRNameEN1" dataDxfId="674"/>
    <tableColumn id="71" xr3:uid="{00000000-0010-0000-0000-000047000000}" name="RetailShopAddr1" dataDxfId="673"/>
    <tableColumn id="72" xr3:uid="{00000000-0010-0000-0000-000048000000}" name="RetailShopTel1" dataDxfId="672"/>
    <tableColumn id="73" xr3:uid="{00000000-0010-0000-0000-000049000000}" name="RetailNoShop" dataDxfId="671">
      <calculatedColumnFormula>IF(NOT(OR(BS2="12 months", BS2="24 months")), "X", " ")</calculatedColumnFormula>
    </tableColumn>
    <tableColumn id="74" xr3:uid="{00000000-0010-0000-0000-00004A000000}" name="OnShopBRNameEN1" dataDxfId="670">
      <calculatedColumnFormula>IF('Application Merchant'!F36=0,"",'Application Merchant'!F36)</calculatedColumnFormula>
    </tableColumn>
    <tableColumn id="75" xr3:uid="{00000000-0010-0000-0000-00004B000000}" name="OnShopAddr1" dataDxfId="669">
      <calculatedColumnFormula>IF('Application Merchant'!B48=0,"",'Application Merchant'!B48)</calculatedColumnFormula>
    </tableColumn>
    <tableColumn id="76" xr3:uid="{00000000-0010-0000-0000-00004C000000}" name="OnShopTel1" dataDxfId="668">
      <calculatedColumnFormula>IF(NOT(OR(BV2="12 months", BV2="24 months")), "X", " ")</calculatedColumnFormula>
    </tableColumn>
    <tableColumn id="77" xr3:uid="{00000000-0010-0000-0000-00004D000000}" name="OnNoShop" dataDxfId="667">
      <calculatedColumnFormula>IF(NOT(OR(BW2="12 months", BW2="24 months")), "X", " ")</calculatedColumnFormula>
    </tableColumn>
    <tableColumn id="82" xr3:uid="{00000000-0010-0000-0000-000052000000}" name="ComTel" dataDxfId="666"/>
    <tableColumn id="83" xr3:uid="{00000000-0010-0000-0000-000053000000}" name="ComEmail" dataDxfId="665"/>
    <tableColumn id="84" xr3:uid="{00000000-0010-0000-0000-000054000000}" name="ShopLink" dataDxfId="664">
      <calculatedColumnFormula>IF(NOT(OR(BZ2="12 months", BZ2="24 months")), "X", " ")</calculatedColumnFormula>
    </tableColumn>
    <tableColumn id="85" xr3:uid="{00000000-0010-0000-0000-000055000000}" name="Con1Courtesy" dataDxfId="663"/>
    <tableColumn id="86" xr3:uid="{00000000-0010-0000-0000-000056000000}" name="Con1MrX" dataDxfId="662"/>
    <tableColumn id="87" xr3:uid="{00000000-0010-0000-0000-000057000000}" name="Con1MrsX" dataDxfId="661"/>
    <tableColumn id="88" xr3:uid="{00000000-0010-0000-0000-000058000000}" name="Con1MissX" dataDxfId="660"/>
    <tableColumn id="89" xr3:uid="{00000000-0010-0000-0000-000059000000}" name="Con1MsX" dataDxfId="659"/>
    <tableColumn id="90" xr3:uid="{00000000-0010-0000-0000-00005A000000}" name="ContFam1" dataDxfId="658"/>
    <tableColumn id="91" xr3:uid="{00000000-0010-0000-0000-00005B000000}" name="ContGiven1" dataDxfId="657">
      <calculatedColumnFormula>IF(Contacts!$B$4=0,"",Contacts!$B$4)</calculatedColumnFormula>
    </tableColumn>
    <tableColumn id="92" xr3:uid="{00000000-0010-0000-0000-00005C000000}" name="ContEN1" dataDxfId="656"/>
    <tableColumn id="606" xr3:uid="{00000000-0010-0000-0000-00005E020000}" name="ContCN"/>
    <tableColumn id="93" xr3:uid="{00000000-0010-0000-0000-00005D000000}" name="ContTitle1" dataDxfId="655"/>
    <tableColumn id="94" xr3:uid="{00000000-0010-0000-0000-00005E000000}" name="ContTel1" dataDxfId="654"/>
    <tableColumn id="95" xr3:uid="{00000000-0010-0000-0000-00005F000000}" name="ContEmail1" dataDxfId="653"/>
    <tableColumn id="96" xr3:uid="{00000000-0010-0000-0000-000060000000}" name="Con2Courtesy" dataDxfId="652"/>
    <tableColumn id="97" xr3:uid="{00000000-0010-0000-0000-000061000000}" name="Con2MrX" dataDxfId="651"/>
    <tableColumn id="98" xr3:uid="{00000000-0010-0000-0000-000062000000}" name="Con2MrsX" dataDxfId="650"/>
    <tableColumn id="99" xr3:uid="{00000000-0010-0000-0000-000063000000}" name="Con2MissX" dataDxfId="649"/>
    <tableColumn id="100" xr3:uid="{00000000-0010-0000-0000-000064000000}" name="Con2MsX" dataDxfId="648"/>
    <tableColumn id="101" xr3:uid="{00000000-0010-0000-0000-000065000000}" name="ContFam2" dataDxfId="647">
      <calculatedColumnFormula>Contacts!F2</calculatedColumnFormula>
    </tableColumn>
    <tableColumn id="102" xr3:uid="{00000000-0010-0000-0000-000066000000}" name="ContGiven2" dataDxfId="646">
      <calculatedColumnFormula>Contacts!F3</calculatedColumnFormula>
    </tableColumn>
    <tableColumn id="103" xr3:uid="{00000000-0010-0000-0000-000067000000}" name="ContEN2" dataDxfId="645"/>
    <tableColumn id="104" xr3:uid="{00000000-0010-0000-0000-000068000000}" name="ContTitle2" dataDxfId="644"/>
    <tableColumn id="105" xr3:uid="{00000000-0010-0000-0000-000069000000}" name="ContTel2" dataDxfId="643"/>
    <tableColumn id="106" xr3:uid="{00000000-0010-0000-0000-00006A000000}" name="ContEmail2" dataDxfId="642"/>
    <tableColumn id="645" xr3:uid="{00000000-0010-0000-0000-000085020000}" name="Con3Courtesy"/>
    <tableColumn id="646" xr3:uid="{00000000-0010-0000-0000-000086020000}" name="Con3MrX" dataDxfId="641">
      <calculatedColumnFormula>IF(DG2="Mr", "X", " ")</calculatedColumnFormula>
    </tableColumn>
    <tableColumn id="635" xr3:uid="{00000000-0010-0000-0000-00007B020000}" name="Con3MrsX" dataDxfId="640">
      <calculatedColumnFormula>IF(DG2="Mrs", "X", " ")</calculatedColumnFormula>
    </tableColumn>
    <tableColumn id="636" xr3:uid="{00000000-0010-0000-0000-00007C020000}" name="Con3MissX" dataDxfId="639">
      <calculatedColumnFormula>IF(DG2="Miss", "X", " ")</calculatedColumnFormula>
    </tableColumn>
    <tableColumn id="637" xr3:uid="{00000000-0010-0000-0000-00007D020000}" name="Con3MsX" dataDxfId="638">
      <calculatedColumnFormula>IF(DG2="Ms", "X", " ")</calculatedColumnFormula>
    </tableColumn>
    <tableColumn id="638" xr3:uid="{00000000-0010-0000-0000-00007E020000}" name="ContFam3" dataDxfId="637">
      <calculatedColumnFormula>IF(NOT(OR(DC2="12 months", DC2="24 months")), "X", " ")</calculatedColumnFormula>
    </tableColumn>
    <tableColumn id="639" xr3:uid="{00000000-0010-0000-0000-00007F020000}" name="ContGiven3" dataDxfId="636">
      <calculatedColumnFormula>IF(NOT(OR(DD2="12 months", DD2="24 months")), "X", " ")</calculatedColumnFormula>
    </tableColumn>
    <tableColumn id="640" xr3:uid="{00000000-0010-0000-0000-000080020000}" name="ContEN3"/>
    <tableColumn id="641" xr3:uid="{00000000-0010-0000-0000-000081020000}" name="ContTitle3"/>
    <tableColumn id="642" xr3:uid="{00000000-0010-0000-0000-000082020000}" name="ContTel3"/>
    <tableColumn id="643" xr3:uid="{00000000-0010-0000-0000-000083020000}" name="ContEmail3"/>
    <tableColumn id="644" xr3:uid="{00000000-0010-0000-0000-000084020000}" name="Con4Courtesy"/>
    <tableColumn id="596" xr3:uid="{00000000-0010-0000-0000-000054020000}" name="Con4MrX" dataDxfId="635">
      <calculatedColumnFormula>IF(DR2="Mr", "X", " ")</calculatedColumnFormula>
    </tableColumn>
    <tableColumn id="597" xr3:uid="{00000000-0010-0000-0000-000055020000}" name="Con4MrsX" dataDxfId="634">
      <calculatedColumnFormula>IF(DR2="Mrs", "X", " ")</calculatedColumnFormula>
    </tableColumn>
    <tableColumn id="621" xr3:uid="{00000000-0010-0000-0000-00006D020000}" name="Con4MissX" dataDxfId="633">
      <calculatedColumnFormula>IF(DR2="Miss", "X", " ")</calculatedColumnFormula>
    </tableColumn>
    <tableColumn id="622" xr3:uid="{00000000-0010-0000-0000-00006E020000}" name="Con4MsX" dataDxfId="632">
      <calculatedColumnFormula>IF(DR2="Ms", "X", " ")</calculatedColumnFormula>
    </tableColumn>
    <tableColumn id="623" xr3:uid="{00000000-0010-0000-0000-00006F020000}" name="ContFam4" dataDxfId="631">
      <calculatedColumnFormula>IF(NOT(OR(DN2="12 months", DN2="24 months")), "X", " ")</calculatedColumnFormula>
    </tableColumn>
    <tableColumn id="630" xr3:uid="{00000000-0010-0000-0000-000076020000}" name="ContGiven4" dataDxfId="630">
      <calculatedColumnFormula>IF(NOT(OR(DO2="12 months", DO2="24 months")), "X", " ")</calculatedColumnFormula>
    </tableColumn>
    <tableColumn id="631" xr3:uid="{00000000-0010-0000-0000-000077020000}" name="ContEN4"/>
    <tableColumn id="632" xr3:uid="{00000000-0010-0000-0000-000078020000}" name="ContTitle4"/>
    <tableColumn id="633" xr3:uid="{00000000-0010-0000-0000-000079020000}" name="ContTel4"/>
    <tableColumn id="634" xr3:uid="{00000000-0010-0000-0000-00007A020000}" name="ContEmail4"/>
    <tableColumn id="107" xr3:uid="{00000000-0010-0000-0000-00006B000000}" name="BModel" dataDxfId="629">
      <calculatedColumnFormula>+'Application Merchant'!B23</calculatedColumnFormula>
    </tableColumn>
    <tableColumn id="647" xr3:uid="{00000000-0010-0000-0000-000087020000}" name="SMBMerchant_FD"/>
    <tableColumn id="108" xr3:uid="{00000000-0010-0000-0000-00006C000000}" name="ICLMCC" dataDxfId="628">
      <calculatedColumnFormula>IF('Application Merchant'!J8=0,"",'Application Merchant'!J8)</calculatedColumnFormula>
    </tableColumn>
    <tableColumn id="109" xr3:uid="{00000000-0010-0000-0000-00006D000000}" name="FDMCC" dataDxfId="627"/>
    <tableColumn id="110" xr3:uid="{00000000-0010-0000-0000-00006E000000}" name="EasylinkMCC" dataDxfId="626">
      <calculatedColumnFormula>IF('Application Merchant'!J10=0,"",'Application Merchant'!J10)</calculatedColumnFormula>
    </tableColumn>
    <tableColumn id="111" xr3:uid="{00000000-0010-0000-0000-00006F000000}" name="TicketSize" dataDxfId="625"/>
    <tableColumn id="81" xr3:uid="{00000000-0010-0000-0000-000051000000}" name="FPS Cap" dataDxfId="624"/>
    <tableColumn id="112" xr3:uid="{00000000-0010-0000-0000-000070000000}" name="AturnoverOff" dataDxfId="623"/>
    <tableColumn id="113" xr3:uid="{00000000-0010-0000-0000-000071000000}" name="FPS&lt;8KX" dataDxfId="622">
      <calculatedColumnFormula>IF($EI$3="&lt;$8,000","X","")</calculatedColumnFormula>
    </tableColumn>
    <tableColumn id="114" xr3:uid="{00000000-0010-0000-0000-000072000000}" name="FPS&gt;8KX" dataDxfId="621">
      <calculatedColumnFormula>IF($EI$3="≥ $8,000","X","")</calculatedColumnFormula>
    </tableColumn>
    <tableColumn id="586" xr3:uid="{00000000-0010-0000-0000-00004A020000}" name="AturnoverAW" dataDxfId="620"/>
    <tableColumn id="587" xr3:uid="{00000000-0010-0000-0000-00004B020000}" name="MturnoverAW1" dataDxfId="619"/>
    <tableColumn id="115" xr3:uid="{00000000-0010-0000-0000-000073000000}" name="AturnoverVM" dataDxfId="618"/>
    <tableColumn id="116" xr3:uid="{00000000-0010-0000-0000-000074000000}" name="AturnoverOn" dataDxfId="617">
      <calculatedColumnFormula>IF(NOT(OR(EG2="12 months", EG2="24 months")), "X", " ")</calculatedColumnFormula>
    </tableColumn>
    <tableColumn id="117" xr3:uid="{00000000-0010-0000-0000-000075000000}" name="AturnoverO2O" dataDxfId="616">
      <calculatedColumnFormula>IF(NOT(OR(EH2="12 months", EH2="24 months")), "X", " ")</calculatedColumnFormula>
    </tableColumn>
    <tableColumn id="118" xr3:uid="{00000000-0010-0000-0000-000076000000}" name="TotalAturnoverOn" dataDxfId="615"/>
    <tableColumn id="119" xr3:uid="{00000000-0010-0000-0000-000077000000}" name="Aturnover" dataDxfId="614"/>
    <tableColumn id="120" xr3:uid="{00000000-0010-0000-0000-000078000000}" name="%AturnoverOff" dataDxfId="613">
      <calculatedColumnFormula>ROUND(EO2/ES2,2)</calculatedColumnFormula>
    </tableColumn>
    <tableColumn id="121" xr3:uid="{00000000-0010-0000-0000-000079000000}" name="%AturnoverOn" dataDxfId="612">
      <calculatedColumnFormula>1-__Anonymous_Sheet_DB__1[[#This Row],[%AturnoverOff]]-__Anonymous_Sheet_DB__1[[#This Row],[%AturnoverO2O]]%</calculatedColumnFormula>
    </tableColumn>
    <tableColumn id="122" xr3:uid="{00000000-0010-0000-0000-00007A000000}" name="%AturnoverO2O" dataDxfId="611">
      <calculatedColumnFormula>ROUND(EQ2/ES2,2)</calculatedColumnFormula>
    </tableColumn>
    <tableColumn id="123" xr3:uid="{00000000-0010-0000-0000-00007B000000}" name="Aturnover_FPST&amp;G" dataDxfId="610"/>
    <tableColumn id="124" xr3:uid="{00000000-0010-0000-0000-00007C000000}" name="Aturnover_VM" dataDxfId="609">
      <calculatedColumnFormula>IF('Application Merchant'!J21=0,"",'Application Merchant'!J21)</calculatedColumnFormula>
    </tableColumn>
    <tableColumn id="125" xr3:uid="{00000000-0010-0000-0000-00007D000000}" name="Aturnover_OCL" dataDxfId="608">
      <calculatedColumnFormula>IF('Application Merchant'!J22=0,"",'Application Merchant'!J22)</calculatedColumnFormula>
    </tableColumn>
    <tableColumn id="126" xr3:uid="{00000000-0010-0000-0000-00007E000000}" name="%FPS" dataDxfId="607"/>
    <tableColumn id="127" xr3:uid="{00000000-0010-0000-0000-00007F000000}" name="%TNG" dataDxfId="606"/>
    <tableColumn id="128" xr3:uid="{00000000-0010-0000-0000-000080000000}" name="%VM" dataDxfId="605"/>
    <tableColumn id="129" xr3:uid="{00000000-0010-0000-0000-000081000000}" name="%AE" dataDxfId="604"/>
    <tableColumn id="130" xr3:uid="{00000000-0010-0000-0000-000082000000}" name="%CUP" dataDxfId="603"/>
    <tableColumn id="131" xr3:uid="{00000000-0010-0000-0000-000083000000}" name="%OCL" dataDxfId="602">
      <calculatedColumnFormula>IF('Application Merchant'!J25=0,"",'Application Merchant'!J25)</calculatedColumnFormula>
    </tableColumn>
    <tableColumn id="132" xr3:uid="{00000000-0010-0000-0000-000084000000}" name="%AW" dataDxfId="601"/>
    <tableColumn id="133" xr3:uid="{00000000-0010-0000-0000-000085000000}" name="OfflineFPSX" dataDxfId="600">
      <calculatedColumnFormula>IF(+'Payment Channels'!$B$11=0,"",'Payment Channels'!$B$11)</calculatedColumnFormula>
    </tableColumn>
    <tableColumn id="134" xr3:uid="{00000000-0010-0000-0000-000086000000}" name="OfflineMDR_FPS" dataDxfId="599"/>
    <tableColumn id="135" xr3:uid="{00000000-0010-0000-0000-000087000000}" name="OfflineT&amp;GX" dataDxfId="598">
      <calculatedColumnFormula>IF(+'Payment Channels'!$B$9=0,"",'Payment Channels'!$B$9)</calculatedColumnFormula>
    </tableColumn>
    <tableColumn id="136" xr3:uid="{00000000-0010-0000-0000-000088000000}" name="OfflineMDR_T&amp;G" dataDxfId="597"/>
    <tableColumn id="137" xr3:uid="{00000000-0010-0000-0000-000089000000}" name="OnlineFPSX" dataDxfId="596">
      <calculatedColumnFormula>IF(AA2="X","X","")</calculatedColumnFormula>
    </tableColumn>
    <tableColumn id="138" xr3:uid="{00000000-0010-0000-0000-00008A000000}" name="OnlineMDR_FPS" dataDxfId="595">
      <calculatedColumnFormula>+IF('Payment Channels'!$N$8=0,"",'Payment Channels'!$N$8)</calculatedColumnFormula>
    </tableColumn>
    <tableColumn id="139" xr3:uid="{00000000-0010-0000-0000-00008B000000}" name="OnlineT&amp;GX" dataDxfId="594">
      <calculatedColumnFormula>IF('Payment Channels'!$N$2=0,"",'Payment Channels'!$N$2)</calculatedColumnFormula>
    </tableColumn>
    <tableColumn id="140" xr3:uid="{00000000-0010-0000-0000-00008C000000}" name="OnlineMDR_T&amp;G" dataDxfId="593">
      <calculatedColumnFormula>+IF('Payment Channels'!$N$9=0,"",'Payment Channels'!$N$9)</calculatedColumnFormula>
    </tableColumn>
    <tableColumn id="618" xr3:uid="{00000000-0010-0000-0000-00006A020000}" name="POS_FPS" dataDxfId="592"/>
    <tableColumn id="141" xr3:uid="{00000000-0010-0000-0000-00008D000000}" name="POSMDR_FPS" dataDxfId="591"/>
    <tableColumn id="617" xr3:uid="{00000000-0010-0000-0000-000069020000}" name="POS_T&amp;G" dataDxfId="590"/>
    <tableColumn id="142" xr3:uid="{00000000-0010-0000-0000-00008E000000}" name="POSMDR_T&amp;G" dataDxfId="589"/>
    <tableColumn id="616" xr3:uid="{00000000-0010-0000-0000-000068020000}" name="POS_VM" dataDxfId="588"/>
    <tableColumn id="143" xr3:uid="{00000000-0010-0000-0000-00008F000000}" name="POSMDR_VM" dataDxfId="587"/>
    <tableColumn id="212" xr3:uid="{00000000-0010-0000-0000-0000D4000000}" name="POSMDR_VMFC" dataDxfId="586"/>
    <tableColumn id="619" xr3:uid="{00000000-0010-0000-0000-00006B020000}" name="POS_CUP" dataDxfId="585"/>
    <tableColumn id="624" xr3:uid="{00000000-0010-0000-0000-000070020000}" name="POS_CUPQR" dataDxfId="584"/>
    <tableColumn id="147" xr3:uid="{00000000-0010-0000-0000-000093000000}" name="POSMDR_CUP" dataDxfId="583"/>
    <tableColumn id="148" xr3:uid="{00000000-0010-0000-0000-000094000000}" name="POSMDR_CUPCN" dataDxfId="582"/>
    <tableColumn id="626" xr3:uid="{00000000-0010-0000-0000-000072020000}" name="POS_CLUB" dataDxfId="581"/>
    <tableColumn id="625" xr3:uid="{00000000-0010-0000-0000-000071020000}" name="POSMDR_CLUB" dataDxfId="580"/>
    <tableColumn id="627" xr3:uid="{00000000-0010-0000-0000-000073020000}" name="POSMDR_CLUBFEE" dataDxfId="579"/>
    <tableColumn id="620" xr3:uid="{00000000-0010-0000-0000-00006C020000}" name="POS_OCL" dataDxfId="578"/>
    <tableColumn id="149" xr3:uid="{00000000-0010-0000-0000-000095000000}" name="POSMDR_OCL" dataDxfId="577"/>
    <tableColumn id="628" xr3:uid="{00000000-0010-0000-0000-000074020000}" name="POS_Alipay" dataDxfId="576"/>
    <tableColumn id="150" xr3:uid="{00000000-0010-0000-0000-000096000000}" name="POSMDR_Alipay" dataDxfId="575"/>
    <tableColumn id="629" xr3:uid="{00000000-0010-0000-0000-000075020000}" name="POS_Wechat" dataDxfId="574"/>
    <tableColumn id="151" xr3:uid="{00000000-0010-0000-0000-000097000000}" name="POSMDR_Wechat" dataDxfId="573">
      <calculatedColumnFormula>IF(__Anonymous_Sheet_DB__1[[#This Row],[POS_Wechat]]="","",#REF!)</calculatedColumnFormula>
    </tableColumn>
    <tableColumn id="739" xr3:uid="{00000000-0010-0000-0000-0000E3020000}" name="HKTPOS_FPS"/>
    <tableColumn id="738" xr3:uid="{00000000-0010-0000-0000-0000E2020000}" name="HKTPOSMDR_FPS"/>
    <tableColumn id="737" xr3:uid="{00000000-0010-0000-0000-0000E1020000}" name="HKTPOS_T&amp;G"/>
    <tableColumn id="736" xr3:uid="{00000000-0010-0000-0000-0000E0020000}" name="HKTPOSMDR_T&amp;G"/>
    <tableColumn id="735" xr3:uid="{00000000-0010-0000-0000-0000DF020000}" name="HKTPOS_VM"/>
    <tableColumn id="152" xr3:uid="{00000000-0010-0000-0000-000098000000}" name="HKTPOSMDR_VM" dataDxfId="572">
      <calculatedColumnFormula>+IF(#REF!=0,"",#REF!)</calculatedColumnFormula>
    </tableColumn>
    <tableColumn id="583" xr3:uid="{00000000-0010-0000-0000-000047020000}" name="HKTPOSMDR_VMFC" dataDxfId="571"/>
    <tableColumn id="743" xr3:uid="{00000000-0010-0000-0000-0000E7020000}" name="FPSSuite"/>
    <tableColumn id="742" xr3:uid="{00000000-0010-0000-0000-0000E6020000}" name="FPSSuiteMDR"/>
    <tableColumn id="741" xr3:uid="{00000000-0010-0000-0000-0000E5020000}" name="FPSSuite_QR" dataDxfId="570">
      <calculatedColumnFormula>+IF(#REF!=0,"",#REF!)</calculatedColumnFormula>
    </tableColumn>
    <tableColumn id="740" xr3:uid="{00000000-0010-0000-0000-0000E4020000}" name="FPSSuiteMDR_FPSQR"/>
    <tableColumn id="744" xr3:uid="{00000000-0010-0000-0000-0000E8020000}" name="FPSSuite_POSApp" dataDxfId="569">
      <calculatedColumnFormula>+IF(#REF!=0,"",#REF!)</calculatedColumnFormula>
    </tableColumn>
    <tableColumn id="585" xr3:uid="{00000000-0010-0000-0000-000049020000}" name="FPSSuiteMDR_FPSPOSAPP" dataDxfId="568"/>
    <tableColumn id="745" xr3:uid="{00000000-0010-0000-0000-0000E9020000}" name="FPSSuite_billing" dataDxfId="567">
      <calculatedColumnFormula>+IF(#REF!=0,"",#REF!)</calculatedColumnFormula>
    </tableColumn>
    <tableColumn id="746" xr3:uid="{00000000-0010-0000-0000-0000EA020000}" name="FPSSuiteMDR_FPSBILL"/>
    <tableColumn id="727" xr3:uid="{00000000-0010-0000-0000-0000D7020000}" name="BillT&amp;GX"/>
    <tableColumn id="729" xr3:uid="{00000000-0010-0000-0000-0000D9020000}" name="T&amp;GMDR_BILL" dataDxfId="566">
      <calculatedColumnFormula>+IF(#REF!="","",#REF!)</calculatedColumnFormula>
    </tableColumn>
    <tableColumn id="153" xr3:uid="{00000000-0010-0000-0000-000099000000}" name="OPGMDR_FPS" dataDxfId="565">
      <calculatedColumnFormula>+IF('Payment Channels'!$N$8=0,"",'Payment Channels'!$N$8)</calculatedColumnFormula>
    </tableColumn>
    <tableColumn id="154" xr3:uid="{00000000-0010-0000-0000-00009A000000}" name="OPGMDR_T&amp;G" dataDxfId="564">
      <calculatedColumnFormula>+IF('Payment Channels'!$N$9=0,"",'Payment Channels'!$N$9)</calculatedColumnFormula>
    </tableColumn>
    <tableColumn id="155" xr3:uid="{00000000-0010-0000-0000-00009B000000}" name="OPGMDR_VM" dataDxfId="563">
      <calculatedColumnFormula>IF('Payment Channels'!$N$15=0,"",'Payment Channels'!$N$15)</calculatedColumnFormula>
    </tableColumn>
    <tableColumn id="215" xr3:uid="{00000000-0010-0000-0000-0000D7000000}" name="OPGMDR_VMFC" dataDxfId="562">
      <calculatedColumnFormula>IF('Payment Channels'!$N$15=0,"",'Payment Channels'!$N$15)</calculatedColumnFormula>
    </tableColumn>
    <tableColumn id="579" xr3:uid="{00000000-0010-0000-0000-000043020000}" name="OPGMDR_Alipay" dataDxfId="561">
      <calculatedColumnFormula>IF('Payment Channels'!$N$15=0,"",'Payment Channels'!$N$15)</calculatedColumnFormula>
    </tableColumn>
    <tableColumn id="580" xr3:uid="{00000000-0010-0000-0000-000044020000}" name="OPGMDR_Wechat" dataDxfId="560">
      <calculatedColumnFormula>IF('Payment Channels'!$N$15=0,"",'Payment Channels'!$N$15)</calculatedColumnFormula>
    </tableColumn>
    <tableColumn id="581" xr3:uid="{00000000-0010-0000-0000-000045020000}" name="OPGMDR_CUP" dataDxfId="559">
      <calculatedColumnFormula>IF('Payment Channels'!$N$15=0,"",'Payment Channels'!$N$15)</calculatedColumnFormula>
    </tableColumn>
    <tableColumn id="216" xr3:uid="{00000000-0010-0000-0000-0000D8000000}" name="OPGMDR_CUPCN" dataDxfId="558">
      <calculatedColumnFormula>IF('Payment Channels'!$N$16=0,"",'Payment Channels'!$N$16)</calculatedColumnFormula>
    </tableColumn>
    <tableColumn id="156" xr3:uid="{00000000-0010-0000-0000-00009C000000}" name="O2ODIYMDR_T&amp;G" dataDxfId="557">
      <calculatedColumnFormula>IF('Payment Channels'!$N$33=0,"",'Payment Channels'!$N$33)</calculatedColumnFormula>
    </tableColumn>
    <tableColumn id="157" xr3:uid="{00000000-0010-0000-0000-00009D000000}" name="O2ODIYMDR_VM" dataDxfId="556">
      <calculatedColumnFormula>IF('Payment Channels'!$N$33=0,"",'Payment Channels'!$N$33)</calculatedColumnFormula>
    </tableColumn>
    <tableColumn id="158" xr3:uid="{00000000-0010-0000-0000-00009E000000}" name="O2ODIYMDR_AMEX" dataDxfId="555">
      <calculatedColumnFormula>IF('Payment Channels'!$N$33=0,"",'Payment Channels'!$N$33)</calculatedColumnFormula>
    </tableColumn>
    <tableColumn id="159" xr3:uid="{00000000-0010-0000-0000-00009F000000}" name="O2ODIYMDR_Alipay" dataDxfId="554">
      <calculatedColumnFormula>IF('Payment Channels'!$N$33=0,"",'Payment Channels'!$N$33)</calculatedColumnFormula>
    </tableColumn>
    <tableColumn id="160" xr3:uid="{00000000-0010-0000-0000-0000A0000000}" name="O2ODIYMDR_Wechat" dataDxfId="553">
      <calculatedColumnFormula>IF('Payment Channels'!$N$33=0,"",'Payment Channels'!$N$33)</calculatedColumnFormula>
    </tableColumn>
    <tableColumn id="161" xr3:uid="{00000000-0010-0000-0000-0000A1000000}" name="O2OMDR_VM" dataDxfId="552">
      <calculatedColumnFormula>IF('Payment Channels'!$N$43=0,"",'Payment Channels'!$N$43)</calculatedColumnFormula>
    </tableColumn>
    <tableColumn id="162" xr3:uid="{00000000-0010-0000-0000-0000A2000000}" name="O2OPMMDR_FPS" dataDxfId="551">
      <calculatedColumnFormula>IF('Payment Channels'!$N$43=0,"",'Payment Channels'!$N$43)</calculatedColumnFormula>
    </tableColumn>
    <tableColumn id="163" xr3:uid="{00000000-0010-0000-0000-0000A3000000}" name="O2OPMMDR_T&amp;G" dataDxfId="550">
      <calculatedColumnFormula>IF('Payment Channels'!$N$43=0,"",'Payment Channels'!$N$43)</calculatedColumnFormula>
    </tableColumn>
    <tableColumn id="164" xr3:uid="{00000000-0010-0000-0000-0000A4000000}" name="O2OPMMDR_VM" dataDxfId="549">
      <calculatedColumnFormula>IF('Payment Channels'!$N$43=0,"",'Payment Channels'!$N$43)</calculatedColumnFormula>
    </tableColumn>
    <tableColumn id="165" xr3:uid="{00000000-0010-0000-0000-0000A5000000}" name="O2OF&amp;BMDR_T&amp;G" dataDxfId="548">
      <calculatedColumnFormula>IF('Payment Channels'!$N$43=0,"",'Payment Channels'!$N$43)</calculatedColumnFormula>
    </tableColumn>
    <tableColumn id="166" xr3:uid="{00000000-0010-0000-0000-0000A6000000}" name="O2OF&amp;BMDR_VM" dataDxfId="547">
      <calculatedColumnFormula>IF('Payment Channels'!$N$43=0,"",'Payment Channels'!$N$43)</calculatedColumnFormula>
    </tableColumn>
    <tableColumn id="167" xr3:uid="{00000000-0010-0000-0000-0000A7000000}" name="O2OSBMDR_T&amp;G" dataDxfId="546">
      <calculatedColumnFormula>IF('Payment Channels'!$N$43=0,"",'Payment Channels'!$N$43)</calculatedColumnFormula>
    </tableColumn>
    <tableColumn id="168" xr3:uid="{00000000-0010-0000-0000-0000A8000000}" name="O2OSBMDR_VM" dataDxfId="545">
      <calculatedColumnFormula>IF('Payment Channels'!$N$43=0,"",'Payment Channels'!$N$43)</calculatedColumnFormula>
    </tableColumn>
    <tableColumn id="169" xr3:uid="{00000000-0010-0000-0000-0000A9000000}" name="O2OCaterMDR_T&amp;G" dataDxfId="544">
      <calculatedColumnFormula>IF('Payment Channels'!$N$41=0,"",'Payment Channels'!$N$41)</calculatedColumnFormula>
    </tableColumn>
    <tableColumn id="170" xr3:uid="{00000000-0010-0000-0000-0000AA000000}" name="O2OCaterMDR_VM" dataDxfId="543">
      <calculatedColumnFormula>IF('Payment Channels'!$N$42=0,"",'Payment Channels'!$N$42)</calculatedColumnFormula>
    </tableColumn>
    <tableColumn id="171" xr3:uid="{00000000-0010-0000-0000-0000AB000000}" name="O2OSmartSchMDR_T&amp;G" dataDxfId="542">
      <calculatedColumnFormula>IF('Payment Channels'!$N$43=0,"",'Payment Channels'!$N$43)</calculatedColumnFormula>
    </tableColumn>
    <tableColumn id="172" xr3:uid="{00000000-0010-0000-0000-0000AC000000}" name="VM Approval" dataDxfId="541">
      <calculatedColumnFormula>+IF('Payment Channels'!$N$45=0,"",'Payment Channels'!$N$45)</calculatedColumnFormula>
    </tableColumn>
    <tableColumn id="173" xr3:uid="{00000000-0010-0000-0000-0000AD000000}" name="AMEX Approval" dataDxfId="540">
      <calculatedColumnFormula>+IF('Payment Channels'!$N$46=0,"",'Payment Channels'!$N$46)</calculatedColumnFormula>
    </tableColumn>
    <tableColumn id="174" xr3:uid="{00000000-0010-0000-0000-0000AE000000}" name="CUP Approval" dataDxfId="539">
      <calculatedColumnFormula>+IF('Payment Channels'!$N$47=0,"",'Payment Channels'!$N$47)</calculatedColumnFormula>
    </tableColumn>
    <tableColumn id="175" xr3:uid="{00000000-0010-0000-0000-0000AF000000}" name="BRNameEN" dataDxfId="538"/>
    <tableColumn id="176" xr3:uid="{00000000-0010-0000-0000-0000B0000000}" name="BRNameTC" dataDxfId="537"/>
    <tableColumn id="177" xr3:uid="{00000000-0010-0000-0000-0000B1000000}" name="BRFltRm" dataDxfId="536"/>
    <tableColumn id="178" xr3:uid="{00000000-0010-0000-0000-0000B2000000}" name="BRFloor" dataDxfId="535"/>
    <tableColumn id="179" xr3:uid="{00000000-0010-0000-0000-0000B3000000}" name="BRBlkBldg" dataDxfId="534"/>
    <tableColumn id="180" xr3:uid="{00000000-0010-0000-0000-0000B4000000}" name="BRStreet" dataDxfId="533"/>
    <tableColumn id="181" xr3:uid="{00000000-0010-0000-0000-0000B5000000}" name="BRDistrict" dataDxfId="532"/>
    <tableColumn id="182" xr3:uid="{00000000-0010-0000-0000-0000B6000000}" name="BRRegion" dataDxfId="531"/>
    <tableColumn id="183" xr3:uid="{00000000-0010-0000-0000-0000B7000000}" name="BRAddr" dataDxfId="530"/>
    <tableColumn id="184" xr3:uid="{00000000-0010-0000-0000-0000B8000000}" name="BillFltRm" dataDxfId="529">
      <calculatedColumnFormula>IF('Application Merchant'!F14=0,"",'Application Merchant'!F14)</calculatedColumnFormula>
    </tableColumn>
    <tableColumn id="185" xr3:uid="{00000000-0010-0000-0000-0000B9000000}" name="BillFloor" dataDxfId="528">
      <calculatedColumnFormula>IF('Application Merchant'!F15=0,"",'Application Merchant'!F15)</calculatedColumnFormula>
    </tableColumn>
    <tableColumn id="186" xr3:uid="{00000000-0010-0000-0000-0000BA000000}" name="BillBlkBldg" dataDxfId="527">
      <calculatedColumnFormula>IF('Application Merchant'!F16=0,"",'Application Merchant'!F16)</calculatedColumnFormula>
    </tableColumn>
    <tableColumn id="187" xr3:uid="{00000000-0010-0000-0000-0000BB000000}" name="BillStreet" dataDxfId="526">
      <calculatedColumnFormula>IF('Application Merchant'!F17=0,"",'Application Merchant'!F17)</calculatedColumnFormula>
    </tableColumn>
    <tableColumn id="188" xr3:uid="{00000000-0010-0000-0000-0000BC000000}" name="BillDistrict" dataDxfId="525">
      <calculatedColumnFormula>IF('Application Merchant'!F18=0,"",'Application Merchant'!F18)</calculatedColumnFormula>
    </tableColumn>
    <tableColumn id="189" xr3:uid="{00000000-0010-0000-0000-0000BD000000}" name="BillRegion" dataDxfId="524">
      <calculatedColumnFormula>IF('Application Merchant'!F19=0,"",'Application Merchant'!F19)</calculatedColumnFormula>
    </tableColumn>
    <tableColumn id="190" xr3:uid="{00000000-0010-0000-0000-0000BE000000}" name="BillAddr" dataDxfId="523"/>
    <tableColumn id="191" xr3:uid="{00000000-0010-0000-0000-0000BF000000}" name="BRNature" dataDxfId="522"/>
    <tableColumn id="192" xr3:uid="{00000000-0010-0000-0000-0000C0000000}" name="SoleproX" dataDxfId="521">
      <calculatedColumnFormula>IF(LEFT('Application Merchant'!J17,4)="Sole","X","")</calculatedColumnFormula>
    </tableColumn>
    <tableColumn id="193" xr3:uid="{00000000-0010-0000-0000-0000C1000000}" name="PartnerX" dataDxfId="520">
      <calculatedColumnFormula>IF(LEFT('Application Merchant'!J17,4)="Part","X","")</calculatedColumnFormula>
    </tableColumn>
    <tableColumn id="194" xr3:uid="{00000000-0010-0000-0000-0000C2000000}" name="LimitedX" dataDxfId="519">
      <calculatedColumnFormula>IF(LEFT('Application Merchant'!J17,4)="Limi","X","")</calculatedColumnFormula>
    </tableColumn>
    <tableColumn id="195" xr3:uid="{00000000-0010-0000-0000-0000C3000000}" name="PLimitedX" dataDxfId="518">
      <calculatedColumnFormula>IF(LEFT('Application Merchant'!J17,4)="Publ","X","")</calculatedColumnFormula>
    </tableColumn>
    <tableColumn id="196" xr3:uid="{00000000-0010-0000-0000-0000C4000000}" name="GOVX" dataDxfId="517">
      <calculatedColumnFormula>IF(LEFT('Application Merchant'!J17,4)="Gove","X","")</calculatedColumnFormula>
    </tableColumn>
    <tableColumn id="197" xr3:uid="{00000000-0010-0000-0000-0000C5000000}" name="NGOX" dataDxfId="516">
      <calculatedColumnFormula>IF(LEFT('Application Merchant'!J17,4)="NGO","X","")</calculatedColumnFormula>
    </tableColumn>
    <tableColumn id="198" xr3:uid="{00000000-0010-0000-0000-0000C6000000}" name="BREntityOtherX" dataDxfId="515">
      <calculatedColumnFormula>IF(COUNTIF(IR2:IW2, "X") = 0, "X", "")</calculatedColumnFormula>
    </tableColumn>
    <tableColumn id="199" xr3:uid="{00000000-0010-0000-0000-0000C7000000}" name="BREntity" dataDxfId="514">
      <calculatedColumnFormula>IF(LEFT('Application Merchant'!J17,6)="Other:","",'Application Merchant'!J17)</calculatedColumnFormula>
    </tableColumn>
    <tableColumn id="200" xr3:uid="{00000000-0010-0000-0000-0000C8000000}" name="BREntityOther" dataDxfId="513">
      <calculatedColumnFormula>IF(__Anonymous_Sheet_DB__1[[#This Row],[BREntityOtherX]]="X",'Application Merchant'!J17,"")</calculatedColumnFormula>
    </tableColumn>
    <tableColumn id="201" xr3:uid="{00000000-0010-0000-0000-0000C9000000}" name="BRDD" dataDxfId="512"/>
    <tableColumn id="202" xr3:uid="{00000000-0010-0000-0000-0000CA000000}" name="BRMM" dataDxfId="511">
      <calculatedColumnFormula>TEXT(MONTH('Application Merchant'!B21),"00")</calculatedColumnFormula>
    </tableColumn>
    <tableColumn id="203" xr3:uid="{00000000-0010-0000-0000-0000CB000000}" name="BRYYYY" dataDxfId="510">
      <calculatedColumnFormula>TEXT(YEAR('Application Merchant'!B21),"0000")</calculatedColumnFormula>
    </tableColumn>
    <tableColumn id="204" xr3:uid="{00000000-0010-0000-0000-0000CC000000}" name="BRYY" dataDxfId="509"/>
    <tableColumn id="205" xr3:uid="{00000000-0010-0000-0000-0000CD000000}" name="BRDate" dataDxfId="508"/>
    <tableColumn id="206" xr3:uid="{00000000-0010-0000-0000-0000CE000000}" name="BRDateEnd" dataDxfId="507">
      <calculatedColumnFormula>EDATE(__Anonymous_Sheet_DB__1[[#This Row],[BRDate]],12)-1</calculatedColumnFormula>
    </tableColumn>
    <tableColumn id="207" xr3:uid="{00000000-0010-0000-0000-0000CF000000}" name="BR" dataDxfId="506"/>
    <tableColumn id="591" xr3:uid="{00000000-0010-0000-0000-00004F020000}" name="BR Number" dataDxfId="505"/>
    <tableColumn id="590" xr3:uid="{00000000-0010-0000-0000-00004E020000}" name="BR Issue Date" dataDxfId="504"/>
    <tableColumn id="592" xr3:uid="{00000000-0010-0000-0000-000050020000}" name="Full BR Number(w/oDATE)" dataDxfId="503">
      <calculatedColumnFormula>JG2&amp;" -"&amp;" "&amp;JH2&amp;""</calculatedColumnFormula>
    </tableColumn>
    <tableColumn id="208" xr3:uid="{00000000-0010-0000-0000-0000D0000000}" name="Full BR Number2" dataDxfId="502"/>
    <tableColumn id="217" xr3:uid="{00000000-0010-0000-0000-0000D9000000}" name="CICountry" dataDxfId="501"/>
    <tableColumn id="218" xr3:uid="{00000000-0010-0000-0000-0000DA000000}" name="CICountryHKX" dataDxfId="500">
      <calculatedColumnFormula>IF('Application Merchant'!B22="Hong Kong, China","X","")</calculatedColumnFormula>
    </tableColumn>
    <tableColumn id="219" xr3:uid="{00000000-0010-0000-0000-0000DB000000}" name="CICountryOtherX" dataDxfId="499"/>
    <tableColumn id="220" xr3:uid="{00000000-0010-0000-0000-0000DC000000}" name="CICountryOther" dataDxfId="498"/>
    <tableColumn id="221" xr3:uid="{00000000-0010-0000-0000-0000DD000000}" name="CIDD" dataDxfId="497"/>
    <tableColumn id="222" xr3:uid="{00000000-0010-0000-0000-0000DE000000}" name="CIMM" dataDxfId="496"/>
    <tableColumn id="223" xr3:uid="{00000000-0010-0000-0000-0000DF000000}" name="CIYYYY" dataDxfId="495"/>
    <tableColumn id="224" xr3:uid="{00000000-0010-0000-0000-0000E0000000}" name="CIYY" dataDxfId="494"/>
    <tableColumn id="225" xr3:uid="{00000000-0010-0000-0000-0000E1000000}" name="CIDate" dataDxfId="493"/>
    <tableColumn id="226" xr3:uid="{00000000-0010-0000-0000-0000E2000000}" name="CI" dataDxfId="492"/>
    <tableColumn id="227" xr3:uid="{00000000-0010-0000-0000-0000E3000000}" name="BankAddr" dataDxfId="491"/>
    <tableColumn id="17" xr3:uid="{00000000-0010-0000-0000-000011000000}" name="BankCode" dataDxfId="490">
      <calculatedColumnFormula>IF('Application Merchant'!F28=0,"",'Application Merchant'!F28)</calculatedColumnFormula>
    </tableColumn>
    <tableColumn id="211" xr3:uid="{00000000-0010-0000-0000-0000D3000000}" name="BankCodeVM" dataDxfId="489">
      <calculatedColumnFormula>0&amp;__Anonymous_Sheet_DB__1[[#This Row],[BankCode]]</calculatedColumnFormula>
    </tableColumn>
    <tableColumn id="228" xr3:uid="{00000000-0010-0000-0000-0000E4000000}" name="BankName" dataDxfId="488">
      <calculatedColumnFormula>IF('Application Merchant'!F26=0,"",'Application Merchant'!F26)</calculatedColumnFormula>
    </tableColumn>
    <tableColumn id="229" xr3:uid="{00000000-0010-0000-0000-0000E5000000}" name="Bank" dataDxfId="487">
      <calculatedColumnFormula>IF('Application Merchant'!F26=0,"",'Application Merchant'!F26)</calculatedColumnFormula>
    </tableColumn>
    <tableColumn id="230" xr3:uid="{00000000-0010-0000-0000-0000E6000000}" name="BankOtherX" dataDxfId="486">
      <calculatedColumnFormula>IF(COUNTIF(__Anonymous_Sheet_DB__1[[#This Row],[004X]:[128X]],"X")&lt;&gt;0,"","X")</calculatedColumnFormula>
    </tableColumn>
    <tableColumn id="231" xr3:uid="{00000000-0010-0000-0000-0000E7000000}" name="BankOther" dataDxfId="485">
      <calculatedColumnFormula>IF(OR(JW2="003", JW2="004", JW2="012", JW2="024", JW2="382", JW2="035", JW2="018", JW2="025", JW2="009", JW2="061", JW2="015", JW2="009", JW2="041", JW2="250", JW2="040", JW2="016", JW2="128", JW2="020", JW2="043", JW2="072"), IF(OR(JY2="value1", JY2="value2", JY2="value3"), JY2, ""), JY2)</calculatedColumnFormula>
    </tableColumn>
    <tableColumn id="232" xr3:uid="{00000000-0010-0000-0000-0000E8000000}" name="004X" dataDxfId="484">
      <calculatedColumnFormula>IF(JY2="[004] Hongkong and Shanghai Banking Corporation", "X", "")</calculatedColumnFormula>
    </tableColumn>
    <tableColumn id="233" xr3:uid="{00000000-0010-0000-0000-0000E9000000}" name="003X" dataDxfId="483"/>
    <tableColumn id="234" xr3:uid="{00000000-0010-0000-0000-0000EA000000}" name="012X" dataDxfId="482"/>
    <tableColumn id="235" xr3:uid="{00000000-0010-0000-0000-0000EB000000}" name="024X" dataDxfId="481"/>
    <tableColumn id="236" xr3:uid="{00000000-0010-0000-0000-0000EC000000}" name="382X" dataDxfId="480"/>
    <tableColumn id="237" xr3:uid="{00000000-0010-0000-0000-0000ED000000}" name="035X" dataDxfId="479"/>
    <tableColumn id="238" xr3:uid="{00000000-0010-0000-0000-0000EE000000}" name="018X" dataDxfId="478"/>
    <tableColumn id="239" xr3:uid="{00000000-0010-0000-0000-0000EF000000}" name="025X" dataDxfId="477"/>
    <tableColumn id="240" xr3:uid="{00000000-0010-0000-0000-0000F0000000}" name="009X" dataDxfId="476"/>
    <tableColumn id="241" xr3:uid="{00000000-0010-0000-0000-0000F1000000}" name="041X" dataDxfId="475"/>
    <tableColumn id="242" xr3:uid="{00000000-0010-0000-0000-0000F2000000}" name="015X" dataDxfId="474"/>
    <tableColumn id="243" xr3:uid="{00000000-0010-0000-0000-0000F3000000}" name="250X" dataDxfId="473"/>
    <tableColumn id="244" xr3:uid="{00000000-0010-0000-0000-0000F4000000}" name="020X" dataDxfId="472"/>
    <tableColumn id="245" xr3:uid="{00000000-0010-0000-0000-0000F5000000}" name="040X" dataDxfId="471"/>
    <tableColumn id="246" xr3:uid="{00000000-0010-0000-0000-0000F6000000}" name="043X" dataDxfId="470"/>
    <tableColumn id="247" xr3:uid="{00000000-0010-0000-0000-0000F7000000}" name="016X" dataDxfId="469"/>
    <tableColumn id="248" xr3:uid="{00000000-0010-0000-0000-0000F8000000}" name="072X" dataDxfId="468"/>
    <tableColumn id="249" xr3:uid="{00000000-0010-0000-0000-0000F9000000}" name="128X" dataDxfId="467"/>
    <tableColumn id="250" xr3:uid="{00000000-0010-0000-0000-0000FA000000}" name="BankCode2" dataDxfId="466"/>
    <tableColumn id="251" xr3:uid="{00000000-0010-0000-0000-0000FB000000}" name="BankSwift" dataDxfId="465"/>
    <tableColumn id="252" xr3:uid="{00000000-0010-0000-0000-0000FC000000}" name="BranchCode" dataDxfId="464"/>
    <tableColumn id="253" xr3:uid="{00000000-0010-0000-0000-0000FD000000}" name="AcctNo" dataDxfId="463"/>
    <tableColumn id="254" xr3:uid="{00000000-0010-0000-0000-0000FE000000}" name="BankAcct" dataDxfId="462"/>
    <tableColumn id="210" xr3:uid="{00000000-0010-0000-0000-0000D2000000}" name="FullBankAcctNo" dataDxfId="461">
      <calculatedColumnFormula>KX2&amp;"-"&amp;KY2</calculatedColumnFormula>
    </tableColumn>
    <tableColumn id="255" xr3:uid="{00000000-0010-0000-0000-0000FF000000}" name="BankAcctName" dataDxfId="460"/>
    <tableColumn id="256" xr3:uid="{00000000-0010-0000-0000-000000010000}" name="AR1Courtesy" dataDxfId="459"/>
    <tableColumn id="257" xr3:uid="{00000000-0010-0000-0000-000001010000}" name="AR1MrX" dataDxfId="458"/>
    <tableColumn id="258" xr3:uid="{00000000-0010-0000-0000-000002010000}" name="AR1MrsX" dataDxfId="457"/>
    <tableColumn id="259" xr3:uid="{00000000-0010-0000-0000-000003010000}" name="AR1MissX" dataDxfId="456"/>
    <tableColumn id="260" xr3:uid="{00000000-0010-0000-0000-000004010000}" name="AR1MsX" dataDxfId="455"/>
    <tableColumn id="261" xr3:uid="{00000000-0010-0000-0000-000005010000}" name="ARFam1" dataDxfId="454"/>
    <tableColumn id="262" xr3:uid="{00000000-0010-0000-0000-000006010000}" name="ARGiven1" dataDxfId="453"/>
    <tableColumn id="263" xr3:uid="{00000000-0010-0000-0000-000007010000}" name="AREN1" dataDxfId="452"/>
    <tableColumn id="264" xr3:uid="{00000000-0010-0000-0000-000008010000}" name="ARTC1" dataDxfId="451"/>
    <tableColumn id="265" xr3:uid="{00000000-0010-0000-0000-000009010000}" name="ARTitle1" dataDxfId="450"/>
    <tableColumn id="266" xr3:uid="{00000000-0010-0000-0000-00000A010000}" name="ARIDType1" dataDxfId="449">
      <calculatedColumnFormula>IF(Contacts!#REF!=0,"",Contacts!#REF!)</calculatedColumnFormula>
    </tableColumn>
    <tableColumn id="267" xr3:uid="{00000000-0010-0000-0000-00000B010000}" name="AR1HKIDX" dataDxfId="448"/>
    <tableColumn id="268" xr3:uid="{00000000-0010-0000-0000-00000C010000}" name="AR1PassportX" dataDxfId="447"/>
    <tableColumn id="269" xr3:uid="{00000000-0010-0000-0000-00000D010000}" name="ARID1" dataDxfId="446"/>
    <tableColumn id="270" xr3:uid="{00000000-0010-0000-0000-00000E010000}" name="ARDD1" dataDxfId="445"/>
    <tableColumn id="271" xr3:uid="{00000000-0010-0000-0000-00000F010000}" name="ARMM1" dataDxfId="444"/>
    <tableColumn id="272" xr3:uid="{00000000-0010-0000-0000-000010010000}" name="ARYYYY1" dataDxfId="443"/>
    <tableColumn id="273" xr3:uid="{00000000-0010-0000-0000-000011010000}" name="ARYY1" dataDxfId="442"/>
    <tableColumn id="274" xr3:uid="{00000000-0010-0000-0000-000012010000}" name="ARDOB1" dataDxfId="441"/>
    <tableColumn id="275" xr3:uid="{00000000-0010-0000-0000-000013010000}" name="ARCountry1" dataDxfId="440"/>
    <tableColumn id="276" xr3:uid="{00000000-0010-0000-0000-000014010000}" name="ARCountryCN1X" dataDxfId="439"/>
    <tableColumn id="277" xr3:uid="{00000000-0010-0000-0000-000015010000}" name="ARCountryOther1X" dataDxfId="438">
      <calculatedColumnFormula>IF(__Anonymous_Sheet_DB__1[[#This Row],[ARCountryCN1X]]="X","","X")</calculatedColumnFormula>
    </tableColumn>
    <tableColumn id="278" xr3:uid="{00000000-0010-0000-0000-000016010000}" name="ARCountryOther1" dataDxfId="437"/>
    <tableColumn id="279" xr3:uid="{00000000-0010-0000-0000-000017010000}" name="Director1Capacity" dataDxfId="436">
      <calculatedColumnFormula>+Contacts!B26</calculatedColumnFormula>
    </tableColumn>
    <tableColumn id="280" xr3:uid="{00000000-0010-0000-0000-000018010000}" name="Director1SPX" dataDxfId="435"/>
    <tableColumn id="281" xr3:uid="{00000000-0010-0000-0000-000019010000}" name="Director1PX" dataDxfId="434"/>
    <tableColumn id="282" xr3:uid="{00000000-0010-0000-0000-00001A010000}" name="Director1DX" dataDxfId="433"/>
    <tableColumn id="283" xr3:uid="{00000000-0010-0000-0000-00001B010000}" name="Director1SX" dataDxfId="432"/>
    <tableColumn id="284" xr3:uid="{00000000-0010-0000-0000-00001C010000}" name="Director1BOX" dataDxfId="431"/>
    <tableColumn id="285" xr3:uid="{00000000-0010-0000-0000-00001D010000}" name="Director1ARX" dataDxfId="430"/>
    <tableColumn id="608" xr3:uid="{00000000-0010-0000-0000-000060020000}" name="Director1OtherX" dataDxfId="429"/>
    <tableColumn id="607" xr3:uid="{00000000-0010-0000-0000-00005F020000}" name="Director1Other" dataDxfId="428"/>
    <tableColumn id="610" xr3:uid="{00000000-0010-0000-0000-000062020000}" name="SeniorManaging1X" dataDxfId="427"/>
    <tableColumn id="609" xr3:uid="{00000000-0010-0000-0000-000061020000}" name="SeniorManaging1_Position" dataDxfId="426"/>
    <tableColumn id="286" xr3:uid="{00000000-0010-0000-0000-00001E010000}" name="Director1Courtesy" dataDxfId="425">
      <calculatedColumnFormula>+Contacts!B15</calculatedColumnFormula>
    </tableColumn>
    <tableColumn id="287" xr3:uid="{00000000-0010-0000-0000-00001F010000}" name="Director1MrX" dataDxfId="424">
      <calculatedColumnFormula>IF(__Anonymous_Sheet_DB__1[[#This Row],[Director1Courtesy]]="Mr","X","")</calculatedColumnFormula>
    </tableColumn>
    <tableColumn id="288" xr3:uid="{00000000-0010-0000-0000-000020010000}" name="Director1MrsX" dataDxfId="423">
      <calculatedColumnFormula>IF(__Anonymous_Sheet_DB__1[[#This Row],[Director1Courtesy]]="Mrs","X","")</calculatedColumnFormula>
    </tableColumn>
    <tableColumn id="289" xr3:uid="{00000000-0010-0000-0000-000021010000}" name="Director1MissX" dataDxfId="422">
      <calculatedColumnFormula>IF(__Anonymous_Sheet_DB__1[[#This Row],[Director1Courtesy]]="Miss","X","")</calculatedColumnFormula>
    </tableColumn>
    <tableColumn id="290" xr3:uid="{00000000-0010-0000-0000-000022010000}" name="Director1MsX" dataDxfId="421">
      <calculatedColumnFormula>IF(__Anonymous_Sheet_DB__1[[#This Row],[Director1Courtesy]]="Ms","X","")</calculatedColumnFormula>
    </tableColumn>
    <tableColumn id="601" xr3:uid="{00000000-0010-0000-0000-000059020000}" name="Director1Gender_M" dataDxfId="420"/>
    <tableColumn id="600" xr3:uid="{00000000-0010-0000-0000-000058020000}" name="Director1Gender_F" dataDxfId="419"/>
    <tableColumn id="291" xr3:uid="{00000000-0010-0000-0000-000023010000}" name="DirectorFam1EN" dataDxfId="418">
      <calculatedColumnFormula>+Contacts!B16</calculatedColumnFormula>
    </tableColumn>
    <tableColumn id="292" xr3:uid="{00000000-0010-0000-0000-000024010000}" name="DirectorGiven1EN" dataDxfId="417">
      <calculatedColumnFormula>IF(Contacts!B17=0,"",Contacts!B17)</calculatedColumnFormula>
    </tableColumn>
    <tableColumn id="293" xr3:uid="{00000000-0010-0000-0000-000025010000}" name="DirectorEN1" dataDxfId="416"/>
    <tableColumn id="599" xr3:uid="{00000000-0010-0000-0000-000057020000}" name="DirectorFam1TC" dataDxfId="415"/>
    <tableColumn id="598" xr3:uid="{00000000-0010-0000-0000-000056020000}" name="DirectorGiven1TC" dataDxfId="414"/>
    <tableColumn id="294" xr3:uid="{00000000-0010-0000-0000-000026010000}" name="DirectorTC1" dataDxfId="413"/>
    <tableColumn id="295" xr3:uid="{00000000-0010-0000-0000-000027010000}" name="DirectorTitle1" dataDxfId="412">
      <calculatedColumnFormula>+Contacts!B18</calculatedColumnFormula>
    </tableColumn>
    <tableColumn id="296" xr3:uid="{00000000-0010-0000-0000-000028010000}" name="DirectorIDType1" dataDxfId="411">
      <calculatedColumnFormula>+Contacts!B22</calculatedColumnFormula>
    </tableColumn>
    <tableColumn id="297" xr3:uid="{00000000-0010-0000-0000-000029010000}" name="Director1HKIDX" dataDxfId="410">
      <calculatedColumnFormula>IF(__Anonymous_Sheet_DB__1[[#This Row],[DirectorIDType1]]="HKID","X","")</calculatedColumnFormula>
    </tableColumn>
    <tableColumn id="298" xr3:uid="{00000000-0010-0000-0000-00002A010000}" name="Director1PassportX" dataDxfId="409">
      <calculatedColumnFormula>IF(__Anonymous_Sheet_DB__1[[#This Row],[DirectorIDType1]]="Passport","X","")</calculatedColumnFormula>
    </tableColumn>
    <tableColumn id="299" xr3:uid="{00000000-0010-0000-0000-00002B010000}" name="DirectorID1" dataDxfId="408">
      <calculatedColumnFormula>+Contacts!B23</calculatedColumnFormula>
    </tableColumn>
    <tableColumn id="300" xr3:uid="{00000000-0010-0000-0000-00002C010000}" name="DirectorID1*" dataDxfId="407"/>
    <tableColumn id="301" xr3:uid="{00000000-0010-0000-0000-00002D010000}" name="DirectorDD1" dataDxfId="406">
      <calculatedColumnFormula>TEXT(DAY(Contacts!B24),"00")</calculatedColumnFormula>
    </tableColumn>
    <tableColumn id="302" xr3:uid="{00000000-0010-0000-0000-00002E010000}" name="DirectorMM1" dataDxfId="405">
      <calculatedColumnFormula>TEXT(MONTH(Contacts!B24),"00")</calculatedColumnFormula>
    </tableColumn>
    <tableColumn id="303" xr3:uid="{00000000-0010-0000-0000-00002F010000}" name="DirectorYYYY1" dataDxfId="404">
      <calculatedColumnFormula>TEXT(YEAR(Contacts!B24),"0000")</calculatedColumnFormula>
    </tableColumn>
    <tableColumn id="304" xr3:uid="{00000000-0010-0000-0000-000030010000}" name="DirectorYY1" dataDxfId="403"/>
    <tableColumn id="305" xr3:uid="{00000000-0010-0000-0000-000031010000}" name="DirectorDOB1" dataDxfId="402"/>
    <tableColumn id="209" xr3:uid="{00000000-0010-0000-0000-0000D1000000}" name="DirectorPhone1" dataDxfId="401"/>
    <tableColumn id="306" xr3:uid="{00000000-0010-0000-0000-000032010000}" name="DirectorCountry1" dataDxfId="400">
      <calculatedColumnFormula>+Contacts!B25</calculatedColumnFormula>
    </tableColumn>
    <tableColumn id="307" xr3:uid="{00000000-0010-0000-0000-000033010000}" name="DirectorCountryCN1X" dataDxfId="399">
      <calculatedColumnFormula>IF(NI2="CHINA", "X", "")</calculatedColumnFormula>
    </tableColumn>
    <tableColumn id="719" xr3:uid="{00000000-0010-0000-0000-0000CF020000}" name="DirectorCountryCHK1X" dataDxfId="398">
      <calculatedColumnFormula>IF(OR(NJ2="Hong Kong, China"), "X", "")</calculatedColumnFormula>
    </tableColumn>
    <tableColumn id="720" xr3:uid="{00000000-0010-0000-0000-0000D0020000}" name="DirectorCountryCMO1X" dataDxfId="397">
      <calculatedColumnFormula>IF(NI2="Macau, China", "X", "")</calculatedColumnFormula>
    </tableColumn>
    <tableColumn id="308" xr3:uid="{00000000-0010-0000-0000-000034010000}" name="DirectorCountryOther1X" dataDxfId="396"/>
    <tableColumn id="309" xr3:uid="{00000000-0010-0000-0000-000035010000}" name="DirectorCountryOther1" dataDxfId="395"/>
    <tableColumn id="310" xr3:uid="{00000000-0010-0000-0000-000036010000}" name="DirectorFltRm1" dataDxfId="394"/>
    <tableColumn id="311" xr3:uid="{00000000-0010-0000-0000-000037010000}" name="DirectorFloor1" dataDxfId="393"/>
    <tableColumn id="312" xr3:uid="{00000000-0010-0000-0000-000038010000}" name="DirectorBlkBldg1" dataDxfId="392"/>
    <tableColumn id="313" xr3:uid="{00000000-0010-0000-0000-000039010000}" name="DirectorEstate1" dataDxfId="391"/>
    <tableColumn id="314" xr3:uid="{00000000-0010-0000-0000-00003A010000}" name="DirectorStreet1" dataDxfId="390"/>
    <tableColumn id="315" xr3:uid="{00000000-0010-0000-0000-00003B010000}" name="DirectorDistrict1" dataDxfId="389">
      <calculatedColumnFormula>+IF(Contacts!B32=0,"",Contacts!B32)</calculatedColumnFormula>
    </tableColumn>
    <tableColumn id="316" xr3:uid="{00000000-0010-0000-0000-00003C010000}" name="DirectorRegion1" dataDxfId="388"/>
    <tableColumn id="317" xr3:uid="{00000000-0010-0000-0000-00003D010000}" name="DirectorAddr1" dataDxfId="387"/>
    <tableColumn id="318" xr3:uid="{00000000-0010-0000-0000-00003E010000}" name="Director1Ownership" dataDxfId="386">
      <calculatedColumnFormula>Contacts!B34</calculatedColumnFormula>
    </tableColumn>
    <tableColumn id="319" xr3:uid="{00000000-0010-0000-0000-00003F010000}" name="Director1OwnerYesX" dataDxfId="385"/>
    <tableColumn id="320" xr3:uid="{00000000-0010-0000-0000-000040010000}" name="Director1OwnerNoX" dataDxfId="384"/>
    <tableColumn id="321" xr3:uid="{00000000-0010-0000-0000-000041010000}" name="DirectorYear1" dataDxfId="383"/>
    <tableColumn id="322" xr3:uid="{00000000-0010-0000-0000-000042010000}" name="DirectorMonth1" dataDxfId="382">
      <calculatedColumnFormula>TEXT(Contacts!B36,"00")</calculatedColumnFormula>
    </tableColumn>
    <tableColumn id="588" xr3:uid="{00000000-0010-0000-0000-00004C020000}" name="Director%1" dataDxfId="381"/>
    <tableColumn id="323" xr3:uid="{00000000-0010-0000-0000-000043010000}" name="Director2Capacity" dataDxfId="380"/>
    <tableColumn id="324" xr3:uid="{00000000-0010-0000-0000-000044010000}" name="Director2SPX" dataDxfId="379"/>
    <tableColumn id="325" xr3:uid="{00000000-0010-0000-0000-000045010000}" name="Director2PX" dataDxfId="378"/>
    <tableColumn id="326" xr3:uid="{00000000-0010-0000-0000-000046010000}" name="Director2DX" dataDxfId="377"/>
    <tableColumn id="327" xr3:uid="{00000000-0010-0000-0000-000047010000}" name="Director2SX" dataDxfId="376"/>
    <tableColumn id="328" xr3:uid="{00000000-0010-0000-0000-000048010000}" name="Director2BOX" dataDxfId="375"/>
    <tableColumn id="329" xr3:uid="{00000000-0010-0000-0000-000049010000}" name="Director2ARX" dataDxfId="374"/>
    <tableColumn id="614" xr3:uid="{00000000-0010-0000-0000-000066020000}" name="Director2OtherX" dataDxfId="373"/>
    <tableColumn id="613" xr3:uid="{00000000-0010-0000-0000-000065020000}" name="Director2Other" dataDxfId="372"/>
    <tableColumn id="612" xr3:uid="{00000000-0010-0000-0000-000064020000}" name="SeniorManaging2X" dataDxfId="371"/>
    <tableColumn id="611" xr3:uid="{00000000-0010-0000-0000-000063020000}" name="SeniorManaging2_Position" dataDxfId="370"/>
    <tableColumn id="330" xr3:uid="{00000000-0010-0000-0000-00004A010000}" name="Director2Courtesy" dataDxfId="369">
      <calculatedColumnFormula>IF(Contacts!F15=0,"",Contacts!F15)</calculatedColumnFormula>
    </tableColumn>
    <tableColumn id="331" xr3:uid="{00000000-0010-0000-0000-00004B010000}" name="Director2MrX" dataDxfId="368"/>
    <tableColumn id="332" xr3:uid="{00000000-0010-0000-0000-00004C010000}" name="Director2MrsX" dataDxfId="367"/>
    <tableColumn id="333" xr3:uid="{00000000-0010-0000-0000-00004D010000}" name="Director2MissX" dataDxfId="366"/>
    <tableColumn id="334" xr3:uid="{00000000-0010-0000-0000-00004E010000}" name="Director2MsX" dataDxfId="365"/>
    <tableColumn id="603" xr3:uid="{00000000-0010-0000-0000-00005B020000}" name="Director2Gender_M" dataDxfId="364"/>
    <tableColumn id="602" xr3:uid="{00000000-0010-0000-0000-00005A020000}" name="Director2Gender_F" dataDxfId="363"/>
    <tableColumn id="335" xr3:uid="{00000000-0010-0000-0000-00004F010000}" name="DirectorFam2EN" dataDxfId="362"/>
    <tableColumn id="336" xr3:uid="{00000000-0010-0000-0000-000050010000}" name="DirectorGiven2EN" dataDxfId="361"/>
    <tableColumn id="337" xr3:uid="{00000000-0010-0000-0000-000051010000}" name="DirectorEN2" dataDxfId="360"/>
    <tableColumn id="605" xr3:uid="{00000000-0010-0000-0000-00005D020000}" name="DirectorFam2TC_x0009_" dataDxfId="359"/>
    <tableColumn id="604" xr3:uid="{00000000-0010-0000-0000-00005C020000}" name="DirectorGiven2TC" dataDxfId="358"/>
    <tableColumn id="338" xr3:uid="{00000000-0010-0000-0000-000052010000}" name="DirectorTC2" dataDxfId="357"/>
    <tableColumn id="339" xr3:uid="{00000000-0010-0000-0000-000053010000}" name="DirectorTitle2" dataDxfId="356">
      <calculatedColumnFormula>IF(Contacts!F18=0,"",Contacts!F18)</calculatedColumnFormula>
    </tableColumn>
    <tableColumn id="340" xr3:uid="{00000000-0010-0000-0000-000054010000}" name="DirectorIDType2" dataDxfId="355">
      <calculatedColumnFormula>IF(Contacts!F22=0,"",Contacts!F22)</calculatedColumnFormula>
    </tableColumn>
    <tableColumn id="341" xr3:uid="{00000000-0010-0000-0000-000055010000}" name="Director2HKIDX" dataDxfId="354"/>
    <tableColumn id="342" xr3:uid="{00000000-0010-0000-0000-000056010000}" name="Director2PassportX" dataDxfId="353"/>
    <tableColumn id="343" xr3:uid="{00000000-0010-0000-0000-000057010000}" name="DirectorID2" dataDxfId="352">
      <calculatedColumnFormula>IF(Contacts!F23=0,"",Contacts!F23)</calculatedColumnFormula>
    </tableColumn>
    <tableColumn id="344" xr3:uid="{00000000-0010-0000-0000-000058010000}" name="DirectorID2*" dataDxfId="351"/>
    <tableColumn id="345" xr3:uid="{00000000-0010-0000-0000-000059010000}" name="DirectorDD2" dataDxfId="350"/>
    <tableColumn id="346" xr3:uid="{00000000-0010-0000-0000-00005A010000}" name="DirectorMM2" dataDxfId="349"/>
    <tableColumn id="347" xr3:uid="{00000000-0010-0000-0000-00005B010000}" name="DirectorYYYY2" dataDxfId="348"/>
    <tableColumn id="348" xr3:uid="{00000000-0010-0000-0000-00005C010000}" name="DirectorYY2" dataDxfId="347"/>
    <tableColumn id="349" xr3:uid="{00000000-0010-0000-0000-00005D010000}" name="DirectorDOB2" dataDxfId="346"/>
    <tableColumn id="80" xr3:uid="{00000000-0010-0000-0000-000050000000}" name="DirectorPhone2" dataDxfId="345"/>
    <tableColumn id="350" xr3:uid="{00000000-0010-0000-0000-00005E010000}" name="DirectorCountry2" dataDxfId="344">
      <calculatedColumnFormula>IF(Contacts!F25=0,"",Contacts!F25)</calculatedColumnFormula>
    </tableColumn>
    <tableColumn id="351" xr3:uid="{00000000-0010-0000-0000-00005F010000}" name="DirectorCountryCN2X" dataDxfId="343">
      <calculatedColumnFormula>IF(PM2="CHINA", "X", "")</calculatedColumnFormula>
    </tableColumn>
    <tableColumn id="722" xr3:uid="{00000000-0010-0000-0000-0000D2020000}" name="DirectorCountryCHK2X" dataDxfId="342">
      <calculatedColumnFormula>IF(PM2="Hong Kong, China", "X", "")</calculatedColumnFormula>
    </tableColumn>
    <tableColumn id="721" xr3:uid="{00000000-0010-0000-0000-0000D1020000}" name="DirectorCountryCMO2X" dataDxfId="341">
      <calculatedColumnFormula>IF(PM2="Macau, China", "X", "")</calculatedColumnFormula>
    </tableColumn>
    <tableColumn id="352" xr3:uid="{00000000-0010-0000-0000-000060010000}" name="DirectorCountryOther2X" dataDxfId="340"/>
    <tableColumn id="353" xr3:uid="{00000000-0010-0000-0000-000061010000}" name="DirectorCountryOther2" dataDxfId="339"/>
    <tableColumn id="354" xr3:uid="{00000000-0010-0000-0000-000062010000}" name="DirectorFltRm2" dataDxfId="338"/>
    <tableColumn id="355" xr3:uid="{00000000-0010-0000-0000-000063010000}" name="DirectorFloor2" dataDxfId="337"/>
    <tableColumn id="356" xr3:uid="{00000000-0010-0000-0000-000064010000}" name="DirectorBlkBldg2" dataDxfId="336"/>
    <tableColumn id="357" xr3:uid="{00000000-0010-0000-0000-000065010000}" name="DirectorEstate2" dataDxfId="335"/>
    <tableColumn id="358" xr3:uid="{00000000-0010-0000-0000-000066010000}" name="DirectorStreet2" dataDxfId="334"/>
    <tableColumn id="359" xr3:uid="{00000000-0010-0000-0000-000067010000}" name="DirectorDistrict2" dataDxfId="333"/>
    <tableColumn id="360" xr3:uid="{00000000-0010-0000-0000-000068010000}" name="DirectorRegion2" dataDxfId="332"/>
    <tableColumn id="361" xr3:uid="{00000000-0010-0000-0000-000069010000}" name="DirectorAddr2" dataDxfId="331"/>
    <tableColumn id="362" xr3:uid="{00000000-0010-0000-0000-00006A010000}" name="Director2Ownership" dataDxfId="330">
      <calculatedColumnFormula>IF(Contacts!F34=0,"",Contacts!F34)</calculatedColumnFormula>
    </tableColumn>
    <tableColumn id="363" xr3:uid="{00000000-0010-0000-0000-00006B010000}" name="Director2OwnerYesX" dataDxfId="329"/>
    <tableColumn id="364" xr3:uid="{00000000-0010-0000-0000-00006C010000}" name="Director2OwnerNoX" dataDxfId="328"/>
    <tableColumn id="365" xr3:uid="{00000000-0010-0000-0000-00006D010000}" name="DirectorYear2" dataDxfId="327">
      <calculatedColumnFormula>IF(Contacts!F35=0,"",TEXT(Contacts!F35,"00"))</calculatedColumnFormula>
    </tableColumn>
    <tableColumn id="366" xr3:uid="{00000000-0010-0000-0000-00006E010000}" name="DirectorMonth2" dataDxfId="326">
      <calculatedColumnFormula>IF(Contacts!F36=0,"",TEXT(Contacts!F36,"00"))</calculatedColumnFormula>
    </tableColumn>
    <tableColumn id="589" xr3:uid="{00000000-0010-0000-0000-00004D020000}" name="Director%2" dataDxfId="325" dataCellStyle="Percent"/>
    <tableColumn id="367" xr3:uid="{00000000-0010-0000-0000-00006F010000}" name="Director3Capacity" dataDxfId="324"/>
    <tableColumn id="368" xr3:uid="{00000000-0010-0000-0000-000070010000}" name="Director3SPX" dataDxfId="323"/>
    <tableColumn id="369" xr3:uid="{00000000-0010-0000-0000-000071010000}" name="Director3PX" dataDxfId="322"/>
    <tableColumn id="370" xr3:uid="{00000000-0010-0000-0000-000072010000}" name="Director3DX" dataDxfId="321"/>
    <tableColumn id="371" xr3:uid="{00000000-0010-0000-0000-000073010000}" name="Director3SX" dataDxfId="320"/>
    <tableColumn id="372" xr3:uid="{00000000-0010-0000-0000-000074010000}" name="Director3BOX" dataDxfId="319"/>
    <tableColumn id="373" xr3:uid="{00000000-0010-0000-0000-000075010000}" name="Director3ARX" dataDxfId="318"/>
    <tableColumn id="374" xr3:uid="{00000000-0010-0000-0000-000076010000}" name="Director3Courtesy" dataDxfId="317">
      <calculatedColumnFormula>IF(Contacts!J15=0,"",Contacts!J15)</calculatedColumnFormula>
    </tableColumn>
    <tableColumn id="375" xr3:uid="{00000000-0010-0000-0000-000077010000}" name="Director3MrX" dataDxfId="316"/>
    <tableColumn id="376" xr3:uid="{00000000-0010-0000-0000-000078010000}" name="Director3MrsX" dataDxfId="315"/>
    <tableColumn id="377" xr3:uid="{00000000-0010-0000-0000-000079010000}" name="Director3MissX" dataDxfId="314"/>
    <tableColumn id="378" xr3:uid="{00000000-0010-0000-0000-00007A010000}" name="Director3MsX" dataDxfId="313"/>
    <tableColumn id="379" xr3:uid="{00000000-0010-0000-0000-00007B010000}" name="DirectorFam3" dataDxfId="312">
      <calculatedColumnFormula>IF(Contacts!J16=0,"",Contacts!J16)</calculatedColumnFormula>
    </tableColumn>
    <tableColumn id="380" xr3:uid="{00000000-0010-0000-0000-00007C010000}" name="DirectorGiven3" dataDxfId="311">
      <calculatedColumnFormula>IF(Contacts!J17=0,"",Contacts!J17)</calculatedColumnFormula>
    </tableColumn>
    <tableColumn id="381" xr3:uid="{00000000-0010-0000-0000-00007D010000}" name="DirectorEN3" dataDxfId="310"/>
    <tableColumn id="382" xr3:uid="{00000000-0010-0000-0000-00007E010000}" name="DirectorTC3" dataDxfId="309">
      <calculatedColumnFormula>+Contacts!#REF!&amp;Contacts!J21</calculatedColumnFormula>
    </tableColumn>
    <tableColumn id="383" xr3:uid="{00000000-0010-0000-0000-00007F010000}" name="DirectorTitle3" dataDxfId="308">
      <calculatedColumnFormula>IF(Contacts!J18=0,"",Contacts!J18)</calculatedColumnFormula>
    </tableColumn>
    <tableColumn id="384" xr3:uid="{00000000-0010-0000-0000-000080010000}" name="DirectorIDType3" dataDxfId="307">
      <calculatedColumnFormula>IF(Contacts!J22=0,"",Contacts!J22)</calculatedColumnFormula>
    </tableColumn>
    <tableColumn id="385" xr3:uid="{00000000-0010-0000-0000-000081010000}" name="Director3HKIDX" dataDxfId="306"/>
    <tableColumn id="386" xr3:uid="{00000000-0010-0000-0000-000082010000}" name="Director3PassportX" dataDxfId="305"/>
    <tableColumn id="387" xr3:uid="{00000000-0010-0000-0000-000083010000}" name="DirectorID3" dataDxfId="304">
      <calculatedColumnFormula>IF(Contacts!J23=0,"",Contacts!J23)</calculatedColumnFormula>
    </tableColumn>
    <tableColumn id="388" xr3:uid="{00000000-0010-0000-0000-000084010000}" name="DirectorID3*" dataDxfId="303"/>
    <tableColumn id="389" xr3:uid="{00000000-0010-0000-0000-000085010000}" name="DirectorDD3" dataDxfId="302"/>
    <tableColumn id="390" xr3:uid="{00000000-0010-0000-0000-000086010000}" name="DirectorMM3" dataDxfId="301"/>
    <tableColumn id="391" xr3:uid="{00000000-0010-0000-0000-000087010000}" name="DirectorYYYY3" dataDxfId="300"/>
    <tableColumn id="392" xr3:uid="{00000000-0010-0000-0000-000088010000}" name="DirectorYY3" dataDxfId="299"/>
    <tableColumn id="393" xr3:uid="{00000000-0010-0000-0000-000089010000}" name="DirectorDOB3" dataDxfId="298"/>
    <tableColumn id="394" xr3:uid="{00000000-0010-0000-0000-00008A010000}" name="DirectorCountry3" dataDxfId="297">
      <calculatedColumnFormula>IF(Contacts!J25=0,"",Contacts!J25)</calculatedColumnFormula>
    </tableColumn>
    <tableColumn id="395" xr3:uid="{00000000-0010-0000-0000-00008B010000}" name="DirectorCountryCN3X" dataDxfId="296">
      <calculatedColumnFormula>IF(RH2="China", "X", "")</calculatedColumnFormula>
    </tableColumn>
    <tableColumn id="724" xr3:uid="{00000000-0010-0000-0000-0000D4020000}" name="DirectorCountryCHK3X" dataDxfId="295">
      <calculatedColumnFormula>IF(RH2="Hong Kong, China", "X", "")</calculatedColumnFormula>
    </tableColumn>
    <tableColumn id="723" xr3:uid="{00000000-0010-0000-0000-0000D3020000}" name="DirectorCountryCMO3X" dataDxfId="294">
      <calculatedColumnFormula>IF(RH2="Macau, China", "X", "")</calculatedColumnFormula>
    </tableColumn>
    <tableColumn id="396" xr3:uid="{00000000-0010-0000-0000-00008C010000}" name="DirectorCountryOther3X" dataDxfId="293"/>
    <tableColumn id="397" xr3:uid="{00000000-0010-0000-0000-00008D010000}" name="DirectorCountryOther3" dataDxfId="292"/>
    <tableColumn id="398" xr3:uid="{00000000-0010-0000-0000-00008E010000}" name="DirectorFltRm3" dataDxfId="291"/>
    <tableColumn id="399" xr3:uid="{00000000-0010-0000-0000-00008F010000}" name="DirectorFloor3" dataDxfId="290"/>
    <tableColumn id="400" xr3:uid="{00000000-0010-0000-0000-000090010000}" name="DirectorBlkBldg3" dataDxfId="289"/>
    <tableColumn id="401" xr3:uid="{00000000-0010-0000-0000-000091010000}" name="DirectorEstate3" dataDxfId="288"/>
    <tableColumn id="402" xr3:uid="{00000000-0010-0000-0000-000092010000}" name="DirectorStreet3" dataDxfId="287"/>
    <tableColumn id="403" xr3:uid="{00000000-0010-0000-0000-000093010000}" name="DirectorDistrict3" dataDxfId="286"/>
    <tableColumn id="404" xr3:uid="{00000000-0010-0000-0000-000094010000}" name="DirectorRegion3" dataDxfId="285">
      <calculatedColumnFormula>+IF(Contacts!J33=0,"",Contacts!J33)</calculatedColumnFormula>
    </tableColumn>
    <tableColumn id="405" xr3:uid="{00000000-0010-0000-0000-000095010000}" name="DirectorAddr3" dataDxfId="284">
      <calculatedColumnFormula>RN2&amp;" "&amp;" "&amp;RO2&amp;" "&amp;" "&amp;RP2&amp;" "&amp;" "&amp;RQ2&amp;" "&amp;" "&amp;RR2&amp;" "&amp;" "&amp;RS2&amp;" "&amp;" "&amp;RT2</calculatedColumnFormula>
    </tableColumn>
    <tableColumn id="406" xr3:uid="{00000000-0010-0000-0000-000096010000}" name="Director3Ownership" dataDxfId="283">
      <calculatedColumnFormula>+Contacts!J34</calculatedColumnFormula>
    </tableColumn>
    <tableColumn id="407" xr3:uid="{00000000-0010-0000-0000-000097010000}" name="Director3OwnerYesX" dataDxfId="282"/>
    <tableColumn id="408" xr3:uid="{00000000-0010-0000-0000-000098010000}" name="Director3OwnerNoX" dataDxfId="281"/>
    <tableColumn id="409" xr3:uid="{00000000-0010-0000-0000-000099010000}" name="DirectorYear3" dataDxfId="280"/>
    <tableColumn id="410" xr3:uid="{00000000-0010-0000-0000-00009A010000}" name="DirectorMonth3" dataDxfId="279"/>
    <tableColumn id="593" xr3:uid="{00000000-0010-0000-0000-000051020000}" name="Director%3" dataDxfId="278" dataCellStyle="Percent"/>
    <tableColumn id="411" xr3:uid="{00000000-0010-0000-0000-00009B010000}" name="Director4Capacity" dataDxfId="277"/>
    <tableColumn id="412" xr3:uid="{00000000-0010-0000-0000-00009C010000}" name="Director4SPX" dataDxfId="276"/>
    <tableColumn id="413" xr3:uid="{00000000-0010-0000-0000-00009D010000}" name="Director4PX" dataDxfId="275"/>
    <tableColumn id="414" xr3:uid="{00000000-0010-0000-0000-00009E010000}" name="Director4DX" dataDxfId="274"/>
    <tableColumn id="415" xr3:uid="{00000000-0010-0000-0000-00009F010000}" name="Director4SX" dataDxfId="273"/>
    <tableColumn id="416" xr3:uid="{00000000-0010-0000-0000-0000A0010000}" name="Director4BOX" dataDxfId="272"/>
    <tableColumn id="417" xr3:uid="{00000000-0010-0000-0000-0000A1010000}" name="Director4ARX" dataDxfId="271"/>
    <tableColumn id="418" xr3:uid="{00000000-0010-0000-0000-0000A2010000}" name="Director4Courtesy" dataDxfId="270">
      <calculatedColumnFormula>IF(Contacts!N15=0,"",Contacts!N15)</calculatedColumnFormula>
    </tableColumn>
    <tableColumn id="419" xr3:uid="{00000000-0010-0000-0000-0000A3010000}" name="Director4MrX" dataDxfId="269"/>
    <tableColumn id="420" xr3:uid="{00000000-0010-0000-0000-0000A4010000}" name="Director4MrsX" dataDxfId="268"/>
    <tableColumn id="421" xr3:uid="{00000000-0010-0000-0000-0000A5010000}" name="Director4MissX" dataDxfId="267"/>
    <tableColumn id="422" xr3:uid="{00000000-0010-0000-0000-0000A6010000}" name="Director4MsX" dataDxfId="266"/>
    <tableColumn id="423" xr3:uid="{00000000-0010-0000-0000-0000A7010000}" name="DirectorFam4" dataDxfId="265">
      <calculatedColumnFormula>IF(Contacts!N16=0,"",Contacts!N16)</calculatedColumnFormula>
    </tableColumn>
    <tableColumn id="424" xr3:uid="{00000000-0010-0000-0000-0000A8010000}" name="DirectorGiven4" dataDxfId="264">
      <calculatedColumnFormula>IF(Contacts!N17=0,"",Contacts!N17)</calculatedColumnFormula>
    </tableColumn>
    <tableColumn id="425" xr3:uid="{00000000-0010-0000-0000-0000A9010000}" name="DirectorEN4" dataDxfId="263"/>
    <tableColumn id="426" xr3:uid="{00000000-0010-0000-0000-0000AA010000}" name="DirectorTC4" dataDxfId="262">
      <calculatedColumnFormula>+Contacts!#REF!&amp;Contacts!N21</calculatedColumnFormula>
    </tableColumn>
    <tableColumn id="427" xr3:uid="{00000000-0010-0000-0000-0000AB010000}" name="DirectorTitle4" dataDxfId="261">
      <calculatedColumnFormula>IF(Contacts!N18=0,"",Contacts!N18)</calculatedColumnFormula>
    </tableColumn>
    <tableColumn id="428" xr3:uid="{00000000-0010-0000-0000-0000AC010000}" name="DirectorIDType4" dataDxfId="260">
      <calculatedColumnFormula>IF(Contacts!N22=0,"",Contacts!N22)</calculatedColumnFormula>
    </tableColumn>
    <tableColumn id="429" xr3:uid="{00000000-0010-0000-0000-0000AD010000}" name="Director4HKIDX" dataDxfId="259"/>
    <tableColumn id="430" xr3:uid="{00000000-0010-0000-0000-0000AE010000}" name="Director4PassportX" dataDxfId="258"/>
    <tableColumn id="431" xr3:uid="{00000000-0010-0000-0000-0000AF010000}" name="DirectorID4" dataDxfId="257">
      <calculatedColumnFormula>IF(Contacts!N23=0,"",Contacts!N23)</calculatedColumnFormula>
    </tableColumn>
    <tableColumn id="432" xr3:uid="{00000000-0010-0000-0000-0000B0010000}" name="DirectorID4*" dataDxfId="256"/>
    <tableColumn id="433" xr3:uid="{00000000-0010-0000-0000-0000B1010000}" name="DirectorDD4" dataDxfId="255"/>
    <tableColumn id="434" xr3:uid="{00000000-0010-0000-0000-0000B2010000}" name="DirectorMM4" dataDxfId="254">
      <calculatedColumnFormula>TEXT(MONTH(Contacts!N24),"00")</calculatedColumnFormula>
    </tableColumn>
    <tableColumn id="435" xr3:uid="{00000000-0010-0000-0000-0000B3010000}" name="DirectorYYYY4" dataDxfId="253">
      <calculatedColumnFormula>TEXT(YEAR(Contacts!N24),"0000")</calculatedColumnFormula>
    </tableColumn>
    <tableColumn id="436" xr3:uid="{00000000-0010-0000-0000-0000B4010000}" name="DirectorYY4" dataDxfId="252"/>
    <tableColumn id="437" xr3:uid="{00000000-0010-0000-0000-0000B5010000}" name="DirectorDOB4" dataDxfId="251"/>
    <tableColumn id="438" xr3:uid="{00000000-0010-0000-0000-0000B6010000}" name="DirectorCountry4" dataDxfId="250">
      <calculatedColumnFormula>IF(Contacts!N25=0,"",Contacts!N25)</calculatedColumnFormula>
    </tableColumn>
    <tableColumn id="439" xr3:uid="{00000000-0010-0000-0000-0000B7010000}" name="DirectorCountryCN4X" dataDxfId="249">
      <calculatedColumnFormula>IF(TC2="CHINA", "X", "")</calculatedColumnFormula>
    </tableColumn>
    <tableColumn id="726" xr3:uid="{00000000-0010-0000-0000-0000D6020000}" name="DirectorCountryCHK4X" dataDxfId="248">
      <calculatedColumnFormula>IF(TC2="Hong Kong, China", "X", "")</calculatedColumnFormula>
    </tableColumn>
    <tableColumn id="725" xr3:uid="{00000000-0010-0000-0000-0000D5020000}" name="DirectorCountryCMO4X" dataDxfId="247">
      <calculatedColumnFormula>IF(TC2="Macau, China", "X", "")</calculatedColumnFormula>
    </tableColumn>
    <tableColumn id="440" xr3:uid="{00000000-0010-0000-0000-0000B8010000}" name="DirectorCountryOther4X" dataDxfId="246"/>
    <tableColumn id="441" xr3:uid="{00000000-0010-0000-0000-0000B9010000}" name="DirectorCountryOther4" dataDxfId="245"/>
    <tableColumn id="442" xr3:uid="{00000000-0010-0000-0000-0000BA010000}" name="DirectorFltRm4" dataDxfId="244"/>
    <tableColumn id="443" xr3:uid="{00000000-0010-0000-0000-0000BB010000}" name="DirectorFloor4" dataDxfId="243"/>
    <tableColumn id="444" xr3:uid="{00000000-0010-0000-0000-0000BC010000}" name="DirectorBlkBldg4" dataDxfId="242"/>
    <tableColumn id="445" xr3:uid="{00000000-0010-0000-0000-0000BD010000}" name="DirectorEstate4" dataDxfId="241"/>
    <tableColumn id="446" xr3:uid="{00000000-0010-0000-0000-0000BE010000}" name="DirectorStreet4" dataDxfId="240"/>
    <tableColumn id="447" xr3:uid="{00000000-0010-0000-0000-0000BF010000}" name="DirectorDistrict4" dataDxfId="239"/>
    <tableColumn id="448" xr3:uid="{00000000-0010-0000-0000-0000C0010000}" name="DirectorRegion4" dataDxfId="238"/>
    <tableColumn id="449" xr3:uid="{00000000-0010-0000-0000-0000C1010000}" name="DirectorAddr4" dataDxfId="237">
      <calculatedColumnFormula>TI2&amp;" "&amp;" "&amp;TJ2&amp;" "&amp;" "&amp;TK2&amp;" "&amp;" "&amp;TL2&amp;" "&amp;" "&amp;TM2&amp;" "&amp;" "&amp;TN2&amp;" "&amp;" "&amp;TO2</calculatedColumnFormula>
    </tableColumn>
    <tableColumn id="450" xr3:uid="{00000000-0010-0000-0000-0000C2010000}" name="Director4Ownership" dataDxfId="236">
      <calculatedColumnFormula>IF(Contacts!N34=0,"",Contacts!N34)</calculatedColumnFormula>
    </tableColumn>
    <tableColumn id="451" xr3:uid="{00000000-0010-0000-0000-0000C3010000}" name="Director4OwnerYesX" dataDxfId="235"/>
    <tableColumn id="452" xr3:uid="{00000000-0010-0000-0000-0000C4010000}" name="Director4OwnerNoX" dataDxfId="234"/>
    <tableColumn id="453" xr3:uid="{00000000-0010-0000-0000-0000C5010000}" name="DirectorYear4" dataDxfId="233"/>
    <tableColumn id="454" xr3:uid="{00000000-0010-0000-0000-0000C6010000}" name="DirectorMonth4" dataDxfId="232"/>
    <tableColumn id="594" xr3:uid="{00000000-0010-0000-0000-000052020000}" name="Director%4" dataDxfId="231"/>
    <tableColumn id="455" xr3:uid="{00000000-0010-0000-0000-0000C7010000}" name="BO1Courtesy" dataDxfId="230"/>
    <tableColumn id="456" xr3:uid="{00000000-0010-0000-0000-0000C8010000}" name="BO1MrX" dataDxfId="229"/>
    <tableColumn id="457" xr3:uid="{00000000-0010-0000-0000-0000C9010000}" name="BO1MrsX" dataDxfId="228"/>
    <tableColumn id="458" xr3:uid="{00000000-0010-0000-0000-0000CA010000}" name="BO1MissX" dataDxfId="227"/>
    <tableColumn id="459" xr3:uid="{00000000-0010-0000-0000-0000CB010000}" name="BO1MsX" dataDxfId="226"/>
    <tableColumn id="460" xr3:uid="{00000000-0010-0000-0000-0000CC010000}" name="BOFam1" dataDxfId="225">
      <calculatedColumnFormula>IF(Contacts!B42=0,"",Contacts!B42)</calculatedColumnFormula>
    </tableColumn>
    <tableColumn id="461" xr3:uid="{00000000-0010-0000-0000-0000CD010000}" name="BOGiven1" dataDxfId="224">
      <calculatedColumnFormula>IF(Contacts!B43=0,"",Contacts!B43)</calculatedColumnFormula>
    </tableColumn>
    <tableColumn id="462" xr3:uid="{00000000-0010-0000-0000-0000CE010000}" name="BOEN1" dataDxfId="223"/>
    <tableColumn id="463" xr3:uid="{00000000-0010-0000-0000-0000CF010000}" name="BOTC1" dataDxfId="222"/>
    <tableColumn id="464" xr3:uid="{00000000-0010-0000-0000-0000D0010000}" name="BOTitle1" dataDxfId="221">
      <calculatedColumnFormula>IF(Contacts!B44=0,"",Contacts!B44)</calculatedColumnFormula>
    </tableColumn>
    <tableColumn id="465" xr3:uid="{00000000-0010-0000-0000-0000D1010000}" name="BOIDType1" dataDxfId="220">
      <calculatedColumnFormula>IF(Contacts!B47=0,"",Contacts!B47)</calculatedColumnFormula>
    </tableColumn>
    <tableColumn id="466" xr3:uid="{00000000-0010-0000-0000-0000D2010000}" name="BO1HKIDX" dataDxfId="219"/>
    <tableColumn id="467" xr3:uid="{00000000-0010-0000-0000-0000D3010000}" name="BO1PassportX" dataDxfId="218"/>
    <tableColumn id="468" xr3:uid="{00000000-0010-0000-0000-0000D4010000}" name="BOID1" dataDxfId="217">
      <calculatedColumnFormula>IF(Contacts!B48=0,"",Contacts!B48)</calculatedColumnFormula>
    </tableColumn>
    <tableColumn id="469" xr3:uid="{00000000-0010-0000-0000-0000D5010000}" name="BODD1" dataDxfId="216"/>
    <tableColumn id="470" xr3:uid="{00000000-0010-0000-0000-0000D6010000}" name="BOMM1" dataDxfId="215"/>
    <tableColumn id="471" xr3:uid="{00000000-0010-0000-0000-0000D7010000}" name="BOYYYY1" dataDxfId="214"/>
    <tableColumn id="472" xr3:uid="{00000000-0010-0000-0000-0000D8010000}" name="BOYY1" dataDxfId="213"/>
    <tableColumn id="473" xr3:uid="{00000000-0010-0000-0000-0000D9010000}" name="BODOB1" dataDxfId="212"/>
    <tableColumn id="474" xr3:uid="{00000000-0010-0000-0000-0000DA010000}" name="BOCountry1" dataDxfId="211">
      <calculatedColumnFormula>IF(Contacts!B50=0,"",Contacts!B50)</calculatedColumnFormula>
    </tableColumn>
    <tableColumn id="475" xr3:uid="{00000000-0010-0000-0000-0000DB010000}" name="BOCountryCN1X" dataDxfId="210"/>
    <tableColumn id="476" xr3:uid="{00000000-0010-0000-0000-0000DC010000}" name="BOCountryOther1X" dataDxfId="209"/>
    <tableColumn id="477" xr3:uid="{00000000-0010-0000-0000-0000DD010000}" name="BOCountryOther1" dataDxfId="208"/>
    <tableColumn id="478" xr3:uid="{00000000-0010-0000-0000-0000DE010000}" name="BOFltRm1" dataDxfId="207"/>
    <tableColumn id="479" xr3:uid="{00000000-0010-0000-0000-0000DF010000}" name="BOFloor1" dataDxfId="206"/>
    <tableColumn id="480" xr3:uid="{00000000-0010-0000-0000-0000E0010000}" name="BOBlkBldg1" dataDxfId="205"/>
    <tableColumn id="481" xr3:uid="{00000000-0010-0000-0000-0000E1010000}" name="BOEstate1" dataDxfId="204"/>
    <tableColumn id="482" xr3:uid="{00000000-0010-0000-0000-0000E2010000}" name="BOStreet1" dataDxfId="203"/>
    <tableColumn id="483" xr3:uid="{00000000-0010-0000-0000-0000E3010000}" name="BODistrict1" dataDxfId="202"/>
    <tableColumn id="484" xr3:uid="{00000000-0010-0000-0000-0000E4010000}" name="BORegion1" dataDxfId="201"/>
    <tableColumn id="485" xr3:uid="{00000000-0010-0000-0000-0000E5010000}" name="BOAddr1" dataDxfId="200"/>
    <tableColumn id="486" xr3:uid="{00000000-0010-0000-0000-0000E6010000}" name="BO2Courtesy" dataDxfId="199"/>
    <tableColumn id="487" xr3:uid="{00000000-0010-0000-0000-0000E7010000}" name="BO2MrX" dataDxfId="198"/>
    <tableColumn id="488" xr3:uid="{00000000-0010-0000-0000-0000E8010000}" name="BO2MrsX" dataDxfId="197"/>
    <tableColumn id="489" xr3:uid="{00000000-0010-0000-0000-0000E9010000}" name="BO2MissX" dataDxfId="196"/>
    <tableColumn id="490" xr3:uid="{00000000-0010-0000-0000-0000EA010000}" name="BO2MsX" dataDxfId="195"/>
    <tableColumn id="491" xr3:uid="{00000000-0010-0000-0000-0000EB010000}" name="BOFam2" dataDxfId="194">
      <calculatedColumnFormula>IF(Contacts!F42=0,"",Contacts!F42)</calculatedColumnFormula>
    </tableColumn>
    <tableColumn id="492" xr3:uid="{00000000-0010-0000-0000-0000EC010000}" name="BOGiven2" dataDxfId="193">
      <calculatedColumnFormula>IF(Contacts!F43=0,"",Contacts!F43)</calculatedColumnFormula>
    </tableColumn>
    <tableColumn id="493" xr3:uid="{00000000-0010-0000-0000-0000ED010000}" name="BOEN2" dataDxfId="192"/>
    <tableColumn id="494" xr3:uid="{00000000-0010-0000-0000-0000EE010000}" name="BOTC2" dataDxfId="191"/>
    <tableColumn id="495" xr3:uid="{00000000-0010-0000-0000-0000EF010000}" name="BOTitle2" dataDxfId="190">
      <calculatedColumnFormula>IF(Contacts!F44=0,"",Contacts!F44)</calculatedColumnFormula>
    </tableColumn>
    <tableColumn id="496" xr3:uid="{00000000-0010-0000-0000-0000F0010000}" name="BOIDType2" dataDxfId="189">
      <calculatedColumnFormula>IF(Contacts!F47=0,"",Contacts!F47)</calculatedColumnFormula>
    </tableColumn>
    <tableColumn id="497" xr3:uid="{00000000-0010-0000-0000-0000F1010000}" name="BO2HKIDX" dataDxfId="188"/>
    <tableColumn id="498" xr3:uid="{00000000-0010-0000-0000-0000F2010000}" name="BO2PassportX" dataDxfId="187"/>
    <tableColumn id="499" xr3:uid="{00000000-0010-0000-0000-0000F3010000}" name="BOID2" dataDxfId="186">
      <calculatedColumnFormula>IF(Contacts!F48=0,"",Contacts!F48)</calculatedColumnFormula>
    </tableColumn>
    <tableColumn id="500" xr3:uid="{00000000-0010-0000-0000-0000F4010000}" name="BODD2" dataDxfId="185"/>
    <tableColumn id="501" xr3:uid="{00000000-0010-0000-0000-0000F5010000}" name="BOMM2" dataDxfId="184"/>
    <tableColumn id="502" xr3:uid="{00000000-0010-0000-0000-0000F6010000}" name="BOYYYY2" dataDxfId="183"/>
    <tableColumn id="503" xr3:uid="{00000000-0010-0000-0000-0000F7010000}" name="BOYY2" dataDxfId="182"/>
    <tableColumn id="504" xr3:uid="{00000000-0010-0000-0000-0000F8010000}" name="BODOB2" dataDxfId="181"/>
    <tableColumn id="505" xr3:uid="{00000000-0010-0000-0000-0000F9010000}" name="BOCountry2" dataDxfId="180">
      <calculatedColumnFormula>IF(Contacts!F50=0,"",Contacts!F50)</calculatedColumnFormula>
    </tableColumn>
    <tableColumn id="506" xr3:uid="{00000000-0010-0000-0000-0000FA010000}" name="BOCountryCN2X" dataDxfId="179"/>
    <tableColumn id="507" xr3:uid="{00000000-0010-0000-0000-0000FB010000}" name="BOCountryOther2X" dataDxfId="178"/>
    <tableColumn id="508" xr3:uid="{00000000-0010-0000-0000-0000FC010000}" name="BOCountryOther2" dataDxfId="177"/>
    <tableColumn id="509" xr3:uid="{00000000-0010-0000-0000-0000FD010000}" name="BOFltRm2" dataDxfId="176">
      <calculatedColumnFormula>+IF(Contacts!#REF!=0,"",Contacts!#REF!)</calculatedColumnFormula>
    </tableColumn>
    <tableColumn id="510" xr3:uid="{00000000-0010-0000-0000-0000FE010000}" name="BOFloor2" dataDxfId="175"/>
    <tableColumn id="511" xr3:uid="{00000000-0010-0000-0000-0000FF010000}" name="BOBlkBldg2" dataDxfId="174"/>
    <tableColumn id="512" xr3:uid="{00000000-0010-0000-0000-000000020000}" name="BOEstate2" dataDxfId="173"/>
    <tableColumn id="513" xr3:uid="{00000000-0010-0000-0000-000001020000}" name="BOStreet2" dataDxfId="172">
      <calculatedColumnFormula>+IF(Contacts!F55=0,"",Contacts!F55)</calculatedColumnFormula>
    </tableColumn>
    <tableColumn id="514" xr3:uid="{00000000-0010-0000-0000-000002020000}" name="BODistrict2" dataDxfId="171"/>
    <tableColumn id="515" xr3:uid="{00000000-0010-0000-0000-000003020000}" name="BORegion2" dataDxfId="170"/>
    <tableColumn id="516" xr3:uid="{00000000-0010-0000-0000-000004020000}" name="BOAddr2" dataDxfId="169">
      <calculatedColumnFormula>VY2&amp;" "&amp;" "&amp;VZ2&amp;" "&amp;" "&amp;WA2&amp;" "&amp;" "&amp;WB2&amp;" "&amp;" "&amp;WC2&amp;" "&amp;" "&amp;WD2&amp;" "&amp;" "&amp;WE2</calculatedColumnFormula>
    </tableColumn>
    <tableColumn id="517" xr3:uid="{00000000-0010-0000-0000-000005020000}" name="BO3Courtesy" dataDxfId="168"/>
    <tableColumn id="518" xr3:uid="{00000000-0010-0000-0000-000006020000}" name="BO3MrX" dataDxfId="167"/>
    <tableColumn id="519" xr3:uid="{00000000-0010-0000-0000-000007020000}" name="BO3MrsX" dataDxfId="166"/>
    <tableColumn id="520" xr3:uid="{00000000-0010-0000-0000-000008020000}" name="BO3MissX" dataDxfId="165"/>
    <tableColumn id="521" xr3:uid="{00000000-0010-0000-0000-000009020000}" name="BO3MsX" dataDxfId="164"/>
    <tableColumn id="522" xr3:uid="{00000000-0010-0000-0000-00000A020000}" name="BOFam3" dataDxfId="163">
      <calculatedColumnFormula>IF(Contacts!J42=0,"",Contacts!J42)</calculatedColumnFormula>
    </tableColumn>
    <tableColumn id="523" xr3:uid="{00000000-0010-0000-0000-00000B020000}" name="BOGiven3" dataDxfId="162">
      <calculatedColumnFormula>IF(Contacts!J43=0,"",Contacts!J43)</calculatedColumnFormula>
    </tableColumn>
    <tableColumn id="524" xr3:uid="{00000000-0010-0000-0000-00000C020000}" name="BOEN3" dataDxfId="161"/>
    <tableColumn id="525" xr3:uid="{00000000-0010-0000-0000-00000D020000}" name="BOTC3" dataDxfId="160"/>
    <tableColumn id="526" xr3:uid="{00000000-0010-0000-0000-00000E020000}" name="BOTitle3" dataDxfId="159">
      <calculatedColumnFormula>IF(Contacts!J44=0,"",Contacts!J44)</calculatedColumnFormula>
    </tableColumn>
    <tableColumn id="527" xr3:uid="{00000000-0010-0000-0000-00000F020000}" name="BOIDType3" dataDxfId="158">
      <calculatedColumnFormula>IF(Contacts!J47=0,"",Contacts!J47)</calculatedColumnFormula>
    </tableColumn>
    <tableColumn id="528" xr3:uid="{00000000-0010-0000-0000-000010020000}" name="BO3HKIDX" dataDxfId="157"/>
    <tableColumn id="529" xr3:uid="{00000000-0010-0000-0000-000011020000}" name="BO3PassportX" dataDxfId="156"/>
    <tableColumn id="530" xr3:uid="{00000000-0010-0000-0000-000012020000}" name="BOID3" dataDxfId="155">
      <calculatedColumnFormula>IF(Contacts!J48=0,"",Contacts!J48)</calculatedColumnFormula>
    </tableColumn>
    <tableColumn id="531" xr3:uid="{00000000-0010-0000-0000-000013020000}" name="BODD3" dataDxfId="154"/>
    <tableColumn id="532" xr3:uid="{00000000-0010-0000-0000-000014020000}" name="BOMM3" dataDxfId="153"/>
    <tableColumn id="533" xr3:uid="{00000000-0010-0000-0000-000015020000}" name="BOYYYY3" dataDxfId="152"/>
    <tableColumn id="534" xr3:uid="{00000000-0010-0000-0000-000016020000}" name="BOYY3" dataDxfId="151"/>
    <tableColumn id="535" xr3:uid="{00000000-0010-0000-0000-000017020000}" name="BODOB3" dataDxfId="150"/>
    <tableColumn id="536" xr3:uid="{00000000-0010-0000-0000-000018020000}" name="BOCountry3" dataDxfId="149">
      <calculatedColumnFormula>IF(Contacts!J50=0,"",Contacts!J50)</calculatedColumnFormula>
    </tableColumn>
    <tableColumn id="537" xr3:uid="{00000000-0010-0000-0000-000019020000}" name="BOCountryCN3X" dataDxfId="148"/>
    <tableColumn id="538" xr3:uid="{00000000-0010-0000-0000-00001A020000}" name="BOCountryOther3X" dataDxfId="147"/>
    <tableColumn id="539" xr3:uid="{00000000-0010-0000-0000-00001B020000}" name="BOCountryOther3" dataDxfId="146"/>
    <tableColumn id="540" xr3:uid="{00000000-0010-0000-0000-00001C020000}" name="BOFltRm3" dataDxfId="145"/>
    <tableColumn id="541" xr3:uid="{00000000-0010-0000-0000-00001D020000}" name="BOFloor3" dataDxfId="144"/>
    <tableColumn id="542" xr3:uid="{00000000-0010-0000-0000-00001E020000}" name="BOBlkBldg3" dataDxfId="143"/>
    <tableColumn id="543" xr3:uid="{00000000-0010-0000-0000-00001F020000}" name="BOEstate3" dataDxfId="142"/>
    <tableColumn id="544" xr3:uid="{00000000-0010-0000-0000-000020020000}" name="BOStreet3" dataDxfId="141"/>
    <tableColumn id="545" xr3:uid="{00000000-0010-0000-0000-000021020000}" name="BODistrict3" dataDxfId="140"/>
    <tableColumn id="546" xr3:uid="{00000000-0010-0000-0000-000022020000}" name="BORegion3" dataDxfId="139"/>
    <tableColumn id="547" xr3:uid="{00000000-0010-0000-0000-000023020000}" name="BOAddr3" dataDxfId="138">
      <calculatedColumnFormula>XD2&amp;" "&amp;" "&amp;XE2&amp;" "&amp;" "&amp;XF2&amp;" "&amp;" "&amp;XG2&amp;" "&amp;" "&amp;XH2&amp;" "&amp;" "&amp;XI2&amp;" "&amp;" "&amp;XJ2</calculatedColumnFormula>
    </tableColumn>
    <tableColumn id="548" xr3:uid="{00000000-0010-0000-0000-000024020000}" name="BO4Courtesy" dataDxfId="137"/>
    <tableColumn id="549" xr3:uid="{00000000-0010-0000-0000-000025020000}" name="BO4MrX" dataDxfId="136"/>
    <tableColumn id="550" xr3:uid="{00000000-0010-0000-0000-000026020000}" name="BO4MrsX" dataDxfId="135"/>
    <tableColumn id="551" xr3:uid="{00000000-0010-0000-0000-000027020000}" name="BO4MissX" dataDxfId="134"/>
    <tableColumn id="552" xr3:uid="{00000000-0010-0000-0000-000028020000}" name="BO4MsX" dataDxfId="133"/>
    <tableColumn id="553" xr3:uid="{00000000-0010-0000-0000-000029020000}" name="BOFam4" dataDxfId="132">
      <calculatedColumnFormula>IF(Contacts!N42=0,"",Contacts!N42)</calculatedColumnFormula>
    </tableColumn>
    <tableColumn id="554" xr3:uid="{00000000-0010-0000-0000-00002A020000}" name="BOGiven4" dataDxfId="131">
      <calculatedColumnFormula>IF(Contacts!N43=0,"",Contacts!N43)</calculatedColumnFormula>
    </tableColumn>
    <tableColumn id="555" xr3:uid="{00000000-0010-0000-0000-00002B020000}" name="BOEN4" dataDxfId="130"/>
    <tableColumn id="556" xr3:uid="{00000000-0010-0000-0000-00002C020000}" name="BOTC4" dataDxfId="129"/>
    <tableColumn id="557" xr3:uid="{00000000-0010-0000-0000-00002D020000}" name="BOTitle4" dataDxfId="128">
      <calculatedColumnFormula>IF(Contacts!N44=0,"",Contacts!N44)</calculatedColumnFormula>
    </tableColumn>
    <tableColumn id="558" xr3:uid="{00000000-0010-0000-0000-00002E020000}" name="BOIDType4" dataDxfId="127">
      <calculatedColumnFormula>IF(Contacts!N47=0,"",Contacts!N47)</calculatedColumnFormula>
    </tableColumn>
    <tableColumn id="559" xr3:uid="{00000000-0010-0000-0000-00002F020000}" name="BO4HKIDX" dataDxfId="126"/>
    <tableColumn id="560" xr3:uid="{00000000-0010-0000-0000-000030020000}" name="BO4PassportX" dataDxfId="125"/>
    <tableColumn id="561" xr3:uid="{00000000-0010-0000-0000-000031020000}" name="BOID4" dataDxfId="124">
      <calculatedColumnFormula>IF(Contacts!N48=0,"",Contacts!N48)</calculatedColumnFormula>
    </tableColumn>
    <tableColumn id="562" xr3:uid="{00000000-0010-0000-0000-000032020000}" name="BODD4" dataDxfId="123"/>
    <tableColumn id="563" xr3:uid="{00000000-0010-0000-0000-000033020000}" name="BOMM4" dataDxfId="122"/>
    <tableColumn id="564" xr3:uid="{00000000-0010-0000-0000-000034020000}" name="BOYYYY4" dataDxfId="121"/>
    <tableColumn id="565" xr3:uid="{00000000-0010-0000-0000-000035020000}" name="BOYY4" dataDxfId="120"/>
    <tableColumn id="566" xr3:uid="{00000000-0010-0000-0000-000036020000}" name="BODOB4" dataDxfId="119"/>
    <tableColumn id="567" xr3:uid="{00000000-0010-0000-0000-000037020000}" name="BOCountry4" dataDxfId="118">
      <calculatedColumnFormula>IF(Contacts!N50=0,"",Contacts!N50)</calculatedColumnFormula>
    </tableColumn>
    <tableColumn id="568" xr3:uid="{00000000-0010-0000-0000-000038020000}" name="BOCountryCN4X" dataDxfId="117"/>
    <tableColumn id="569" xr3:uid="{00000000-0010-0000-0000-000039020000}" name="BOCountryOther4X" dataDxfId="116"/>
    <tableColumn id="570" xr3:uid="{00000000-0010-0000-0000-00003A020000}" name="BOCountryOther4" dataDxfId="115"/>
    <tableColumn id="571" xr3:uid="{00000000-0010-0000-0000-00003B020000}" name="BOFltRm4" dataDxfId="114">
      <calculatedColumnFormula>+IF(Contacts!#REF!=0,"",Contacts!#REF!)</calculatedColumnFormula>
    </tableColumn>
    <tableColumn id="572" xr3:uid="{00000000-0010-0000-0000-00003C020000}" name="BOFloor4" dataDxfId="113"/>
    <tableColumn id="573" xr3:uid="{00000000-0010-0000-0000-00003D020000}" name="BOBlkBldg4" dataDxfId="112"/>
    <tableColumn id="574" xr3:uid="{00000000-0010-0000-0000-00003E020000}" name="BOEstate4" dataDxfId="111"/>
    <tableColumn id="575" xr3:uid="{00000000-0010-0000-0000-00003F020000}" name="BOStreet4" dataDxfId="110"/>
    <tableColumn id="576" xr3:uid="{00000000-0010-0000-0000-000040020000}" name="BODistrict4" dataDxfId="109"/>
    <tableColumn id="577" xr3:uid="{00000000-0010-0000-0000-000041020000}" name="BORegion4" dataDxfId="108"/>
    <tableColumn id="578" xr3:uid="{00000000-0010-0000-0000-000042020000}" name="BOAddr4" dataDxfId="107">
      <calculatedColumnFormula>YI2&amp;" "&amp;" "&amp;YJ2&amp;" "&amp;" "&amp;YK2&amp;" "&amp;" "&amp;YL2&amp;" "&amp;" "&amp;YM2&amp;" "&amp;" "&amp;YN2&amp;" "&amp;" "&amp;YO2</calculatedColumnFormula>
    </tableColumn>
    <tableColumn id="648" xr3:uid="{00000000-0010-0000-0000-000088020000}" name="Sign1Courtesy" dataDxfId="106"/>
    <tableColumn id="649" xr3:uid="{00000000-0010-0000-0000-000089020000}" name="Sign1MrX" dataDxfId="105"/>
    <tableColumn id="650" xr3:uid="{00000000-0010-0000-0000-00008A020000}" name="Sign1MrsX" dataDxfId="104"/>
    <tableColumn id="651" xr3:uid="{00000000-0010-0000-0000-00008B020000}" name="Sign1MissX" dataDxfId="103"/>
    <tableColumn id="652" xr3:uid="{00000000-0010-0000-0000-00008C020000}" name="Sign1MsX" dataDxfId="102"/>
    <tableColumn id="653" xr3:uid="{00000000-0010-0000-0000-00008D020000}" name="SignFam1" dataDxfId="101"/>
    <tableColumn id="654" xr3:uid="{00000000-0010-0000-0000-00008E020000}" name="SignGiven1" dataDxfId="100"/>
    <tableColumn id="655" xr3:uid="{00000000-0010-0000-0000-00008F020000}" name="SignEN1" dataDxfId="99"/>
    <tableColumn id="656" xr3:uid="{00000000-0010-0000-0000-000090020000}" name="SignTC1" dataDxfId="98"/>
    <tableColumn id="657" xr3:uid="{00000000-0010-0000-0000-000091020000}" name="SignTitle1" dataDxfId="97"/>
    <tableColumn id="658" xr3:uid="{00000000-0010-0000-0000-000092020000}" name="SignIDType1" dataDxfId="96"/>
    <tableColumn id="659" xr3:uid="{00000000-0010-0000-0000-000093020000}" name="Sign1HKIDX" dataDxfId="95"/>
    <tableColumn id="660" xr3:uid="{00000000-0010-0000-0000-000094020000}" name="Sign1PassportX" dataDxfId="94"/>
    <tableColumn id="661" xr3:uid="{00000000-0010-0000-0000-000095020000}" name="SignID1" dataDxfId="93"/>
    <tableColumn id="662" xr3:uid="{00000000-0010-0000-0000-000096020000}" name="SignDD1" dataDxfId="92">
      <calculatedColumnFormula>TEXT(DAY(Contacts!R24),"00")</calculatedColumnFormula>
    </tableColumn>
    <tableColumn id="663" xr3:uid="{00000000-0010-0000-0000-000097020000}" name="SignMM1" dataDxfId="91">
      <calculatedColumnFormula>TEXT(MONTH(Contacts!R24),"00")</calculatedColumnFormula>
    </tableColumn>
    <tableColumn id="664" xr3:uid="{00000000-0010-0000-0000-000098020000}" name="SignnYYYY1" dataDxfId="90">
      <calculatedColumnFormula>TEXT(YEAR(Contacts!R24),"0000")</calculatedColumnFormula>
    </tableColumn>
    <tableColumn id="665" xr3:uid="{00000000-0010-0000-0000-000099020000}" name="SignYY1" dataDxfId="89"/>
    <tableColumn id="666" xr3:uid="{00000000-0010-0000-0000-00009A020000}" name="SignDOB1" dataDxfId="88"/>
    <tableColumn id="667" xr3:uid="{00000000-0010-0000-0000-00009B020000}" name="SignTelephoneNo" dataDxfId="87"/>
    <tableColumn id="668" xr3:uid="{00000000-0010-0000-0000-00009C020000}" name="SignCountry1" dataDxfId="86"/>
    <tableColumn id="669" xr3:uid="{00000000-0010-0000-0000-00009D020000}" name="SignCountryCN1X" dataDxfId="85"/>
    <tableColumn id="670" xr3:uid="{00000000-0010-0000-0000-00009E020000}" name="SignCountryOther1X" dataDxfId="84"/>
    <tableColumn id="671" xr3:uid="{00000000-0010-0000-0000-00009F020000}" name="SignCountryOther1" dataDxfId="83"/>
    <tableColumn id="672" xr3:uid="{00000000-0010-0000-0000-0000A0020000}" name="SignFltRm1" dataDxfId="82"/>
    <tableColumn id="673" xr3:uid="{00000000-0010-0000-0000-0000A1020000}" name="SignFloor1" dataDxfId="81"/>
    <tableColumn id="674" xr3:uid="{00000000-0010-0000-0000-0000A2020000}" name="SignBlkBldg1" dataDxfId="80"/>
    <tableColumn id="675" xr3:uid="{00000000-0010-0000-0000-0000A3020000}" name="SignEstate1" dataDxfId="79"/>
    <tableColumn id="676" xr3:uid="{00000000-0010-0000-0000-0000A4020000}" name="SignStreet1" dataDxfId="78"/>
    <tableColumn id="677" xr3:uid="{00000000-0010-0000-0000-0000A5020000}" name="SignDistrict1" dataDxfId="77"/>
    <tableColumn id="678" xr3:uid="{00000000-0010-0000-0000-0000A6020000}" name="SignRegion1" dataDxfId="76"/>
    <tableColumn id="679" xr3:uid="{00000000-0010-0000-0000-0000A7020000}" name="SignAddr1" dataDxfId="75">
      <calculatedColumnFormula>ZO2&amp;" "&amp;" "&amp;ZP2&amp;" "&amp;" "&amp;ZQ2&amp;" "&amp;" "&amp;ZR2&amp;" "&amp;" "&amp;ZS2&amp;" "&amp;" "&amp;ZT2&amp;" "&amp;" "&amp;ZU2</calculatedColumnFormula>
    </tableColumn>
    <tableColumn id="680" xr3:uid="{00000000-0010-0000-0000-0000A8020000}" name="Business Type (OCL)" dataDxfId="74"/>
    <tableColumn id="681" xr3:uid="{00000000-0010-0000-0000-0000A9020000}" name="Businees Sub-Type" dataDxfId="73"/>
    <tableColumn id="682" xr3:uid="{00000000-0010-0000-0000-0000AA020000}" name="Detail Business Nature" dataDxfId="72"/>
    <tableColumn id="683" xr3:uid="{00000000-0010-0000-0000-0000AB020000}" name="Due Diligence Category " dataDxfId="71"/>
    <tableColumn id="684" xr3:uid="{00000000-0010-0000-0000-0000AC020000}" name="Change Type" dataDxfId="70"/>
    <tableColumn id="685" xr3:uid="{00000000-0010-0000-0000-0000AD020000}" name="Acquirer" dataDxfId="69"/>
    <tableColumn id="686" xr3:uid="{00000000-0010-0000-0000-0000AE020000}" name="Payment Gateway" dataDxfId="68"/>
    <tableColumn id="687" xr3:uid="{00000000-0010-0000-0000-0000AF020000}" name="SmartPOSMonthlyplan" dataDxfId="67">
      <calculatedColumnFormula>#REF!</calculatedColumnFormula>
    </tableColumn>
    <tableColumn id="33" xr3:uid="{00000000-0010-0000-0000-000021000000}" name="SmartPOSCode" dataDxfId="66">
      <calculatedColumnFormula>+IF(#REF!=0,"",#REF!)</calculatedColumnFormula>
    </tableColumn>
    <tableColumn id="34" xr3:uid="{00000000-0010-0000-0000-000022000000}" name="HKTPOSMonthlyplan" dataDxfId="65">
      <calculatedColumnFormula>IF(#REF!=0,"",#REF!)</calculatedColumnFormula>
    </tableColumn>
    <tableColumn id="688" xr3:uid="{00000000-0010-0000-0000-0000B0020000}" name="HKTPOSCODE" dataDxfId="64">
      <calculatedColumnFormula>_xlfn.XLOOKUP(__Anonymous_Sheet_DB__1[[#This Row],[HKTPOSMonthlyplan]],'Rental Code'!A1:A4,'Rental Code'!B1:B4)</calculatedColumnFormula>
    </tableColumn>
    <tableColumn id="691" xr3:uid="{00000000-0010-0000-0000-0000B3020000}" name="Email for Octopus Report Delivery " dataDxfId="63"/>
    <tableColumn id="692" xr3:uid="{00000000-0010-0000-0000-0000B4020000}" name="THECLUB" dataDxfId="62"/>
    <tableColumn id="693" xr3:uid="{00000000-0010-0000-0000-0000B5020000}" name="K-Dollar" dataDxfId="61"/>
    <tableColumn id="728" xr3:uid="{00000000-0010-0000-0000-0000D8020000}" name="MobileCard"/>
    <tableColumn id="615" xr3:uid="{00000000-0010-0000-0000-000067020000}" name="MiraPoint"/>
    <tableColumn id="694" xr3:uid="{00000000-0010-0000-0000-0000B6020000}" name="EFT- Alipay" dataDxfId="60"/>
    <tableColumn id="695" xr3:uid="{00000000-0010-0000-0000-0000B7020000}" name="EFT- WeChatPay" dataDxfId="59"/>
    <tableColumn id="36" xr3:uid="{00000000-0010-0000-0000-000024000000}" name="PaymentAsia- Alipay" dataDxfId="58"/>
    <tableColumn id="35" xr3:uid="{00000000-0010-0000-0000-000023000000}" name="PaymentAsia- WechatPay" dataDxfId="57"/>
    <tableColumn id="696" xr3:uid="{00000000-0010-0000-0000-0000B8020000}" name="VM (Fiserv)" dataDxfId="56"/>
    <tableColumn id="697" xr3:uid="{00000000-0010-0000-0000-0000B9020000}" name="VM (WLB)" dataDxfId="55"/>
    <tableColumn id="698" xr3:uid="{00000000-0010-0000-0000-0000BA020000}" name="VM (Paymentasia)" dataDxfId="54"/>
    <tableColumn id="699" xr3:uid="{00000000-0010-0000-0000-0000BB020000}" name="Octopus" dataDxfId="53"/>
    <tableColumn id="700" xr3:uid="{00000000-0010-0000-0000-0000BC020000}" name="Amex" dataDxfId="52"/>
    <tableColumn id="701" xr3:uid="{00000000-0010-0000-0000-0000BD020000}" name="UnionPay" dataDxfId="51"/>
    <tableColumn id="702" xr3:uid="{00000000-0010-0000-0000-0000BE020000}" name="ERUN" dataDxfId="50"/>
    <tableColumn id="703" xr3:uid="{00000000-0010-0000-0000-0000BF020000}" name="EVERYWARE" dataDxfId="49"/>
    <tableColumn id="704" xr3:uid="{00000000-0010-0000-0000-0000C0020000}" name="IBSRESEARCHLTD" dataDxfId="48"/>
    <tableColumn id="705" xr3:uid="{00000000-0010-0000-0000-0000C1020000}" name="Posify" dataDxfId="47"/>
    <tableColumn id="707" xr3:uid="{00000000-0010-0000-0000-0000C3020000}" name="Gingersoft" dataDxfId="46"/>
    <tableColumn id="708" xr3:uid="{00000000-0010-0000-0000-0000C4020000}" name="PinMe" dataDxfId="45"/>
    <tableColumn id="709" xr3:uid="{00000000-0010-0000-0000-0000C5020000}" name="MeterSquare" dataDxfId="44"/>
    <tableColumn id="710" xr3:uid="{00000000-0010-0000-0000-0000C6020000}" name="Other_SI" dataDxfId="43"/>
    <tableColumn id="711" xr3:uid="{00000000-0010-0000-0000-0000C7020000}" name="Other_SINAME" dataDxfId="42"/>
    <tableColumn id="712" xr3:uid="{00000000-0010-0000-0000-0000C8020000}" name="POSSYTEM_Y" dataDxfId="41"/>
    <tableColumn id="713" xr3:uid="{00000000-0010-0000-0000-0000C9020000}" name="POSSYTEM_N" dataDxfId="40">
      <calculatedColumnFormula>#REF!</calculatedColumnFormula>
    </tableColumn>
    <tableColumn id="715" xr3:uid="{00000000-0010-0000-0000-0000CB020000}" name="SINAME" dataDxfId="39"/>
    <tableColumn id="717" xr3:uid="{00000000-0010-0000-0000-0000CD020000}" name="Cheque_No" dataDxfId="38">
      <calculatedColumnFormula>+IF('Payment Channels'!$S$9=0,"",'Payment Channels'!$S$9)</calculatedColumnFormula>
    </tableColumn>
    <tableColumn id="718" xr3:uid="{00000000-0010-0000-0000-0000CE020000}" name="Cheque_bank" dataDxfId="37">
      <calculatedColumnFormula>+IF('Payment Channels'!S9=0,"",'Payment Channels'!S9)</calculatedColumnFormula>
    </tableColumn>
    <tableColumn id="706" xr3:uid="{00000000-0010-0000-0000-0000C2020000}" name="WLBVM_HKTPOS" dataDxfId="36"/>
    <tableColumn id="714" xr3:uid="{00000000-0010-0000-0000-0000CA020000}" name="PaymentAsiaAlipay_HKTPOS" dataDxfId="35"/>
    <tableColumn id="716" xr3:uid="{00000000-0010-0000-0000-0000CC020000}" name="PaymentAsiaWechatpay_HKTPOS" dataDxfId="34"/>
    <tableColumn id="748" xr3:uid="{00000000-0010-0000-0000-0000EC020000}" name="EasylinkCUP_HKTPOS" dataDxfId="33"/>
    <tableColumn id="749" xr3:uid="{00000000-0010-0000-0000-0000ED020000}" name="OCTOPUS_HKTPOS" dataDxfId="32"/>
    <tableColumn id="49" xr3:uid="{00000000-0010-0000-0000-000031000000}" name="HKT POS Plan" dataDxfId="31">
      <calculatedColumnFormula>+IF('Payment Channels'!$J$3=0,"",'Payment Channels'!$J$3)</calculatedColumnFormula>
    </tableColumn>
    <tableColumn id="50" xr3:uid="{00000000-0010-0000-0000-000032000000}" name="HKTPOS_SO" dataDxfId="30">
      <calculatedColumnFormula>IF(NOT(ABP2="24 months"), "X", " ")</calculatedColumnFormula>
    </tableColumn>
    <tableColumn id="31" xr3:uid="{00000000-0010-0000-0000-00001F000000}" name="HKTPOSAPP_DISPLAYNAME" dataDxfId="29">
      <calculatedColumnFormula>+IF('Application Merchant'!#REF!=0,"",'Application Merchant'!#REF!)</calculatedColumnFormula>
    </tableColumn>
    <tableColumn id="32" xr3:uid="{00000000-0010-0000-0000-000020000000}" name="HKTPOSAPP_DISPLAYADDRESS" dataDxfId="28">
      <calculatedColumnFormula>+IF('Application Merchant'!B61=0,"",'Application Merchant'!B61)</calculatedColumnFormula>
    </tableColumn>
    <tableColumn id="689" xr3:uid="{00000000-0010-0000-0000-0000B1020000}" name="SignDate" dataDxfId="27">
      <calculatedColumnFormula>$E$3</calculatedColumnFormula>
    </tableColumn>
    <tableColumn id="690" xr3:uid="{00000000-0010-0000-0000-0000B2020000}" name="HKTPOS_Rental" dataDxfId="26">
      <calculatedColumnFormula>IF('Payment Channels'!S39=0,"",'Payment Channels'!S39)</calculatedColumnFormula>
    </tableColumn>
    <tableColumn id="750" xr3:uid="{00000000-0010-0000-0000-0000EE020000}" name="SmartPOS_Rental" dataDxfId="25">
      <calculatedColumnFormula>+IF('Payment Channels'!$S$39=0,"",'Payment Channels'!$S$39)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4-09-09T13:52:48.27" personId="{F3D09668-2CA3-42A1-BA85-C4AB2CF4A824}" id="{E2B18B46-DA5F-4698-AE12-03F69D442A81}">
    <text>Shall map to : Merchant Info &gt; Office Email</text>
  </threadedComment>
  <threadedComment ref="B7" dT="2024-09-09T13:53:50.88" personId="{F3D09668-2CA3-42A1-BA85-C4AB2CF4A824}" id="{9DA43DDF-E552-4923-B27D-3477B99B670A}">
    <text xml:space="preserve">Shall map to: 
Merchant Info &gt; Office Tel
</text>
  </threadedComment>
  <threadedComment ref="B18" dT="2024-09-09T14:02:59.29" personId="{F3D09668-2CA3-42A1-BA85-C4AB2CF4A824}" id="{7702D355-133A-4FD5-99AC-C669952A7F95}">
    <text xml:space="preserve">Shall mapped to: 
[租機] IF Apply BOTH HKTSmartPOS + HKTPOS &gt; ONLY Apply SmartPOS
</text>
  </threadedComment>
  <threadedComment ref="B19" dT="2024-09-09T14:05:42.42" personId="{F3D09668-2CA3-42A1-BA85-C4AB2CF4A824}" id="{49696A27-91BE-4DE7-A674-C3781407B7B6}">
    <text>Shall mapped to: 
[租機] IF Apply BOTH HKTSmartPOS + HKTPOS &gt;
ONLY Apply HKTPOS</text>
  </threadedComment>
  <threadedComment ref="B29" dT="2024-09-09T14:12:33.92" personId="{F3D09668-2CA3-42A1-BA85-C4AB2CF4A824}" id="{AA0420FC-E24E-4411-9EE6-63E7B121A73B}">
    <text>Changed the field name from EFT to PA (marked in red words)</text>
  </threadedComment>
  <threadedComment ref="B30" dT="2024-09-09T14:12:39.90" personId="{F3D09668-2CA3-42A1-BA85-C4AB2CF4A824}" id="{5A092FF6-1194-479E-A08D-93CAD4C9F3F1}">
    <text xml:space="preserve">Changed the field name from EFT to PA (marked in red words)
</text>
  </threadedComment>
  <threadedComment ref="B57" dT="2024-09-09T14:33:48.76" personId="{F3D09668-2CA3-42A1-BA85-C4AB2CF4A824}" id="{C5615793-D50B-4F50-952E-747319991284}">
    <text xml:space="preserve">This field is incorrect.  Shall map to : 
Payment Channels - SmartPOS**
 &gt; Cheque Bank (S10)
</text>
  </threadedComment>
  <threadedComment ref="B71" dT="2024-09-09T14:40:13.54" personId="{F3D09668-2CA3-42A1-BA85-C4AB2CF4A824}" id="{E4CBEC59-D718-4BB7-BE82-A39DA37A284F}">
    <text xml:space="preserve">Mapped to the wrong field if the address is different from installation
</text>
  </threadedComment>
  <threadedComment ref="B71" dT="2024-09-09T14:41:07.22" personId="{F3D09668-2CA3-42A1-BA85-C4AB2CF4A824}" id="{BF4A288A-0A42-4341-8BE2-EC77BB442437}" parentId="{E4CBEC59-D718-4BB7-BE82-A39DA37A284F}">
    <text>Should be mapped to:
Application Merchant &gt; SmartPOS Delivery Address (not same as installation address</text>
  </threadedComment>
  <threadedComment ref="B80" dT="2024-09-09T14:43:25.09" personId="{F3D09668-2CA3-42A1-BA85-C4AB2CF4A824}" id="{DD14C45E-E4D3-4245-A8C4-9ED7D5D77F0F}">
    <text>Mapp to : Application Merchant &gt; HKTPOS APP Display Trading Name</text>
  </threadedComment>
  <threadedComment ref="B81" dT="2024-09-09T14:43:47.66" personId="{F3D09668-2CA3-42A1-BA85-C4AB2CF4A824}" id="{9627F4D1-11C0-4A09-93CE-73FA448E0BF9}">
    <text>Mapp to : Application Merchant &gt; HKTPOS APP Display Address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hyperlink" Target="mailto:kailam0126@hotmail.com" TargetMode="External"/><Relationship Id="rId1" Type="http://schemas.openxmlformats.org/officeDocument/2006/relationships/hyperlink" Target="mailto:kailam0126@hotmail.com" TargetMode="Externa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kailam0126@hot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kailam0126@hotmail.com" TargetMode="External"/><Relationship Id="rId2" Type="http://schemas.openxmlformats.org/officeDocument/2006/relationships/hyperlink" Target="mailto:kailam0126@hotmail.com" TargetMode="External"/><Relationship Id="rId1" Type="http://schemas.openxmlformats.org/officeDocument/2006/relationships/hyperlink" Target="mailto:kailam0126@hotmail.com" TargetMode="External"/><Relationship Id="rId4" Type="http://schemas.openxmlformats.org/officeDocument/2006/relationships/hyperlink" Target="mailto:kailam0126@hot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astercard.us/content/dam/mccom/en-us/documents/rules/quick-reference-booklet-merchant-editio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D2377-BF93-4E66-9E1F-95E38FC10968}">
  <dimension ref="A1:G231"/>
  <sheetViews>
    <sheetView zoomScale="72" workbookViewId="0">
      <selection activeCell="E2" sqref="E2"/>
    </sheetView>
  </sheetViews>
  <sheetFormatPr defaultColWidth="0" defaultRowHeight="14"/>
  <cols>
    <col min="1" max="1" width="10.08203125" customWidth="1"/>
    <col min="2" max="2" width="10.5" customWidth="1"/>
    <col min="3" max="3" width="70.58203125" customWidth="1"/>
    <col min="4" max="4" width="114.83203125" bestFit="1" customWidth="1"/>
    <col min="5" max="5" width="67.83203125" style="380" bestFit="1" customWidth="1"/>
    <col min="6" max="6" width="24.9140625" hidden="1" customWidth="1"/>
    <col min="7" max="7" width="24.9140625" hidden="1"/>
    <col min="8" max="16384" width="8.6640625" hidden="1"/>
  </cols>
  <sheetData>
    <row r="1" spans="3:5">
      <c r="C1" t="s">
        <v>3241</v>
      </c>
      <c r="D1" t="s">
        <v>1507</v>
      </c>
      <c r="E1" s="380" t="s">
        <v>0</v>
      </c>
    </row>
    <row r="2" spans="3:5">
      <c r="C2" t="s">
        <v>4294</v>
      </c>
      <c r="D2" t="s">
        <v>4303</v>
      </c>
      <c r="E2" s="380" t="str">
        <f>_xlfn.XLOOKUP(D2,AFG_Input_Alvin!D:D,AFG_Input_Alvin!E:E)</f>
        <v>SHARETEA~Test 1</v>
      </c>
    </row>
    <row r="3" spans="3:5">
      <c r="C3" t="s">
        <v>4295</v>
      </c>
      <c r="D3" t="s">
        <v>4304</v>
      </c>
      <c r="E3" s="380" t="str">
        <f>_xlfn.XLOOKUP(D3,AFG_Input_Alvin!D:D,AFG_Input_Alvin!E:E)</f>
        <v>歇腳亭~Test 1</v>
      </c>
    </row>
    <row r="4" spans="3:5">
      <c r="C4" t="s">
        <v>4300</v>
      </c>
      <c r="D4" t="s">
        <v>4305</v>
      </c>
      <c r="E4" s="380" t="str">
        <f>IF(_xlfn.XLOOKUP(D4, AFG_Input_Alvin!D:D, AFG_Input_Alvin!E:E) = "Limited", "X", "")</f>
        <v/>
      </c>
    </row>
    <row r="5" spans="3:5">
      <c r="C5" t="s">
        <v>4299</v>
      </c>
      <c r="D5" t="s">
        <v>4305</v>
      </c>
      <c r="E5" s="380" t="str">
        <f>IF(_xlfn.XLOOKUP(D5, AFG_Input_Alvin!D:D, AFG_Input_Alvin!E:E) = "Partnership", "X", "")</f>
        <v/>
      </c>
    </row>
    <row r="6" spans="3:5">
      <c r="C6" t="s">
        <v>4298</v>
      </c>
      <c r="D6" t="s">
        <v>4305</v>
      </c>
      <c r="E6" s="380" t="str">
        <f>IF(_xlfn.XLOOKUP(D6, AFG_Input_Alvin!D:D, AFG_Input_Alvin!E:E) = "Sole proprietorship", "X", "")</f>
        <v/>
      </c>
    </row>
    <row r="7" spans="3:5">
      <c r="C7" t="s">
        <v>4301</v>
      </c>
      <c r="D7" t="s">
        <v>4305</v>
      </c>
      <c r="E7" s="380" t="str">
        <f>IF(AND(_xlfn.XLOOKUP(D7, AFG_Input_Alvin!D:D, AFG_Input_Alvin!E:E) &lt;&gt; "Limited", _xlfn.XLOOKUP(D7, AFG_Input_Alvin!D:D, AFG_Input_Alvin!E:E) &lt;&gt; "Partnership", _xlfn.XLOOKUP(D7, AFG_Input_Alvin!D:D, AFG_Input_Alvin!E:E) &lt;&gt; "Sole proprietorship"), "X", "")</f>
        <v>X</v>
      </c>
    </row>
    <row r="8" spans="3:5">
      <c r="C8" t="s">
        <v>4293</v>
      </c>
      <c r="D8" t="s">
        <v>4303</v>
      </c>
      <c r="E8" s="380" t="str">
        <f>_xlfn.XLOOKUP(D8,AFG_Input_Alvin!D:D,AFG_Input_Alvin!E:E)</f>
        <v>SHARETEA~Test 1</v>
      </c>
    </row>
    <row r="9" spans="3:5">
      <c r="C9" t="s">
        <v>4296</v>
      </c>
      <c r="D9" t="s">
        <v>4149</v>
      </c>
      <c r="E9" s="380" t="str">
        <f>_xlfn.XLOOKUP(D9,AFG_Input_Alvin!D:D,AFG_Input_Alvin!E:E)</f>
        <v>S8A  G/F  BAUHINIA GARDEN  11 TONG CHUN ST  Tseung Kwan O  New Territories</v>
      </c>
    </row>
    <row r="10" spans="3:5">
      <c r="C10" t="s">
        <v>4297</v>
      </c>
      <c r="D10" t="s">
        <v>4278</v>
      </c>
      <c r="E10" s="380" t="str">
        <f>_xlfn.XLOOKUP(D10,AFG_Input_Alvin!D:D,AFG_Input_Alvin!E:E)</f>
        <v>5401 9126</v>
      </c>
    </row>
    <row r="11" spans="3:5">
      <c r="C11" t="s">
        <v>4302</v>
      </c>
      <c r="D11" t="s">
        <v>4305</v>
      </c>
      <c r="E11" s="380" t="str">
        <f>IF(AND(_xlfn.XLOOKUP(D11, AFG_Input_Alvin!D:D, AFG_Input_Alvin!E:E) &lt;&gt; "Limited", _xlfn.XLOOKUP(D11, AFG_Input_Alvin!D:D, AFG_Input_Alvin!E:E) &lt;&gt; "Partnership", _xlfn.XLOOKUP(D11, AFG_Input_Alvin!D:D, AFG_Input_Alvin!E:E) &lt;&gt; "Sole proprietorship"), _xlfn.XLOOKUP(D11, AFG_Input_Alvin!D:D, AFG_Input_Alvin!E:E), "")</f>
        <v>Government</v>
      </c>
    </row>
    <row r="12" spans="3:5">
      <c r="C12" t="s">
        <v>4306</v>
      </c>
      <c r="D12" t="s">
        <v>1508</v>
      </c>
      <c r="E12" s="380" t="str">
        <f>_xlfn.XLOOKUP(D12,AFG_Input_Alvin!D:D,AFG_Input_Alvin!E:E)</f>
        <v>TONG HO RESTAURANT LIMITED~Test 1</v>
      </c>
    </row>
    <row r="13" spans="3:5">
      <c r="C13" t="s">
        <v>4307</v>
      </c>
      <c r="D13" t="s">
        <v>4310</v>
      </c>
      <c r="E13" s="380" t="str">
        <f>_xlfn.XLOOKUP(D13,AFG_Input_Alvin!D:D,AFG_Input_Alvin!E:E)</f>
        <v>潼灝餐飲有限公司~Test 1</v>
      </c>
    </row>
    <row r="14" spans="3:5">
      <c r="C14" t="s">
        <v>4309</v>
      </c>
      <c r="D14" t="s">
        <v>4147</v>
      </c>
      <c r="E14" s="380" t="str">
        <f>_xlfn.XLOOKUP(D14,AFG_Input_Alvin!D:D,AFG_Input_Alvin!E:E)</f>
        <v>74765840-000-01-24-5</v>
      </c>
    </row>
    <row r="15" spans="3:5">
      <c r="C15" t="s">
        <v>4308</v>
      </c>
      <c r="D15" t="s">
        <v>4311</v>
      </c>
      <c r="E15" s="388">
        <f>_xlfn.XLOOKUP(D15,AFG_Input_Alvin!D:D,AFG_Input_Alvin!E:E)</f>
        <v>45302</v>
      </c>
    </row>
    <row r="16" spans="3:5">
      <c r="C16" t="s">
        <v>4513</v>
      </c>
      <c r="D16" t="s">
        <v>4150</v>
      </c>
      <c r="E16" s="380" t="str">
        <f>_xlfn.XLOOKUP(D16,AFG_Input_Alvin!D:D,AFG_Input_Alvin!E:E)</f>
        <v>S8A G/F BAUHINIA GARDEN 11 TONG CHUN ST Tseung Kwan O New Territories</v>
      </c>
    </row>
    <row r="17" spans="1:5">
      <c r="C17" t="s">
        <v>4318</v>
      </c>
      <c r="D17" t="s">
        <v>4322</v>
      </c>
      <c r="E17" s="380">
        <f>_xlfn.XLOOKUP(D17,AFG_Input_Alvin!D:D,AFG_Input_Alvin!E:E)</f>
        <v>3224327</v>
      </c>
    </row>
    <row r="18" spans="1:5">
      <c r="C18" t="s">
        <v>4315</v>
      </c>
      <c r="D18" t="s">
        <v>4319</v>
      </c>
      <c r="E18" s="380" t="str">
        <f ca="1">_xlfn.XLOOKUP(D18,AFG_Input_Alvin!D:D,AFG_Input_Alvin!E:E)</f>
        <v>12</v>
      </c>
    </row>
    <row r="19" spans="1:5">
      <c r="C19" t="s">
        <v>4316</v>
      </c>
      <c r="D19" t="s">
        <v>4320</v>
      </c>
      <c r="E19" s="380" t="str">
        <f ca="1">_xlfn.XLOOKUP(D19,AFG_Input_Alvin!D:D,AFG_Input_Alvin!E:E)</f>
        <v>09</v>
      </c>
    </row>
    <row r="20" spans="1:5">
      <c r="C20" t="s">
        <v>4317</v>
      </c>
      <c r="D20" t="s">
        <v>4321</v>
      </c>
      <c r="E20" s="380" t="str">
        <f ca="1">_xlfn.XLOOKUP(D20,AFG_Input_Alvin!D:D,AFG_Input_Alvin!E:E)</f>
        <v>2024</v>
      </c>
    </row>
    <row r="21" spans="1:5">
      <c r="C21" t="s">
        <v>4312</v>
      </c>
      <c r="D21" t="s">
        <v>4323</v>
      </c>
      <c r="E21" s="380" t="str">
        <f>IF(_xlfn.XLOOKUP(D21, AFG_Input_Alvin!D:D, AFG_Input_Alvin!E:E) = "Hong Kong, China", "X", "")</f>
        <v/>
      </c>
    </row>
    <row r="22" spans="1:5">
      <c r="C22" t="s">
        <v>4313</v>
      </c>
      <c r="D22" t="s">
        <v>4323</v>
      </c>
      <c r="E22" s="380" t="str">
        <f>IF(_xlfn.XLOOKUP(D22,AFG_Input_Alvin!D:D,AFG_Input_Alvin!E:E)&lt;&gt;"Hong Kong, China","X","")</f>
        <v>X</v>
      </c>
    </row>
    <row r="23" spans="1:5">
      <c r="C23" t="s">
        <v>4314</v>
      </c>
      <c r="D23" t="s">
        <v>4323</v>
      </c>
      <c r="E23" s="380" t="str">
        <f>IF(_xlfn.XLOOKUP(D23,AFG_Input_Alvin!D:D,AFG_Input_Alvin!E:E)&lt;&gt;"Hong Kong, China",_xlfn.XLOOKUP(D23,AFG_Input_Alvin!D:D,AFG_Input_Alvin!E:E),"")</f>
        <v>Afghanistan</v>
      </c>
    </row>
    <row r="24" spans="1:5">
      <c r="C24" t="s">
        <v>4523</v>
      </c>
      <c r="D24" t="s">
        <v>4524</v>
      </c>
      <c r="E24" s="380" t="str">
        <f>_xlfn.XLOOKUP(D24,AFG_Input_Alvin!D:D,AFG_Input_Alvin!E:E)</f>
        <v>ABC Limited</v>
      </c>
    </row>
    <row r="25" spans="1:5">
      <c r="C25" t="s">
        <v>4533</v>
      </c>
      <c r="D25" t="s">
        <v>4525</v>
      </c>
      <c r="E25" s="380" t="str">
        <f>_xlfn.XLOOKUP(D25,AFG_Input_Alvin!D:D,AFG_Input_Alvin!E:E)</f>
        <v>ABC公司</v>
      </c>
    </row>
    <row r="26" spans="1:5">
      <c r="B26" t="s">
        <v>4527</v>
      </c>
      <c r="C26" t="s">
        <v>4531</v>
      </c>
      <c r="D26" t="s">
        <v>4530</v>
      </c>
      <c r="E26" s="380" t="str">
        <f>IF(_xlfn.XLOOKUP(D26,AFG_Input_Alvin!D:D,AFG_Input_Alvin!E:E)=B26,"X"," ")</f>
        <v>X</v>
      </c>
    </row>
    <row r="27" spans="1:5">
      <c r="B27" t="s">
        <v>4528</v>
      </c>
      <c r="C27" t="s">
        <v>4532</v>
      </c>
      <c r="D27" t="s">
        <v>4530</v>
      </c>
      <c r="E27" s="380" t="str">
        <f>IF(_xlfn.XLOOKUP(D27,AFG_Input_Alvin!D:D,AFG_Input_Alvin!E:E)=B27,"X"," ")</f>
        <v xml:space="preserve"> </v>
      </c>
    </row>
    <row r="28" spans="1:5">
      <c r="C28" t="s">
        <v>4534</v>
      </c>
      <c r="D28" t="s">
        <v>4526</v>
      </c>
      <c r="E28" s="380" t="str">
        <f>_xlfn.XLOOKUP(D28,AFG_Input_Alvin!D:D,AFG_Input_Alvin!E:E)</f>
        <v>Nasdaq</v>
      </c>
    </row>
    <row r="29" spans="1:5">
      <c r="C29" t="s">
        <v>4326</v>
      </c>
      <c r="D29" t="s">
        <v>4324</v>
      </c>
      <c r="E29" s="380">
        <f>_xlfn.XLOOKUP(D29, AFG_Input_Alvin!D:D, AFG_Input_Alvin!E:E)</f>
        <v>5814</v>
      </c>
    </row>
    <row r="30" spans="1:5">
      <c r="A30" t="s">
        <v>4327</v>
      </c>
      <c r="B30">
        <v>7298</v>
      </c>
      <c r="C30" t="s">
        <v>4325</v>
      </c>
      <c r="D30" t="s">
        <v>4324</v>
      </c>
      <c r="E30" s="380" t="str">
        <f t="shared" ref="E30:E61" si="0">IF($E$29=B30,"X","")</f>
        <v/>
      </c>
    </row>
    <row r="31" spans="1:5">
      <c r="A31" t="s">
        <v>4328</v>
      </c>
      <c r="B31">
        <v>7230</v>
      </c>
      <c r="C31" t="str">
        <f>A31&amp;"_MCC"&amp;B31</f>
        <v>Part1E_3_MCC7230</v>
      </c>
      <c r="D31" t="s">
        <v>4324</v>
      </c>
      <c r="E31" s="380" t="str">
        <f t="shared" si="0"/>
        <v/>
      </c>
    </row>
    <row r="32" spans="1:5">
      <c r="A32" t="s">
        <v>4329</v>
      </c>
      <c r="B32">
        <v>7297</v>
      </c>
      <c r="C32" t="str">
        <f t="shared" ref="C32:C93" si="1">A32&amp;"_MCC"&amp;B32</f>
        <v>Part1E_4_MCC7297</v>
      </c>
      <c r="D32" t="s">
        <v>4324</v>
      </c>
      <c r="E32" s="380" t="str">
        <f t="shared" si="0"/>
        <v/>
      </c>
    </row>
    <row r="33" spans="1:5">
      <c r="A33" t="s">
        <v>4330</v>
      </c>
      <c r="B33">
        <v>5462</v>
      </c>
      <c r="C33" t="str">
        <f t="shared" si="1"/>
        <v>Part1E_5_MCC5462</v>
      </c>
      <c r="D33" t="s">
        <v>4324</v>
      </c>
      <c r="E33" s="380" t="str">
        <f t="shared" si="0"/>
        <v/>
      </c>
    </row>
    <row r="34" spans="1:5">
      <c r="A34" t="s">
        <v>4331</v>
      </c>
      <c r="B34">
        <v>5813</v>
      </c>
      <c r="C34" t="str">
        <f t="shared" si="1"/>
        <v>Part1E_6_MCC5813</v>
      </c>
      <c r="D34" t="s">
        <v>4324</v>
      </c>
      <c r="E34" s="380" t="str">
        <f t="shared" si="0"/>
        <v/>
      </c>
    </row>
    <row r="35" spans="1:5">
      <c r="A35" t="s">
        <v>4332</v>
      </c>
      <c r="B35">
        <v>5814</v>
      </c>
      <c r="C35" t="str">
        <f t="shared" si="1"/>
        <v>Part1E_7_MCC5814</v>
      </c>
      <c r="D35" t="s">
        <v>4324</v>
      </c>
      <c r="E35" s="380" t="str">
        <f t="shared" si="0"/>
        <v>X</v>
      </c>
    </row>
    <row r="36" spans="1:5">
      <c r="A36" t="s">
        <v>4333</v>
      </c>
      <c r="B36">
        <v>7011</v>
      </c>
      <c r="C36" t="str">
        <f t="shared" si="1"/>
        <v>Part1E_8_MCC7011</v>
      </c>
      <c r="D36" t="s">
        <v>4324</v>
      </c>
      <c r="E36" s="380" t="str">
        <f t="shared" si="0"/>
        <v/>
      </c>
    </row>
    <row r="37" spans="1:5">
      <c r="A37" t="s">
        <v>4334</v>
      </c>
      <c r="B37">
        <v>5812</v>
      </c>
      <c r="C37" t="str">
        <f t="shared" si="1"/>
        <v>Part1E_9_MCC5812</v>
      </c>
      <c r="D37" t="s">
        <v>4324</v>
      </c>
      <c r="E37" s="380" t="str">
        <f t="shared" si="0"/>
        <v/>
      </c>
    </row>
    <row r="38" spans="1:5">
      <c r="A38" t="s">
        <v>4335</v>
      </c>
      <c r="B38">
        <v>7311</v>
      </c>
      <c r="C38" t="str">
        <f t="shared" si="1"/>
        <v>Part1E_10_MCC7311</v>
      </c>
      <c r="D38" t="s">
        <v>4324</v>
      </c>
      <c r="E38" s="380" t="str">
        <f t="shared" si="0"/>
        <v/>
      </c>
    </row>
    <row r="39" spans="1:5">
      <c r="A39" t="s">
        <v>4336</v>
      </c>
      <c r="B39">
        <v>5192</v>
      </c>
      <c r="C39" t="str">
        <f t="shared" si="1"/>
        <v>Part1E_11_MCC5192</v>
      </c>
      <c r="D39" t="s">
        <v>4324</v>
      </c>
      <c r="E39" s="380" t="str">
        <f t="shared" si="0"/>
        <v/>
      </c>
    </row>
    <row r="40" spans="1:5">
      <c r="A40" t="s">
        <v>4337</v>
      </c>
      <c r="B40">
        <v>8241</v>
      </c>
      <c r="C40" t="str">
        <f t="shared" si="1"/>
        <v>Part1E_12_MCC8241</v>
      </c>
      <c r="D40" t="s">
        <v>4324</v>
      </c>
      <c r="E40" s="380" t="str">
        <f t="shared" si="0"/>
        <v/>
      </c>
    </row>
    <row r="41" spans="1:5">
      <c r="A41" t="s">
        <v>4338</v>
      </c>
      <c r="B41">
        <v>5994</v>
      </c>
      <c r="C41" t="str">
        <f t="shared" si="1"/>
        <v>Part1E_13_MCC5994</v>
      </c>
      <c r="D41" t="s">
        <v>4324</v>
      </c>
      <c r="E41" s="380" t="str">
        <f t="shared" si="0"/>
        <v/>
      </c>
    </row>
    <row r="42" spans="1:5">
      <c r="A42" t="s">
        <v>4339</v>
      </c>
      <c r="B42">
        <v>5192</v>
      </c>
      <c r="C42" t="str">
        <f t="shared" si="1"/>
        <v>Part1E_14_MCC5192</v>
      </c>
      <c r="D42" t="s">
        <v>4324</v>
      </c>
      <c r="E42" s="380" t="str">
        <f t="shared" si="0"/>
        <v/>
      </c>
    </row>
    <row r="43" spans="1:5">
      <c r="A43" t="s">
        <v>4340</v>
      </c>
      <c r="B43">
        <v>4812</v>
      </c>
      <c r="C43" t="str">
        <f t="shared" si="1"/>
        <v>Part1E_15_MCC4812</v>
      </c>
      <c r="D43" t="s">
        <v>4324</v>
      </c>
      <c r="E43" s="380" t="str">
        <f t="shared" si="0"/>
        <v/>
      </c>
    </row>
    <row r="44" spans="1:5">
      <c r="A44" t="s">
        <v>4341</v>
      </c>
      <c r="B44">
        <v>8220</v>
      </c>
      <c r="C44" t="str">
        <f t="shared" si="1"/>
        <v>Part1E_16_MCC8220</v>
      </c>
      <c r="D44" t="s">
        <v>4324</v>
      </c>
      <c r="E44" s="380" t="str">
        <f t="shared" si="0"/>
        <v/>
      </c>
    </row>
    <row r="45" spans="1:5">
      <c r="A45" t="s">
        <v>4342</v>
      </c>
      <c r="B45">
        <v>8211</v>
      </c>
      <c r="C45" t="str">
        <f t="shared" si="1"/>
        <v>Part1E_17_MCC8211</v>
      </c>
      <c r="D45" t="s">
        <v>4324</v>
      </c>
      <c r="E45" s="380" t="str">
        <f t="shared" si="0"/>
        <v/>
      </c>
    </row>
    <row r="46" spans="1:5">
      <c r="A46" t="s">
        <v>4343</v>
      </c>
      <c r="B46">
        <v>7277</v>
      </c>
      <c r="C46" t="str">
        <f t="shared" si="1"/>
        <v>Part1E_18_MCC7277</v>
      </c>
      <c r="D46" t="s">
        <v>4324</v>
      </c>
      <c r="E46" s="380" t="str">
        <f t="shared" si="0"/>
        <v/>
      </c>
    </row>
    <row r="47" spans="1:5">
      <c r="A47" t="s">
        <v>4344</v>
      </c>
      <c r="B47">
        <v>5933</v>
      </c>
      <c r="C47" t="str">
        <f t="shared" si="1"/>
        <v>Part1E_19_MCC5933</v>
      </c>
      <c r="D47" t="s">
        <v>4324</v>
      </c>
      <c r="E47" s="380" t="str">
        <f t="shared" si="0"/>
        <v/>
      </c>
    </row>
    <row r="48" spans="1:5">
      <c r="A48" t="s">
        <v>4345</v>
      </c>
      <c r="B48">
        <v>6537</v>
      </c>
      <c r="C48" t="str">
        <f t="shared" si="1"/>
        <v>Part1E_20_MCC6537</v>
      </c>
      <c r="D48" t="s">
        <v>4324</v>
      </c>
      <c r="E48" s="380" t="str">
        <f t="shared" si="0"/>
        <v/>
      </c>
    </row>
    <row r="49" spans="1:5">
      <c r="A49" t="s">
        <v>4346</v>
      </c>
      <c r="B49">
        <v>6300</v>
      </c>
      <c r="C49" t="str">
        <f t="shared" si="1"/>
        <v>Part1E_21_MCC6300</v>
      </c>
      <c r="D49" t="s">
        <v>4324</v>
      </c>
      <c r="E49" s="380" t="str">
        <f t="shared" si="0"/>
        <v/>
      </c>
    </row>
    <row r="50" spans="1:5">
      <c r="A50" t="s">
        <v>4347</v>
      </c>
      <c r="B50">
        <v>6211</v>
      </c>
      <c r="C50" t="str">
        <f t="shared" si="1"/>
        <v>Part1E_22_MCC6211</v>
      </c>
      <c r="D50" t="s">
        <v>4324</v>
      </c>
      <c r="E50" s="380" t="str">
        <f t="shared" si="0"/>
        <v/>
      </c>
    </row>
    <row r="51" spans="1:5">
      <c r="A51" t="s">
        <v>4348</v>
      </c>
      <c r="B51">
        <v>8398</v>
      </c>
      <c r="C51" t="str">
        <f t="shared" si="1"/>
        <v>Part1E_23_MCC8398</v>
      </c>
      <c r="D51" t="s">
        <v>4324</v>
      </c>
      <c r="E51" s="380" t="str">
        <f t="shared" si="0"/>
        <v/>
      </c>
    </row>
    <row r="52" spans="1:5">
      <c r="A52" t="s">
        <v>4349</v>
      </c>
      <c r="B52">
        <v>8641</v>
      </c>
      <c r="C52" t="str">
        <f t="shared" si="1"/>
        <v>Part1E_24_MCC8641</v>
      </c>
      <c r="D52" t="s">
        <v>4324</v>
      </c>
      <c r="E52" s="380" t="str">
        <f t="shared" si="0"/>
        <v/>
      </c>
    </row>
    <row r="53" spans="1:5">
      <c r="A53" t="s">
        <v>4350</v>
      </c>
      <c r="B53">
        <v>8651</v>
      </c>
      <c r="C53" t="str">
        <f t="shared" si="1"/>
        <v>Part1E_25_MCC8651</v>
      </c>
      <c r="D53" t="s">
        <v>4324</v>
      </c>
      <c r="E53" s="380" t="str">
        <f t="shared" si="0"/>
        <v/>
      </c>
    </row>
    <row r="54" spans="1:5">
      <c r="A54" t="s">
        <v>4351</v>
      </c>
      <c r="B54">
        <v>8661</v>
      </c>
      <c r="C54" t="str">
        <f t="shared" si="1"/>
        <v>Part1E_26_MCC8661</v>
      </c>
      <c r="D54" t="s">
        <v>4324</v>
      </c>
      <c r="E54" s="380" t="str">
        <f t="shared" si="0"/>
        <v/>
      </c>
    </row>
    <row r="55" spans="1:5">
      <c r="A55" t="s">
        <v>4352</v>
      </c>
      <c r="B55">
        <v>9311</v>
      </c>
      <c r="C55" t="str">
        <f t="shared" si="1"/>
        <v>Part1E_27_MCC9311</v>
      </c>
      <c r="D55" t="s">
        <v>4324</v>
      </c>
      <c r="E55" s="380" t="str">
        <f t="shared" si="0"/>
        <v/>
      </c>
    </row>
    <row r="56" spans="1:5">
      <c r="A56" t="s">
        <v>4353</v>
      </c>
      <c r="B56">
        <v>9402</v>
      </c>
      <c r="C56" t="str">
        <f t="shared" si="1"/>
        <v>Part1E_28_MCC9402</v>
      </c>
      <c r="D56" t="s">
        <v>4324</v>
      </c>
      <c r="E56" s="380" t="str">
        <f t="shared" si="0"/>
        <v/>
      </c>
    </row>
    <row r="57" spans="1:5">
      <c r="A57" t="s">
        <v>4354</v>
      </c>
      <c r="B57">
        <v>4900</v>
      </c>
      <c r="C57" t="str">
        <f t="shared" si="1"/>
        <v>Part1E_29_MCC4900</v>
      </c>
      <c r="D57" t="s">
        <v>4324</v>
      </c>
      <c r="E57" s="380" t="str">
        <f t="shared" si="0"/>
        <v/>
      </c>
    </row>
    <row r="58" spans="1:5">
      <c r="A58" t="s">
        <v>4355</v>
      </c>
      <c r="B58">
        <v>6513</v>
      </c>
      <c r="C58" t="str">
        <f t="shared" si="1"/>
        <v>Part1E_30_MCC6513</v>
      </c>
      <c r="D58" t="s">
        <v>4324</v>
      </c>
      <c r="E58" s="380" t="str">
        <f t="shared" si="0"/>
        <v/>
      </c>
    </row>
    <row r="59" spans="1:5">
      <c r="A59" t="s">
        <v>4356</v>
      </c>
      <c r="B59">
        <v>4131</v>
      </c>
      <c r="C59" t="str">
        <f t="shared" si="1"/>
        <v>Part1E_31_MCC4131</v>
      </c>
      <c r="D59" t="s">
        <v>4324</v>
      </c>
      <c r="E59" s="380" t="str">
        <f t="shared" si="0"/>
        <v/>
      </c>
    </row>
    <row r="60" spans="1:5">
      <c r="A60" t="s">
        <v>4357</v>
      </c>
      <c r="B60">
        <v>7523</v>
      </c>
      <c r="C60" t="str">
        <f t="shared" si="1"/>
        <v>Part1E_32_MCC7523</v>
      </c>
      <c r="D60" t="s">
        <v>4324</v>
      </c>
      <c r="E60" s="380" t="str">
        <f t="shared" si="0"/>
        <v/>
      </c>
    </row>
    <row r="61" spans="1:5">
      <c r="A61" t="s">
        <v>4358</v>
      </c>
      <c r="B61">
        <v>7512</v>
      </c>
      <c r="C61" t="str">
        <f t="shared" si="1"/>
        <v>Part1E_33_MCC7512</v>
      </c>
      <c r="D61" t="s">
        <v>4324</v>
      </c>
      <c r="E61" s="380" t="str">
        <f t="shared" si="0"/>
        <v/>
      </c>
    </row>
    <row r="62" spans="1:5">
      <c r="A62" t="s">
        <v>4359</v>
      </c>
      <c r="B62">
        <v>4111</v>
      </c>
      <c r="C62" t="str">
        <f t="shared" si="1"/>
        <v>Part1E_34_MCC4111</v>
      </c>
      <c r="D62" t="s">
        <v>4324</v>
      </c>
      <c r="E62" s="380" t="str">
        <f t="shared" ref="E62:E92" si="2">IF($E$29=B62,"X","")</f>
        <v/>
      </c>
    </row>
    <row r="63" spans="1:5">
      <c r="A63" t="s">
        <v>4360</v>
      </c>
      <c r="B63">
        <v>4214</v>
      </c>
      <c r="C63" t="str">
        <f t="shared" si="1"/>
        <v>Part1E_35_MCC4214</v>
      </c>
      <c r="D63" t="s">
        <v>4324</v>
      </c>
      <c r="E63" s="380" t="str">
        <f t="shared" si="2"/>
        <v/>
      </c>
    </row>
    <row r="64" spans="1:5">
      <c r="A64" t="s">
        <v>4361</v>
      </c>
      <c r="B64">
        <v>4225</v>
      </c>
      <c r="C64" t="str">
        <f t="shared" si="1"/>
        <v>Part1E_36_MCC4225</v>
      </c>
      <c r="D64" t="s">
        <v>4324</v>
      </c>
      <c r="E64" s="380" t="str">
        <f t="shared" si="2"/>
        <v/>
      </c>
    </row>
    <row r="65" spans="1:5">
      <c r="A65" t="s">
        <v>4362</v>
      </c>
      <c r="B65">
        <v>4112</v>
      </c>
      <c r="C65" t="str">
        <f t="shared" si="1"/>
        <v>Part1E_37_MCC4112</v>
      </c>
      <c r="D65" t="s">
        <v>4324</v>
      </c>
      <c r="E65" s="380" t="str">
        <f t="shared" si="2"/>
        <v/>
      </c>
    </row>
    <row r="66" spans="1:5">
      <c r="A66" t="s">
        <v>4363</v>
      </c>
      <c r="B66">
        <v>4121</v>
      </c>
      <c r="C66" t="str">
        <f t="shared" si="1"/>
        <v>Part1E_38_MCC4121</v>
      </c>
      <c r="D66" t="s">
        <v>4324</v>
      </c>
      <c r="E66" s="380" t="str">
        <f t="shared" si="2"/>
        <v/>
      </c>
    </row>
    <row r="67" spans="1:5">
      <c r="A67" t="s">
        <v>4364</v>
      </c>
      <c r="B67">
        <v>4814</v>
      </c>
      <c r="C67" t="str">
        <f t="shared" si="1"/>
        <v>Part1E_39_MCC4814</v>
      </c>
      <c r="D67" t="s">
        <v>4324</v>
      </c>
      <c r="E67" s="380" t="str">
        <f t="shared" si="2"/>
        <v/>
      </c>
    </row>
    <row r="68" spans="1:5">
      <c r="A68" t="s">
        <v>4365</v>
      </c>
      <c r="B68">
        <v>4722</v>
      </c>
      <c r="C68" t="str">
        <f t="shared" si="1"/>
        <v>Part1E_40_MCC4722</v>
      </c>
      <c r="D68" t="s">
        <v>4324</v>
      </c>
      <c r="E68" s="380" t="str">
        <f t="shared" si="2"/>
        <v/>
      </c>
    </row>
    <row r="69" spans="1:5">
      <c r="A69" t="s">
        <v>4366</v>
      </c>
      <c r="B69">
        <v>7399</v>
      </c>
      <c r="C69" t="str">
        <f t="shared" si="1"/>
        <v>Part1E_41_MCC7399</v>
      </c>
      <c r="D69" t="s">
        <v>4324</v>
      </c>
      <c r="E69" s="380" t="str">
        <f t="shared" si="2"/>
        <v/>
      </c>
    </row>
    <row r="70" spans="1:5">
      <c r="A70" t="s">
        <v>4367</v>
      </c>
      <c r="B70">
        <v>4789</v>
      </c>
      <c r="C70" t="str">
        <f t="shared" si="1"/>
        <v>Part1E_42_MCC4789</v>
      </c>
      <c r="D70" t="s">
        <v>4324</v>
      </c>
      <c r="E70" s="380" t="str">
        <f t="shared" si="2"/>
        <v/>
      </c>
    </row>
    <row r="71" spans="1:5">
      <c r="A71" t="s">
        <v>4368</v>
      </c>
      <c r="B71">
        <v>8099</v>
      </c>
      <c r="C71" t="str">
        <f t="shared" si="1"/>
        <v>Part1E_43_MCC8099</v>
      </c>
      <c r="D71" t="s">
        <v>4324</v>
      </c>
      <c r="E71" s="380" t="str">
        <f t="shared" si="2"/>
        <v/>
      </c>
    </row>
    <row r="72" spans="1:5">
      <c r="A72" t="s">
        <v>4369</v>
      </c>
      <c r="B72">
        <v>8021</v>
      </c>
      <c r="C72" t="str">
        <f t="shared" si="1"/>
        <v>Part1E_44_MCC8021</v>
      </c>
      <c r="D72" t="s">
        <v>4324</v>
      </c>
      <c r="E72" s="380" t="str">
        <f t="shared" si="2"/>
        <v/>
      </c>
    </row>
    <row r="73" spans="1:5">
      <c r="A73" t="s">
        <v>4370</v>
      </c>
      <c r="B73">
        <v>5912</v>
      </c>
      <c r="C73" t="str">
        <f t="shared" si="1"/>
        <v>Part1E_45_MCC5912</v>
      </c>
      <c r="D73" t="s">
        <v>4324</v>
      </c>
      <c r="E73" s="380" t="str">
        <f t="shared" si="2"/>
        <v/>
      </c>
    </row>
    <row r="74" spans="1:5">
      <c r="A74" t="s">
        <v>4371</v>
      </c>
      <c r="B74">
        <v>8071</v>
      </c>
      <c r="C74" t="str">
        <f t="shared" si="1"/>
        <v>Part1E_46_MCC8071</v>
      </c>
      <c r="D74" t="s">
        <v>4324</v>
      </c>
      <c r="E74" s="380" t="str">
        <f t="shared" si="2"/>
        <v/>
      </c>
    </row>
    <row r="75" spans="1:5">
      <c r="A75" t="s">
        <v>4372</v>
      </c>
      <c r="B75">
        <v>8062</v>
      </c>
      <c r="C75" t="str">
        <f t="shared" si="1"/>
        <v>Part1E_47_MCC8062</v>
      </c>
      <c r="D75" t="s">
        <v>4324</v>
      </c>
      <c r="E75" s="380" t="str">
        <f t="shared" si="2"/>
        <v/>
      </c>
    </row>
    <row r="76" spans="1:5">
      <c r="A76" t="s">
        <v>4373</v>
      </c>
      <c r="B76">
        <v>8043</v>
      </c>
      <c r="C76" t="str">
        <f t="shared" si="1"/>
        <v>Part1E_48_MCC8043</v>
      </c>
      <c r="D76" t="s">
        <v>4324</v>
      </c>
      <c r="E76" s="380" t="str">
        <f t="shared" si="2"/>
        <v/>
      </c>
    </row>
    <row r="77" spans="1:5">
      <c r="A77" t="s">
        <v>4374</v>
      </c>
      <c r="B77">
        <v>5047</v>
      </c>
      <c r="C77" t="str">
        <f t="shared" si="1"/>
        <v>Part1E_49_MCC5047</v>
      </c>
      <c r="D77" t="s">
        <v>4324</v>
      </c>
      <c r="E77" s="380" t="str">
        <f t="shared" si="2"/>
        <v/>
      </c>
    </row>
    <row r="78" spans="1:5">
      <c r="A78" t="s">
        <v>4375</v>
      </c>
      <c r="B78">
        <v>5422</v>
      </c>
      <c r="C78" t="str">
        <f t="shared" si="1"/>
        <v>Part1E_50_MCC5422</v>
      </c>
      <c r="D78" t="s">
        <v>4324</v>
      </c>
      <c r="E78" s="380" t="str">
        <f t="shared" si="2"/>
        <v/>
      </c>
    </row>
    <row r="79" spans="1:5">
      <c r="A79" t="s">
        <v>4376</v>
      </c>
      <c r="B79">
        <v>5942</v>
      </c>
      <c r="C79" t="str">
        <f t="shared" si="1"/>
        <v>Part1E_51_MCC5942</v>
      </c>
      <c r="D79" t="s">
        <v>4324</v>
      </c>
      <c r="E79" s="380" t="str">
        <f t="shared" si="2"/>
        <v/>
      </c>
    </row>
    <row r="80" spans="1:5">
      <c r="A80" t="s">
        <v>4377</v>
      </c>
      <c r="B80">
        <v>7531</v>
      </c>
      <c r="C80" t="str">
        <f t="shared" si="1"/>
        <v>Part1E_52_MCC7531</v>
      </c>
      <c r="D80" t="s">
        <v>4324</v>
      </c>
      <c r="E80" s="380" t="str">
        <f t="shared" si="2"/>
        <v/>
      </c>
    </row>
    <row r="81" spans="1:5">
      <c r="A81" t="s">
        <v>4378</v>
      </c>
      <c r="B81">
        <v>7542</v>
      </c>
      <c r="C81" t="str">
        <f t="shared" si="1"/>
        <v>Part1E_53_MCC7542</v>
      </c>
      <c r="D81" t="s">
        <v>4324</v>
      </c>
      <c r="E81" s="380" t="str">
        <f t="shared" si="2"/>
        <v/>
      </c>
    </row>
    <row r="82" spans="1:5">
      <c r="A82" t="s">
        <v>4379</v>
      </c>
      <c r="B82">
        <v>5641</v>
      </c>
      <c r="C82" t="str">
        <f t="shared" si="1"/>
        <v>Part1E_54_MCC5641</v>
      </c>
      <c r="D82" t="s">
        <v>4324</v>
      </c>
      <c r="E82" s="380" t="str">
        <f t="shared" si="2"/>
        <v/>
      </c>
    </row>
    <row r="83" spans="1:5">
      <c r="A83" t="s">
        <v>4380</v>
      </c>
      <c r="B83">
        <v>7631</v>
      </c>
      <c r="C83" t="str">
        <f t="shared" si="1"/>
        <v>Part1E_55_MCC7631</v>
      </c>
      <c r="D83" t="s">
        <v>4324</v>
      </c>
      <c r="E83" s="380" t="str">
        <f t="shared" si="2"/>
        <v/>
      </c>
    </row>
    <row r="84" spans="1:5">
      <c r="A84" t="s">
        <v>4381</v>
      </c>
      <c r="B84">
        <v>5944</v>
      </c>
      <c r="C84" t="str">
        <f t="shared" si="1"/>
        <v>Part1E_56_MCC5944</v>
      </c>
      <c r="D84" t="s">
        <v>4324</v>
      </c>
      <c r="E84" s="380" t="str">
        <f t="shared" si="2"/>
        <v/>
      </c>
    </row>
    <row r="85" spans="1:5">
      <c r="A85" t="s">
        <v>4382</v>
      </c>
      <c r="B85">
        <v>5441</v>
      </c>
      <c r="C85" t="str">
        <f t="shared" si="1"/>
        <v>Part1E_57_MCC5441</v>
      </c>
      <c r="D85" t="s">
        <v>4324</v>
      </c>
      <c r="E85" s="380" t="str">
        <f t="shared" si="2"/>
        <v/>
      </c>
    </row>
    <row r="86" spans="1:5">
      <c r="A86" t="s">
        <v>4383</v>
      </c>
      <c r="B86">
        <v>5499</v>
      </c>
      <c r="C86" t="str">
        <f t="shared" si="1"/>
        <v>Part1E_58_MCC5499</v>
      </c>
      <c r="D86" t="s">
        <v>4324</v>
      </c>
      <c r="E86" s="380" t="str">
        <f t="shared" si="2"/>
        <v/>
      </c>
    </row>
    <row r="87" spans="1:5">
      <c r="A87" t="s">
        <v>4384</v>
      </c>
      <c r="B87">
        <v>5977</v>
      </c>
      <c r="C87" t="str">
        <f t="shared" si="1"/>
        <v>Part1E_59_MCC5977</v>
      </c>
      <c r="D87" t="s">
        <v>4324</v>
      </c>
      <c r="E87" s="380" t="str">
        <f t="shared" si="2"/>
        <v/>
      </c>
    </row>
    <row r="88" spans="1:5">
      <c r="A88" t="s">
        <v>4385</v>
      </c>
      <c r="B88">
        <v>5311</v>
      </c>
      <c r="C88" t="str">
        <f t="shared" si="1"/>
        <v>Part1E_60_MCC5311</v>
      </c>
      <c r="D88" t="s">
        <v>4324</v>
      </c>
      <c r="E88" s="380" t="str">
        <f t="shared" si="2"/>
        <v/>
      </c>
    </row>
    <row r="89" spans="1:5">
      <c r="A89" t="s">
        <v>4386</v>
      </c>
      <c r="B89">
        <v>5310</v>
      </c>
      <c r="C89" t="str">
        <f t="shared" si="1"/>
        <v>Part1E_61_MCC5310</v>
      </c>
      <c r="D89" t="s">
        <v>4324</v>
      </c>
      <c r="E89" s="380" t="str">
        <f t="shared" si="2"/>
        <v/>
      </c>
    </row>
    <row r="90" spans="1:5">
      <c r="A90" t="s">
        <v>4387</v>
      </c>
      <c r="B90">
        <v>5309</v>
      </c>
      <c r="C90" t="str">
        <f t="shared" si="1"/>
        <v>Part1E_62_MCC5309</v>
      </c>
      <c r="D90" t="s">
        <v>4324</v>
      </c>
      <c r="E90" s="380" t="str">
        <f t="shared" si="2"/>
        <v/>
      </c>
    </row>
    <row r="91" spans="1:5">
      <c r="A91" t="s">
        <v>4388</v>
      </c>
      <c r="B91">
        <v>5193</v>
      </c>
      <c r="C91" t="str">
        <f t="shared" si="1"/>
        <v>Part1E_63_MCC5193</v>
      </c>
      <c r="D91" t="s">
        <v>4324</v>
      </c>
      <c r="E91" s="380" t="str">
        <f t="shared" si="2"/>
        <v/>
      </c>
    </row>
    <row r="92" spans="1:5">
      <c r="A92" t="s">
        <v>4389</v>
      </c>
      <c r="B92">
        <v>5945</v>
      </c>
      <c r="C92" t="str">
        <f t="shared" si="1"/>
        <v>Part1E_64_MCC5945</v>
      </c>
      <c r="D92" t="s">
        <v>4324</v>
      </c>
      <c r="E92" s="380" t="str">
        <f t="shared" si="2"/>
        <v/>
      </c>
    </row>
    <row r="93" spans="1:5">
      <c r="A93" t="s">
        <v>4390</v>
      </c>
      <c r="B93">
        <v>5983</v>
      </c>
      <c r="C93" t="str">
        <f t="shared" si="1"/>
        <v>Part1E_65_MCC5983</v>
      </c>
      <c r="D93" t="s">
        <v>4324</v>
      </c>
      <c r="E93" s="380" t="str">
        <f t="shared" ref="E93:E115" si="3">IF($E$29=B93,"X","")</f>
        <v/>
      </c>
    </row>
    <row r="94" spans="1:5">
      <c r="A94" t="s">
        <v>4391</v>
      </c>
      <c r="B94">
        <v>5947</v>
      </c>
      <c r="C94" t="str">
        <f t="shared" ref="C94:C114" si="4">A94&amp;"_MCC"&amp;B94</f>
        <v>Part1E_66_MCC5947</v>
      </c>
      <c r="D94" t="s">
        <v>4324</v>
      </c>
      <c r="E94" s="380" t="str">
        <f t="shared" si="3"/>
        <v/>
      </c>
    </row>
    <row r="95" spans="1:5">
      <c r="A95" t="s">
        <v>4392</v>
      </c>
      <c r="B95">
        <v>5722</v>
      </c>
      <c r="C95" t="str">
        <f t="shared" si="4"/>
        <v>Part1E_67_MCC5722</v>
      </c>
      <c r="D95" t="s">
        <v>4324</v>
      </c>
      <c r="E95" s="380" t="str">
        <f t="shared" si="3"/>
        <v/>
      </c>
    </row>
    <row r="96" spans="1:5">
      <c r="A96" t="s">
        <v>4393</v>
      </c>
      <c r="B96">
        <v>5691</v>
      </c>
      <c r="C96" t="str">
        <f t="shared" si="4"/>
        <v>Part1E_68_MCC5691</v>
      </c>
      <c r="D96" t="s">
        <v>4324</v>
      </c>
      <c r="E96" s="380" t="str">
        <f t="shared" si="3"/>
        <v/>
      </c>
    </row>
    <row r="97" spans="1:5">
      <c r="A97" t="s">
        <v>4394</v>
      </c>
      <c r="B97">
        <v>5943</v>
      </c>
      <c r="C97" t="str">
        <f t="shared" si="4"/>
        <v>Part1E_69_MCC5943</v>
      </c>
      <c r="D97" t="s">
        <v>4324</v>
      </c>
      <c r="E97" s="380" t="str">
        <f t="shared" si="3"/>
        <v/>
      </c>
    </row>
    <row r="98" spans="1:5">
      <c r="A98" t="s">
        <v>4395</v>
      </c>
      <c r="B98">
        <v>5411</v>
      </c>
      <c r="C98" t="str">
        <f t="shared" si="4"/>
        <v>Part1E_70_MCC5411</v>
      </c>
      <c r="D98" t="s">
        <v>4324</v>
      </c>
      <c r="E98" s="380" t="str">
        <f t="shared" si="3"/>
        <v/>
      </c>
    </row>
    <row r="99" spans="1:5">
      <c r="A99" t="s">
        <v>4396</v>
      </c>
      <c r="B99">
        <v>5995</v>
      </c>
      <c r="C99" t="str">
        <f t="shared" si="4"/>
        <v>Part1E_71_MCC5995</v>
      </c>
      <c r="D99" t="s">
        <v>4324</v>
      </c>
      <c r="E99" s="380" t="str">
        <f t="shared" si="3"/>
        <v/>
      </c>
    </row>
    <row r="100" spans="1:5">
      <c r="A100" t="s">
        <v>4397</v>
      </c>
      <c r="B100">
        <v>7395</v>
      </c>
      <c r="C100" t="str">
        <f t="shared" si="4"/>
        <v>Part1E_72_MCC7395</v>
      </c>
      <c r="D100" t="s">
        <v>4324</v>
      </c>
      <c r="E100" s="380" t="str">
        <f t="shared" si="3"/>
        <v/>
      </c>
    </row>
    <row r="101" spans="1:5">
      <c r="A101" t="s">
        <v>4398</v>
      </c>
      <c r="B101">
        <v>5946</v>
      </c>
      <c r="C101" t="str">
        <f t="shared" si="4"/>
        <v>Part1E_73_MCC5946</v>
      </c>
      <c r="D101" t="s">
        <v>4324</v>
      </c>
      <c r="E101" s="380" t="str">
        <f t="shared" si="3"/>
        <v/>
      </c>
    </row>
    <row r="102" spans="1:5">
      <c r="A102" t="s">
        <v>4399</v>
      </c>
      <c r="B102">
        <v>7221</v>
      </c>
      <c r="C102" t="str">
        <f t="shared" si="4"/>
        <v>Part1E_74_MCC7221</v>
      </c>
      <c r="D102" t="s">
        <v>4324</v>
      </c>
      <c r="E102" s="380" t="str">
        <f t="shared" si="3"/>
        <v/>
      </c>
    </row>
    <row r="103" spans="1:5">
      <c r="A103" t="s">
        <v>4400</v>
      </c>
      <c r="B103">
        <v>5735</v>
      </c>
      <c r="C103" t="str">
        <f t="shared" si="4"/>
        <v>Part1E_75_MCC5735</v>
      </c>
      <c r="D103" t="s">
        <v>4324</v>
      </c>
      <c r="E103" s="380" t="str">
        <f t="shared" si="3"/>
        <v/>
      </c>
    </row>
    <row r="104" spans="1:5">
      <c r="A104" t="s">
        <v>4401</v>
      </c>
      <c r="B104">
        <v>7393</v>
      </c>
      <c r="C104" t="str">
        <f t="shared" si="4"/>
        <v>Part1E_76_MCC7393</v>
      </c>
      <c r="D104" t="s">
        <v>4324</v>
      </c>
      <c r="E104" s="380" t="str">
        <f t="shared" si="3"/>
        <v/>
      </c>
    </row>
    <row r="105" spans="1:5">
      <c r="A105" t="s">
        <v>4402</v>
      </c>
      <c r="B105">
        <v>5699</v>
      </c>
      <c r="C105" t="str">
        <f t="shared" si="4"/>
        <v>Part1E_77_MCC5699</v>
      </c>
      <c r="D105" t="s">
        <v>4324</v>
      </c>
      <c r="E105" s="380" t="str">
        <f t="shared" si="3"/>
        <v/>
      </c>
    </row>
    <row r="106" spans="1:5">
      <c r="A106" t="s">
        <v>4403</v>
      </c>
      <c r="B106">
        <v>5499</v>
      </c>
      <c r="C106" t="str">
        <f t="shared" si="4"/>
        <v>Part1E_78_MCC5499</v>
      </c>
      <c r="D106" t="s">
        <v>4324</v>
      </c>
      <c r="E106" s="380" t="str">
        <f t="shared" si="3"/>
        <v/>
      </c>
    </row>
    <row r="107" spans="1:5">
      <c r="A107" t="s">
        <v>4404</v>
      </c>
      <c r="B107">
        <v>7996</v>
      </c>
      <c r="C107" t="str">
        <f t="shared" si="4"/>
        <v>Part1E_79_MCC7996</v>
      </c>
      <c r="D107" t="s">
        <v>4324</v>
      </c>
      <c r="E107" s="380" t="str">
        <f t="shared" si="3"/>
        <v/>
      </c>
    </row>
    <row r="108" spans="1:5">
      <c r="A108" t="s">
        <v>4405</v>
      </c>
      <c r="B108">
        <v>7991</v>
      </c>
      <c r="C108" t="str">
        <f t="shared" si="4"/>
        <v>Part1E_80_MCC7991</v>
      </c>
      <c r="D108" t="s">
        <v>4324</v>
      </c>
      <c r="E108" s="380" t="str">
        <f t="shared" si="3"/>
        <v/>
      </c>
    </row>
    <row r="109" spans="1:5">
      <c r="A109" t="s">
        <v>4406</v>
      </c>
      <c r="B109">
        <v>7994</v>
      </c>
      <c r="C109" t="str">
        <f t="shared" si="4"/>
        <v>Part1E_81_MCC7994</v>
      </c>
      <c r="D109" t="s">
        <v>4324</v>
      </c>
      <c r="E109" s="380" t="str">
        <f t="shared" si="3"/>
        <v/>
      </c>
    </row>
    <row r="110" spans="1:5">
      <c r="A110" t="s">
        <v>4407</v>
      </c>
      <c r="B110">
        <v>7992</v>
      </c>
      <c r="C110" t="str">
        <f t="shared" si="4"/>
        <v>Part1E_82_MCC7992</v>
      </c>
      <c r="D110" t="s">
        <v>4324</v>
      </c>
      <c r="E110" s="380" t="str">
        <f t="shared" si="3"/>
        <v/>
      </c>
    </row>
    <row r="111" spans="1:5">
      <c r="A111" t="s">
        <v>4408</v>
      </c>
      <c r="B111">
        <v>7995</v>
      </c>
      <c r="C111" t="str">
        <f t="shared" si="4"/>
        <v>Part1E_83_MCC7995</v>
      </c>
      <c r="D111" t="s">
        <v>4324</v>
      </c>
      <c r="E111" s="380" t="str">
        <f t="shared" si="3"/>
        <v/>
      </c>
    </row>
    <row r="112" spans="1:5">
      <c r="A112" t="s">
        <v>4409</v>
      </c>
      <c r="B112">
        <v>7997</v>
      </c>
      <c r="C112" t="str">
        <f t="shared" si="4"/>
        <v>Part1E_84_MCC7997</v>
      </c>
      <c r="D112" t="s">
        <v>4324</v>
      </c>
      <c r="E112" s="380" t="str">
        <f t="shared" si="3"/>
        <v/>
      </c>
    </row>
    <row r="113" spans="1:5">
      <c r="A113" t="s">
        <v>4410</v>
      </c>
      <c r="B113">
        <v>7832</v>
      </c>
      <c r="C113" t="str">
        <f t="shared" si="4"/>
        <v>Part1E_85_MCC7832</v>
      </c>
      <c r="D113" t="s">
        <v>4324</v>
      </c>
      <c r="E113" s="380" t="str">
        <f t="shared" si="3"/>
        <v/>
      </c>
    </row>
    <row r="114" spans="1:5">
      <c r="A114" t="s">
        <v>4411</v>
      </c>
      <c r="B114">
        <v>7941</v>
      </c>
      <c r="C114" t="str">
        <f t="shared" si="4"/>
        <v>Part1E_86_MCC7941</v>
      </c>
      <c r="D114" t="s">
        <v>4324</v>
      </c>
      <c r="E114" s="380" t="str">
        <f t="shared" si="3"/>
        <v/>
      </c>
    </row>
    <row r="115" spans="1:5">
      <c r="A115" t="s">
        <v>4412</v>
      </c>
      <c r="C115" t="str">
        <f>A115&amp;"_MCC"&amp;B115</f>
        <v>Part1E_87_MCC</v>
      </c>
      <c r="D115" t="s">
        <v>4324</v>
      </c>
      <c r="E115" s="380" t="str">
        <f t="shared" si="3"/>
        <v/>
      </c>
    </row>
    <row r="116" spans="1:5">
      <c r="A116" t="s">
        <v>4413</v>
      </c>
      <c r="B116" t="s">
        <v>2872</v>
      </c>
      <c r="C116" t="str">
        <f>A116&amp;"_"&amp;B116</f>
        <v>Part1E_88_Other</v>
      </c>
      <c r="D116" t="s">
        <v>4148</v>
      </c>
      <c r="E116" s="380" t="str">
        <f>IF(E115="X",_xlfn.XLOOKUP(HKT_Service_Application_Form!D116,AFG_Input_Alvin!D:D,AFG_Input_Alvin!E:E)," ")</f>
        <v xml:space="preserve"> </v>
      </c>
    </row>
    <row r="117" spans="1:5">
      <c r="C117" t="s">
        <v>4515</v>
      </c>
      <c r="D117" t="s">
        <v>4414</v>
      </c>
      <c r="E117" s="381">
        <f>_xlfn.XLOOKUP(D117,AFG_Input_Alvin!D:D,AFG_Input_Alvin!E:E)</f>
        <v>30000</v>
      </c>
    </row>
    <row r="118" spans="1:5">
      <c r="C118" t="s">
        <v>4535</v>
      </c>
      <c r="D118" t="s">
        <v>4425</v>
      </c>
      <c r="E118" s="381" t="str">
        <f>IF(_xlfn.XLOOKUP(D118,AFG_Input_Alvin!D:D,AFG_Input_Alvin!E:E)="Mr","X"," ")</f>
        <v xml:space="preserve"> </v>
      </c>
    </row>
    <row r="119" spans="1:5">
      <c r="C119" t="s">
        <v>4536</v>
      </c>
      <c r="D119" t="s">
        <v>4425</v>
      </c>
      <c r="E119" s="381" t="str">
        <f>IF(_xlfn.XLOOKUP(D119,AFG_Input_Alvin!D:D,AFG_Input_Alvin!E:E)="Mrs","X"," ")</f>
        <v xml:space="preserve"> </v>
      </c>
    </row>
    <row r="120" spans="1:5">
      <c r="C120" t="s">
        <v>4537</v>
      </c>
      <c r="D120" t="s">
        <v>4425</v>
      </c>
      <c r="E120" s="381" t="str">
        <f>IF(_xlfn.XLOOKUP(D120,AFG_Input_Alvin!D:D,AFG_Input_Alvin!E:E)="Miss","X"," ")</f>
        <v xml:space="preserve"> </v>
      </c>
    </row>
    <row r="121" spans="1:5">
      <c r="C121" t="s">
        <v>4538</v>
      </c>
      <c r="D121" t="s">
        <v>4425</v>
      </c>
      <c r="E121" s="381" t="str">
        <f>IF(_xlfn.XLOOKUP(D121,AFG_Input_Alvin!D:D,AFG_Input_Alvin!E:E)="Ms","X"," ")</f>
        <v>X</v>
      </c>
    </row>
    <row r="122" spans="1:5">
      <c r="C122" t="s">
        <v>4415</v>
      </c>
      <c r="D122" t="s">
        <v>4426</v>
      </c>
      <c r="E122" s="380" t="str">
        <f>_xlfn.XLOOKUP(D122,AFG_Input_Alvin!D:D,AFG_Input_Alvin!E:E)</f>
        <v>CHEN</v>
      </c>
    </row>
    <row r="123" spans="1:5">
      <c r="C123" t="s">
        <v>4416</v>
      </c>
      <c r="D123" t="s">
        <v>4427</v>
      </c>
      <c r="E123" s="380" t="str">
        <f>_xlfn.XLOOKUP(D123,AFG_Input_Alvin!D:D,AFG_Input_Alvin!E:E)</f>
        <v>HANDE</v>
      </c>
    </row>
    <row r="124" spans="1:5">
      <c r="C124" t="s">
        <v>4417</v>
      </c>
      <c r="D124" t="s">
        <v>4152</v>
      </c>
      <c r="E124" s="380" t="str">
        <f>_xlfn.XLOOKUP(D124,AFG_Input_Alvin!D:D,AFG_Input_Alvin!E:E)</f>
        <v>Sole Proprietor</v>
      </c>
    </row>
    <row r="125" spans="1:5">
      <c r="C125" t="s">
        <v>4418</v>
      </c>
      <c r="D125" t="s">
        <v>4154</v>
      </c>
      <c r="E125" s="380" t="str">
        <f>_xlfn.XLOOKUP(D125,AFG_Input_Alvin!D:D,AFG_Input_Alvin!E:E)</f>
        <v>kailam0126@hotmail.com</v>
      </c>
    </row>
    <row r="126" spans="1:5">
      <c r="C126" t="s">
        <v>4419</v>
      </c>
      <c r="D126" t="s">
        <v>4153</v>
      </c>
      <c r="E126" s="380" t="str">
        <f>_xlfn.XLOOKUP(D126,AFG_Input_Alvin!D:D,AFG_Input_Alvin!E:E)</f>
        <v>5401 9126</v>
      </c>
    </row>
    <row r="127" spans="1:5">
      <c r="C127" t="s">
        <v>4539</v>
      </c>
      <c r="D127" t="s">
        <v>4428</v>
      </c>
      <c r="E127" s="380" t="str">
        <f>IF(_xlfn.XLOOKUP(D127,AFG_Input_Alvin!D:D,AFG_Input_Alvin!E:E)="MR","X"," ")</f>
        <v xml:space="preserve"> </v>
      </c>
    </row>
    <row r="128" spans="1:5">
      <c r="C128" t="s">
        <v>4540</v>
      </c>
      <c r="D128" t="s">
        <v>4428</v>
      </c>
      <c r="E128" s="380" t="str">
        <f>IF(_xlfn.XLOOKUP(D128,AFG_Input_Alvin!D:D,AFG_Input_Alvin!E:E)="Mrs","X"," ")</f>
        <v xml:space="preserve"> </v>
      </c>
    </row>
    <row r="129" spans="2:5">
      <c r="C129" t="s">
        <v>4541</v>
      </c>
      <c r="D129" t="s">
        <v>4428</v>
      </c>
      <c r="E129" s="380" t="str">
        <f>IF(_xlfn.XLOOKUP(D129,AFG_Input_Alvin!D:D,AFG_Input_Alvin!E:E)="Miss","X"," ")</f>
        <v>X</v>
      </c>
    </row>
    <row r="130" spans="2:5">
      <c r="C130" t="s">
        <v>4542</v>
      </c>
      <c r="D130" t="s">
        <v>4428</v>
      </c>
      <c r="E130" s="380" t="str">
        <f>IF(_xlfn.XLOOKUP(D130,AFG_Input_Alvin!D:D,AFG_Input_Alvin!E:E)="Ms","X"," ")</f>
        <v xml:space="preserve"> </v>
      </c>
    </row>
    <row r="131" spans="2:5">
      <c r="C131" t="s">
        <v>4420</v>
      </c>
      <c r="D131" t="s">
        <v>4429</v>
      </c>
      <c r="E131" s="380" t="str">
        <f>_xlfn.XLOOKUP(D131,AFG_Input_Alvin!D:D,AFG_Input_Alvin!E:E)</f>
        <v>CHEN</v>
      </c>
    </row>
    <row r="132" spans="2:5">
      <c r="C132" t="s">
        <v>4421</v>
      </c>
      <c r="D132" t="s">
        <v>4430</v>
      </c>
      <c r="E132" s="380" t="str">
        <f>_xlfn.XLOOKUP(D132,AFG_Input_Alvin!D:D,AFG_Input_Alvin!E:E)</f>
        <v>HANDE</v>
      </c>
    </row>
    <row r="133" spans="2:5">
      <c r="C133" t="s">
        <v>4422</v>
      </c>
      <c r="D133" t="s">
        <v>4155</v>
      </c>
      <c r="E133" s="380" t="str">
        <f>_xlfn.XLOOKUP(D133,AFG_Input_Alvin!D:D,AFG_Input_Alvin!E:E)</f>
        <v>Director</v>
      </c>
    </row>
    <row r="134" spans="2:5">
      <c r="C134" t="s">
        <v>4423</v>
      </c>
      <c r="D134" t="s">
        <v>4157</v>
      </c>
      <c r="E134" s="380" t="str">
        <f>_xlfn.XLOOKUP(D134,AFG_Input_Alvin!D:D,AFG_Input_Alvin!E:E)</f>
        <v>kailam0126@hotmail.com</v>
      </c>
    </row>
    <row r="135" spans="2:5">
      <c r="C135" t="s">
        <v>4424</v>
      </c>
      <c r="D135" t="s">
        <v>4156</v>
      </c>
      <c r="E135" s="380" t="str">
        <f>_xlfn.XLOOKUP(D135,AFG_Input_Alvin!D:D,AFG_Input_Alvin!E:E)</f>
        <v>5401 9126</v>
      </c>
    </row>
    <row r="136" spans="2:5">
      <c r="B136" s="378" t="s">
        <v>1897</v>
      </c>
      <c r="C136" t="s">
        <v>4431</v>
      </c>
      <c r="D136" t="s">
        <v>4450</v>
      </c>
      <c r="E136" s="380" t="str">
        <f>IF($E$155=B136,"X","")</f>
        <v/>
      </c>
    </row>
    <row r="137" spans="2:5">
      <c r="B137" s="378" t="s">
        <v>1894</v>
      </c>
      <c r="C137" t="s">
        <v>4432</v>
      </c>
      <c r="D137" t="s">
        <v>4450</v>
      </c>
      <c r="E137" s="380" t="str">
        <f t="shared" ref="E137:E154" si="5">IF($E$155=B137,"X","")</f>
        <v/>
      </c>
    </row>
    <row r="138" spans="2:5">
      <c r="B138" s="378" t="s">
        <v>1910</v>
      </c>
      <c r="C138" t="s">
        <v>4433</v>
      </c>
      <c r="D138" t="s">
        <v>4450</v>
      </c>
      <c r="E138" s="380" t="str">
        <f t="shared" si="5"/>
        <v>X</v>
      </c>
    </row>
    <row r="139" spans="2:5">
      <c r="B139" s="378" t="s">
        <v>1926</v>
      </c>
      <c r="C139" t="s">
        <v>4434</v>
      </c>
      <c r="D139" t="s">
        <v>4450</v>
      </c>
      <c r="E139" s="380" t="str">
        <f t="shared" si="5"/>
        <v/>
      </c>
    </row>
    <row r="140" spans="2:5">
      <c r="B140" s="378" t="s">
        <v>2319</v>
      </c>
      <c r="C140" t="s">
        <v>4435</v>
      </c>
      <c r="D140" t="s">
        <v>4450</v>
      </c>
      <c r="E140" s="380" t="str">
        <f t="shared" si="5"/>
        <v/>
      </c>
    </row>
    <row r="141" spans="2:5">
      <c r="B141" s="378" t="s">
        <v>1945</v>
      </c>
      <c r="C141" t="s">
        <v>4436</v>
      </c>
      <c r="D141" t="s">
        <v>4450</v>
      </c>
      <c r="E141" s="380" t="str">
        <f t="shared" si="5"/>
        <v/>
      </c>
    </row>
    <row r="142" spans="2:5">
      <c r="B142" s="378" t="s">
        <v>1917</v>
      </c>
      <c r="C142" t="s">
        <v>4437</v>
      </c>
      <c r="D142" t="s">
        <v>4450</v>
      </c>
      <c r="E142" s="380" t="str">
        <f t="shared" si="5"/>
        <v/>
      </c>
    </row>
    <row r="143" spans="2:5">
      <c r="B143" s="378" t="s">
        <v>1929</v>
      </c>
      <c r="C143" t="s">
        <v>4438</v>
      </c>
      <c r="D143" t="s">
        <v>4450</v>
      </c>
      <c r="E143" s="380" t="str">
        <f t="shared" si="5"/>
        <v/>
      </c>
    </row>
    <row r="144" spans="2:5">
      <c r="B144" s="378" t="s">
        <v>1907</v>
      </c>
      <c r="C144" t="s">
        <v>4439</v>
      </c>
      <c r="D144" t="s">
        <v>4450</v>
      </c>
      <c r="E144" s="380" t="str">
        <f t="shared" si="5"/>
        <v/>
      </c>
    </row>
    <row r="145" spans="2:5">
      <c r="B145" s="378" t="s">
        <v>1989</v>
      </c>
      <c r="C145" t="s">
        <v>4449</v>
      </c>
      <c r="D145" t="s">
        <v>4450</v>
      </c>
      <c r="E145" s="380" t="str">
        <f t="shared" si="5"/>
        <v/>
      </c>
    </row>
    <row r="146" spans="2:5">
      <c r="B146" s="378" t="s">
        <v>1956</v>
      </c>
      <c r="C146" t="s">
        <v>4440</v>
      </c>
      <c r="D146" t="s">
        <v>4450</v>
      </c>
      <c r="E146" s="380" t="str">
        <f t="shared" si="5"/>
        <v/>
      </c>
    </row>
    <row r="147" spans="2:5">
      <c r="B147" s="378" t="s">
        <v>1914</v>
      </c>
      <c r="C147" t="s">
        <v>4441</v>
      </c>
      <c r="D147" t="s">
        <v>4450</v>
      </c>
      <c r="E147" s="380" t="str">
        <f t="shared" si="5"/>
        <v/>
      </c>
    </row>
    <row r="148" spans="2:5">
      <c r="B148" s="378" t="s">
        <v>2134</v>
      </c>
      <c r="C148" t="s">
        <v>4442</v>
      </c>
      <c r="D148" t="s">
        <v>4450</v>
      </c>
      <c r="E148" s="380" t="str">
        <f t="shared" si="5"/>
        <v/>
      </c>
    </row>
    <row r="149" spans="2:5">
      <c r="B149" s="378" t="s">
        <v>1921</v>
      </c>
      <c r="C149" t="s">
        <v>4443</v>
      </c>
      <c r="D149" t="s">
        <v>4450</v>
      </c>
      <c r="E149" s="380" t="str">
        <f t="shared" si="5"/>
        <v/>
      </c>
    </row>
    <row r="150" spans="2:5">
      <c r="B150" s="378" t="s">
        <v>1953</v>
      </c>
      <c r="C150" t="s">
        <v>4444</v>
      </c>
      <c r="D150" t="s">
        <v>4450</v>
      </c>
      <c r="E150" s="380" t="str">
        <f t="shared" si="5"/>
        <v/>
      </c>
    </row>
    <row r="151" spans="2:5">
      <c r="B151" s="378" t="s">
        <v>1959</v>
      </c>
      <c r="C151" t="s">
        <v>4445</v>
      </c>
      <c r="D151" t="s">
        <v>4450</v>
      </c>
      <c r="E151" s="380" t="str">
        <f t="shared" si="5"/>
        <v/>
      </c>
    </row>
    <row r="152" spans="2:5">
      <c r="B152" s="378" t="s">
        <v>292</v>
      </c>
      <c r="C152" t="s">
        <v>4446</v>
      </c>
      <c r="D152" t="s">
        <v>4450</v>
      </c>
      <c r="E152" s="380" t="str">
        <f t="shared" si="5"/>
        <v/>
      </c>
    </row>
    <row r="153" spans="2:5">
      <c r="B153" s="378" t="s">
        <v>2005</v>
      </c>
      <c r="C153" t="s">
        <v>4447</v>
      </c>
      <c r="D153" t="s">
        <v>4450</v>
      </c>
      <c r="E153" s="380" t="str">
        <f t="shared" si="5"/>
        <v/>
      </c>
    </row>
    <row r="154" spans="2:5">
      <c r="B154" s="378" t="s">
        <v>2041</v>
      </c>
      <c r="C154" t="s">
        <v>4448</v>
      </c>
      <c r="D154" t="s">
        <v>4450</v>
      </c>
      <c r="E154" s="380" t="str">
        <f t="shared" si="5"/>
        <v/>
      </c>
    </row>
    <row r="155" spans="2:5">
      <c r="C155" t="s">
        <v>4543</v>
      </c>
      <c r="D155" t="s">
        <v>4450</v>
      </c>
      <c r="E155" s="380" t="str">
        <f>_xlfn.XLOOKUP(D155,AFG_Input_Alvin!D:D,AFG_Input_Alvin!E:E)</f>
        <v>012</v>
      </c>
    </row>
    <row r="156" spans="2:5">
      <c r="C156" t="s">
        <v>4451</v>
      </c>
      <c r="D156" t="s">
        <v>4450</v>
      </c>
      <c r="E156" s="380" t="str">
        <f>IF(COUNTIF(E136:E154, "x") &gt; 0, " ", _xlfn.XLOOKUP(D156, AFG_Input_Alvin!D:D, AFG_Input_Alvin!E:E))</f>
        <v xml:space="preserve"> </v>
      </c>
    </row>
    <row r="157" spans="2:5">
      <c r="C157" s="365" t="s">
        <v>4452</v>
      </c>
      <c r="D157" t="s">
        <v>4454</v>
      </c>
      <c r="E157" s="380" t="str">
        <f>_xlfn.XLOOKUP(D157,AFG_Input_Alvin!D:D,AFG_Input_Alvin!E:E)</f>
        <v>663</v>
      </c>
    </row>
    <row r="158" spans="2:5">
      <c r="C158" t="s">
        <v>4453</v>
      </c>
      <c r="D158" t="s">
        <v>4455</v>
      </c>
      <c r="E158" s="380" t="str">
        <f>_xlfn.XLOOKUP(D158,AFG_Input_Alvin!D:D,AFG_Input_Alvin!E:E)</f>
        <v>2-012695-3</v>
      </c>
    </row>
    <row r="159" spans="2:5">
      <c r="C159" t="s">
        <v>4544</v>
      </c>
      <c r="D159" t="s">
        <v>4456</v>
      </c>
      <c r="E159" s="380" t="str">
        <f>_xlfn.XLOOKUP(D159,AFG_Input_Alvin!D:D,AFG_Input_Alvin!E:E)</f>
        <v>BANK OF CHINA (HONG KONG) LIMITED</v>
      </c>
    </row>
    <row r="160" spans="2:5">
      <c r="C160" t="s">
        <v>4545</v>
      </c>
      <c r="D160" t="s">
        <v>4466</v>
      </c>
      <c r="E160" s="380" t="str">
        <f>IF(_xlfn.XLOOKUP(D160,AFG_Input_Alvin!D:D,AFG_Input_Alvin!E:E)="Director","X"," ")</f>
        <v>X</v>
      </c>
    </row>
    <row r="161" spans="3:5">
      <c r="C161" t="s">
        <v>4546</v>
      </c>
      <c r="D161" t="s">
        <v>4466</v>
      </c>
      <c r="E161" s="380" t="str">
        <f>IF(_xlfn.XLOOKUP(D161,AFG_Input_Alvin!D:D,AFG_Input_Alvin!E:E)="Partner","X"," ")</f>
        <v xml:space="preserve"> </v>
      </c>
    </row>
    <row r="162" spans="3:5">
      <c r="C162" s="365" t="s">
        <v>4547</v>
      </c>
      <c r="D162" t="s">
        <v>4466</v>
      </c>
      <c r="E162" s="380" t="str">
        <f>IF(_xlfn.XLOOKUP(D162,AFG_Input_Alvin!D:D,AFG_Input_Alvin!E:E)="Sole Proprietor","X"," ")</f>
        <v xml:space="preserve"> </v>
      </c>
    </row>
    <row r="163" spans="3:5">
      <c r="C163" s="318" t="s">
        <v>4548</v>
      </c>
      <c r="D163" s="318"/>
      <c r="E163" s="386"/>
    </row>
    <row r="164" spans="3:5">
      <c r="C164" s="385" t="s">
        <v>4549</v>
      </c>
      <c r="D164" s="318"/>
      <c r="E164" s="386"/>
    </row>
    <row r="165" spans="3:5">
      <c r="C165" t="s">
        <v>4550</v>
      </c>
      <c r="D165" t="s">
        <v>4467</v>
      </c>
      <c r="E165" s="380" t="str">
        <f>IF(_xlfn.XLOOKUP(D165,AFG_Input_Alvin!D:D,AFG_Input_Alvin!E:E)="Mr","X"," ")</f>
        <v>X</v>
      </c>
    </row>
    <row r="166" spans="3:5">
      <c r="C166" t="s">
        <v>4551</v>
      </c>
      <c r="D166" t="s">
        <v>4467</v>
      </c>
      <c r="E166" s="380" t="str">
        <f>IF(_xlfn.XLOOKUP(D166,AFG_Input_Alvin!D:D,AFG_Input_Alvin!E:E)="Mrs","X"," ")</f>
        <v xml:space="preserve"> </v>
      </c>
    </row>
    <row r="167" spans="3:5">
      <c r="C167" t="s">
        <v>4552</v>
      </c>
      <c r="D167" t="s">
        <v>4467</v>
      </c>
      <c r="E167" s="380" t="str">
        <f>IF(_xlfn.XLOOKUP(D167,AFG_Input_Alvin!D:D,AFG_Input_Alvin!E:E)="Miss","X"," ")</f>
        <v xml:space="preserve"> </v>
      </c>
    </row>
    <row r="168" spans="3:5">
      <c r="C168" t="s">
        <v>4553</v>
      </c>
      <c r="D168" t="s">
        <v>4467</v>
      </c>
      <c r="E168" s="380" t="str">
        <f>IF(_xlfn.XLOOKUP(D168,AFG_Input_Alvin!D:D,AFG_Input_Alvin!E:E)="Ms","X"," ")</f>
        <v xml:space="preserve"> </v>
      </c>
    </row>
    <row r="169" spans="3:5">
      <c r="C169" t="s">
        <v>4554</v>
      </c>
      <c r="D169" t="s">
        <v>4143</v>
      </c>
      <c r="E169" s="380" t="str">
        <f>_xlfn.XLOOKUP(D169,AFG_Input_Alvin!D:D,AFG_Input_Alvin!E:E)</f>
        <v>HANDE CHEN</v>
      </c>
    </row>
    <row r="170" spans="3:5">
      <c r="C170" t="s">
        <v>4555</v>
      </c>
      <c r="D170" t="s">
        <v>4468</v>
      </c>
      <c r="E170" s="380" t="str">
        <f>AFG_Input_Alvin!E254&amp;AFG_Input_Alvin!E255</f>
        <v>陳漢得</v>
      </c>
    </row>
    <row r="171" spans="3:5">
      <c r="C171" t="s">
        <v>4556</v>
      </c>
      <c r="D171" t="s">
        <v>4471</v>
      </c>
      <c r="E171" s="380" t="str">
        <f>IF(_xlfn.XLOOKUP(D171,AFG_Input_Alvin!D:D,AFG_Input_Alvin!E:E)="HKID","X"," ")</f>
        <v>X</v>
      </c>
    </row>
    <row r="172" spans="3:5">
      <c r="C172" t="s">
        <v>4557</v>
      </c>
      <c r="D172" t="s">
        <v>4471</v>
      </c>
      <c r="E172" s="380" t="str">
        <f>IF(_xlfn.XLOOKUP(D172,AFG_Input_Alvin!D:D,AFG_Input_Alvin!E:E)="Passport","X"," ")</f>
        <v xml:space="preserve"> </v>
      </c>
    </row>
    <row r="173" spans="3:5">
      <c r="C173" t="s">
        <v>4457</v>
      </c>
      <c r="D173" t="s">
        <v>4469</v>
      </c>
      <c r="E173" s="380" t="str">
        <f>_xlfn.XLOOKUP(D173,AFG_Input_Alvin!D:D,AFG_Input_Alvin!E:E)</f>
        <v>R526008(5)</v>
      </c>
    </row>
    <row r="174" spans="3:5">
      <c r="C174" t="s">
        <v>4458</v>
      </c>
      <c r="D174" t="s">
        <v>4472</v>
      </c>
      <c r="E174" s="380">
        <f>DAY(_xlfn.XLOOKUP(D174, AFG_Input_Alvin!D:D, AFG_Input_Alvin!E:E))</f>
        <v>3</v>
      </c>
    </row>
    <row r="175" spans="3:5">
      <c r="C175" t="s">
        <v>4459</v>
      </c>
      <c r="D175" t="s">
        <v>4472</v>
      </c>
      <c r="E175" s="380">
        <f>MONTH(_xlfn.XLOOKUP(D175, AFG_Input_Alvin!D:D, AFG_Input_Alvin!E:E))</f>
        <v>5</v>
      </c>
    </row>
    <row r="176" spans="3:5">
      <c r="C176" t="s">
        <v>4460</v>
      </c>
      <c r="D176" t="s">
        <v>4472</v>
      </c>
      <c r="E176" s="380">
        <f>YEAR(_xlfn.XLOOKUP(D176, AFG_Input_Alvin!D:D, AFG_Input_Alvin!E:E))</f>
        <v>1968</v>
      </c>
    </row>
    <row r="177" spans="3:5">
      <c r="C177" t="s">
        <v>4461</v>
      </c>
      <c r="D177" t="s">
        <v>4473</v>
      </c>
      <c r="E177" s="380" t="str">
        <f>IF(_xlfn.XLOOKUP(D177,AFG_Input_Alvin!D:D,AFG_Input_Alvin!E:E)="China","X"," ")</f>
        <v xml:space="preserve"> </v>
      </c>
    </row>
    <row r="178" spans="3:5">
      <c r="C178" t="s">
        <v>4462</v>
      </c>
      <c r="D178" t="s">
        <v>4473</v>
      </c>
      <c r="E178" s="380" t="str">
        <f>IF(_xlfn.XLOOKUP(D178,AFG_Input_Alvin!D:D,AFG_Input_Alvin!E:E)="Hong Kong, China","X"," ")</f>
        <v xml:space="preserve"> </v>
      </c>
    </row>
    <row r="179" spans="3:5">
      <c r="C179" t="s">
        <v>4463</v>
      </c>
      <c r="D179" t="s">
        <v>4473</v>
      </c>
      <c r="E179" s="380" t="str">
        <f>IF(_xlfn.XLOOKUP(D179,AFG_Input_Alvin!D:D,AFG_Input_Alvin!E:E)="Macau, China","X"," ")</f>
        <v xml:space="preserve"> </v>
      </c>
    </row>
    <row r="180" spans="3:5">
      <c r="C180" t="s">
        <v>4464</v>
      </c>
      <c r="D180" t="s">
        <v>4473</v>
      </c>
      <c r="E180" s="380" t="str">
        <f>IF(COUNTIF(E177:E179, "x") &gt; 0, " ","X")</f>
        <v>X</v>
      </c>
    </row>
    <row r="181" spans="3:5">
      <c r="C181" t="s">
        <v>4465</v>
      </c>
      <c r="D181" t="s">
        <v>4473</v>
      </c>
      <c r="E181" s="380" t="str">
        <f>IF(COUNTIF(E177:E179, "x") &gt; 0, " ", _xlfn.XLOOKUP(D181, AFG_Input_Alvin!D:D, AFG_Input_Alvin!E:E))</f>
        <v>Georgia</v>
      </c>
    </row>
    <row r="182" spans="3:5">
      <c r="C182" t="s">
        <v>4558</v>
      </c>
      <c r="D182" t="s">
        <v>4484</v>
      </c>
      <c r="E182" s="380" t="str">
        <f>IF(_xlfn.XLOOKUP(D182,AFG_Input_Alvin!D:D,AFG_Input_Alvin!E:E)="Director","X"," ")</f>
        <v>X</v>
      </c>
    </row>
    <row r="183" spans="3:5">
      <c r="C183" t="s">
        <v>4559</v>
      </c>
      <c r="D183" t="s">
        <v>4484</v>
      </c>
      <c r="E183" s="380" t="str">
        <f>IF(_xlfn.XLOOKUP(D183,AFG_Input_Alvin!D:D,AFG_Input_Alvin!E:E)="Partner","X"," ")</f>
        <v xml:space="preserve"> </v>
      </c>
    </row>
    <row r="184" spans="3:5">
      <c r="C184" t="s">
        <v>4560</v>
      </c>
      <c r="D184" t="s">
        <v>4484</v>
      </c>
      <c r="E184" s="380" t="str">
        <f>IF(_xlfn.XLOOKUP(D184,AFG_Input_Alvin!D:D,AFG_Input_Alvin!E:E)="Sole Proprietor","X"," ")</f>
        <v xml:space="preserve"> </v>
      </c>
    </row>
    <row r="185" spans="3:5">
      <c r="C185" s="318" t="s">
        <v>4561</v>
      </c>
      <c r="D185" s="318"/>
      <c r="E185" s="386" t="str">
        <f>IF(_xlfn.XLOOKUP(D185,AFG_Input_Alvin!D:D,AFG_Input_Alvin!E:E)="Director","X"," ")</f>
        <v xml:space="preserve"> </v>
      </c>
    </row>
    <row r="186" spans="3:5">
      <c r="C186" s="318" t="s">
        <v>4562</v>
      </c>
      <c r="D186" s="318"/>
      <c r="E186" s="386"/>
    </row>
    <row r="187" spans="3:5">
      <c r="C187" t="s">
        <v>4563</v>
      </c>
      <c r="D187" t="s">
        <v>4483</v>
      </c>
      <c r="E187" s="380" t="str">
        <f>IF(_xlfn.XLOOKUP(D187,AFG_Input_Alvin!D:D,AFG_Input_Alvin!E:E)="Mr","X"," ")</f>
        <v>X</v>
      </c>
    </row>
    <row r="188" spans="3:5">
      <c r="C188" t="s">
        <v>4564</v>
      </c>
      <c r="D188" t="s">
        <v>4483</v>
      </c>
      <c r="E188" s="380" t="str">
        <f>IF(_xlfn.XLOOKUP(D188,AFG_Input_Alvin!D:D,AFG_Input_Alvin!E:E)="Mrs","X"," ")</f>
        <v xml:space="preserve"> </v>
      </c>
    </row>
    <row r="189" spans="3:5">
      <c r="C189" t="s">
        <v>4565</v>
      </c>
      <c r="D189" t="s">
        <v>4483</v>
      </c>
      <c r="E189" s="380" t="str">
        <f>IF(_xlfn.XLOOKUP(D189,AFG_Input_Alvin!D:D,AFG_Input_Alvin!E:E)="Miss","X"," ")</f>
        <v xml:space="preserve"> </v>
      </c>
    </row>
    <row r="190" spans="3:5">
      <c r="C190" t="s">
        <v>4566</v>
      </c>
      <c r="D190" t="s">
        <v>4483</v>
      </c>
      <c r="E190" s="380" t="str">
        <f>IF(_xlfn.XLOOKUP(D190,AFG_Input_Alvin!D:D,AFG_Input_Alvin!E:E)="Ms","X"," ")</f>
        <v xml:space="preserve"> </v>
      </c>
    </row>
    <row r="191" spans="3:5">
      <c r="C191" t="s">
        <v>4567</v>
      </c>
      <c r="D191" t="s">
        <v>4151</v>
      </c>
      <c r="E191" s="380" t="str">
        <f>_xlfn.XLOOKUP(D191,AFG_Input_Alvin!D:D,AFG_Input_Alvin!E:E)</f>
        <v>HANDE CHEN</v>
      </c>
    </row>
    <row r="192" spans="3:5">
      <c r="C192" t="s">
        <v>4568</v>
      </c>
      <c r="D192" t="s">
        <v>4485</v>
      </c>
      <c r="E192" s="380" t="str">
        <f>AFG_Input_Alvin!E300&amp;AFG_Input_Alvin!E301</f>
        <v>陳漢得</v>
      </c>
    </row>
    <row r="193" spans="3:5">
      <c r="C193" t="s">
        <v>4569</v>
      </c>
      <c r="D193" t="s">
        <v>4470</v>
      </c>
      <c r="E193" s="380" t="str">
        <f>IF(_xlfn.XLOOKUP(D193,AFG_Input_Alvin!D:D,AFG_Input_Alvin!E:E)="HKID","X"," ")</f>
        <v xml:space="preserve"> </v>
      </c>
    </row>
    <row r="194" spans="3:5">
      <c r="C194" t="s">
        <v>4570</v>
      </c>
      <c r="D194" t="s">
        <v>4470</v>
      </c>
      <c r="E194" s="380" t="str">
        <f>IF(_xlfn.XLOOKUP(D194,AFG_Input_Alvin!D:D,AFG_Input_Alvin!E:E)="Passport","X"," ")</f>
        <v>X</v>
      </c>
    </row>
    <row r="195" spans="3:5">
      <c r="C195" t="s">
        <v>4474</v>
      </c>
      <c r="D195" t="s">
        <v>4486</v>
      </c>
      <c r="E195" s="380" t="str">
        <f>_xlfn.XLOOKUP(D195,AFG_Input_Alvin!D:D,AFG_Input_Alvin!E:E)</f>
        <v>R526008(5)</v>
      </c>
    </row>
    <row r="196" spans="3:5">
      <c r="C196" t="s">
        <v>4475</v>
      </c>
      <c r="D196" t="s">
        <v>4487</v>
      </c>
      <c r="E196" s="380">
        <f>DAY(_xlfn.XLOOKUP(D196, AFG_Input_Alvin!D:D, AFG_Input_Alvin!E:E))</f>
        <v>3</v>
      </c>
    </row>
    <row r="197" spans="3:5">
      <c r="C197" t="s">
        <v>4476</v>
      </c>
      <c r="D197" t="s">
        <v>4487</v>
      </c>
      <c r="E197" s="380">
        <f>MONTH(_xlfn.XLOOKUP(D197, AFG_Input_Alvin!D:D, AFG_Input_Alvin!E:E))</f>
        <v>5</v>
      </c>
    </row>
    <row r="198" spans="3:5">
      <c r="C198" t="s">
        <v>4477</v>
      </c>
      <c r="D198" t="s">
        <v>4487</v>
      </c>
      <c r="E198" s="380">
        <f>YEAR(_xlfn.XLOOKUP(D198, AFG_Input_Alvin!D:D, AFG_Input_Alvin!E:E))</f>
        <v>1968</v>
      </c>
    </row>
    <row r="199" spans="3:5">
      <c r="C199" t="s">
        <v>4478</v>
      </c>
      <c r="D199" t="s">
        <v>4488</v>
      </c>
      <c r="E199" s="380" t="str">
        <f>IF(_xlfn.XLOOKUP(D199,AFG_Input_Alvin!D:D,AFG_Input_Alvin!E:E)="China","X"," ")</f>
        <v>X</v>
      </c>
    </row>
    <row r="200" spans="3:5">
      <c r="C200" t="s">
        <v>4479</v>
      </c>
      <c r="D200" t="s">
        <v>4488</v>
      </c>
      <c r="E200" s="380" t="str">
        <f>IF(_xlfn.XLOOKUP(D200,AFG_Input_Alvin!D:D,AFG_Input_Alvin!E:E)="Hong Kong, China","X"," ")</f>
        <v xml:space="preserve"> </v>
      </c>
    </row>
    <row r="201" spans="3:5">
      <c r="C201" t="s">
        <v>4480</v>
      </c>
      <c r="D201" t="s">
        <v>4488</v>
      </c>
      <c r="E201" s="380" t="str">
        <f>IF(_xlfn.XLOOKUP(D201,AFG_Input_Alvin!D:D,AFG_Input_Alvin!E:E)="Macau, China","X"," ")</f>
        <v xml:space="preserve"> </v>
      </c>
    </row>
    <row r="202" spans="3:5">
      <c r="C202" t="s">
        <v>4481</v>
      </c>
      <c r="D202" t="s">
        <v>4488</v>
      </c>
      <c r="E202" s="380" t="str">
        <f>IF(COUNTIF(E199:E201, "x") &gt; 0, " ","X")</f>
        <v xml:space="preserve"> </v>
      </c>
    </row>
    <row r="203" spans="3:5">
      <c r="C203" t="s">
        <v>4482</v>
      </c>
      <c r="D203" t="s">
        <v>4488</v>
      </c>
      <c r="E203" s="380" t="str">
        <f>IF(COUNTIF(E199:E201, "x") &gt; 0, " ", _xlfn.XLOOKUP(D203, AFG_Input_Alvin!D:D, AFG_Input_Alvin!E:E))</f>
        <v xml:space="preserve"> </v>
      </c>
    </row>
    <row r="204" spans="3:5">
      <c r="C204" t="s">
        <v>4489</v>
      </c>
      <c r="D204" t="s">
        <v>4505</v>
      </c>
      <c r="E204" s="380" t="str">
        <f>_xlfn.XLOOKUP(D204,AFG_Input_Alvin!D:D,AFG_Input_Alvin!E:E)</f>
        <v>X</v>
      </c>
    </row>
    <row r="205" spans="3:5">
      <c r="C205" t="s">
        <v>4490</v>
      </c>
      <c r="D205" t="s">
        <v>4514</v>
      </c>
      <c r="E205" s="380" t="str">
        <f>_xlfn.XLOOKUP(D205,AFG_Input_Alvin!D:D,AFG_Input_Alvin!E:E)</f>
        <v>X</v>
      </c>
    </row>
    <row r="206" spans="3:5">
      <c r="C206" t="s">
        <v>4491</v>
      </c>
      <c r="D206" t="s">
        <v>4506</v>
      </c>
      <c r="E206" s="380" t="str">
        <f>_xlfn.XLOOKUP(D206,AFG_Input_Alvin!D:D,AFG_Input_Alvin!E:E)</f>
        <v>X</v>
      </c>
    </row>
    <row r="207" spans="3:5">
      <c r="C207" t="s">
        <v>4492</v>
      </c>
      <c r="D207" t="s">
        <v>4509</v>
      </c>
      <c r="E207" s="380" t="str">
        <f>_xlfn.XLOOKUP(D207,AFG_Input_Alvin!D:D,AFG_Input_Alvin!E:E)</f>
        <v>X</v>
      </c>
    </row>
    <row r="208" spans="3:5">
      <c r="C208" t="s">
        <v>4493</v>
      </c>
      <c r="D208" t="s">
        <v>4510</v>
      </c>
      <c r="E208" s="382">
        <f>_xlfn.XLOOKUP(D208,AFG_Input_Alvin!D:D,AFG_Input_Alvin!E:E)</f>
        <v>0.01</v>
      </c>
    </row>
    <row r="209" spans="3:5">
      <c r="C209" t="s">
        <v>4494</v>
      </c>
      <c r="D209" t="s">
        <v>4507</v>
      </c>
      <c r="E209" s="380" t="str">
        <f>_xlfn.XLOOKUP(D209,AFG_Input_Alvin!D:D,AFG_Input_Alvin!E:E)</f>
        <v>X</v>
      </c>
    </row>
    <row r="210" spans="3:5">
      <c r="C210" t="s">
        <v>4495</v>
      </c>
      <c r="D210" t="s">
        <v>4508</v>
      </c>
      <c r="E210" s="382">
        <f>_xlfn.XLOOKUP(D210,AFG_Input_Alvin!D:D,AFG_Input_Alvin!E:E)</f>
        <v>0.01</v>
      </c>
    </row>
    <row r="211" spans="3:5">
      <c r="C211" t="s">
        <v>4496</v>
      </c>
      <c r="D211" t="s">
        <v>4511</v>
      </c>
      <c r="E211" s="382" t="str">
        <f>IF(_xlfn.XLOOKUP(D211,AFG_Input_Alvin!D:D,AFG_Input_Alvin!E:E)&gt;0.01,"X"," ")</f>
        <v xml:space="preserve"> </v>
      </c>
    </row>
    <row r="212" spans="3:5">
      <c r="C212" t="s">
        <v>4497</v>
      </c>
      <c r="D212" t="s">
        <v>4511</v>
      </c>
      <c r="E212" s="382">
        <f>_xlfn.XLOOKUP(D212,AFG_Input_Alvin!D:D,AFG_Input_Alvin!E:E)</f>
        <v>0</v>
      </c>
    </row>
    <row r="213" spans="3:5">
      <c r="C213" t="s">
        <v>4498</v>
      </c>
      <c r="D213" t="s">
        <v>4512</v>
      </c>
      <c r="E213" s="382" t="str">
        <f>IF(_xlfn.XLOOKUP(D213,AFG_Input_Alvin!D:D,AFG_Input_Alvin!E:E)&gt;0.01,"X"," ")</f>
        <v xml:space="preserve"> </v>
      </c>
    </row>
    <row r="214" spans="3:5">
      <c r="C214" t="s">
        <v>4499</v>
      </c>
      <c r="D214" t="s">
        <v>4512</v>
      </c>
      <c r="E214" s="382">
        <f>_xlfn.XLOOKUP(D214,AFG_Input_Alvin!D:D,AFG_Input_Alvin!E:E)</f>
        <v>0</v>
      </c>
    </row>
    <row r="215" spans="3:5">
      <c r="C215" s="318" t="s">
        <v>4500</v>
      </c>
      <c r="D215" s="318"/>
      <c r="E215" s="386"/>
    </row>
    <row r="216" spans="3:5">
      <c r="C216" s="318" t="s">
        <v>4501</v>
      </c>
      <c r="D216" s="318"/>
      <c r="E216" s="386"/>
    </row>
    <row r="217" spans="3:5">
      <c r="C217" s="318" t="s">
        <v>4502</v>
      </c>
      <c r="D217" s="318"/>
      <c r="E217" s="386"/>
    </row>
    <row r="218" spans="3:5">
      <c r="C218" s="318" t="s">
        <v>4503</v>
      </c>
      <c r="D218" s="318"/>
      <c r="E218" s="386"/>
    </row>
    <row r="219" spans="3:5">
      <c r="C219" s="318" t="s">
        <v>4504</v>
      </c>
      <c r="D219" s="318"/>
      <c r="E219" s="386"/>
    </row>
    <row r="220" spans="3:5">
      <c r="C220" t="s">
        <v>4571</v>
      </c>
      <c r="D220" t="s">
        <v>4574</v>
      </c>
      <c r="E220" s="380" t="str">
        <f>AFG_Input_Alvin!E336&amp;" "&amp;AFG_Input_Alvin!E335</f>
        <v>HANDE CHEN</v>
      </c>
    </row>
    <row r="221" spans="3:5">
      <c r="C221" t="s">
        <v>4572</v>
      </c>
      <c r="D221" t="s">
        <v>4289</v>
      </c>
      <c r="E221" s="380" t="str">
        <f>_xlfn.XLOOKUP(D221,AFG_Input_Alvin!D:D,AFG_Input_Alvin!E:E)</f>
        <v>Director</v>
      </c>
    </row>
    <row r="222" spans="3:5">
      <c r="C222" t="s">
        <v>4573</v>
      </c>
      <c r="D222" t="s">
        <v>4291</v>
      </c>
      <c r="E222" s="387">
        <f ca="1">_xlfn.XLOOKUP(D222,AFG_Input_Alvin!D:D,AFG_Input_Alvin!E:E)</f>
        <v>45547</v>
      </c>
    </row>
    <row r="223" spans="3:5">
      <c r="C223" t="s">
        <v>4577</v>
      </c>
      <c r="D223" t="s">
        <v>4303</v>
      </c>
      <c r="E223" s="387" t="str">
        <f>_xlfn.XLOOKUP(D223,AFG_Input_Alvin!D:D,AFG_Input_Alvin!E:E)</f>
        <v>SHARETEA~Test 1</v>
      </c>
    </row>
    <row r="224" spans="3:5">
      <c r="C224" t="s">
        <v>4575</v>
      </c>
      <c r="D224" t="s">
        <v>4149</v>
      </c>
      <c r="E224" s="387" t="str">
        <f>_xlfn.XLOOKUP(D224,AFG_Input_Alvin!D:D,AFG_Input_Alvin!E:E)</f>
        <v>S8A  G/F  BAUHINIA GARDEN  11 TONG CHUN ST  Tseung Kwan O  New Territories</v>
      </c>
    </row>
    <row r="225" spans="3:5">
      <c r="C225" t="s">
        <v>4576</v>
      </c>
      <c r="D225" t="s">
        <v>4278</v>
      </c>
      <c r="E225" s="387" t="str">
        <f>_xlfn.XLOOKUP(D225,AFG_Input_Alvin!D:D,AFG_Input_Alvin!E:E)</f>
        <v>5401 9126</v>
      </c>
    </row>
    <row r="226" spans="3:5">
      <c r="C226" t="s">
        <v>4579</v>
      </c>
      <c r="D226" t="s">
        <v>4456</v>
      </c>
      <c r="E226" s="387" t="str">
        <f>_xlfn.XLOOKUP(D226,AFG_Input_Alvin!D:D,AFG_Input_Alvin!E:E)</f>
        <v>BANK OF CHINA (HONG KONG) LIMITED</v>
      </c>
    </row>
    <row r="227" spans="3:5">
      <c r="C227" t="s">
        <v>4584</v>
      </c>
      <c r="D227" t="s">
        <v>4450</v>
      </c>
      <c r="E227" s="380" t="str">
        <f>AFG_Input_Alvin!E69&amp;"-"&amp;AFG_Input_Alvin!E70&amp;"-"&amp;AFG_Input_Alvin!E71</f>
        <v>012-663-2-012695-3</v>
      </c>
    </row>
    <row r="228" spans="3:5">
      <c r="C228" t="s">
        <v>4580</v>
      </c>
      <c r="D228" t="s">
        <v>4583</v>
      </c>
      <c r="E228" s="380" t="str">
        <f>_xlfn.XLOOKUP(D228,AFG_Input_Alvin!D:D,AFG_Input_Alvin!E:E)</f>
        <v>TONG HO RESTAURANT LIMITED</v>
      </c>
    </row>
    <row r="229" spans="3:5">
      <c r="C229" t="s">
        <v>4578</v>
      </c>
      <c r="D229" t="s">
        <v>4582</v>
      </c>
      <c r="E229" s="380" t="str">
        <f>_xlfn.XLOOKUP(D229,AFG_Input_Alvin!D:D,AFG_Input_Alvin!E:E)</f>
        <v>S8A G/F BAUHINIA GARDEN 11 TONG CHUN ST TSEUNG KWAN O NT HK</v>
      </c>
    </row>
    <row r="230" spans="3:5">
      <c r="C230" t="s">
        <v>4581</v>
      </c>
      <c r="D230" t="s">
        <v>4291</v>
      </c>
      <c r="E230" s="387">
        <f ca="1">_xlfn.XLOOKUP(D230,AFG_Input_Alvin!D:D,AFG_Input_Alvin!E:E)</f>
        <v>45547</v>
      </c>
    </row>
    <row r="231" spans="3:5">
      <c r="C231" s="318" t="s">
        <v>4585</v>
      </c>
      <c r="D231" s="318"/>
      <c r="E231" s="386"/>
    </row>
  </sheetData>
  <sortState xmlns:xlrd2="http://schemas.microsoft.com/office/spreadsheetml/2017/richdata2" ref="C1:E12">
    <sortCondition ref="C1:C12"/>
  </sortState>
  <phoneticPr fontId="8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/>
  <dimension ref="A1:P128"/>
  <sheetViews>
    <sheetView zoomScale="80" zoomScaleNormal="80" workbookViewId="0">
      <selection activeCell="M41" sqref="M41"/>
    </sheetView>
  </sheetViews>
  <sheetFormatPr defaultColWidth="9" defaultRowHeight="14.5"/>
  <cols>
    <col min="1" max="1" width="41.4140625" style="44" customWidth="1"/>
    <col min="2" max="2" width="9" style="44" customWidth="1"/>
    <col min="3" max="3" width="20" style="44" customWidth="1"/>
    <col min="4" max="4" width="9" style="44" customWidth="1"/>
    <col min="5" max="5" width="28.6640625" style="44" customWidth="1"/>
    <col min="6" max="6" width="6.5" style="44" customWidth="1"/>
    <col min="7" max="7" width="9" style="44" customWidth="1"/>
    <col min="8" max="8" width="8.1640625" style="44" customWidth="1"/>
    <col min="9" max="9" width="13.6640625" style="44" customWidth="1"/>
    <col min="10" max="10" width="9" style="44" customWidth="1"/>
    <col min="11" max="11" width="40.08203125" style="44" customWidth="1"/>
    <col min="12" max="12" width="9" style="44" customWidth="1"/>
    <col min="13" max="13" width="21.5" style="44" customWidth="1"/>
    <col min="14" max="14" width="12.9140625" style="44" customWidth="1"/>
    <col min="15" max="15" width="9" style="44" customWidth="1"/>
    <col min="16" max="16" width="17.58203125" style="44" customWidth="1"/>
    <col min="17" max="17" width="9" style="44" customWidth="1"/>
    <col min="18" max="16384" width="9" style="44"/>
  </cols>
  <sheetData>
    <row r="1" spans="1:16">
      <c r="A1" s="76" t="s">
        <v>2349</v>
      </c>
      <c r="C1" s="76" t="s">
        <v>2350</v>
      </c>
      <c r="E1" s="76" t="s">
        <v>1146</v>
      </c>
      <c r="G1" s="76" t="s">
        <v>2351</v>
      </c>
      <c r="I1" s="76" t="s">
        <v>13</v>
      </c>
      <c r="K1" s="76" t="s">
        <v>2352</v>
      </c>
      <c r="M1" s="76" t="s">
        <v>2353</v>
      </c>
      <c r="N1" s="44" t="s">
        <v>2354</v>
      </c>
      <c r="O1" s="44" t="s">
        <v>1421</v>
      </c>
      <c r="P1" s="44" t="s">
        <v>2355</v>
      </c>
    </row>
    <row r="2" spans="1:16">
      <c r="A2" s="77" t="s">
        <v>1431</v>
      </c>
      <c r="C2" s="77" t="s">
        <v>1476</v>
      </c>
      <c r="E2" s="77" t="s">
        <v>2356</v>
      </c>
      <c r="G2" s="77"/>
      <c r="I2" s="77" t="s">
        <v>2357</v>
      </c>
      <c r="K2" s="77" t="s">
        <v>1476</v>
      </c>
      <c r="M2" s="77" t="s">
        <v>2358</v>
      </c>
      <c r="N2" s="44" t="s">
        <v>2359</v>
      </c>
      <c r="O2" s="44" t="s">
        <v>2360</v>
      </c>
      <c r="P2" s="44" t="s">
        <v>2361</v>
      </c>
    </row>
    <row r="3" spans="1:16">
      <c r="A3" s="77" t="s">
        <v>280</v>
      </c>
      <c r="C3" s="77" t="s">
        <v>1450</v>
      </c>
      <c r="E3" s="77" t="s">
        <v>2362</v>
      </c>
      <c r="G3" s="77" t="s">
        <v>23</v>
      </c>
      <c r="I3" s="77" t="s">
        <v>2363</v>
      </c>
      <c r="K3" s="77" t="s">
        <v>2364</v>
      </c>
      <c r="M3" s="77" t="s">
        <v>2365</v>
      </c>
      <c r="N3" s="44" t="s">
        <v>2366</v>
      </c>
      <c r="O3" s="44" t="s">
        <v>2367</v>
      </c>
      <c r="P3" s="44" t="s">
        <v>2368</v>
      </c>
    </row>
    <row r="4" spans="1:16">
      <c r="A4" s="77" t="s">
        <v>2369</v>
      </c>
      <c r="C4" s="77" t="s">
        <v>1451</v>
      </c>
      <c r="E4" s="77" t="s">
        <v>2370</v>
      </c>
      <c r="I4" s="77" t="s">
        <v>2371</v>
      </c>
      <c r="K4" s="77" t="s">
        <v>266</v>
      </c>
      <c r="M4" s="77" t="s">
        <v>2372</v>
      </c>
      <c r="N4" s="44" t="s">
        <v>2373</v>
      </c>
      <c r="O4" s="44" t="s">
        <v>2360</v>
      </c>
      <c r="P4" s="44" t="s">
        <v>2361</v>
      </c>
    </row>
    <row r="5" spans="1:16">
      <c r="A5" s="77" t="s">
        <v>2374</v>
      </c>
      <c r="C5" s="77" t="s">
        <v>1260</v>
      </c>
      <c r="E5" s="77" t="s">
        <v>2375</v>
      </c>
      <c r="K5" s="77" t="s">
        <v>2376</v>
      </c>
      <c r="M5" s="77" t="s">
        <v>2377</v>
      </c>
      <c r="N5" s="44" t="s">
        <v>2378</v>
      </c>
      <c r="O5" s="44" t="s">
        <v>2379</v>
      </c>
      <c r="P5" s="44" t="s">
        <v>2380</v>
      </c>
    </row>
    <row r="6" spans="1:16">
      <c r="A6" s="77" t="s">
        <v>2381</v>
      </c>
      <c r="C6" s="77" t="s">
        <v>1452</v>
      </c>
      <c r="E6" s="77"/>
      <c r="I6" s="76" t="s">
        <v>2382</v>
      </c>
      <c r="K6" s="77" t="s">
        <v>2383</v>
      </c>
      <c r="M6" s="77" t="s">
        <v>2384</v>
      </c>
      <c r="N6" s="44" t="s">
        <v>2385</v>
      </c>
      <c r="O6" s="44" t="s">
        <v>2386</v>
      </c>
      <c r="P6" s="44" t="s">
        <v>2387</v>
      </c>
    </row>
    <row r="7" spans="1:16">
      <c r="A7" s="77" t="s">
        <v>2388</v>
      </c>
      <c r="C7" s="77" t="s">
        <v>1477</v>
      </c>
      <c r="E7" s="77"/>
      <c r="G7" s="76" t="s">
        <v>2389</v>
      </c>
      <c r="I7" s="77" t="s">
        <v>2357</v>
      </c>
      <c r="K7" s="77" t="s">
        <v>2390</v>
      </c>
      <c r="M7" s="77" t="s">
        <v>2391</v>
      </c>
      <c r="N7" s="44" t="s">
        <v>2392</v>
      </c>
      <c r="O7" s="44" t="s">
        <v>2393</v>
      </c>
      <c r="P7" s="44" t="s">
        <v>2394</v>
      </c>
    </row>
    <row r="8" spans="1:16">
      <c r="A8" s="77" t="s">
        <v>2395</v>
      </c>
      <c r="C8" s="77"/>
      <c r="G8" s="77"/>
      <c r="I8" s="77" t="s">
        <v>2363</v>
      </c>
      <c r="K8" s="77" t="s">
        <v>2396</v>
      </c>
      <c r="M8" s="77" t="s">
        <v>2397</v>
      </c>
      <c r="N8" s="44" t="s">
        <v>2398</v>
      </c>
      <c r="O8" s="44" t="s">
        <v>2367</v>
      </c>
      <c r="P8" s="44" t="s">
        <v>2368</v>
      </c>
    </row>
    <row r="9" spans="1:16">
      <c r="A9" s="77" t="s">
        <v>2399</v>
      </c>
      <c r="C9" s="77"/>
      <c r="G9" s="77" t="s">
        <v>140</v>
      </c>
      <c r="I9" s="77" t="s">
        <v>2400</v>
      </c>
      <c r="K9" s="77"/>
      <c r="M9" s="77" t="s">
        <v>2401</v>
      </c>
      <c r="N9" s="44" t="s">
        <v>2402</v>
      </c>
      <c r="O9" s="44" t="s">
        <v>2386</v>
      </c>
      <c r="P9" s="44" t="s">
        <v>2387</v>
      </c>
    </row>
    <row r="10" spans="1:16">
      <c r="A10" s="77" t="s">
        <v>2403</v>
      </c>
      <c r="C10" s="77"/>
      <c r="E10" s="76" t="s">
        <v>2404</v>
      </c>
      <c r="M10" s="77" t="s">
        <v>2405</v>
      </c>
      <c r="N10" s="44" t="s">
        <v>2406</v>
      </c>
      <c r="O10" s="44" t="s">
        <v>2407</v>
      </c>
      <c r="P10" s="44" t="s">
        <v>2408</v>
      </c>
    </row>
    <row r="11" spans="1:16">
      <c r="A11" s="77" t="s">
        <v>2409</v>
      </c>
      <c r="C11" s="77"/>
      <c r="E11" s="77" t="s">
        <v>2410</v>
      </c>
      <c r="M11" s="77" t="s">
        <v>2411</v>
      </c>
      <c r="N11" s="44" t="s">
        <v>2412</v>
      </c>
      <c r="O11" s="44" t="s">
        <v>2413</v>
      </c>
      <c r="P11" s="44" t="s">
        <v>2414</v>
      </c>
    </row>
    <row r="12" spans="1:16">
      <c r="A12" s="77" t="s">
        <v>2415</v>
      </c>
      <c r="C12" s="77"/>
      <c r="E12" s="77" t="s">
        <v>2416</v>
      </c>
      <c r="M12" s="77" t="s">
        <v>2417</v>
      </c>
      <c r="N12" s="44" t="s">
        <v>2418</v>
      </c>
      <c r="O12" s="44" t="s">
        <v>2419</v>
      </c>
      <c r="P12" s="44" t="s">
        <v>2420</v>
      </c>
    </row>
    <row r="13" spans="1:16">
      <c r="A13" s="77" t="s">
        <v>2421</v>
      </c>
      <c r="M13" s="77" t="s">
        <v>2422</v>
      </c>
      <c r="N13" s="44" t="s">
        <v>2423</v>
      </c>
      <c r="O13" s="44" t="s">
        <v>2360</v>
      </c>
      <c r="P13" s="44" t="s">
        <v>2361</v>
      </c>
    </row>
    <row r="14" spans="1:16">
      <c r="A14" s="77" t="s">
        <v>2424</v>
      </c>
      <c r="M14" s="77" t="s">
        <v>2425</v>
      </c>
      <c r="N14" s="44" t="s">
        <v>2426</v>
      </c>
      <c r="O14" s="44" t="s">
        <v>2427</v>
      </c>
      <c r="P14" s="44" t="s">
        <v>2428</v>
      </c>
    </row>
    <row r="15" spans="1:16">
      <c r="A15" s="77" t="s">
        <v>2429</v>
      </c>
      <c r="M15" s="77" t="s">
        <v>2430</v>
      </c>
      <c r="N15" s="44" t="s">
        <v>2431</v>
      </c>
      <c r="O15" s="44" t="s">
        <v>2432</v>
      </c>
      <c r="P15" s="44" t="s">
        <v>2433</v>
      </c>
    </row>
    <row r="16" spans="1:16">
      <c r="A16" s="77" t="s">
        <v>2434</v>
      </c>
      <c r="M16" s="77" t="s">
        <v>2435</v>
      </c>
      <c r="N16" s="44" t="s">
        <v>2436</v>
      </c>
      <c r="O16" s="44" t="s">
        <v>2437</v>
      </c>
      <c r="P16" s="44" t="s">
        <v>2438</v>
      </c>
    </row>
    <row r="17" spans="1:16">
      <c r="A17" s="77" t="s">
        <v>2439</v>
      </c>
      <c r="M17" s="77" t="s">
        <v>2440</v>
      </c>
      <c r="N17" s="44" t="s">
        <v>2441</v>
      </c>
      <c r="O17" s="44" t="s">
        <v>2442</v>
      </c>
      <c r="P17" s="44" t="s">
        <v>2443</v>
      </c>
    </row>
    <row r="18" spans="1:16">
      <c r="A18" s="77" t="s">
        <v>2444</v>
      </c>
      <c r="M18" s="77" t="s">
        <v>2445</v>
      </c>
      <c r="N18" s="44" t="s">
        <v>2446</v>
      </c>
      <c r="O18" s="44" t="s">
        <v>2447</v>
      </c>
      <c r="P18" s="44" t="s">
        <v>2448</v>
      </c>
    </row>
    <row r="19" spans="1:16">
      <c r="A19" s="77" t="s">
        <v>2449</v>
      </c>
      <c r="M19" s="77" t="s">
        <v>2450</v>
      </c>
      <c r="N19" s="44" t="s">
        <v>2451</v>
      </c>
      <c r="O19" s="44" t="s">
        <v>2427</v>
      </c>
      <c r="P19" s="44" t="s">
        <v>2428</v>
      </c>
    </row>
    <row r="20" spans="1:16">
      <c r="M20" s="77" t="s">
        <v>2452</v>
      </c>
      <c r="N20" s="44" t="s">
        <v>2453</v>
      </c>
      <c r="O20" s="44" t="s">
        <v>2393</v>
      </c>
      <c r="P20" s="44" t="s">
        <v>2394</v>
      </c>
    </row>
    <row r="21" spans="1:16">
      <c r="M21" s="77" t="s">
        <v>2454</v>
      </c>
      <c r="N21" s="44" t="s">
        <v>2455</v>
      </c>
      <c r="O21" s="44" t="s">
        <v>2379</v>
      </c>
      <c r="P21" s="44" t="s">
        <v>2380</v>
      </c>
    </row>
    <row r="22" spans="1:16">
      <c r="M22" s="77" t="s">
        <v>2456</v>
      </c>
      <c r="N22" s="44" t="s">
        <v>2457</v>
      </c>
      <c r="O22" s="44" t="s">
        <v>2379</v>
      </c>
      <c r="P22" s="44" t="s">
        <v>2380</v>
      </c>
    </row>
    <row r="23" spans="1:16">
      <c r="M23" s="77" t="s">
        <v>2458</v>
      </c>
      <c r="N23" s="44" t="s">
        <v>2459</v>
      </c>
      <c r="O23" s="44" t="s">
        <v>2447</v>
      </c>
      <c r="P23" s="44" t="s">
        <v>2448</v>
      </c>
    </row>
    <row r="24" spans="1:16">
      <c r="M24" s="77" t="s">
        <v>2460</v>
      </c>
      <c r="N24" s="44" t="s">
        <v>2461</v>
      </c>
      <c r="O24" s="44" t="s">
        <v>2393</v>
      </c>
      <c r="P24" s="44" t="s">
        <v>2394</v>
      </c>
    </row>
    <row r="25" spans="1:16">
      <c r="M25" s="77" t="s">
        <v>2462</v>
      </c>
      <c r="N25" s="44" t="s">
        <v>2463</v>
      </c>
      <c r="O25" s="44" t="s">
        <v>2464</v>
      </c>
      <c r="P25" s="44" t="s">
        <v>2465</v>
      </c>
    </row>
    <row r="26" spans="1:16">
      <c r="M26" s="77" t="s">
        <v>2466</v>
      </c>
      <c r="N26" s="44" t="s">
        <v>2467</v>
      </c>
      <c r="O26" s="44" t="s">
        <v>2379</v>
      </c>
      <c r="P26" s="44" t="s">
        <v>2380</v>
      </c>
    </row>
    <row r="27" spans="1:16">
      <c r="M27" s="77" t="s">
        <v>2468</v>
      </c>
      <c r="N27" s="44" t="s">
        <v>2469</v>
      </c>
      <c r="O27" s="44" t="s">
        <v>2447</v>
      </c>
      <c r="P27" s="44" t="s">
        <v>2448</v>
      </c>
    </row>
    <row r="28" spans="1:16">
      <c r="M28" s="77" t="s">
        <v>2470</v>
      </c>
      <c r="N28" s="44" t="s">
        <v>2471</v>
      </c>
      <c r="O28" s="44" t="s">
        <v>2413</v>
      </c>
      <c r="P28" s="44" t="s">
        <v>2414</v>
      </c>
    </row>
    <row r="29" spans="1:16">
      <c r="M29" s="77" t="s">
        <v>2472</v>
      </c>
      <c r="N29" s="44" t="s">
        <v>2473</v>
      </c>
      <c r="O29" s="44" t="s">
        <v>2367</v>
      </c>
      <c r="P29" s="44" t="s">
        <v>2368</v>
      </c>
    </row>
    <row r="30" spans="1:16">
      <c r="A30" s="76" t="s">
        <v>1132</v>
      </c>
      <c r="C30" s="76" t="s">
        <v>1132</v>
      </c>
      <c r="E30" s="76" t="s">
        <v>2474</v>
      </c>
      <c r="G30" s="76" t="s">
        <v>2475</v>
      </c>
      <c r="M30" s="77" t="s">
        <v>2476</v>
      </c>
      <c r="N30" s="44" t="s">
        <v>2477</v>
      </c>
      <c r="O30" s="44" t="s">
        <v>2478</v>
      </c>
      <c r="P30" s="44" t="s">
        <v>2479</v>
      </c>
    </row>
    <row r="31" spans="1:16">
      <c r="A31" s="77" t="s">
        <v>2480</v>
      </c>
      <c r="C31" s="77" t="s">
        <v>1476</v>
      </c>
      <c r="E31" s="77" t="s">
        <v>140</v>
      </c>
      <c r="G31" s="78" t="s">
        <v>2481</v>
      </c>
      <c r="M31" s="77" t="s">
        <v>2482</v>
      </c>
      <c r="N31" s="44" t="s">
        <v>2483</v>
      </c>
      <c r="O31" s="44" t="s">
        <v>2464</v>
      </c>
      <c r="P31" s="44" t="s">
        <v>2465</v>
      </c>
    </row>
    <row r="32" spans="1:16">
      <c r="A32" s="77" t="s">
        <v>2484</v>
      </c>
      <c r="C32" s="77" t="s">
        <v>1450</v>
      </c>
      <c r="E32" s="77" t="s">
        <v>939</v>
      </c>
      <c r="G32" s="78" t="s">
        <v>2485</v>
      </c>
      <c r="M32" s="77" t="s">
        <v>2380</v>
      </c>
      <c r="N32" s="44" t="s">
        <v>2379</v>
      </c>
      <c r="O32" s="44" t="s">
        <v>2379</v>
      </c>
      <c r="P32" s="44" t="s">
        <v>2380</v>
      </c>
    </row>
    <row r="33" spans="1:16">
      <c r="C33" s="77" t="s">
        <v>1451</v>
      </c>
      <c r="G33" s="78" t="s">
        <v>49</v>
      </c>
      <c r="M33" s="77" t="s">
        <v>2486</v>
      </c>
      <c r="N33" s="44" t="s">
        <v>2487</v>
      </c>
      <c r="O33" s="44" t="s">
        <v>2379</v>
      </c>
      <c r="P33" s="44" t="s">
        <v>2380</v>
      </c>
    </row>
    <row r="34" spans="1:16">
      <c r="C34" s="77" t="s">
        <v>1260</v>
      </c>
      <c r="M34" s="77" t="s">
        <v>2488</v>
      </c>
      <c r="N34" s="44" t="s">
        <v>2489</v>
      </c>
      <c r="O34" s="44" t="s">
        <v>2490</v>
      </c>
      <c r="P34" s="44" t="s">
        <v>2491</v>
      </c>
    </row>
    <row r="35" spans="1:16">
      <c r="C35" s="77" t="s">
        <v>1452</v>
      </c>
      <c r="M35" s="77" t="s">
        <v>2465</v>
      </c>
      <c r="N35" s="44" t="s">
        <v>2464</v>
      </c>
      <c r="O35" s="44" t="s">
        <v>2464</v>
      </c>
      <c r="P35" s="44" t="s">
        <v>2465</v>
      </c>
    </row>
    <row r="36" spans="1:16">
      <c r="A36" s="76" t="s">
        <v>2492</v>
      </c>
      <c r="C36" s="77" t="s">
        <v>1477</v>
      </c>
      <c r="M36" s="77" t="s">
        <v>2493</v>
      </c>
      <c r="N36" s="44" t="s">
        <v>2494</v>
      </c>
      <c r="O36" s="44" t="s">
        <v>2419</v>
      </c>
      <c r="P36" s="44" t="s">
        <v>2420</v>
      </c>
    </row>
    <row r="37" spans="1:16">
      <c r="A37" s="77" t="s">
        <v>740</v>
      </c>
      <c r="C37" s="77" t="s">
        <v>2495</v>
      </c>
      <c r="M37" s="77" t="s">
        <v>2496</v>
      </c>
      <c r="N37" s="44" t="s">
        <v>2497</v>
      </c>
      <c r="O37" s="44" t="s">
        <v>2498</v>
      </c>
      <c r="P37" s="44" t="s">
        <v>2499</v>
      </c>
    </row>
    <row r="38" spans="1:16">
      <c r="A38" s="77" t="s">
        <v>741</v>
      </c>
      <c r="M38" s="77" t="s">
        <v>2500</v>
      </c>
      <c r="N38" s="44" t="s">
        <v>2501</v>
      </c>
      <c r="O38" s="44" t="s">
        <v>2464</v>
      </c>
      <c r="P38" s="44" t="s">
        <v>2465</v>
      </c>
    </row>
    <row r="39" spans="1:16">
      <c r="A39" s="77" t="s">
        <v>2502</v>
      </c>
      <c r="M39" s="77" t="s">
        <v>2503</v>
      </c>
      <c r="N39" s="44" t="s">
        <v>2504</v>
      </c>
      <c r="O39" s="44" t="s">
        <v>2407</v>
      </c>
      <c r="P39" s="44" t="s">
        <v>2408</v>
      </c>
    </row>
    <row r="40" spans="1:16">
      <c r="A40" s="77" t="s">
        <v>2505</v>
      </c>
      <c r="M40" s="77" t="s">
        <v>2506</v>
      </c>
      <c r="N40" s="44" t="s">
        <v>2507</v>
      </c>
      <c r="O40" s="44" t="s">
        <v>2407</v>
      </c>
      <c r="P40" s="44" t="s">
        <v>2408</v>
      </c>
    </row>
    <row r="41" spans="1:16">
      <c r="A41" s="77" t="s">
        <v>2508</v>
      </c>
      <c r="M41" s="77" t="s">
        <v>2509</v>
      </c>
      <c r="N41" s="44" t="s">
        <v>2510</v>
      </c>
      <c r="O41" s="44" t="s">
        <v>2447</v>
      </c>
      <c r="P41" s="44" t="s">
        <v>2448</v>
      </c>
    </row>
    <row r="42" spans="1:16">
      <c r="A42" s="77" t="s">
        <v>2511</v>
      </c>
      <c r="M42" s="77" t="s">
        <v>2512</v>
      </c>
      <c r="N42" s="44" t="s">
        <v>2513</v>
      </c>
      <c r="O42" s="44" t="s">
        <v>2514</v>
      </c>
      <c r="P42" s="44" t="s">
        <v>2515</v>
      </c>
    </row>
    <row r="43" spans="1:16">
      <c r="A43" s="77" t="s">
        <v>2516</v>
      </c>
      <c r="M43" s="77" t="s">
        <v>2517</v>
      </c>
      <c r="N43" s="44" t="s">
        <v>2518</v>
      </c>
      <c r="O43" s="44" t="s">
        <v>2464</v>
      </c>
      <c r="P43" s="44" t="s">
        <v>2465</v>
      </c>
    </row>
    <row r="44" spans="1:16">
      <c r="A44" s="77" t="s">
        <v>2519</v>
      </c>
      <c r="M44" s="77" t="s">
        <v>2520</v>
      </c>
      <c r="N44" s="44" t="s">
        <v>2521</v>
      </c>
      <c r="O44" s="44" t="s">
        <v>2432</v>
      </c>
      <c r="P44" s="44" t="s">
        <v>2433</v>
      </c>
    </row>
    <row r="45" spans="1:16">
      <c r="A45" s="77" t="s">
        <v>2522</v>
      </c>
      <c r="M45" s="77" t="s">
        <v>2523</v>
      </c>
      <c r="N45" s="44" t="s">
        <v>2524</v>
      </c>
      <c r="O45" s="44" t="s">
        <v>2447</v>
      </c>
      <c r="P45" s="44" t="s">
        <v>2448</v>
      </c>
    </row>
    <row r="46" spans="1:16">
      <c r="A46" s="77" t="s">
        <v>2525</v>
      </c>
      <c r="M46" s="77" t="s">
        <v>2526</v>
      </c>
      <c r="N46" s="44" t="s">
        <v>2527</v>
      </c>
      <c r="O46" s="44" t="s">
        <v>2437</v>
      </c>
      <c r="P46" s="44" t="s">
        <v>2438</v>
      </c>
    </row>
    <row r="47" spans="1:16">
      <c r="A47" s="77" t="s">
        <v>2528</v>
      </c>
      <c r="M47" s="77" t="s">
        <v>2529</v>
      </c>
      <c r="N47" s="44" t="s">
        <v>2530</v>
      </c>
      <c r="O47" s="44" t="s">
        <v>2437</v>
      </c>
      <c r="P47" s="44" t="s">
        <v>2438</v>
      </c>
    </row>
    <row r="48" spans="1:16">
      <c r="A48" s="77" t="s">
        <v>2531</v>
      </c>
      <c r="M48" s="77" t="s">
        <v>2532</v>
      </c>
      <c r="N48" s="44" t="s">
        <v>2533</v>
      </c>
      <c r="O48" s="44" t="s">
        <v>2442</v>
      </c>
      <c r="P48" s="44" t="s">
        <v>2443</v>
      </c>
    </row>
    <row r="49" spans="13:16">
      <c r="M49" s="77" t="s">
        <v>2534</v>
      </c>
      <c r="N49" s="44" t="s">
        <v>2535</v>
      </c>
      <c r="O49" s="44" t="s">
        <v>2442</v>
      </c>
      <c r="P49" s="44" t="s">
        <v>2443</v>
      </c>
    </row>
    <row r="50" spans="13:16">
      <c r="M50" s="77" t="s">
        <v>2536</v>
      </c>
      <c r="N50" s="44" t="s">
        <v>2537</v>
      </c>
      <c r="O50" s="44" t="s">
        <v>2379</v>
      </c>
      <c r="P50" s="44" t="s">
        <v>2380</v>
      </c>
    </row>
    <row r="51" spans="13:16">
      <c r="M51" s="77" t="s">
        <v>2538</v>
      </c>
      <c r="N51" s="44" t="s">
        <v>2539</v>
      </c>
      <c r="O51" s="44" t="s">
        <v>2379</v>
      </c>
      <c r="P51" s="44" t="s">
        <v>2380</v>
      </c>
    </row>
    <row r="52" spans="13:16">
      <c r="M52" s="77" t="s">
        <v>2540</v>
      </c>
      <c r="N52" s="44" t="s">
        <v>2541</v>
      </c>
      <c r="O52" s="44" t="s">
        <v>2514</v>
      </c>
      <c r="P52" s="44" t="s">
        <v>2515</v>
      </c>
    </row>
    <row r="53" spans="13:16">
      <c r="M53" s="77" t="s">
        <v>2542</v>
      </c>
      <c r="N53" s="44" t="s">
        <v>2543</v>
      </c>
      <c r="O53" s="44" t="s">
        <v>2427</v>
      </c>
      <c r="P53" s="44" t="s">
        <v>2428</v>
      </c>
    </row>
    <row r="54" spans="13:16">
      <c r="M54" s="77" t="s">
        <v>2544</v>
      </c>
      <c r="N54" s="44" t="s">
        <v>2545</v>
      </c>
      <c r="O54" s="44" t="s">
        <v>2419</v>
      </c>
      <c r="P54" s="44" t="s">
        <v>2420</v>
      </c>
    </row>
    <row r="55" spans="13:16">
      <c r="M55" s="77" t="s">
        <v>2546</v>
      </c>
      <c r="N55" s="44" t="s">
        <v>2547</v>
      </c>
      <c r="O55" s="44" t="s">
        <v>2367</v>
      </c>
      <c r="P55" s="44" t="s">
        <v>2368</v>
      </c>
    </row>
    <row r="56" spans="13:16">
      <c r="M56" s="77" t="s">
        <v>2548</v>
      </c>
      <c r="N56" s="44" t="s">
        <v>2549</v>
      </c>
      <c r="O56" s="44" t="s">
        <v>2478</v>
      </c>
      <c r="P56" s="44" t="s">
        <v>2479</v>
      </c>
    </row>
    <row r="57" spans="13:16">
      <c r="M57" s="77" t="s">
        <v>2550</v>
      </c>
      <c r="N57" s="44" t="s">
        <v>2551</v>
      </c>
      <c r="O57" s="44" t="s">
        <v>2432</v>
      </c>
      <c r="P57" s="44" t="s">
        <v>2433</v>
      </c>
    </row>
    <row r="58" spans="13:16">
      <c r="M58" s="77" t="s">
        <v>2552</v>
      </c>
      <c r="N58" s="44" t="s">
        <v>2553</v>
      </c>
      <c r="O58" s="44" t="s">
        <v>2464</v>
      </c>
      <c r="P58" s="44" t="s">
        <v>2465</v>
      </c>
    </row>
    <row r="59" spans="13:16">
      <c r="M59" s="77" t="s">
        <v>2554</v>
      </c>
      <c r="N59" s="44" t="s">
        <v>2555</v>
      </c>
      <c r="O59" s="44" t="s">
        <v>2386</v>
      </c>
      <c r="P59" s="44" t="s">
        <v>2387</v>
      </c>
    </row>
    <row r="60" spans="13:16">
      <c r="M60" s="77" t="s">
        <v>2556</v>
      </c>
      <c r="N60" s="44" t="s">
        <v>2557</v>
      </c>
      <c r="O60" s="44" t="s">
        <v>2447</v>
      </c>
      <c r="P60" s="44" t="s">
        <v>2448</v>
      </c>
    </row>
    <row r="61" spans="13:16">
      <c r="M61" s="77" t="s">
        <v>2558</v>
      </c>
      <c r="N61" s="44" t="s">
        <v>2559</v>
      </c>
      <c r="O61" s="44" t="s">
        <v>2367</v>
      </c>
      <c r="P61" s="44" t="s">
        <v>2368</v>
      </c>
    </row>
    <row r="62" spans="13:16">
      <c r="M62" s="77" t="s">
        <v>2560</v>
      </c>
      <c r="N62" s="44" t="s">
        <v>2561</v>
      </c>
      <c r="O62" s="44" t="s">
        <v>2407</v>
      </c>
      <c r="P62" s="44" t="s">
        <v>2408</v>
      </c>
    </row>
    <row r="63" spans="13:16">
      <c r="M63" s="77" t="s">
        <v>2562</v>
      </c>
      <c r="N63" s="44" t="s">
        <v>2563</v>
      </c>
      <c r="O63" s="44" t="s">
        <v>2464</v>
      </c>
      <c r="P63" s="44" t="s">
        <v>2465</v>
      </c>
    </row>
    <row r="64" spans="13:16">
      <c r="M64" s="77" t="s">
        <v>2564</v>
      </c>
      <c r="N64" s="44" t="s">
        <v>2565</v>
      </c>
      <c r="O64" s="44" t="s">
        <v>2360</v>
      </c>
      <c r="P64" s="44" t="s">
        <v>2361</v>
      </c>
    </row>
    <row r="65" spans="1:16">
      <c r="A65" s="44" t="s">
        <v>2566</v>
      </c>
      <c r="M65" s="77" t="s">
        <v>2567</v>
      </c>
      <c r="N65" s="44" t="s">
        <v>2568</v>
      </c>
      <c r="O65" s="44" t="s">
        <v>2386</v>
      </c>
      <c r="P65" s="44" t="s">
        <v>2387</v>
      </c>
    </row>
    <row r="66" spans="1:16">
      <c r="M66" s="77" t="s">
        <v>2569</v>
      </c>
      <c r="N66" s="44" t="s">
        <v>2570</v>
      </c>
      <c r="O66" s="44" t="s">
        <v>2360</v>
      </c>
      <c r="P66" s="44" t="s">
        <v>2361</v>
      </c>
    </row>
    <row r="67" spans="1:16">
      <c r="A67" s="44" t="s">
        <v>2571</v>
      </c>
      <c r="M67" s="77" t="s">
        <v>2428</v>
      </c>
      <c r="N67" s="44" t="s">
        <v>2427</v>
      </c>
      <c r="O67" s="44" t="s">
        <v>2427</v>
      </c>
      <c r="P67" s="44" t="s">
        <v>2428</v>
      </c>
    </row>
    <row r="68" spans="1:16">
      <c r="M68" s="77" t="s">
        <v>2572</v>
      </c>
      <c r="N68" s="44" t="s">
        <v>2573</v>
      </c>
      <c r="O68" s="44" t="s">
        <v>2386</v>
      </c>
      <c r="P68" s="44" t="s">
        <v>2387</v>
      </c>
    </row>
    <row r="69" spans="1:16">
      <c r="A69" s="44" t="s">
        <v>2574</v>
      </c>
      <c r="M69" s="77" t="s">
        <v>2575</v>
      </c>
      <c r="N69" s="44" t="s">
        <v>2576</v>
      </c>
      <c r="O69" s="44" t="s">
        <v>2367</v>
      </c>
      <c r="P69" s="44" t="s">
        <v>2368</v>
      </c>
    </row>
    <row r="70" spans="1:16">
      <c r="M70" s="77" t="s">
        <v>2577</v>
      </c>
      <c r="N70" s="44" t="s">
        <v>2578</v>
      </c>
      <c r="O70" s="44" t="s">
        <v>2432</v>
      </c>
      <c r="P70" s="44" t="s">
        <v>2433</v>
      </c>
    </row>
    <row r="71" spans="1:16">
      <c r="M71" s="77" t="s">
        <v>2579</v>
      </c>
      <c r="N71" s="44" t="s">
        <v>2580</v>
      </c>
      <c r="O71" s="44" t="s">
        <v>2447</v>
      </c>
      <c r="P71" s="44" t="s">
        <v>2448</v>
      </c>
    </row>
    <row r="72" spans="1:16">
      <c r="A72" s="44" t="s">
        <v>2581</v>
      </c>
      <c r="M72" s="77" t="s">
        <v>2582</v>
      </c>
      <c r="N72" s="44" t="s">
        <v>2583</v>
      </c>
      <c r="O72" s="44" t="s">
        <v>2464</v>
      </c>
      <c r="P72" s="44" t="s">
        <v>2465</v>
      </c>
    </row>
    <row r="73" spans="1:16">
      <c r="A73" s="44" t="s">
        <v>2584</v>
      </c>
      <c r="M73" s="77" t="s">
        <v>2585</v>
      </c>
      <c r="N73" s="44" t="s">
        <v>2586</v>
      </c>
      <c r="O73" s="44" t="s">
        <v>2437</v>
      </c>
      <c r="P73" s="44" t="s">
        <v>2438</v>
      </c>
    </row>
    <row r="74" spans="1:16">
      <c r="M74" s="77" t="s">
        <v>2443</v>
      </c>
      <c r="N74" s="44" t="s">
        <v>2442</v>
      </c>
      <c r="O74" s="44" t="s">
        <v>2442</v>
      </c>
      <c r="P74" s="44" t="s">
        <v>2443</v>
      </c>
    </row>
    <row r="75" spans="1:16">
      <c r="M75" s="77" t="s">
        <v>2420</v>
      </c>
      <c r="N75" s="44" t="s">
        <v>2419</v>
      </c>
      <c r="O75" s="44" t="s">
        <v>2419</v>
      </c>
      <c r="P75" s="44" t="s">
        <v>2420</v>
      </c>
    </row>
    <row r="76" spans="1:16">
      <c r="M76" s="77" t="s">
        <v>2587</v>
      </c>
      <c r="N76" s="44" t="s">
        <v>2588</v>
      </c>
      <c r="O76" s="44" t="s">
        <v>2514</v>
      </c>
      <c r="P76" s="44" t="s">
        <v>2515</v>
      </c>
    </row>
    <row r="77" spans="1:16" ht="108.5" customHeight="1">
      <c r="A77" s="83" t="s">
        <v>2589</v>
      </c>
      <c r="B77" s="83" t="s">
        <v>2590</v>
      </c>
      <c r="C77" s="83" t="s">
        <v>2591</v>
      </c>
      <c r="M77" s="77" t="s">
        <v>2592</v>
      </c>
      <c r="N77" s="44" t="s">
        <v>2593</v>
      </c>
      <c r="O77" s="44" t="s">
        <v>2386</v>
      </c>
      <c r="P77" s="44" t="s">
        <v>2387</v>
      </c>
    </row>
    <row r="78" spans="1:16">
      <c r="M78" s="77" t="s">
        <v>2594</v>
      </c>
      <c r="N78" s="44" t="s">
        <v>2595</v>
      </c>
      <c r="O78" s="44" t="s">
        <v>2419</v>
      </c>
      <c r="P78" s="44" t="s">
        <v>2420</v>
      </c>
    </row>
    <row r="79" spans="1:16">
      <c r="M79" s="77" t="s">
        <v>2596</v>
      </c>
      <c r="N79" s="44" t="s">
        <v>2597</v>
      </c>
      <c r="O79" s="44" t="s">
        <v>2447</v>
      </c>
      <c r="P79" s="44" t="s">
        <v>2448</v>
      </c>
    </row>
    <row r="80" spans="1:16">
      <c r="M80" s="77" t="s">
        <v>2598</v>
      </c>
      <c r="N80" s="44" t="s">
        <v>2599</v>
      </c>
      <c r="O80" s="44" t="s">
        <v>2360</v>
      </c>
      <c r="P80" s="44" t="s">
        <v>2361</v>
      </c>
    </row>
    <row r="81" spans="13:16">
      <c r="M81" s="77" t="s">
        <v>2600</v>
      </c>
      <c r="N81" s="44" t="s">
        <v>2601</v>
      </c>
      <c r="O81" s="44" t="s">
        <v>2367</v>
      </c>
      <c r="P81" s="44" t="s">
        <v>2368</v>
      </c>
    </row>
    <row r="82" spans="13:16">
      <c r="M82" s="77" t="s">
        <v>2602</v>
      </c>
      <c r="N82" s="44" t="s">
        <v>2603</v>
      </c>
      <c r="O82" s="44" t="s">
        <v>2437</v>
      </c>
      <c r="P82" s="44" t="s">
        <v>2438</v>
      </c>
    </row>
    <row r="83" spans="13:16">
      <c r="M83" s="77" t="s">
        <v>2604</v>
      </c>
      <c r="N83" s="44" t="s">
        <v>2605</v>
      </c>
      <c r="O83" s="44" t="s">
        <v>2437</v>
      </c>
      <c r="P83" s="44" t="s">
        <v>2438</v>
      </c>
    </row>
    <row r="84" spans="13:16">
      <c r="M84" s="77" t="s">
        <v>2606</v>
      </c>
      <c r="N84" s="44" t="s">
        <v>2607</v>
      </c>
      <c r="O84" s="44" t="s">
        <v>2367</v>
      </c>
      <c r="P84" s="44" t="s">
        <v>2368</v>
      </c>
    </row>
    <row r="85" spans="13:16">
      <c r="M85" s="77" t="s">
        <v>2608</v>
      </c>
      <c r="N85" s="44" t="s">
        <v>2609</v>
      </c>
      <c r="O85" s="44" t="s">
        <v>2360</v>
      </c>
      <c r="P85" s="44" t="s">
        <v>2361</v>
      </c>
    </row>
    <row r="86" spans="13:16">
      <c r="M86" s="77" t="s">
        <v>2610</v>
      </c>
      <c r="N86" s="44" t="s">
        <v>2611</v>
      </c>
      <c r="O86" s="44" t="s">
        <v>2413</v>
      </c>
      <c r="P86" s="44" t="s">
        <v>2414</v>
      </c>
    </row>
    <row r="87" spans="13:16">
      <c r="M87" s="77" t="s">
        <v>2612</v>
      </c>
      <c r="N87" s="44" t="s">
        <v>2613</v>
      </c>
      <c r="O87" s="44" t="s">
        <v>2386</v>
      </c>
      <c r="P87" s="44" t="s">
        <v>2387</v>
      </c>
    </row>
    <row r="88" spans="13:16">
      <c r="M88" s="77" t="s">
        <v>2614</v>
      </c>
      <c r="N88" s="44" t="s">
        <v>2615</v>
      </c>
      <c r="O88" s="44" t="s">
        <v>2393</v>
      </c>
      <c r="P88" s="44" t="s">
        <v>2394</v>
      </c>
    </row>
    <row r="89" spans="13:16">
      <c r="M89" s="77" t="s">
        <v>2616</v>
      </c>
      <c r="N89" s="44" t="s">
        <v>2617</v>
      </c>
      <c r="O89" s="44" t="s">
        <v>2498</v>
      </c>
      <c r="P89" s="44" t="s">
        <v>2499</v>
      </c>
    </row>
    <row r="90" spans="13:16">
      <c r="M90" s="77" t="s">
        <v>2618</v>
      </c>
      <c r="N90" s="44" t="s">
        <v>2619</v>
      </c>
      <c r="O90" s="44" t="s">
        <v>2360</v>
      </c>
      <c r="P90" s="44" t="s">
        <v>2361</v>
      </c>
    </row>
    <row r="91" spans="13:16">
      <c r="M91" s="77" t="s">
        <v>2620</v>
      </c>
      <c r="N91" s="44" t="s">
        <v>2621</v>
      </c>
      <c r="O91" s="44" t="s">
        <v>2419</v>
      </c>
      <c r="P91" s="44" t="s">
        <v>2420</v>
      </c>
    </row>
    <row r="92" spans="13:16">
      <c r="M92" s="77" t="s">
        <v>2622</v>
      </c>
      <c r="N92" s="44" t="s">
        <v>2623</v>
      </c>
      <c r="O92" s="44" t="s">
        <v>2514</v>
      </c>
      <c r="P92" s="44" t="s">
        <v>2515</v>
      </c>
    </row>
    <row r="93" spans="13:16">
      <c r="M93" s="77" t="s">
        <v>2624</v>
      </c>
      <c r="N93" s="44" t="s">
        <v>2625</v>
      </c>
      <c r="O93" s="44" t="s">
        <v>2393</v>
      </c>
      <c r="P93" s="44" t="s">
        <v>2394</v>
      </c>
    </row>
    <row r="94" spans="13:16">
      <c r="M94" s="77" t="s">
        <v>2626</v>
      </c>
      <c r="N94" s="44" t="s">
        <v>2627</v>
      </c>
      <c r="O94" s="44" t="s">
        <v>2478</v>
      </c>
      <c r="P94" s="44" t="s">
        <v>2479</v>
      </c>
    </row>
    <row r="95" spans="13:16">
      <c r="M95" s="77" t="s">
        <v>2628</v>
      </c>
      <c r="N95" s="44" t="s">
        <v>2629</v>
      </c>
      <c r="O95" s="44" t="s">
        <v>2498</v>
      </c>
      <c r="P95" s="44" t="s">
        <v>2499</v>
      </c>
    </row>
    <row r="96" spans="13:16">
      <c r="M96" s="77" t="s">
        <v>2630</v>
      </c>
      <c r="N96" s="44" t="s">
        <v>2631</v>
      </c>
      <c r="O96" s="44" t="s">
        <v>2413</v>
      </c>
      <c r="P96" s="44" t="s">
        <v>2414</v>
      </c>
    </row>
    <row r="97" spans="13:16">
      <c r="M97" s="77" t="s">
        <v>2632</v>
      </c>
      <c r="N97" s="44" t="s">
        <v>2633</v>
      </c>
      <c r="O97" s="44" t="s">
        <v>2427</v>
      </c>
      <c r="P97" s="44" t="s">
        <v>2428</v>
      </c>
    </row>
    <row r="98" spans="13:16">
      <c r="M98" s="77" t="s">
        <v>2414</v>
      </c>
      <c r="N98" s="44" t="s">
        <v>2413</v>
      </c>
      <c r="O98" s="44" t="s">
        <v>2413</v>
      </c>
      <c r="P98" s="44" t="s">
        <v>2414</v>
      </c>
    </row>
    <row r="99" spans="13:16">
      <c r="M99" s="77" t="s">
        <v>2634</v>
      </c>
      <c r="N99" s="44" t="s">
        <v>2635</v>
      </c>
      <c r="O99" s="44" t="s">
        <v>2413</v>
      </c>
      <c r="P99" s="44" t="s">
        <v>2414</v>
      </c>
    </row>
    <row r="100" spans="13:16">
      <c r="M100" s="77" t="s">
        <v>2636</v>
      </c>
      <c r="N100" s="44" t="s">
        <v>2637</v>
      </c>
      <c r="O100" s="44" t="s">
        <v>2413</v>
      </c>
      <c r="P100" s="44" t="s">
        <v>2414</v>
      </c>
    </row>
    <row r="101" spans="13:16">
      <c r="M101" s="77" t="s">
        <v>2638</v>
      </c>
      <c r="N101" s="44" t="s">
        <v>2639</v>
      </c>
      <c r="O101" s="44" t="s">
        <v>2360</v>
      </c>
      <c r="P101" s="44" t="s">
        <v>2361</v>
      </c>
    </row>
    <row r="102" spans="13:16">
      <c r="M102" s="77" t="s">
        <v>2640</v>
      </c>
      <c r="N102" s="44" t="s">
        <v>2641</v>
      </c>
      <c r="O102" s="44" t="s">
        <v>2442</v>
      </c>
      <c r="P102" s="44" t="s">
        <v>2443</v>
      </c>
    </row>
    <row r="103" spans="13:16">
      <c r="M103" s="77" t="s">
        <v>2642</v>
      </c>
      <c r="N103" s="44" t="s">
        <v>2643</v>
      </c>
      <c r="O103" s="44" t="s">
        <v>2419</v>
      </c>
      <c r="P103" s="44" t="s">
        <v>2420</v>
      </c>
    </row>
    <row r="104" spans="13:16">
      <c r="M104" s="77" t="s">
        <v>2644</v>
      </c>
      <c r="N104" s="44" t="s">
        <v>2645</v>
      </c>
      <c r="O104" s="44" t="s">
        <v>2386</v>
      </c>
      <c r="P104" s="44" t="s">
        <v>2387</v>
      </c>
    </row>
    <row r="105" spans="13:16">
      <c r="M105" s="77" t="s">
        <v>2646</v>
      </c>
      <c r="N105" s="44" t="s">
        <v>2647</v>
      </c>
      <c r="O105" s="44" t="s">
        <v>2447</v>
      </c>
      <c r="P105" s="44" t="s">
        <v>2448</v>
      </c>
    </row>
    <row r="106" spans="13:16">
      <c r="M106" s="77" t="s">
        <v>2648</v>
      </c>
      <c r="N106" s="44" t="s">
        <v>2649</v>
      </c>
      <c r="O106" s="44" t="s">
        <v>2514</v>
      </c>
      <c r="P106" s="44" t="s">
        <v>2515</v>
      </c>
    </row>
    <row r="107" spans="13:16">
      <c r="M107" s="77" t="s">
        <v>2650</v>
      </c>
      <c r="N107" s="44" t="s">
        <v>2651</v>
      </c>
      <c r="O107" s="44" t="s">
        <v>2427</v>
      </c>
      <c r="P107" s="44" t="s">
        <v>2428</v>
      </c>
    </row>
    <row r="108" spans="13:16">
      <c r="M108" s="77" t="s">
        <v>2652</v>
      </c>
      <c r="N108" s="44" t="s">
        <v>2653</v>
      </c>
      <c r="O108" s="44" t="s">
        <v>2379</v>
      </c>
      <c r="P108" s="44" t="s">
        <v>2380</v>
      </c>
    </row>
    <row r="109" spans="13:16">
      <c r="M109" s="77" t="s">
        <v>2654</v>
      </c>
      <c r="N109" s="44" t="s">
        <v>2655</v>
      </c>
      <c r="O109" s="44" t="s">
        <v>2427</v>
      </c>
      <c r="P109" s="44" t="s">
        <v>2428</v>
      </c>
    </row>
    <row r="110" spans="13:16">
      <c r="M110" s="77" t="s">
        <v>2656</v>
      </c>
      <c r="N110" s="44" t="s">
        <v>2657</v>
      </c>
      <c r="O110" s="44" t="s">
        <v>2478</v>
      </c>
      <c r="P110" s="44" t="s">
        <v>2479</v>
      </c>
    </row>
    <row r="111" spans="13:16">
      <c r="M111" s="77" t="s">
        <v>2658</v>
      </c>
      <c r="N111" s="44" t="s">
        <v>2659</v>
      </c>
      <c r="O111" s="44" t="s">
        <v>2514</v>
      </c>
      <c r="P111" s="44" t="s">
        <v>2515</v>
      </c>
    </row>
    <row r="112" spans="13:16">
      <c r="M112" s="77" t="s">
        <v>2660</v>
      </c>
      <c r="N112" s="44" t="s">
        <v>2661</v>
      </c>
      <c r="O112" s="44" t="s">
        <v>2490</v>
      </c>
      <c r="P112" s="44" t="s">
        <v>2491</v>
      </c>
    </row>
    <row r="113" spans="13:16">
      <c r="M113" s="77" t="s">
        <v>2515</v>
      </c>
      <c r="N113" s="44" t="s">
        <v>2514</v>
      </c>
      <c r="O113" s="44" t="s">
        <v>2514</v>
      </c>
      <c r="P113" s="44" t="s">
        <v>2515</v>
      </c>
    </row>
    <row r="114" spans="13:16">
      <c r="M114" s="77" t="s">
        <v>2662</v>
      </c>
      <c r="N114" s="44" t="s">
        <v>2663</v>
      </c>
      <c r="O114" s="44" t="s">
        <v>2432</v>
      </c>
      <c r="P114" s="44" t="s">
        <v>2433</v>
      </c>
    </row>
    <row r="115" spans="13:16">
      <c r="M115" s="77" t="s">
        <v>2499</v>
      </c>
      <c r="N115" s="44" t="s">
        <v>2498</v>
      </c>
      <c r="O115" s="44" t="s">
        <v>2498</v>
      </c>
      <c r="P115" s="44" t="s">
        <v>2499</v>
      </c>
    </row>
    <row r="116" spans="13:16">
      <c r="M116" s="77" t="s">
        <v>2664</v>
      </c>
      <c r="N116" s="44" t="s">
        <v>2665</v>
      </c>
      <c r="O116" s="44" t="s">
        <v>2407</v>
      </c>
      <c r="P116" s="44" t="s">
        <v>2408</v>
      </c>
    </row>
    <row r="117" spans="13:16">
      <c r="M117" s="77" t="s">
        <v>2666</v>
      </c>
      <c r="N117" s="44" t="s">
        <v>2667</v>
      </c>
      <c r="O117" s="44" t="s">
        <v>2432</v>
      </c>
      <c r="P117" s="44" t="s">
        <v>2433</v>
      </c>
    </row>
    <row r="118" spans="13:16">
      <c r="M118" s="77" t="s">
        <v>2394</v>
      </c>
      <c r="N118" s="44" t="s">
        <v>2393</v>
      </c>
      <c r="O118" s="44" t="s">
        <v>2393</v>
      </c>
      <c r="P118" s="44" t="s">
        <v>2394</v>
      </c>
    </row>
    <row r="119" spans="13:16">
      <c r="M119" s="77" t="s">
        <v>2668</v>
      </c>
      <c r="N119" s="44" t="s">
        <v>2669</v>
      </c>
      <c r="O119" s="44" t="s">
        <v>2432</v>
      </c>
      <c r="P119" s="44" t="s">
        <v>2433</v>
      </c>
    </row>
    <row r="120" spans="13:16">
      <c r="M120" s="77" t="s">
        <v>2670</v>
      </c>
      <c r="N120" s="44" t="s">
        <v>2671</v>
      </c>
      <c r="O120" s="44" t="s">
        <v>2478</v>
      </c>
      <c r="P120" s="44" t="s">
        <v>2479</v>
      </c>
    </row>
    <row r="121" spans="13:16">
      <c r="M121" s="77" t="s">
        <v>2672</v>
      </c>
      <c r="N121" s="44" t="s">
        <v>2673</v>
      </c>
      <c r="O121" s="44" t="s">
        <v>2360</v>
      </c>
      <c r="P121" s="44" t="s">
        <v>2361</v>
      </c>
    </row>
    <row r="122" spans="13:16">
      <c r="M122" s="77" t="s">
        <v>2433</v>
      </c>
      <c r="N122" s="44" t="s">
        <v>2432</v>
      </c>
      <c r="O122" s="44" t="s">
        <v>2432</v>
      </c>
      <c r="P122" s="44" t="s">
        <v>2433</v>
      </c>
    </row>
    <row r="123" spans="13:16">
      <c r="M123" s="77" t="s">
        <v>47</v>
      </c>
      <c r="N123" s="44" t="s">
        <v>2674</v>
      </c>
      <c r="O123" s="44" t="s">
        <v>2442</v>
      </c>
      <c r="P123" s="44" t="s">
        <v>2443</v>
      </c>
    </row>
    <row r="124" spans="13:16">
      <c r="M124" s="77" t="s">
        <v>2675</v>
      </c>
      <c r="N124" s="44" t="s">
        <v>2676</v>
      </c>
      <c r="O124" s="44" t="s">
        <v>2437</v>
      </c>
      <c r="P124" s="44" t="s">
        <v>2438</v>
      </c>
    </row>
    <row r="125" spans="13:16">
      <c r="M125" s="77" t="s">
        <v>2677</v>
      </c>
      <c r="N125" s="44" t="s">
        <v>2678</v>
      </c>
      <c r="O125" s="44" t="s">
        <v>2478</v>
      </c>
      <c r="P125" s="44" t="s">
        <v>2479</v>
      </c>
    </row>
    <row r="126" spans="13:16">
      <c r="M126" s="77" t="s">
        <v>2679</v>
      </c>
      <c r="N126" s="44" t="s">
        <v>2680</v>
      </c>
      <c r="O126" s="44" t="s">
        <v>2464</v>
      </c>
      <c r="P126" s="44" t="s">
        <v>2465</v>
      </c>
    </row>
    <row r="127" spans="13:16">
      <c r="M127" s="77" t="s">
        <v>2681</v>
      </c>
      <c r="N127" s="44" t="s">
        <v>2682</v>
      </c>
      <c r="O127" s="44" t="s">
        <v>2419</v>
      </c>
      <c r="P127" s="44" t="s">
        <v>2420</v>
      </c>
    </row>
    <row r="128" spans="13:16">
      <c r="M128" s="77" t="s">
        <v>2448</v>
      </c>
      <c r="N128" s="44" t="s">
        <v>2447</v>
      </c>
      <c r="O128" s="44" t="s">
        <v>2447</v>
      </c>
      <c r="P128" s="44" t="s">
        <v>2448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"/>
  <dimension ref="A1:AU246"/>
  <sheetViews>
    <sheetView topLeftCell="AG1" workbookViewId="0">
      <selection activeCell="AU3" sqref="AU2:AU3"/>
    </sheetView>
  </sheetViews>
  <sheetFormatPr defaultRowHeight="15" customHeight="1"/>
  <cols>
    <col min="1" max="17" width="12.9140625" customWidth="1"/>
    <col min="18" max="18" width="14.6640625" customWidth="1"/>
    <col min="19" max="41" width="12.9140625" customWidth="1"/>
    <col min="42" max="42" width="23.1640625" customWidth="1"/>
    <col min="43" max="43" width="38" customWidth="1"/>
    <col min="44" max="1023" width="12.6640625" customWidth="1"/>
    <col min="1024" max="1024" width="8.6640625" customWidth="1"/>
  </cols>
  <sheetData>
    <row r="1" spans="1:47" ht="24" customHeight="1">
      <c r="A1" s="1" t="s">
        <v>2683</v>
      </c>
      <c r="B1" s="1" t="s">
        <v>1146</v>
      </c>
      <c r="C1" s="1" t="s">
        <v>2684</v>
      </c>
      <c r="D1" s="1" t="s">
        <v>2685</v>
      </c>
      <c r="E1" s="1" t="s">
        <v>2686</v>
      </c>
      <c r="F1" s="1" t="s">
        <v>2687</v>
      </c>
      <c r="G1" s="1" t="s">
        <v>2688</v>
      </c>
      <c r="H1" s="1" t="s">
        <v>2689</v>
      </c>
      <c r="I1" s="1" t="s">
        <v>2690</v>
      </c>
      <c r="J1" s="1" t="s">
        <v>2691</v>
      </c>
      <c r="K1" s="1" t="s">
        <v>2692</v>
      </c>
      <c r="L1" s="1" t="s">
        <v>2693</v>
      </c>
      <c r="M1" s="1" t="s">
        <v>2694</v>
      </c>
      <c r="N1" s="1" t="s">
        <v>2695</v>
      </c>
      <c r="O1" s="1" t="s">
        <v>2685</v>
      </c>
      <c r="P1" s="1" t="s">
        <v>2696</v>
      </c>
      <c r="Q1" s="1" t="s">
        <v>2697</v>
      </c>
      <c r="R1" s="1" t="s">
        <v>2698</v>
      </c>
      <c r="S1" s="1" t="s">
        <v>2699</v>
      </c>
      <c r="T1" s="1" t="s">
        <v>2700</v>
      </c>
      <c r="U1" s="1" t="s">
        <v>2701</v>
      </c>
      <c r="V1" s="2" t="s">
        <v>2702</v>
      </c>
      <c r="W1" s="3" t="s">
        <v>2703</v>
      </c>
      <c r="X1" s="3" t="s">
        <v>2704</v>
      </c>
      <c r="Y1" s="3" t="s">
        <v>2705</v>
      </c>
      <c r="Z1" s="3" t="s">
        <v>2706</v>
      </c>
      <c r="AA1" s="3" t="s">
        <v>2707</v>
      </c>
      <c r="AB1" s="4" t="s">
        <v>2708</v>
      </c>
      <c r="AC1" s="3" t="s">
        <v>2709</v>
      </c>
      <c r="AD1" s="3" t="s">
        <v>2710</v>
      </c>
      <c r="AE1" s="3" t="s">
        <v>2711</v>
      </c>
      <c r="AF1" s="3" t="s">
        <v>2712</v>
      </c>
      <c r="AG1" s="3" t="s">
        <v>2713</v>
      </c>
      <c r="AH1" s="3" t="s">
        <v>2714</v>
      </c>
      <c r="AI1" s="3" t="s">
        <v>2715</v>
      </c>
      <c r="AJ1" s="3" t="s">
        <v>2716</v>
      </c>
      <c r="AK1" s="3" t="s">
        <v>2717</v>
      </c>
      <c r="AL1" s="5" t="s">
        <v>2718</v>
      </c>
      <c r="AM1" s="6" t="s">
        <v>2719</v>
      </c>
      <c r="AN1" s="6" t="s">
        <v>2720</v>
      </c>
      <c r="AO1" s="6" t="s">
        <v>2721</v>
      </c>
      <c r="AP1" s="7" t="s">
        <v>294</v>
      </c>
      <c r="AQ1" s="7" t="s">
        <v>2722</v>
      </c>
      <c r="AR1" s="6" t="s">
        <v>2723</v>
      </c>
      <c r="AS1" s="6" t="s">
        <v>3220</v>
      </c>
      <c r="AT1" s="6" t="s">
        <v>3220</v>
      </c>
      <c r="AU1" s="383" t="s">
        <v>4519</v>
      </c>
    </row>
    <row r="2" spans="1:47" ht="10.5" customHeight="1">
      <c r="A2" s="8" t="s">
        <v>2724</v>
      </c>
      <c r="B2" s="8" t="s">
        <v>2356</v>
      </c>
      <c r="C2" s="8" t="s">
        <v>140</v>
      </c>
      <c r="D2" s="8" t="s">
        <v>2725</v>
      </c>
      <c r="E2" s="8" t="s">
        <v>2726</v>
      </c>
      <c r="F2" s="8" t="s">
        <v>2727</v>
      </c>
      <c r="G2" s="8"/>
      <c r="H2" s="8" t="s">
        <v>2728</v>
      </c>
      <c r="I2" s="9">
        <v>24</v>
      </c>
      <c r="J2" s="9">
        <v>30</v>
      </c>
      <c r="K2" s="9">
        <v>1</v>
      </c>
      <c r="L2" s="8" t="s">
        <v>2724</v>
      </c>
      <c r="M2" s="10" t="s">
        <v>2729</v>
      </c>
      <c r="N2" s="8" t="s">
        <v>2725</v>
      </c>
      <c r="O2" s="8" t="s">
        <v>2725</v>
      </c>
      <c r="P2" s="8" t="s">
        <v>2730</v>
      </c>
      <c r="Q2" s="8" t="s">
        <v>2731</v>
      </c>
      <c r="R2" s="11" t="s">
        <v>2732</v>
      </c>
      <c r="S2" s="8" t="s">
        <v>2733</v>
      </c>
      <c r="T2" s="8" t="s">
        <v>2481</v>
      </c>
      <c r="U2" s="8" t="s">
        <v>2734</v>
      </c>
      <c r="V2" s="8" t="s">
        <v>1562</v>
      </c>
      <c r="W2" s="12" t="s">
        <v>23</v>
      </c>
      <c r="X2" s="12" t="s">
        <v>2735</v>
      </c>
      <c r="Y2" s="12" t="s">
        <v>1476</v>
      </c>
      <c r="Z2" s="12" t="s">
        <v>2480</v>
      </c>
      <c r="AA2" s="12" t="s">
        <v>2736</v>
      </c>
      <c r="AB2" s="13" t="s">
        <v>1897</v>
      </c>
      <c r="AC2" s="12" t="s">
        <v>1431</v>
      </c>
      <c r="AD2" s="12" t="s">
        <v>2737</v>
      </c>
      <c r="AE2" s="12" t="s">
        <v>2738</v>
      </c>
      <c r="AF2" s="12" t="s">
        <v>2739</v>
      </c>
      <c r="AG2" s="12" t="s">
        <v>2740</v>
      </c>
      <c r="AH2" s="12" t="s">
        <v>2741</v>
      </c>
      <c r="AI2" s="12" t="s">
        <v>2742</v>
      </c>
      <c r="AJ2" s="12" t="s">
        <v>1451</v>
      </c>
      <c r="AK2" s="12" t="s">
        <v>2743</v>
      </c>
      <c r="AL2" s="12" t="s">
        <v>2744</v>
      </c>
      <c r="AM2" s="12" t="s">
        <v>2745</v>
      </c>
      <c r="AN2" s="12" t="s">
        <v>2746</v>
      </c>
      <c r="AO2" s="12" t="s">
        <v>2747</v>
      </c>
      <c r="AP2" s="12" t="s">
        <v>2748</v>
      </c>
      <c r="AQ2" s="116" t="s">
        <v>2749</v>
      </c>
      <c r="AR2" s="118" t="s">
        <v>2750</v>
      </c>
      <c r="AS2" s="118">
        <v>0</v>
      </c>
      <c r="AT2" s="118" t="s">
        <v>3224</v>
      </c>
      <c r="AU2" s="118" t="s">
        <v>4527</v>
      </c>
    </row>
    <row r="3" spans="1:47" ht="10.5" customHeight="1">
      <c r="A3" s="8" t="s">
        <v>2751</v>
      </c>
      <c r="B3" s="8" t="s">
        <v>2362</v>
      </c>
      <c r="C3" s="8" t="s">
        <v>939</v>
      </c>
      <c r="D3" s="8" t="s">
        <v>2752</v>
      </c>
      <c r="E3" s="8" t="s">
        <v>2753</v>
      </c>
      <c r="F3" s="12" t="s">
        <v>2754</v>
      </c>
      <c r="H3" s="8" t="s">
        <v>2755</v>
      </c>
      <c r="I3" s="9">
        <v>12</v>
      </c>
      <c r="J3" s="9">
        <v>60</v>
      </c>
      <c r="K3" s="9">
        <v>2</v>
      </c>
      <c r="L3" s="8" t="s">
        <v>2751</v>
      </c>
      <c r="M3" s="10" t="s">
        <v>2756</v>
      </c>
      <c r="N3" s="8" t="s">
        <v>2757</v>
      </c>
      <c r="O3" s="8" t="s">
        <v>2752</v>
      </c>
      <c r="P3" s="8" t="s">
        <v>2758</v>
      </c>
      <c r="Q3" s="8" t="s">
        <v>2759</v>
      </c>
      <c r="R3" s="8" t="s">
        <v>2472</v>
      </c>
      <c r="S3" s="12" t="s">
        <v>2473</v>
      </c>
      <c r="T3" s="8" t="s">
        <v>2485</v>
      </c>
      <c r="U3" s="8" t="s">
        <v>2760</v>
      </c>
      <c r="V3" s="8" t="s">
        <v>1844</v>
      </c>
      <c r="W3" s="14"/>
      <c r="X3" s="12" t="s">
        <v>2364</v>
      </c>
      <c r="Y3" s="12" t="s">
        <v>1450</v>
      </c>
      <c r="Z3" s="12" t="s">
        <v>2484</v>
      </c>
      <c r="AA3" s="12" t="s">
        <v>2761</v>
      </c>
      <c r="AB3" s="13" t="s">
        <v>1894</v>
      </c>
      <c r="AC3" s="12" t="s">
        <v>280</v>
      </c>
      <c r="AD3" s="12" t="s">
        <v>2762</v>
      </c>
      <c r="AE3" s="12" t="s">
        <v>2763</v>
      </c>
      <c r="AF3" s="12" t="s">
        <v>2764</v>
      </c>
      <c r="AG3" s="12" t="s">
        <v>2765</v>
      </c>
      <c r="AH3" s="12" t="s">
        <v>2766</v>
      </c>
      <c r="AI3" s="12" t="s">
        <v>893</v>
      </c>
      <c r="AJ3" s="12" t="s">
        <v>1450</v>
      </c>
      <c r="AK3" s="12" t="s">
        <v>2766</v>
      </c>
      <c r="AL3" s="12" t="s">
        <v>2767</v>
      </c>
      <c r="AM3" s="12" t="s">
        <v>2768</v>
      </c>
      <c r="AN3" s="12" t="s">
        <v>2769</v>
      </c>
      <c r="AO3" s="12" t="s">
        <v>2770</v>
      </c>
      <c r="AP3" s="12" t="s">
        <v>2771</v>
      </c>
      <c r="AQ3" s="116" t="s">
        <v>2772</v>
      </c>
      <c r="AR3" s="118" t="s">
        <v>2773</v>
      </c>
      <c r="AS3" s="118">
        <v>38</v>
      </c>
      <c r="AT3" s="118" t="s">
        <v>3227</v>
      </c>
      <c r="AU3" s="118" t="s">
        <v>4528</v>
      </c>
    </row>
    <row r="4" spans="1:47" ht="10.5" customHeight="1">
      <c r="A4" s="8" t="s">
        <v>2774</v>
      </c>
      <c r="B4" s="8" t="s">
        <v>2375</v>
      </c>
      <c r="C4" s="8"/>
      <c r="D4" s="8" t="s">
        <v>2775</v>
      </c>
      <c r="E4" s="8" t="s">
        <v>2776</v>
      </c>
      <c r="F4" s="8" t="s">
        <v>2777</v>
      </c>
      <c r="H4" s="8"/>
      <c r="I4" s="9">
        <v>36</v>
      </c>
      <c r="J4" s="9">
        <v>90</v>
      </c>
      <c r="K4" s="9">
        <v>3</v>
      </c>
      <c r="L4" s="8" t="s">
        <v>2774</v>
      </c>
      <c r="M4" s="10" t="s">
        <v>2778</v>
      </c>
      <c r="N4" s="8"/>
      <c r="O4" s="8" t="s">
        <v>2779</v>
      </c>
      <c r="P4" s="8" t="s">
        <v>2780</v>
      </c>
      <c r="Q4" s="8" t="s">
        <v>2781</v>
      </c>
      <c r="R4" s="8" t="s">
        <v>2600</v>
      </c>
      <c r="S4" s="12" t="s">
        <v>2601</v>
      </c>
      <c r="T4" s="8" t="s">
        <v>49</v>
      </c>
      <c r="U4" s="8" t="s">
        <v>2782</v>
      </c>
      <c r="V4" s="8" t="s">
        <v>1539</v>
      </c>
      <c r="W4" s="14"/>
      <c r="X4" s="12" t="s">
        <v>2783</v>
      </c>
      <c r="Y4" s="12" t="s">
        <v>1451</v>
      </c>
      <c r="Z4" s="14"/>
      <c r="AA4" s="12" t="s">
        <v>2784</v>
      </c>
      <c r="AB4" s="13" t="s">
        <v>1910</v>
      </c>
      <c r="AC4" s="12" t="s">
        <v>2785</v>
      </c>
      <c r="AD4" s="12" t="s">
        <v>2786</v>
      </c>
      <c r="AE4" s="12" t="s">
        <v>2787</v>
      </c>
      <c r="AF4" s="12"/>
      <c r="AG4" s="12" t="s">
        <v>2788</v>
      </c>
      <c r="AH4" s="12" t="s">
        <v>2789</v>
      </c>
      <c r="AI4" s="12"/>
      <c r="AJ4" s="12" t="s">
        <v>1476</v>
      </c>
      <c r="AK4" s="12"/>
      <c r="AL4" s="12" t="s">
        <v>2790</v>
      </c>
      <c r="AM4" s="12"/>
      <c r="AN4" s="12" t="s">
        <v>2791</v>
      </c>
      <c r="AO4" s="12" t="s">
        <v>2792</v>
      </c>
      <c r="AP4" s="12" t="s">
        <v>2793</v>
      </c>
      <c r="AQ4" s="117"/>
      <c r="AR4" s="118" t="s">
        <v>2794</v>
      </c>
      <c r="AS4" s="118">
        <v>68</v>
      </c>
      <c r="AT4" s="118" t="s">
        <v>3230</v>
      </c>
    </row>
    <row r="5" spans="1:47" ht="10.5" customHeight="1">
      <c r="A5" s="8" t="s">
        <v>2795</v>
      </c>
      <c r="B5" s="8" t="s">
        <v>2370</v>
      </c>
      <c r="C5" s="8"/>
      <c r="D5" s="8" t="s">
        <v>2796</v>
      </c>
      <c r="E5" s="8" t="s">
        <v>2797</v>
      </c>
      <c r="F5" s="8" t="s">
        <v>2798</v>
      </c>
      <c r="H5" s="8"/>
      <c r="I5" s="9"/>
      <c r="J5" s="9">
        <v>180</v>
      </c>
      <c r="K5" s="9">
        <v>4</v>
      </c>
      <c r="L5" s="8"/>
      <c r="M5" s="10" t="s">
        <v>2799</v>
      </c>
      <c r="N5" s="8"/>
      <c r="O5" s="8" t="s">
        <v>2775</v>
      </c>
      <c r="P5" s="8" t="s">
        <v>2800</v>
      </c>
      <c r="Q5" s="8" t="s">
        <v>2801</v>
      </c>
      <c r="R5" s="8" t="s">
        <v>2575</v>
      </c>
      <c r="S5" s="12" t="s">
        <v>2576</v>
      </c>
      <c r="T5" s="8" t="s">
        <v>2802</v>
      </c>
      <c r="U5" s="8" t="s">
        <v>2407</v>
      </c>
      <c r="V5" s="8" t="s">
        <v>1544</v>
      </c>
      <c r="W5" s="14"/>
      <c r="X5" s="12" t="s">
        <v>2803</v>
      </c>
      <c r="Y5" s="12" t="s">
        <v>1260</v>
      </c>
      <c r="Z5" s="14"/>
      <c r="AA5" s="12" t="s">
        <v>2804</v>
      </c>
      <c r="AB5" s="13" t="s">
        <v>1926</v>
      </c>
      <c r="AC5" s="12" t="s">
        <v>2805</v>
      </c>
      <c r="AD5" s="12" t="s">
        <v>2806</v>
      </c>
      <c r="AE5" s="12" t="s">
        <v>2807</v>
      </c>
      <c r="AF5" s="12"/>
      <c r="AG5" s="12" t="s">
        <v>2808</v>
      </c>
      <c r="AH5" s="12" t="s">
        <v>2809</v>
      </c>
      <c r="AI5" s="12"/>
      <c r="AJ5" s="12" t="s">
        <v>1477</v>
      </c>
      <c r="AK5" s="12"/>
      <c r="AL5" s="12" t="s">
        <v>2810</v>
      </c>
      <c r="AM5" s="12"/>
      <c r="AN5" s="12"/>
      <c r="AO5" s="12" t="s">
        <v>2811</v>
      </c>
      <c r="AP5" s="12" t="s">
        <v>2812</v>
      </c>
      <c r="AS5" s="118">
        <v>108</v>
      </c>
      <c r="AT5" s="118" t="s">
        <v>3233</v>
      </c>
    </row>
    <row r="6" spans="1:47" ht="10.5" customHeight="1">
      <c r="A6" s="8" t="s">
        <v>2813</v>
      </c>
      <c r="B6" s="8"/>
      <c r="C6" s="8"/>
      <c r="D6" s="8" t="s">
        <v>2814</v>
      </c>
      <c r="E6" s="8" t="s">
        <v>2815</v>
      </c>
      <c r="F6" s="8" t="s">
        <v>2816</v>
      </c>
      <c r="H6" s="8"/>
      <c r="I6" s="9"/>
      <c r="J6" s="8"/>
      <c r="K6" s="9">
        <v>5</v>
      </c>
      <c r="L6" s="8"/>
      <c r="M6" s="10" t="s">
        <v>2817</v>
      </c>
      <c r="N6" s="8"/>
      <c r="O6" s="8" t="s">
        <v>2796</v>
      </c>
      <c r="P6" s="8" t="s">
        <v>2818</v>
      </c>
      <c r="Q6" s="8" t="s">
        <v>2819</v>
      </c>
      <c r="R6" s="8" t="s">
        <v>2606</v>
      </c>
      <c r="S6" s="12" t="s">
        <v>2607</v>
      </c>
      <c r="T6" s="8"/>
      <c r="U6" s="8"/>
      <c r="V6" s="8" t="s">
        <v>1525</v>
      </c>
      <c r="W6" s="14"/>
      <c r="X6" s="12" t="s">
        <v>2390</v>
      </c>
      <c r="Y6" s="12" t="s">
        <v>1452</v>
      </c>
      <c r="Z6" s="14"/>
      <c r="AA6" s="12" t="s">
        <v>2820</v>
      </c>
      <c r="AB6" s="13" t="s">
        <v>2319</v>
      </c>
      <c r="AC6" s="12" t="s">
        <v>2821</v>
      </c>
      <c r="AD6" s="12" t="s">
        <v>2822</v>
      </c>
      <c r="AE6" s="12" t="s">
        <v>2823</v>
      </c>
      <c r="AF6" s="12"/>
      <c r="AG6" s="12" t="s">
        <v>2824</v>
      </c>
      <c r="AH6" s="12" t="s">
        <v>2825</v>
      </c>
      <c r="AI6" s="12"/>
      <c r="AJ6" s="12"/>
      <c r="AK6" s="12"/>
      <c r="AL6" s="12"/>
      <c r="AM6" s="12"/>
      <c r="AN6" s="12"/>
      <c r="AO6" s="12"/>
      <c r="AP6" s="12" t="s">
        <v>2826</v>
      </c>
      <c r="AS6" s="118"/>
      <c r="AT6" s="118" t="s">
        <v>3235</v>
      </c>
    </row>
    <row r="7" spans="1:47" ht="10.5" customHeight="1">
      <c r="A7" s="8" t="s">
        <v>28</v>
      </c>
      <c r="B7" s="8"/>
      <c r="C7" s="8"/>
      <c r="D7" s="8" t="s">
        <v>2827</v>
      </c>
      <c r="E7" s="8"/>
      <c r="F7" s="8" t="s">
        <v>2828</v>
      </c>
      <c r="H7" s="8"/>
      <c r="I7" s="9"/>
      <c r="J7" s="8"/>
      <c r="K7" s="9">
        <v>6</v>
      </c>
      <c r="L7" s="8"/>
      <c r="M7" s="8"/>
      <c r="N7" s="8"/>
      <c r="O7" s="8" t="s">
        <v>2814</v>
      </c>
      <c r="P7" s="8" t="s">
        <v>2829</v>
      </c>
      <c r="Q7" s="8"/>
      <c r="R7" s="8" t="s">
        <v>2397</v>
      </c>
      <c r="S7" s="12" t="s">
        <v>2398</v>
      </c>
      <c r="T7" s="8"/>
      <c r="U7" s="8"/>
      <c r="V7" s="8" t="s">
        <v>1737</v>
      </c>
      <c r="W7" s="14"/>
      <c r="X7" s="12" t="s">
        <v>2830</v>
      </c>
      <c r="Y7" s="12" t="s">
        <v>1477</v>
      </c>
      <c r="Z7" s="14"/>
      <c r="AA7" s="12" t="s">
        <v>2831</v>
      </c>
      <c r="AB7" s="13" t="s">
        <v>1945</v>
      </c>
      <c r="AC7" s="12" t="s">
        <v>2832</v>
      </c>
      <c r="AD7" s="12" t="s">
        <v>2833</v>
      </c>
      <c r="AE7" s="12" t="s">
        <v>2834</v>
      </c>
      <c r="AF7" s="12"/>
      <c r="AG7" s="12"/>
      <c r="AH7" s="12" t="s">
        <v>2835</v>
      </c>
      <c r="AI7" s="12"/>
      <c r="AJ7" s="12"/>
      <c r="AK7" s="12"/>
      <c r="AL7" s="12"/>
      <c r="AM7" s="12"/>
      <c r="AN7" s="12"/>
      <c r="AO7" s="12"/>
      <c r="AP7" s="12" t="s">
        <v>2836</v>
      </c>
      <c r="AS7" s="118"/>
      <c r="AT7" s="118" t="s">
        <v>3237</v>
      </c>
    </row>
    <row r="8" spans="1:47" ht="10.5" customHeight="1">
      <c r="A8" s="8" t="s">
        <v>2837</v>
      </c>
      <c r="B8" s="8"/>
      <c r="C8" s="8"/>
      <c r="D8" s="8"/>
      <c r="E8" s="8"/>
      <c r="F8" s="8" t="s">
        <v>2838</v>
      </c>
      <c r="H8" s="8"/>
      <c r="I8" s="9"/>
      <c r="J8" s="8"/>
      <c r="K8" s="9">
        <v>7</v>
      </c>
      <c r="L8" s="8"/>
      <c r="M8" s="8"/>
      <c r="N8" s="8"/>
      <c r="O8" s="8" t="s">
        <v>2827</v>
      </c>
      <c r="P8" s="8" t="s">
        <v>2839</v>
      </c>
      <c r="Q8" s="8"/>
      <c r="R8" s="8" t="s">
        <v>2365</v>
      </c>
      <c r="S8" s="12" t="s">
        <v>2366</v>
      </c>
      <c r="T8" s="8"/>
      <c r="U8" s="8"/>
      <c r="V8" s="8" t="s">
        <v>1566</v>
      </c>
      <c r="W8" s="14"/>
      <c r="X8" s="14"/>
      <c r="Y8" s="12"/>
      <c r="Z8" s="14"/>
      <c r="AA8" s="12" t="s">
        <v>2840</v>
      </c>
      <c r="AB8" s="13" t="s">
        <v>1917</v>
      </c>
      <c r="AC8" s="12" t="s">
        <v>2841</v>
      </c>
      <c r="AD8" s="12" t="s">
        <v>2842</v>
      </c>
      <c r="AE8" s="12" t="s">
        <v>2843</v>
      </c>
      <c r="AF8" s="12"/>
      <c r="AG8" s="12"/>
      <c r="AP8" s="12" t="s">
        <v>2844</v>
      </c>
      <c r="AS8" s="118"/>
      <c r="AT8" s="118" t="s">
        <v>3239</v>
      </c>
    </row>
    <row r="9" spans="1:47" ht="10.5" customHeight="1">
      <c r="A9" s="8" t="s">
        <v>2845</v>
      </c>
      <c r="B9" s="8"/>
      <c r="C9" s="8"/>
      <c r="D9" s="8"/>
      <c r="E9" s="8"/>
      <c r="F9" s="8" t="s">
        <v>2846</v>
      </c>
      <c r="H9" s="8"/>
      <c r="I9" s="9"/>
      <c r="J9" s="8"/>
      <c r="K9" s="9">
        <v>8</v>
      </c>
      <c r="L9" s="8"/>
      <c r="M9" s="8"/>
      <c r="N9" s="8"/>
      <c r="O9" s="8"/>
      <c r="P9" s="8" t="s">
        <v>2847</v>
      </c>
      <c r="Q9" s="8"/>
      <c r="R9" s="8" t="s">
        <v>2546</v>
      </c>
      <c r="S9" s="12" t="s">
        <v>2547</v>
      </c>
      <c r="T9" s="8"/>
      <c r="U9" s="8"/>
      <c r="V9" s="8" t="s">
        <v>1653</v>
      </c>
      <c r="W9" s="14"/>
      <c r="X9" s="14"/>
      <c r="Y9" s="14"/>
      <c r="Z9" s="14"/>
      <c r="AA9" s="12" t="s">
        <v>2848</v>
      </c>
      <c r="AB9" s="13" t="s">
        <v>1929</v>
      </c>
      <c r="AC9" s="12" t="s">
        <v>2849</v>
      </c>
      <c r="AD9" s="12" t="s">
        <v>2850</v>
      </c>
      <c r="AE9" s="12" t="s">
        <v>2851</v>
      </c>
      <c r="AF9" s="12"/>
      <c r="AG9" s="12"/>
      <c r="AP9" s="12" t="s">
        <v>2852</v>
      </c>
      <c r="AS9" s="118"/>
      <c r="AT9" s="118"/>
    </row>
    <row r="10" spans="1:47" ht="10.5" customHeight="1">
      <c r="A10" s="8" t="s">
        <v>2853</v>
      </c>
      <c r="B10" s="8"/>
      <c r="C10" s="8"/>
      <c r="D10" s="8"/>
      <c r="E10" s="8"/>
      <c r="F10" s="8" t="s">
        <v>2854</v>
      </c>
      <c r="H10" s="8"/>
      <c r="I10" s="9"/>
      <c r="J10" s="8"/>
      <c r="K10" s="9">
        <v>9</v>
      </c>
      <c r="L10" s="8"/>
      <c r="M10" s="8"/>
      <c r="N10" s="8"/>
      <c r="O10" s="8"/>
      <c r="P10" s="8" t="s">
        <v>2855</v>
      </c>
      <c r="Q10" s="8"/>
      <c r="R10" s="8" t="s">
        <v>2558</v>
      </c>
      <c r="S10" s="12" t="s">
        <v>2559</v>
      </c>
      <c r="T10" s="8"/>
      <c r="U10" s="8"/>
      <c r="V10" s="8" t="s">
        <v>1732</v>
      </c>
      <c r="W10" s="14"/>
      <c r="X10" s="14"/>
      <c r="Y10" s="14"/>
      <c r="Z10" s="14"/>
      <c r="AA10" s="12" t="s">
        <v>2856</v>
      </c>
      <c r="AB10" s="13" t="s">
        <v>1907</v>
      </c>
      <c r="AC10" s="12" t="s">
        <v>2857</v>
      </c>
      <c r="AD10" s="12" t="s">
        <v>2858</v>
      </c>
      <c r="AE10" s="14"/>
      <c r="AF10" s="14"/>
      <c r="AG10" s="14"/>
      <c r="AP10" s="12" t="s">
        <v>2859</v>
      </c>
      <c r="AS10" s="118"/>
      <c r="AT10" s="118"/>
    </row>
    <row r="11" spans="1:47" ht="10.5" customHeight="1">
      <c r="A11" s="8" t="s">
        <v>2860</v>
      </c>
      <c r="B11" s="8"/>
      <c r="C11" s="8"/>
      <c r="D11" s="8"/>
      <c r="E11" s="8"/>
      <c r="F11" s="8" t="s">
        <v>2861</v>
      </c>
      <c r="H11" s="8"/>
      <c r="I11" s="9"/>
      <c r="J11" s="8"/>
      <c r="K11" s="9">
        <v>10</v>
      </c>
      <c r="L11" s="8"/>
      <c r="M11" s="15"/>
      <c r="N11" s="8"/>
      <c r="O11" s="8"/>
      <c r="P11" s="8"/>
      <c r="Q11" s="8"/>
      <c r="R11" s="8" t="s">
        <v>2862</v>
      </c>
      <c r="S11" s="8" t="s">
        <v>2863</v>
      </c>
      <c r="T11" s="8"/>
      <c r="U11" s="8"/>
      <c r="V11" s="8" t="s">
        <v>1657</v>
      </c>
      <c r="W11" s="14"/>
      <c r="X11" s="14"/>
      <c r="Y11" s="14"/>
      <c r="Z11" s="14"/>
      <c r="AA11" s="12" t="s">
        <v>2864</v>
      </c>
      <c r="AB11" s="13" t="s">
        <v>1989</v>
      </c>
      <c r="AC11" s="12" t="s">
        <v>2865</v>
      </c>
      <c r="AD11" s="12" t="s">
        <v>2866</v>
      </c>
      <c r="AE11" s="14"/>
      <c r="AF11" s="14"/>
      <c r="AG11" s="14"/>
      <c r="AP11" s="12" t="s">
        <v>2867</v>
      </c>
    </row>
    <row r="12" spans="1:47" ht="10.5" customHeight="1">
      <c r="A12" s="8" t="s">
        <v>2868</v>
      </c>
      <c r="B12" s="8"/>
      <c r="C12" s="8"/>
      <c r="D12" s="8"/>
      <c r="E12" s="8"/>
      <c r="F12" s="8" t="s">
        <v>2869</v>
      </c>
      <c r="H12" s="8"/>
      <c r="I12" s="9"/>
      <c r="J12" s="8"/>
      <c r="K12" s="9">
        <v>11</v>
      </c>
      <c r="L12" s="8"/>
      <c r="M12" s="15"/>
      <c r="N12" s="8"/>
      <c r="O12" s="8"/>
      <c r="P12" s="8"/>
      <c r="R12" s="12" t="s">
        <v>2394</v>
      </c>
      <c r="S12" s="8" t="s">
        <v>2393</v>
      </c>
      <c r="T12" s="8"/>
      <c r="U12" s="8"/>
      <c r="V12" s="8" t="s">
        <v>1661</v>
      </c>
      <c r="W12" s="14"/>
      <c r="X12" s="14"/>
      <c r="Y12" s="14"/>
      <c r="Z12" s="14"/>
      <c r="AA12" s="12" t="s">
        <v>2870</v>
      </c>
      <c r="AB12" s="13" t="s">
        <v>1956</v>
      </c>
      <c r="AC12" s="12" t="s">
        <v>2871</v>
      </c>
      <c r="AD12" s="12" t="s">
        <v>2872</v>
      </c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2" t="s">
        <v>2873</v>
      </c>
    </row>
    <row r="13" spans="1:47" ht="10.5" customHeight="1">
      <c r="A13" s="8" t="s">
        <v>2874</v>
      </c>
      <c r="B13" s="8"/>
      <c r="C13" s="8"/>
      <c r="D13" s="8"/>
      <c r="E13" s="8"/>
      <c r="F13" s="8" t="s">
        <v>2875</v>
      </c>
      <c r="H13" s="8"/>
      <c r="I13" s="9"/>
      <c r="J13" s="8"/>
      <c r="K13" s="9">
        <v>12</v>
      </c>
      <c r="L13" s="8"/>
      <c r="M13" s="8"/>
      <c r="N13" s="8"/>
      <c r="O13" s="8"/>
      <c r="P13" s="8"/>
      <c r="Q13" s="8"/>
      <c r="R13" s="12" t="s">
        <v>2391</v>
      </c>
      <c r="S13" s="8" t="s">
        <v>2392</v>
      </c>
      <c r="T13" s="8"/>
      <c r="U13" s="8"/>
      <c r="V13" s="8" t="s">
        <v>1740</v>
      </c>
      <c r="W13" s="14"/>
      <c r="X13" s="14"/>
      <c r="Y13" s="14"/>
      <c r="Z13" s="14"/>
      <c r="AA13" s="12" t="s">
        <v>2876</v>
      </c>
      <c r="AB13" s="13" t="s">
        <v>1914</v>
      </c>
      <c r="AC13" s="12" t="s">
        <v>2877</v>
      </c>
      <c r="AD13" s="12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2" t="s">
        <v>2878</v>
      </c>
    </row>
    <row r="14" spans="1:47" ht="10.5" customHeight="1">
      <c r="A14" s="8"/>
      <c r="B14" s="8"/>
      <c r="C14" s="8"/>
      <c r="D14" s="8"/>
      <c r="E14" s="8"/>
      <c r="F14" s="8" t="s">
        <v>2879</v>
      </c>
      <c r="H14" s="8"/>
      <c r="I14" s="8"/>
      <c r="J14" s="8"/>
      <c r="K14" s="9">
        <v>13</v>
      </c>
      <c r="L14" s="8"/>
      <c r="M14" s="8"/>
      <c r="N14" s="8"/>
      <c r="O14" s="8"/>
      <c r="P14" s="8"/>
      <c r="R14" s="12" t="s">
        <v>2452</v>
      </c>
      <c r="S14" s="8" t="s">
        <v>2453</v>
      </c>
      <c r="T14" s="8"/>
      <c r="U14" s="8"/>
      <c r="V14" s="8" t="s">
        <v>1745</v>
      </c>
      <c r="W14" s="14"/>
      <c r="X14" s="14"/>
      <c r="Y14" s="14"/>
      <c r="Z14" s="14"/>
      <c r="AA14" s="12" t="s">
        <v>2880</v>
      </c>
      <c r="AB14" s="13" t="s">
        <v>2134</v>
      </c>
      <c r="AC14" s="12" t="s">
        <v>2881</v>
      </c>
      <c r="AD14" s="12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2" t="s">
        <v>2882</v>
      </c>
    </row>
    <row r="15" spans="1:47" ht="10.5" customHeight="1">
      <c r="A15" s="8"/>
      <c r="B15" s="8"/>
      <c r="C15" s="8"/>
      <c r="D15" s="8"/>
      <c r="E15" s="8"/>
      <c r="F15" s="8" t="s">
        <v>2883</v>
      </c>
      <c r="H15" s="8"/>
      <c r="I15" s="8"/>
      <c r="J15" s="8"/>
      <c r="K15" s="9">
        <v>14</v>
      </c>
      <c r="L15" s="8"/>
      <c r="M15" s="8"/>
      <c r="N15" s="8"/>
      <c r="O15" s="8"/>
      <c r="P15" s="8"/>
      <c r="Q15" s="8"/>
      <c r="R15" s="12" t="s">
        <v>2624</v>
      </c>
      <c r="S15" s="12" t="s">
        <v>2625</v>
      </c>
      <c r="T15" s="8"/>
      <c r="U15" s="8"/>
      <c r="V15" s="8" t="s">
        <v>1617</v>
      </c>
      <c r="W15" s="14"/>
      <c r="X15" s="14"/>
      <c r="Y15" s="14"/>
      <c r="Z15" s="14"/>
      <c r="AA15" s="12" t="s">
        <v>2884</v>
      </c>
      <c r="AB15" s="13" t="s">
        <v>1921</v>
      </c>
      <c r="AC15" s="12" t="s">
        <v>2885</v>
      </c>
      <c r="AD15" s="12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2" t="s">
        <v>2886</v>
      </c>
    </row>
    <row r="16" spans="1:47" ht="10.5" customHeight="1">
      <c r="A16" s="8"/>
      <c r="B16" s="8"/>
      <c r="C16" s="8"/>
      <c r="D16" s="8"/>
      <c r="E16" s="8"/>
      <c r="F16" s="8" t="s">
        <v>2887</v>
      </c>
      <c r="H16" s="8"/>
      <c r="I16" s="8"/>
      <c r="J16" s="8"/>
      <c r="K16" s="9">
        <v>15</v>
      </c>
      <c r="L16" s="8"/>
      <c r="M16" s="8"/>
      <c r="N16" s="8"/>
      <c r="O16" s="8"/>
      <c r="P16" s="8"/>
      <c r="Q16" s="8"/>
      <c r="R16" s="12" t="s">
        <v>2888</v>
      </c>
      <c r="S16" s="12" t="s">
        <v>2461</v>
      </c>
      <c r="T16" s="8"/>
      <c r="U16" s="8"/>
      <c r="V16" s="8" t="s">
        <v>1749</v>
      </c>
      <c r="W16" s="14"/>
      <c r="X16" s="14"/>
      <c r="Y16" s="14"/>
      <c r="Z16" s="14"/>
      <c r="AA16" s="12" t="s">
        <v>2889</v>
      </c>
      <c r="AB16" s="13" t="s">
        <v>1953</v>
      </c>
      <c r="AC16" s="12" t="s">
        <v>2890</v>
      </c>
      <c r="AD16" s="12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2" t="s">
        <v>2891</v>
      </c>
    </row>
    <row r="17" spans="1:42" ht="10.5" customHeight="1">
      <c r="A17" s="8"/>
      <c r="B17" s="8"/>
      <c r="C17" s="8"/>
      <c r="D17" s="8"/>
      <c r="E17" s="8"/>
      <c r="F17" s="8" t="s">
        <v>2892</v>
      </c>
      <c r="H17" s="8"/>
      <c r="I17" s="8"/>
      <c r="J17" s="8"/>
      <c r="K17" s="9">
        <v>16</v>
      </c>
      <c r="L17" s="8"/>
      <c r="M17" s="16"/>
      <c r="N17" s="8"/>
      <c r="O17" s="8"/>
      <c r="P17" s="8"/>
      <c r="Q17" s="8"/>
      <c r="R17" s="8" t="s">
        <v>2893</v>
      </c>
      <c r="S17" s="12" t="s">
        <v>2894</v>
      </c>
      <c r="T17" s="8"/>
      <c r="U17" s="8"/>
      <c r="V17" s="8" t="s">
        <v>1702</v>
      </c>
      <c r="W17" s="14"/>
      <c r="X17" s="14"/>
      <c r="Y17" s="14"/>
      <c r="Z17" s="14"/>
      <c r="AA17" s="12" t="s">
        <v>2895</v>
      </c>
      <c r="AB17" s="13" t="s">
        <v>1959</v>
      </c>
      <c r="AC17" s="12" t="s">
        <v>2896</v>
      </c>
      <c r="AD17" s="12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2" t="s">
        <v>2897</v>
      </c>
    </row>
    <row r="18" spans="1:42" ht="10.5" customHeight="1">
      <c r="A18" s="8"/>
      <c r="B18" s="8"/>
      <c r="C18" s="8"/>
      <c r="D18" s="8"/>
      <c r="E18" s="8"/>
      <c r="F18" s="8" t="s">
        <v>2898</v>
      </c>
      <c r="H18" s="8"/>
      <c r="I18" s="8"/>
      <c r="J18" s="8"/>
      <c r="K18" s="9">
        <v>17</v>
      </c>
      <c r="L18" s="8"/>
      <c r="M18" s="8"/>
      <c r="N18" s="8"/>
      <c r="O18" s="8"/>
      <c r="P18" s="8"/>
      <c r="Q18" s="8"/>
      <c r="R18" s="12" t="s">
        <v>2644</v>
      </c>
      <c r="S18" s="12" t="s">
        <v>2645</v>
      </c>
      <c r="T18" s="8"/>
      <c r="U18" s="8"/>
      <c r="V18" s="8" t="s">
        <v>1753</v>
      </c>
      <c r="W18" s="14"/>
      <c r="X18" s="14"/>
      <c r="Y18" s="14"/>
      <c r="Z18" s="14"/>
      <c r="AA18" s="12" t="s">
        <v>2899</v>
      </c>
      <c r="AB18" s="13" t="s">
        <v>292</v>
      </c>
      <c r="AC18" s="12" t="s">
        <v>2900</v>
      </c>
      <c r="AD18" s="12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2" t="s">
        <v>2901</v>
      </c>
    </row>
    <row r="19" spans="1:42" ht="10.5" customHeight="1">
      <c r="A19" s="8"/>
      <c r="B19" s="8"/>
      <c r="C19" s="8"/>
      <c r="D19" s="8"/>
      <c r="E19" s="8"/>
      <c r="F19" s="8" t="s">
        <v>2902</v>
      </c>
      <c r="H19" s="8"/>
      <c r="I19" s="8"/>
      <c r="J19" s="8"/>
      <c r="K19" s="9">
        <v>18</v>
      </c>
      <c r="L19" s="8"/>
      <c r="M19" s="8"/>
      <c r="N19" s="8"/>
      <c r="O19" s="8"/>
      <c r="P19" s="8"/>
      <c r="Q19" s="8"/>
      <c r="R19" s="12" t="s">
        <v>2384</v>
      </c>
      <c r="S19" s="12" t="s">
        <v>2385</v>
      </c>
      <c r="T19" s="8"/>
      <c r="U19" s="8"/>
      <c r="V19" s="8" t="s">
        <v>1757</v>
      </c>
      <c r="W19" s="14"/>
      <c r="X19" s="14"/>
      <c r="Y19" s="14"/>
      <c r="Z19" s="14"/>
      <c r="AA19" s="12" t="s">
        <v>2903</v>
      </c>
      <c r="AB19" s="13" t="s">
        <v>2005</v>
      </c>
      <c r="AC19" s="12" t="s">
        <v>2904</v>
      </c>
      <c r="AD19" s="12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2" t="s">
        <v>2905</v>
      </c>
    </row>
    <row r="20" spans="1:42" ht="10.5" customHeight="1">
      <c r="A20" s="8"/>
      <c r="B20" s="8"/>
      <c r="C20" s="8"/>
      <c r="D20" s="8"/>
      <c r="E20" s="8"/>
      <c r="F20" s="8" t="s">
        <v>2906</v>
      </c>
      <c r="G20" s="8"/>
      <c r="H20" s="8"/>
      <c r="I20" s="8"/>
      <c r="J20" s="8"/>
      <c r="K20" s="9">
        <v>19</v>
      </c>
      <c r="L20" s="8"/>
      <c r="M20" s="8"/>
      <c r="N20" s="8"/>
      <c r="O20" s="8"/>
      <c r="P20" s="8"/>
      <c r="Q20" s="8"/>
      <c r="R20" s="8" t="s">
        <v>2554</v>
      </c>
      <c r="S20" s="12" t="s">
        <v>2555</v>
      </c>
      <c r="T20" s="8"/>
      <c r="U20" s="8"/>
      <c r="V20" s="8" t="s">
        <v>1761</v>
      </c>
      <c r="W20" s="14"/>
      <c r="X20" s="14"/>
      <c r="Y20" s="14"/>
      <c r="Z20" s="14"/>
      <c r="AA20" s="12" t="s">
        <v>2907</v>
      </c>
      <c r="AB20" s="13" t="s">
        <v>2041</v>
      </c>
      <c r="AC20" s="12" t="s">
        <v>2908</v>
      </c>
      <c r="AD20" s="12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2" t="s">
        <v>2909</v>
      </c>
    </row>
    <row r="21" spans="1:42" ht="10.5" customHeight="1">
      <c r="A21" s="8"/>
      <c r="B21" s="8"/>
      <c r="C21" s="8"/>
      <c r="D21" s="8"/>
      <c r="E21" s="14"/>
      <c r="F21" s="8"/>
      <c r="G21" s="8"/>
      <c r="H21" s="8"/>
      <c r="I21" s="8"/>
      <c r="J21" s="8"/>
      <c r="K21" s="9">
        <v>20</v>
      </c>
      <c r="L21" s="8"/>
      <c r="M21" s="8"/>
      <c r="N21" s="8"/>
      <c r="O21" s="8"/>
      <c r="P21" s="8"/>
      <c r="Q21" s="8"/>
      <c r="R21" s="8" t="s">
        <v>2567</v>
      </c>
      <c r="S21" s="12" t="s">
        <v>2568</v>
      </c>
      <c r="T21" s="8"/>
      <c r="U21" s="8"/>
      <c r="V21" s="8" t="s">
        <v>1765</v>
      </c>
      <c r="W21" s="14"/>
      <c r="X21" s="14"/>
      <c r="Y21" s="14"/>
      <c r="Z21" s="14"/>
      <c r="AA21" s="12" t="s">
        <v>2872</v>
      </c>
      <c r="AB21" s="13"/>
      <c r="AC21" s="12" t="s">
        <v>2910</v>
      </c>
      <c r="AD21" s="12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2" t="s">
        <v>2911</v>
      </c>
    </row>
    <row r="22" spans="1:42" ht="10.5" customHeight="1">
      <c r="A22" s="8"/>
      <c r="B22" s="8"/>
      <c r="C22" s="8"/>
      <c r="D22" s="8"/>
      <c r="E22" s="14"/>
      <c r="F22" s="14"/>
      <c r="G22" s="8"/>
      <c r="H22" s="8"/>
      <c r="I22" s="8"/>
      <c r="J22" s="8"/>
      <c r="K22" s="9">
        <v>21</v>
      </c>
      <c r="L22" s="8"/>
      <c r="M22" s="8"/>
      <c r="N22" s="8"/>
      <c r="O22" s="8"/>
      <c r="P22" s="8"/>
      <c r="Q22" s="8"/>
      <c r="R22" s="8" t="s">
        <v>2572</v>
      </c>
      <c r="S22" s="12" t="s">
        <v>2573</v>
      </c>
      <c r="T22" s="8"/>
      <c r="U22" s="8"/>
      <c r="V22" s="8" t="s">
        <v>1769</v>
      </c>
      <c r="W22" s="14"/>
      <c r="X22" s="14"/>
      <c r="Y22" s="14"/>
      <c r="Z22" s="14"/>
      <c r="AA22" s="14"/>
      <c r="AB22" s="13"/>
      <c r="AC22" s="12" t="s">
        <v>2912</v>
      </c>
      <c r="AD22" s="12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2" t="s">
        <v>2913</v>
      </c>
    </row>
    <row r="23" spans="1:42" ht="10.5" customHeight="1">
      <c r="A23" s="8"/>
      <c r="B23" s="8"/>
      <c r="C23" s="8"/>
      <c r="D23" s="8"/>
      <c r="E23" s="14"/>
      <c r="F23" s="14"/>
      <c r="G23" s="8"/>
      <c r="H23" s="8"/>
      <c r="I23" s="8"/>
      <c r="J23" s="8"/>
      <c r="K23" s="9">
        <v>22</v>
      </c>
      <c r="L23" s="8"/>
      <c r="M23" s="8"/>
      <c r="N23" s="8"/>
      <c r="O23" s="8"/>
      <c r="P23" s="8"/>
      <c r="Q23" s="8"/>
      <c r="R23" s="8" t="s">
        <v>2592</v>
      </c>
      <c r="S23" s="12" t="s">
        <v>2593</v>
      </c>
      <c r="T23" s="8"/>
      <c r="U23" s="8"/>
      <c r="V23" s="8" t="s">
        <v>1596</v>
      </c>
      <c r="W23" s="14"/>
      <c r="X23" s="14"/>
      <c r="Y23" s="14"/>
      <c r="Z23" s="14"/>
      <c r="AA23" s="14"/>
      <c r="AB23" s="13"/>
      <c r="AC23" s="12" t="s">
        <v>2914</v>
      </c>
      <c r="AD23" s="12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2" t="s">
        <v>2915</v>
      </c>
    </row>
    <row r="24" spans="1:42" ht="10.5" customHeight="1">
      <c r="A24" s="8"/>
      <c r="B24" s="8"/>
      <c r="C24" s="8"/>
      <c r="D24" s="8"/>
      <c r="E24" s="14"/>
      <c r="F24" s="14"/>
      <c r="G24" s="8"/>
      <c r="H24" s="8"/>
      <c r="I24" s="8"/>
      <c r="J24" s="8"/>
      <c r="K24" s="9">
        <v>23</v>
      </c>
      <c r="L24" s="8"/>
      <c r="M24" s="8"/>
      <c r="N24" s="8"/>
      <c r="O24" s="8"/>
      <c r="P24" s="8"/>
      <c r="Q24" s="8"/>
      <c r="R24" s="8" t="s">
        <v>2401</v>
      </c>
      <c r="S24" s="12" t="s">
        <v>2402</v>
      </c>
      <c r="T24" s="8"/>
      <c r="U24" s="8"/>
      <c r="V24" s="8" t="s">
        <v>1708</v>
      </c>
      <c r="W24" s="14"/>
      <c r="X24" s="14"/>
      <c r="Y24" s="14"/>
      <c r="Z24" s="14"/>
      <c r="AA24" s="14"/>
      <c r="AB24" s="13"/>
      <c r="AC24" s="12" t="s">
        <v>2916</v>
      </c>
      <c r="AD24" s="12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2" t="s">
        <v>2917</v>
      </c>
    </row>
    <row r="25" spans="1:42" ht="10.5" customHeight="1">
      <c r="A25" s="8"/>
      <c r="B25" s="8"/>
      <c r="C25" s="8"/>
      <c r="D25" s="8"/>
      <c r="E25" s="14"/>
      <c r="F25" s="14"/>
      <c r="G25" s="8"/>
      <c r="H25" s="8"/>
      <c r="I25" s="8"/>
      <c r="J25" s="8"/>
      <c r="K25" s="9">
        <v>24</v>
      </c>
      <c r="L25" s="8"/>
      <c r="M25" s="8"/>
      <c r="N25" s="8"/>
      <c r="O25" s="8"/>
      <c r="P25" s="8"/>
      <c r="Q25" s="8"/>
      <c r="R25" s="8" t="s">
        <v>2612</v>
      </c>
      <c r="S25" s="12" t="s">
        <v>2918</v>
      </c>
      <c r="T25" s="8"/>
      <c r="U25" s="8"/>
      <c r="V25" s="8" t="s">
        <v>1716</v>
      </c>
      <c r="W25" s="14"/>
      <c r="X25" s="14"/>
      <c r="Y25" s="14"/>
      <c r="Z25" s="14"/>
      <c r="AA25" s="14"/>
      <c r="AB25" s="13"/>
      <c r="AC25" s="12" t="s">
        <v>2919</v>
      </c>
      <c r="AD25" s="12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2" t="s">
        <v>2920</v>
      </c>
    </row>
    <row r="26" spans="1:42" ht="10.5" customHeight="1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8"/>
      <c r="R26" s="8" t="s">
        <v>2921</v>
      </c>
      <c r="S26" s="12" t="s">
        <v>2922</v>
      </c>
      <c r="T26" s="14"/>
      <c r="U26" s="14"/>
      <c r="V26" s="8" t="s">
        <v>1772</v>
      </c>
      <c r="W26" s="14"/>
      <c r="X26" s="14"/>
      <c r="Y26" s="14"/>
      <c r="Z26" s="14"/>
      <c r="AA26" s="14"/>
      <c r="AB26" s="13"/>
      <c r="AC26" s="12" t="s">
        <v>2923</v>
      </c>
      <c r="AD26" s="12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2" t="s">
        <v>2924</v>
      </c>
    </row>
    <row r="27" spans="1:42" ht="10.5" customHeight="1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8"/>
      <c r="R27" s="12" t="s">
        <v>2564</v>
      </c>
      <c r="S27" s="12" t="s">
        <v>2565</v>
      </c>
      <c r="T27" s="14"/>
      <c r="U27" s="14"/>
      <c r="V27" s="8" t="s">
        <v>1775</v>
      </c>
      <c r="W27" s="14"/>
      <c r="X27" s="14"/>
      <c r="Y27" s="14"/>
      <c r="Z27" s="14"/>
      <c r="AA27" s="14"/>
      <c r="AB27" s="13"/>
      <c r="AC27" s="12" t="s">
        <v>2925</v>
      </c>
      <c r="AD27" s="12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2" t="s">
        <v>2926</v>
      </c>
    </row>
    <row r="28" spans="1:42" ht="10.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8"/>
      <c r="R28" s="12" t="s">
        <v>2358</v>
      </c>
      <c r="S28" s="12" t="s">
        <v>2359</v>
      </c>
      <c r="T28" s="14"/>
      <c r="U28" s="14"/>
      <c r="V28" s="8" t="s">
        <v>1570</v>
      </c>
      <c r="W28" s="14"/>
      <c r="X28" s="14"/>
      <c r="Y28" s="14"/>
      <c r="Z28" s="14"/>
      <c r="AA28" s="14"/>
      <c r="AB28" s="13"/>
      <c r="AC28" s="12" t="s">
        <v>2927</v>
      </c>
      <c r="AD28" s="12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2" t="s">
        <v>2928</v>
      </c>
    </row>
    <row r="29" spans="1:42" ht="10.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2" t="s">
        <v>2372</v>
      </c>
      <c r="S29" s="12" t="s">
        <v>2373</v>
      </c>
      <c r="T29" s="14"/>
      <c r="U29" s="14"/>
      <c r="V29" s="8" t="s">
        <v>1712</v>
      </c>
      <c r="W29" s="14"/>
      <c r="X29" s="14"/>
      <c r="Y29" s="14"/>
      <c r="Z29" s="14"/>
      <c r="AA29" s="14"/>
      <c r="AB29" s="13"/>
      <c r="AC29" s="12" t="s">
        <v>2929</v>
      </c>
      <c r="AD29" s="12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2" t="s">
        <v>2872</v>
      </c>
    </row>
    <row r="30" spans="1:42" ht="10.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2" t="s">
        <v>2672</v>
      </c>
      <c r="S30" s="12" t="s">
        <v>2673</v>
      </c>
      <c r="T30" s="14"/>
      <c r="U30" s="14"/>
      <c r="V30" s="8" t="s">
        <v>1778</v>
      </c>
      <c r="W30" s="14"/>
      <c r="X30" s="14"/>
      <c r="Y30" s="14"/>
      <c r="Z30" s="14"/>
      <c r="AA30" s="14"/>
      <c r="AB30" s="13"/>
      <c r="AC30" s="12" t="s">
        <v>2930</v>
      </c>
      <c r="AD30" s="12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</row>
    <row r="31" spans="1:42" ht="10.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2" t="s">
        <v>2608</v>
      </c>
      <c r="S31" s="12" t="s">
        <v>2609</v>
      </c>
      <c r="T31" s="14"/>
      <c r="U31" s="14"/>
      <c r="V31" s="8" t="s">
        <v>1549</v>
      </c>
      <c r="W31" s="14"/>
      <c r="X31" s="14"/>
      <c r="Y31" s="14"/>
      <c r="Z31" s="14"/>
      <c r="AA31" s="14"/>
      <c r="AB31" s="13"/>
      <c r="AC31" s="12" t="s">
        <v>2931</v>
      </c>
      <c r="AD31" s="12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</row>
    <row r="32" spans="1:42" ht="10.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2" t="s">
        <v>2569</v>
      </c>
      <c r="S32" s="12" t="s">
        <v>2570</v>
      </c>
      <c r="T32" s="14"/>
      <c r="U32" s="14"/>
      <c r="V32" s="8" t="s">
        <v>1665</v>
      </c>
      <c r="W32" s="14"/>
      <c r="X32" s="14"/>
      <c r="Y32" s="14"/>
      <c r="Z32" s="14"/>
      <c r="AA32" s="14"/>
      <c r="AB32" s="13"/>
      <c r="AC32" s="12" t="s">
        <v>2932</v>
      </c>
      <c r="AD32" s="12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</row>
    <row r="33" spans="1:41" ht="10.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2" t="s">
        <v>2422</v>
      </c>
      <c r="S33" s="12" t="s">
        <v>2423</v>
      </c>
      <c r="T33" s="14"/>
      <c r="U33" s="14"/>
      <c r="V33" s="8" t="s">
        <v>1781</v>
      </c>
      <c r="W33" s="14"/>
      <c r="X33" s="14"/>
      <c r="Y33" s="14"/>
      <c r="Z33" s="14"/>
      <c r="AA33" s="14"/>
      <c r="AB33" s="13"/>
      <c r="AC33" s="12" t="s">
        <v>2933</v>
      </c>
      <c r="AD33" s="12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</row>
    <row r="34" spans="1:41" ht="10.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2" t="s">
        <v>2618</v>
      </c>
      <c r="S34" s="12" t="s">
        <v>2619</v>
      </c>
      <c r="T34" s="14"/>
      <c r="U34" s="14"/>
      <c r="V34" s="8" t="s">
        <v>1785</v>
      </c>
      <c r="W34" s="14"/>
      <c r="X34" s="14"/>
      <c r="Y34" s="14"/>
      <c r="Z34" s="14"/>
      <c r="AA34" s="14"/>
      <c r="AB34" s="13"/>
      <c r="AC34" s="12" t="s">
        <v>2934</v>
      </c>
      <c r="AD34" s="12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</row>
    <row r="35" spans="1:41" ht="10.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2" t="s">
        <v>2598</v>
      </c>
      <c r="S35" s="12" t="s">
        <v>2599</v>
      </c>
      <c r="T35" s="14"/>
      <c r="U35" s="14"/>
      <c r="V35" s="8" t="s">
        <v>1853</v>
      </c>
      <c r="W35" s="14"/>
      <c r="X35" s="14"/>
      <c r="Y35" s="14"/>
      <c r="Z35" s="14"/>
      <c r="AA35" s="14"/>
      <c r="AB35" s="13"/>
      <c r="AC35" s="12" t="s">
        <v>2935</v>
      </c>
      <c r="AD35" s="12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</row>
    <row r="36" spans="1:41" ht="10.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2" t="s">
        <v>2936</v>
      </c>
      <c r="S36" s="12" t="s">
        <v>2937</v>
      </c>
      <c r="T36" s="14"/>
      <c r="U36" s="14"/>
      <c r="V36" s="8" t="s">
        <v>1789</v>
      </c>
      <c r="W36" s="14"/>
      <c r="X36" s="14"/>
      <c r="Y36" s="14"/>
      <c r="Z36" s="14"/>
      <c r="AA36" s="14"/>
      <c r="AB36" s="13"/>
      <c r="AC36" s="12" t="s">
        <v>2938</v>
      </c>
      <c r="AD36" s="12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</row>
    <row r="37" spans="1:41" ht="10.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2" t="s">
        <v>2656</v>
      </c>
      <c r="S37" s="12" t="s">
        <v>2657</v>
      </c>
      <c r="T37" s="14"/>
      <c r="U37" s="14"/>
      <c r="V37" s="8" t="s">
        <v>1793</v>
      </c>
      <c r="W37" s="14"/>
      <c r="X37" s="14"/>
      <c r="Y37" s="14"/>
      <c r="Z37" s="14"/>
      <c r="AA37" s="14"/>
      <c r="AB37" s="13"/>
      <c r="AC37" s="12" t="s">
        <v>2939</v>
      </c>
      <c r="AD37" s="12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</row>
    <row r="38" spans="1:41" ht="10.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2" t="s">
        <v>2677</v>
      </c>
      <c r="S38" s="12" t="s">
        <v>2678</v>
      </c>
      <c r="T38" s="14"/>
      <c r="U38" s="14"/>
      <c r="V38" s="8" t="s">
        <v>1857</v>
      </c>
      <c r="W38" s="14"/>
      <c r="X38" s="14"/>
      <c r="Y38" s="14"/>
      <c r="Z38" s="14"/>
      <c r="AA38" s="14"/>
      <c r="AB38" s="13"/>
      <c r="AC38" s="12" t="s">
        <v>2940</v>
      </c>
      <c r="AD38" s="12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</row>
    <row r="39" spans="1:41" ht="10.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2" t="s">
        <v>2476</v>
      </c>
      <c r="S39" s="12" t="s">
        <v>2477</v>
      </c>
      <c r="T39" s="14"/>
      <c r="U39" s="14"/>
      <c r="V39" s="8" t="s">
        <v>1634</v>
      </c>
      <c r="W39" s="14"/>
      <c r="X39" s="14"/>
      <c r="Y39" s="14"/>
      <c r="Z39" s="14"/>
      <c r="AA39" s="14"/>
      <c r="AB39" s="13"/>
      <c r="AC39" s="12" t="s">
        <v>2941</v>
      </c>
      <c r="AD39" s="12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</row>
    <row r="40" spans="1:41" ht="10.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2" t="s">
        <v>2548</v>
      </c>
      <c r="S40" s="12" t="s">
        <v>2549</v>
      </c>
      <c r="T40" s="14"/>
      <c r="U40" s="14"/>
      <c r="V40" s="8" t="s">
        <v>138</v>
      </c>
      <c r="W40" s="14"/>
      <c r="X40" s="14"/>
      <c r="Y40" s="14"/>
      <c r="Z40" s="14"/>
      <c r="AA40" s="14"/>
      <c r="AB40" s="13"/>
      <c r="AC40" s="12" t="s">
        <v>2942</v>
      </c>
      <c r="AD40" s="12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</row>
    <row r="41" spans="1:41" ht="10.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2" t="s">
        <v>2943</v>
      </c>
      <c r="S41" s="12" t="s">
        <v>2944</v>
      </c>
      <c r="T41" s="14"/>
      <c r="U41" s="14"/>
      <c r="V41" s="8" t="s">
        <v>1797</v>
      </c>
      <c r="W41" s="14"/>
      <c r="X41" s="14"/>
      <c r="Y41" s="14"/>
      <c r="Z41" s="14"/>
      <c r="AA41" s="14"/>
      <c r="AB41" s="13"/>
      <c r="AC41" s="12" t="s">
        <v>2945</v>
      </c>
      <c r="AD41" s="12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</row>
    <row r="42" spans="1:41" ht="10.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2" t="s">
        <v>2946</v>
      </c>
      <c r="S42" s="12" t="s">
        <v>2947</v>
      </c>
      <c r="T42" s="14"/>
      <c r="U42" s="14"/>
      <c r="V42" s="8" t="s">
        <v>1720</v>
      </c>
      <c r="W42" s="14"/>
      <c r="X42" s="14"/>
      <c r="Y42" s="14"/>
      <c r="Z42" s="14"/>
      <c r="AA42" s="14"/>
      <c r="AB42" s="13"/>
      <c r="AC42" s="12" t="s">
        <v>2948</v>
      </c>
      <c r="AD42" s="12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</row>
    <row r="43" spans="1:41" ht="10.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2" t="s">
        <v>2544</v>
      </c>
      <c r="S43" s="12" t="s">
        <v>2545</v>
      </c>
      <c r="T43" s="14"/>
      <c r="U43" s="14"/>
      <c r="V43" s="8" t="s">
        <v>1553</v>
      </c>
      <c r="W43" s="14"/>
      <c r="X43" s="14"/>
      <c r="Y43" s="14"/>
      <c r="Z43" s="14"/>
      <c r="AA43" s="14"/>
      <c r="AB43" s="13"/>
      <c r="AC43" s="12" t="s">
        <v>2949</v>
      </c>
      <c r="AD43" s="12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</row>
    <row r="44" spans="1:41" ht="10.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2" t="s">
        <v>2493</v>
      </c>
      <c r="S44" s="12" t="s">
        <v>2494</v>
      </c>
      <c r="T44" s="14"/>
      <c r="U44" s="14"/>
      <c r="V44" s="8" t="s">
        <v>1608</v>
      </c>
      <c r="W44" s="14"/>
      <c r="X44" s="14"/>
      <c r="Y44" s="14"/>
      <c r="Z44" s="14"/>
      <c r="AA44" s="14"/>
      <c r="AB44" s="13"/>
      <c r="AC44" s="12" t="s">
        <v>2950</v>
      </c>
      <c r="AD44" s="12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</row>
    <row r="45" spans="1:41" ht="10.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2" t="s">
        <v>2417</v>
      </c>
      <c r="S45" s="12" t="s">
        <v>2418</v>
      </c>
      <c r="T45" s="14"/>
      <c r="U45" s="14"/>
      <c r="V45" s="8" t="s">
        <v>1612</v>
      </c>
      <c r="W45" s="14"/>
      <c r="X45" s="14"/>
      <c r="Y45" s="14"/>
      <c r="Z45" s="14"/>
      <c r="AA45" s="14"/>
      <c r="AB45" s="13"/>
      <c r="AC45" s="12" t="s">
        <v>2951</v>
      </c>
      <c r="AD45" s="12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</row>
    <row r="46" spans="1:41" ht="10.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2" t="s">
        <v>2420</v>
      </c>
      <c r="S46" s="12" t="s">
        <v>2419</v>
      </c>
      <c r="T46" s="14"/>
      <c r="U46" s="14"/>
      <c r="V46" s="8" t="s">
        <v>1669</v>
      </c>
      <c r="W46" s="14"/>
      <c r="X46" s="14"/>
      <c r="Y46" s="14"/>
      <c r="Z46" s="14"/>
      <c r="AA46" s="14"/>
      <c r="AB46" s="13"/>
      <c r="AC46" s="12" t="s">
        <v>2952</v>
      </c>
      <c r="AD46" s="12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</row>
    <row r="47" spans="1:41" ht="10.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2" t="s">
        <v>2594</v>
      </c>
      <c r="S47" s="12" t="s">
        <v>2595</v>
      </c>
      <c r="T47" s="14"/>
      <c r="U47" s="14"/>
      <c r="V47" s="8" t="s">
        <v>1861</v>
      </c>
      <c r="W47" s="14"/>
      <c r="X47" s="14"/>
      <c r="Y47" s="14"/>
      <c r="Z47" s="14"/>
      <c r="AA47" s="14"/>
      <c r="AB47" s="13"/>
      <c r="AC47" s="12" t="s">
        <v>2953</v>
      </c>
      <c r="AD47" s="12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</row>
    <row r="48" spans="1:41" ht="10.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2" t="s">
        <v>2681</v>
      </c>
      <c r="S48" s="12" t="s">
        <v>2682</v>
      </c>
      <c r="T48" s="14"/>
      <c r="U48" s="14"/>
      <c r="V48" s="8" t="s">
        <v>1865</v>
      </c>
      <c r="W48" s="14"/>
      <c r="X48" s="14"/>
      <c r="Y48" s="14"/>
      <c r="Z48" s="14"/>
      <c r="AA48" s="14"/>
      <c r="AB48" s="13"/>
      <c r="AC48" s="12" t="s">
        <v>2954</v>
      </c>
      <c r="AD48" s="12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</row>
    <row r="49" spans="1:41" ht="10.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2" t="s">
        <v>2955</v>
      </c>
      <c r="S49" s="12" t="s">
        <v>2956</v>
      </c>
      <c r="T49" s="14"/>
      <c r="U49" s="14"/>
      <c r="V49" s="8" t="s">
        <v>1801</v>
      </c>
      <c r="W49" s="14"/>
      <c r="X49" s="14"/>
      <c r="Y49" s="14"/>
      <c r="Z49" s="14"/>
      <c r="AA49" s="14"/>
      <c r="AB49" s="13"/>
      <c r="AC49" s="12" t="s">
        <v>2957</v>
      </c>
      <c r="AD49" s="12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</row>
    <row r="50" spans="1:41" ht="10.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2" t="s">
        <v>2456</v>
      </c>
      <c r="S50" s="12" t="s">
        <v>2457</v>
      </c>
      <c r="T50" s="14"/>
      <c r="U50" s="14"/>
      <c r="V50" s="8" t="s">
        <v>1869</v>
      </c>
      <c r="W50" s="14"/>
      <c r="X50" s="14"/>
      <c r="Y50" s="14"/>
      <c r="Z50" s="14"/>
      <c r="AA50" s="14"/>
      <c r="AB50" s="13"/>
      <c r="AC50" s="12" t="s">
        <v>2958</v>
      </c>
      <c r="AD50" s="12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</row>
    <row r="51" spans="1:41" ht="10.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2" t="s">
        <v>2652</v>
      </c>
      <c r="S51" s="12" t="s">
        <v>2653</v>
      </c>
      <c r="T51" s="14"/>
      <c r="U51" s="14"/>
      <c r="V51" s="8" t="s">
        <v>1848</v>
      </c>
      <c r="W51" s="14"/>
      <c r="X51" s="14"/>
      <c r="Y51" s="14"/>
      <c r="Z51" s="14"/>
      <c r="AA51" s="14"/>
      <c r="AB51" s="13"/>
      <c r="AC51" s="12" t="s">
        <v>2959</v>
      </c>
      <c r="AD51" s="12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</row>
    <row r="52" spans="1:41" ht="10.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2" t="s">
        <v>2536</v>
      </c>
      <c r="S52" s="12" t="s">
        <v>2537</v>
      </c>
      <c r="T52" s="14"/>
      <c r="U52" s="14"/>
      <c r="V52" s="8" t="s">
        <v>1575</v>
      </c>
      <c r="W52" s="14"/>
      <c r="X52" s="14"/>
      <c r="Y52" s="14"/>
      <c r="Z52" s="14"/>
      <c r="AA52" s="14"/>
      <c r="AB52" s="13"/>
      <c r="AC52" s="12" t="s">
        <v>2960</v>
      </c>
      <c r="AD52" s="12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</row>
    <row r="53" spans="1:41" ht="10.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2" t="s">
        <v>2538</v>
      </c>
      <c r="S53" s="12" t="s">
        <v>2539</v>
      </c>
      <c r="T53" s="14"/>
      <c r="U53" s="14"/>
      <c r="V53" s="8" t="s">
        <v>1805</v>
      </c>
      <c r="W53" s="14"/>
      <c r="X53" s="14"/>
      <c r="Y53" s="14"/>
      <c r="Z53" s="14"/>
      <c r="AA53" s="14"/>
      <c r="AB53" s="13"/>
      <c r="AC53" s="12" t="s">
        <v>2961</v>
      </c>
      <c r="AD53" s="12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</row>
    <row r="54" spans="1:41" ht="10.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2" t="s">
        <v>2466</v>
      </c>
      <c r="S54" s="12" t="s">
        <v>2467</v>
      </c>
      <c r="T54" s="14"/>
      <c r="U54" s="14"/>
      <c r="V54" s="8" t="s">
        <v>1723</v>
      </c>
      <c r="W54" s="14"/>
      <c r="X54" s="14"/>
      <c r="Y54" s="14"/>
      <c r="Z54" s="14"/>
      <c r="AA54" s="14"/>
      <c r="AB54" s="13"/>
      <c r="AC54" s="12" t="s">
        <v>2962</v>
      </c>
      <c r="AD54" s="12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</row>
    <row r="55" spans="1:41" ht="10.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2" t="s">
        <v>2380</v>
      </c>
      <c r="S55" s="12" t="s">
        <v>2379</v>
      </c>
      <c r="T55" s="14"/>
      <c r="U55" s="14"/>
      <c r="V55" s="8" t="s">
        <v>1600</v>
      </c>
      <c r="W55" s="14"/>
      <c r="X55" s="14"/>
      <c r="Y55" s="14"/>
      <c r="Z55" s="14"/>
      <c r="AA55" s="14"/>
      <c r="AB55" s="13"/>
      <c r="AC55" s="12" t="s">
        <v>2963</v>
      </c>
      <c r="AD55" s="12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</row>
    <row r="56" spans="1:41" ht="10.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2" t="s">
        <v>2454</v>
      </c>
      <c r="S56" s="12" t="s">
        <v>2455</v>
      </c>
      <c r="T56" s="14"/>
      <c r="U56" s="14"/>
      <c r="V56" s="8" t="s">
        <v>1814</v>
      </c>
      <c r="W56" s="14"/>
      <c r="X56" s="14"/>
      <c r="Y56" s="14"/>
      <c r="Z56" s="14"/>
      <c r="AA56" s="14"/>
      <c r="AB56" s="13"/>
      <c r="AC56" s="12" t="s">
        <v>2964</v>
      </c>
      <c r="AD56" s="12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</row>
    <row r="57" spans="1:41" ht="10.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2" t="s">
        <v>2486</v>
      </c>
      <c r="S57" s="12" t="s">
        <v>2487</v>
      </c>
      <c r="T57" s="14"/>
      <c r="U57" s="14"/>
      <c r="V57" s="8" t="s">
        <v>1818</v>
      </c>
      <c r="W57" s="14"/>
      <c r="X57" s="14"/>
      <c r="Y57" s="14"/>
      <c r="Z57" s="14"/>
      <c r="AA57" s="14"/>
      <c r="AB57" s="13"/>
      <c r="AC57" s="12" t="s">
        <v>2965</v>
      </c>
      <c r="AD57" s="12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</row>
    <row r="58" spans="1:41" ht="10.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2" t="s">
        <v>2377</v>
      </c>
      <c r="S58" s="12" t="s">
        <v>2966</v>
      </c>
      <c r="T58" s="14"/>
      <c r="U58" s="14"/>
      <c r="V58" s="8" t="s">
        <v>1822</v>
      </c>
      <c r="W58" s="14"/>
      <c r="X58" s="14"/>
      <c r="Y58" s="14"/>
      <c r="Z58" s="14"/>
      <c r="AA58" s="14"/>
      <c r="AB58" s="13"/>
      <c r="AC58" s="12" t="s">
        <v>2967</v>
      </c>
      <c r="AD58" s="12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</row>
    <row r="59" spans="1:41" ht="10.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2" t="s">
        <v>2968</v>
      </c>
      <c r="S59" s="12" t="s">
        <v>2969</v>
      </c>
      <c r="T59" s="14"/>
      <c r="U59" s="14"/>
      <c r="V59" s="8" t="s">
        <v>1826</v>
      </c>
      <c r="W59" s="14"/>
      <c r="X59" s="14"/>
      <c r="Y59" s="14"/>
      <c r="Z59" s="14"/>
      <c r="AA59" s="14"/>
      <c r="AB59" s="13"/>
      <c r="AC59" s="12" t="s">
        <v>2970</v>
      </c>
      <c r="AD59" s="12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</row>
    <row r="60" spans="1:41" ht="10.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2" t="s">
        <v>2577</v>
      </c>
      <c r="S60" s="12" t="s">
        <v>2578</v>
      </c>
      <c r="T60" s="14"/>
      <c r="U60" s="14"/>
      <c r="V60" s="8" t="s">
        <v>1625</v>
      </c>
      <c r="W60" s="14"/>
      <c r="X60" s="14"/>
      <c r="Y60" s="14"/>
      <c r="Z60" s="14"/>
      <c r="AA60" s="14"/>
      <c r="AB60" s="13"/>
      <c r="AC60" s="12" t="s">
        <v>2971</v>
      </c>
      <c r="AD60" s="12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</row>
    <row r="61" spans="1:41" ht="10.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2" t="s">
        <v>2433</v>
      </c>
      <c r="S61" s="12" t="s">
        <v>2432</v>
      </c>
      <c r="T61" s="14"/>
      <c r="U61" s="14"/>
      <c r="V61" s="8" t="s">
        <v>1640</v>
      </c>
      <c r="W61" s="14"/>
      <c r="X61" s="14"/>
      <c r="Y61" s="14"/>
      <c r="Z61" s="14"/>
      <c r="AA61" s="14"/>
      <c r="AB61" s="13"/>
      <c r="AC61" s="12" t="s">
        <v>2972</v>
      </c>
      <c r="AD61" s="12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</row>
    <row r="62" spans="1:41" ht="10.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2" t="s">
        <v>2520</v>
      </c>
      <c r="S62" s="12" t="s">
        <v>2521</v>
      </c>
      <c r="T62" s="14"/>
      <c r="U62" s="14"/>
      <c r="V62" s="8" t="s">
        <v>1644</v>
      </c>
      <c r="W62" s="14"/>
      <c r="X62" s="14"/>
      <c r="Y62" s="14"/>
      <c r="Z62" s="14"/>
      <c r="AA62" s="14"/>
      <c r="AB62" s="13"/>
      <c r="AC62" s="12" t="s">
        <v>2973</v>
      </c>
      <c r="AD62" s="12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</row>
    <row r="63" spans="1:41" ht="10.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2" t="s">
        <v>2430</v>
      </c>
      <c r="S63" s="12" t="s">
        <v>2431</v>
      </c>
      <c r="T63" s="14"/>
      <c r="U63" s="14"/>
      <c r="V63" s="8" t="s">
        <v>1579</v>
      </c>
      <c r="W63" s="14"/>
      <c r="X63" s="14"/>
      <c r="Y63" s="14"/>
      <c r="Z63" s="14"/>
      <c r="AA63" s="14"/>
      <c r="AB63" s="13"/>
      <c r="AC63" s="12" t="s">
        <v>2974</v>
      </c>
      <c r="AD63" s="12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</row>
    <row r="64" spans="1:41" ht="10.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2" t="s">
        <v>2662</v>
      </c>
      <c r="S64" s="12" t="s">
        <v>2663</v>
      </c>
      <c r="T64" s="14"/>
      <c r="U64" s="14"/>
      <c r="V64" s="8" t="s">
        <v>1677</v>
      </c>
      <c r="W64" s="14"/>
      <c r="X64" s="14"/>
      <c r="Y64" s="14"/>
      <c r="Z64" s="14"/>
      <c r="AA64" s="14"/>
      <c r="AB64" s="13"/>
      <c r="AC64" s="12" t="s">
        <v>2975</v>
      </c>
      <c r="AD64" s="12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</row>
    <row r="65" spans="1:41" ht="10.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2" t="s">
        <v>2550</v>
      </c>
      <c r="S65" s="12" t="s">
        <v>2551</v>
      </c>
      <c r="T65" s="14"/>
      <c r="U65" s="14"/>
      <c r="V65" s="8" t="s">
        <v>1648</v>
      </c>
      <c r="W65" s="14"/>
      <c r="X65" s="14"/>
      <c r="Y65" s="14"/>
      <c r="Z65" s="14"/>
      <c r="AA65" s="14"/>
      <c r="AB65" s="13"/>
      <c r="AC65" s="12" t="s">
        <v>2976</v>
      </c>
      <c r="AD65" s="12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</row>
    <row r="66" spans="1:41" ht="10.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2" t="s">
        <v>2977</v>
      </c>
      <c r="S66" s="12" t="s">
        <v>2978</v>
      </c>
      <c r="T66" s="14"/>
      <c r="U66" s="14"/>
      <c r="V66" s="8" t="s">
        <v>1829</v>
      </c>
      <c r="W66" s="14"/>
      <c r="X66" s="14"/>
      <c r="Y66" s="14"/>
      <c r="Z66" s="14"/>
      <c r="AA66" s="14"/>
      <c r="AB66" s="13"/>
      <c r="AC66" s="12" t="s">
        <v>2979</v>
      </c>
      <c r="AD66" s="12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</row>
    <row r="67" spans="1:41" ht="10.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2" t="s">
        <v>2562</v>
      </c>
      <c r="S67" s="12" t="s">
        <v>2563</v>
      </c>
      <c r="T67" s="14"/>
      <c r="U67" s="14"/>
      <c r="V67" s="8" t="s">
        <v>1629</v>
      </c>
      <c r="W67" s="14"/>
      <c r="X67" s="14"/>
      <c r="Y67" s="14"/>
      <c r="Z67" s="14"/>
      <c r="AA67" s="14"/>
      <c r="AB67" s="13"/>
      <c r="AC67" s="12" t="s">
        <v>2980</v>
      </c>
      <c r="AD67" s="12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</row>
    <row r="68" spans="1:41" ht="10.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2" t="s">
        <v>2482</v>
      </c>
      <c r="S68" s="12" t="s">
        <v>2483</v>
      </c>
      <c r="T68" s="14"/>
      <c r="U68" s="14"/>
      <c r="V68" s="8" t="s">
        <v>1604</v>
      </c>
      <c r="W68" s="14"/>
      <c r="X68" s="14"/>
      <c r="Y68" s="14"/>
      <c r="Z68" s="14"/>
      <c r="AA68" s="14"/>
      <c r="AB68" s="13"/>
      <c r="AC68" s="12" t="s">
        <v>2981</v>
      </c>
      <c r="AD68" s="12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</row>
    <row r="69" spans="1:41" ht="10.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2" t="s">
        <v>2552</v>
      </c>
      <c r="S69" s="12" t="s">
        <v>2553</v>
      </c>
      <c r="T69" s="14"/>
      <c r="U69" s="14"/>
      <c r="V69" s="8" t="s">
        <v>1557</v>
      </c>
      <c r="W69" s="14"/>
      <c r="X69" s="14"/>
      <c r="Y69" s="14"/>
      <c r="Z69" s="14"/>
      <c r="AA69" s="14"/>
      <c r="AB69" s="13"/>
      <c r="AC69" s="12" t="s">
        <v>2982</v>
      </c>
      <c r="AD69" s="12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</row>
    <row r="70" spans="1:41" ht="10.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2" t="s">
        <v>2983</v>
      </c>
      <c r="S70" s="12" t="s">
        <v>2463</v>
      </c>
      <c r="T70" s="14"/>
      <c r="U70" s="14"/>
      <c r="V70" s="8" t="s">
        <v>1534</v>
      </c>
      <c r="W70" s="14"/>
      <c r="X70" s="14"/>
      <c r="Y70" s="14"/>
      <c r="Z70" s="14"/>
      <c r="AA70" s="14"/>
      <c r="AB70" s="13"/>
      <c r="AC70" s="12" t="s">
        <v>2984</v>
      </c>
      <c r="AD70" s="12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</row>
    <row r="71" spans="1:41" ht="10.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2" t="s">
        <v>2465</v>
      </c>
      <c r="S71" s="12" t="s">
        <v>2464</v>
      </c>
      <c r="T71" s="14"/>
      <c r="U71" s="14"/>
      <c r="V71" s="8" t="s">
        <v>1591</v>
      </c>
      <c r="W71" s="14"/>
      <c r="X71" s="14"/>
      <c r="Y71" s="14"/>
      <c r="Z71" s="14"/>
      <c r="AA71" s="14"/>
      <c r="AB71" s="13"/>
      <c r="AC71" s="12" t="s">
        <v>2985</v>
      </c>
      <c r="AD71" s="12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</row>
    <row r="72" spans="1:41" ht="10.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2" t="s">
        <v>2582</v>
      </c>
      <c r="S72" s="17" t="s">
        <v>2583</v>
      </c>
      <c r="T72" s="14"/>
      <c r="U72" s="14"/>
      <c r="V72" s="8" t="s">
        <v>1833</v>
      </c>
      <c r="W72" s="14"/>
      <c r="X72" s="14"/>
      <c r="Y72" s="14"/>
      <c r="Z72" s="14"/>
      <c r="AA72" s="14"/>
      <c r="AB72" s="13"/>
      <c r="AC72" s="12" t="s">
        <v>2986</v>
      </c>
      <c r="AD72" s="12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</row>
    <row r="73" spans="1:41" ht="10.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2" t="s">
        <v>2500</v>
      </c>
      <c r="S73" s="17" t="s">
        <v>2501</v>
      </c>
      <c r="T73" s="14"/>
      <c r="U73" s="14"/>
      <c r="V73" s="8" t="s">
        <v>1673</v>
      </c>
      <c r="W73" s="14"/>
      <c r="X73" s="14"/>
      <c r="Y73" s="14"/>
      <c r="Z73" s="14"/>
      <c r="AA73" s="14"/>
      <c r="AB73" s="13"/>
      <c r="AC73" s="12" t="s">
        <v>2987</v>
      </c>
      <c r="AD73" s="12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</row>
    <row r="74" spans="1:41" ht="10.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2" t="s">
        <v>2679</v>
      </c>
      <c r="S74" s="12" t="s">
        <v>2680</v>
      </c>
      <c r="T74" s="14"/>
      <c r="U74" s="14"/>
      <c r="V74" s="8" t="s">
        <v>1836</v>
      </c>
      <c r="W74" s="14"/>
      <c r="X74" s="14"/>
      <c r="Y74" s="14"/>
      <c r="Z74" s="14"/>
      <c r="AA74" s="14"/>
      <c r="AB74" s="13"/>
      <c r="AC74" s="12" t="s">
        <v>2988</v>
      </c>
      <c r="AD74" s="12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</row>
    <row r="75" spans="1:41" ht="10.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2" t="s">
        <v>2517</v>
      </c>
      <c r="S75" s="12" t="s">
        <v>2518</v>
      </c>
      <c r="T75" s="14"/>
      <c r="U75" s="14"/>
      <c r="V75" s="8" t="s">
        <v>1873</v>
      </c>
      <c r="W75" s="14"/>
      <c r="X75" s="14"/>
      <c r="Y75" s="14"/>
      <c r="Z75" s="14"/>
      <c r="AA75" s="14"/>
      <c r="AB75" s="13"/>
      <c r="AC75" s="12" t="s">
        <v>2989</v>
      </c>
      <c r="AD75" s="12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</row>
    <row r="76" spans="1:41" ht="10.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2" t="s">
        <v>2990</v>
      </c>
      <c r="S76" s="12" t="s">
        <v>2991</v>
      </c>
      <c r="T76" s="14"/>
      <c r="U76" s="14"/>
      <c r="V76" s="8" t="s">
        <v>1809</v>
      </c>
      <c r="W76" s="14"/>
      <c r="X76" s="14"/>
      <c r="Y76" s="14"/>
      <c r="Z76" s="14"/>
      <c r="AA76" s="14"/>
      <c r="AB76" s="13"/>
      <c r="AC76" s="12" t="s">
        <v>2992</v>
      </c>
      <c r="AD76" s="12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</row>
    <row r="77" spans="1:41" ht="10.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2" t="s">
        <v>2488</v>
      </c>
      <c r="S77" s="12" t="s">
        <v>2489</v>
      </c>
      <c r="T77" s="14"/>
      <c r="U77" s="14"/>
      <c r="V77" s="8" t="s">
        <v>1681</v>
      </c>
      <c r="W77" s="14"/>
      <c r="X77" s="14"/>
      <c r="Y77" s="14"/>
      <c r="Z77" s="14"/>
      <c r="AA77" s="14"/>
      <c r="AB77" s="13"/>
      <c r="AC77" s="12" t="s">
        <v>2993</v>
      </c>
      <c r="AD77" s="12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</row>
    <row r="78" spans="1:41" ht="10.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2" t="s">
        <v>2660</v>
      </c>
      <c r="S78" s="12" t="s">
        <v>2661</v>
      </c>
      <c r="T78" s="14"/>
      <c r="U78" s="14"/>
      <c r="V78" s="8" t="s">
        <v>1685</v>
      </c>
      <c r="W78" s="14"/>
      <c r="X78" s="14"/>
      <c r="Y78" s="14"/>
      <c r="Z78" s="14"/>
      <c r="AA78" s="14"/>
      <c r="AB78" s="13"/>
      <c r="AC78" s="12" t="s">
        <v>2994</v>
      </c>
      <c r="AD78" s="12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</row>
    <row r="79" spans="1:41" ht="10.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2" t="s">
        <v>2995</v>
      </c>
      <c r="S79" s="12" t="s">
        <v>2996</v>
      </c>
      <c r="T79" s="14"/>
      <c r="U79" s="14"/>
      <c r="V79" s="8" t="s">
        <v>1583</v>
      </c>
      <c r="W79" s="14"/>
      <c r="X79" s="14"/>
      <c r="Y79" s="14"/>
      <c r="Z79" s="14"/>
      <c r="AA79" s="14"/>
      <c r="AB79" s="13"/>
      <c r="AC79" s="12" t="s">
        <v>2997</v>
      </c>
      <c r="AD79" s="12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</row>
    <row r="80" spans="1:41" ht="10.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2" t="s">
        <v>2515</v>
      </c>
      <c r="S80" s="12" t="s">
        <v>2514</v>
      </c>
      <c r="T80" s="14"/>
      <c r="U80" s="14"/>
      <c r="V80" s="8" t="s">
        <v>1621</v>
      </c>
      <c r="W80" s="14"/>
      <c r="X80" s="14"/>
      <c r="Y80" s="14"/>
      <c r="Z80" s="14"/>
      <c r="AA80" s="14"/>
      <c r="AB80" s="13"/>
      <c r="AC80" s="12" t="s">
        <v>2998</v>
      </c>
      <c r="AD80" s="12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</row>
    <row r="81" spans="1:41" ht="10.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2" t="s">
        <v>2512</v>
      </c>
      <c r="S81" s="12" t="s">
        <v>2513</v>
      </c>
      <c r="T81" s="14"/>
      <c r="U81" s="14"/>
      <c r="V81" s="8" t="s">
        <v>1689</v>
      </c>
      <c r="W81" s="14"/>
      <c r="X81" s="14"/>
      <c r="Y81" s="14"/>
      <c r="Z81" s="14"/>
      <c r="AA81" s="14"/>
      <c r="AB81" s="13"/>
      <c r="AC81" s="12" t="s">
        <v>2999</v>
      </c>
      <c r="AD81" s="12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</row>
    <row r="82" spans="1:41" ht="10.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2" t="s">
        <v>2587</v>
      </c>
      <c r="S82" s="12" t="s">
        <v>2588</v>
      </c>
      <c r="T82" s="14"/>
      <c r="U82" s="14"/>
      <c r="V82" s="8" t="s">
        <v>1587</v>
      </c>
      <c r="W82" s="14"/>
      <c r="X82" s="14"/>
      <c r="Y82" s="14"/>
      <c r="Z82" s="14"/>
      <c r="AA82" s="14"/>
      <c r="AB82" s="13"/>
      <c r="AC82" s="12" t="s">
        <v>3000</v>
      </c>
      <c r="AD82" s="12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</row>
    <row r="83" spans="1:41" ht="10.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2" t="s">
        <v>2658</v>
      </c>
      <c r="S83" s="12" t="s">
        <v>2659</v>
      </c>
      <c r="T83" s="14"/>
      <c r="U83" s="14"/>
      <c r="V83" s="8" t="s">
        <v>1840</v>
      </c>
      <c r="W83" s="14"/>
      <c r="X83" s="14"/>
      <c r="Y83" s="14"/>
      <c r="Z83" s="14"/>
      <c r="AA83" s="14"/>
      <c r="AB83" s="13"/>
      <c r="AC83" s="12" t="s">
        <v>3001</v>
      </c>
      <c r="AD83" s="12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</row>
    <row r="84" spans="1:41" ht="10.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2" t="s">
        <v>3002</v>
      </c>
      <c r="S84" s="18" t="s">
        <v>2541</v>
      </c>
      <c r="T84" s="14"/>
      <c r="U84" s="14"/>
      <c r="V84" s="8" t="s">
        <v>1727</v>
      </c>
      <c r="W84" s="14"/>
      <c r="X84" s="14"/>
      <c r="Y84" s="14"/>
      <c r="Z84" s="14"/>
      <c r="AA84" s="14"/>
      <c r="AB84" s="13"/>
      <c r="AC84" s="12" t="s">
        <v>3003</v>
      </c>
      <c r="AD84" s="12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</row>
    <row r="85" spans="1:41" ht="10.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2" t="s">
        <v>3004</v>
      </c>
      <c r="S85" s="12" t="s">
        <v>2623</v>
      </c>
      <c r="T85" s="14"/>
      <c r="U85" s="14"/>
      <c r="V85" s="8" t="s">
        <v>1693</v>
      </c>
      <c r="W85" s="14"/>
      <c r="X85" s="14"/>
      <c r="Y85" s="14"/>
      <c r="Z85" s="14"/>
      <c r="AA85" s="14"/>
      <c r="AB85" s="13"/>
      <c r="AC85" s="12" t="s">
        <v>3005</v>
      </c>
      <c r="AD85" s="12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</row>
    <row r="86" spans="1:41" ht="10.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2" t="s">
        <v>3006</v>
      </c>
      <c r="S86" s="12" t="s">
        <v>3007</v>
      </c>
      <c r="T86" s="14"/>
      <c r="U86" s="14"/>
      <c r="V86" s="8" t="s">
        <v>1697</v>
      </c>
      <c r="W86" s="14"/>
      <c r="X86" s="14"/>
      <c r="Y86" s="14"/>
      <c r="Z86" s="14"/>
      <c r="AA86" s="14"/>
      <c r="AB86" s="13"/>
      <c r="AC86" s="12" t="s">
        <v>3008</v>
      </c>
      <c r="AD86" s="12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</row>
    <row r="87" spans="1:41" ht="10.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2" t="s">
        <v>2499</v>
      </c>
      <c r="S87" s="12" t="s">
        <v>2498</v>
      </c>
      <c r="T87" s="14"/>
      <c r="U87" s="14"/>
      <c r="W87" s="14"/>
      <c r="X87" s="14"/>
      <c r="Y87" s="14"/>
      <c r="Z87" s="14"/>
      <c r="AA87" s="14"/>
      <c r="AB87" s="13"/>
      <c r="AC87" s="12" t="s">
        <v>3009</v>
      </c>
      <c r="AD87" s="12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</row>
    <row r="88" spans="1:41" ht="10.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2" t="s">
        <v>2496</v>
      </c>
      <c r="S88" s="12" t="s">
        <v>2497</v>
      </c>
      <c r="T88" s="14"/>
      <c r="U88" s="14"/>
      <c r="V88" s="8"/>
      <c r="W88" s="14"/>
      <c r="X88" s="14"/>
      <c r="Y88" s="14"/>
      <c r="Z88" s="14"/>
      <c r="AA88" s="14"/>
      <c r="AB88" s="13"/>
      <c r="AC88" s="12" t="s">
        <v>3010</v>
      </c>
      <c r="AD88" s="12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</row>
    <row r="89" spans="1:41" ht="10.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2" t="s">
        <v>3011</v>
      </c>
      <c r="S89" s="12" t="s">
        <v>3012</v>
      </c>
      <c r="T89" s="14"/>
      <c r="U89" s="14"/>
      <c r="V89" s="8"/>
      <c r="W89" s="14"/>
      <c r="X89" s="14"/>
      <c r="Y89" s="14"/>
      <c r="Z89" s="14"/>
      <c r="AA89" s="14"/>
      <c r="AB89" s="13"/>
      <c r="AC89" s="12" t="s">
        <v>3013</v>
      </c>
      <c r="AD89" s="12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</row>
    <row r="90" spans="1:41" ht="10.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2" t="s">
        <v>2448</v>
      </c>
      <c r="S90" s="12" t="s">
        <v>2447</v>
      </c>
      <c r="T90" s="14"/>
      <c r="U90" s="14"/>
      <c r="V90" s="8"/>
      <c r="W90" s="14"/>
      <c r="X90" s="14"/>
      <c r="Y90" s="14"/>
      <c r="Z90" s="14"/>
      <c r="AA90" s="14"/>
      <c r="AB90" s="13"/>
      <c r="AC90" s="12" t="s">
        <v>3014</v>
      </c>
      <c r="AD90" s="12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</row>
    <row r="91" spans="1:41" ht="10.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2" t="s">
        <v>2646</v>
      </c>
      <c r="S91" s="12" t="s">
        <v>2647</v>
      </c>
      <c r="T91" s="14"/>
      <c r="U91" s="14"/>
      <c r="V91" s="8"/>
      <c r="W91" s="14"/>
      <c r="X91" s="14"/>
      <c r="Y91" s="14"/>
      <c r="Z91" s="14"/>
      <c r="AA91" s="14"/>
      <c r="AB91" s="13"/>
      <c r="AC91" s="12" t="s">
        <v>3015</v>
      </c>
      <c r="AD91" s="12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</row>
    <row r="92" spans="1:41" ht="10.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2" t="s">
        <v>2523</v>
      </c>
      <c r="S92" s="12" t="s">
        <v>2524</v>
      </c>
      <c r="T92" s="14"/>
      <c r="U92" s="14"/>
      <c r="V92" s="19"/>
      <c r="W92" s="14"/>
      <c r="X92" s="14"/>
      <c r="Y92" s="14"/>
      <c r="Z92" s="14"/>
      <c r="AA92" s="14"/>
      <c r="AB92" s="13"/>
      <c r="AC92" s="12" t="s">
        <v>3016</v>
      </c>
      <c r="AD92" s="12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</row>
    <row r="93" spans="1:41" ht="10.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2" t="s">
        <v>2509</v>
      </c>
      <c r="S93" s="12" t="s">
        <v>2510</v>
      </c>
      <c r="T93" s="14"/>
      <c r="U93" s="14"/>
      <c r="V93" s="19"/>
      <c r="W93" s="14"/>
      <c r="X93" s="14"/>
      <c r="Y93" s="14"/>
      <c r="Z93" s="14"/>
      <c r="AA93" s="14"/>
      <c r="AB93" s="13"/>
      <c r="AC93" s="12" t="s">
        <v>3017</v>
      </c>
      <c r="AD93" s="12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</row>
    <row r="94" spans="1:41" ht="10.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2" t="s">
        <v>2458</v>
      </c>
      <c r="S94" s="12" t="s">
        <v>2459</v>
      </c>
      <c r="T94" s="14"/>
      <c r="U94" s="14"/>
      <c r="V94" s="19"/>
      <c r="W94" s="14"/>
      <c r="X94" s="14"/>
      <c r="Y94" s="14"/>
      <c r="Z94" s="14"/>
      <c r="AA94" s="14"/>
      <c r="AB94" s="13"/>
      <c r="AC94" s="12" t="s">
        <v>3018</v>
      </c>
      <c r="AD94" s="12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</row>
    <row r="95" spans="1:41" ht="10.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2" t="s">
        <v>2579</v>
      </c>
      <c r="S95" s="12" t="s">
        <v>2580</v>
      </c>
      <c r="T95" s="14"/>
      <c r="U95" s="14"/>
      <c r="V95" s="19"/>
      <c r="W95" s="14"/>
      <c r="X95" s="14"/>
      <c r="Y95" s="14"/>
      <c r="Z95" s="14"/>
      <c r="AA95" s="14"/>
      <c r="AB95" s="13"/>
      <c r="AC95" s="12" t="s">
        <v>3019</v>
      </c>
      <c r="AD95" s="12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</row>
    <row r="96" spans="1:41" ht="10.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2" t="s">
        <v>2468</v>
      </c>
      <c r="S96" s="12" t="s">
        <v>2469</v>
      </c>
      <c r="T96" s="14"/>
      <c r="U96" s="14"/>
      <c r="V96" s="19"/>
      <c r="W96" s="14"/>
      <c r="X96" s="14"/>
      <c r="Y96" s="14"/>
      <c r="Z96" s="14"/>
      <c r="AA96" s="14"/>
      <c r="AB96" s="13"/>
      <c r="AC96" s="12" t="s">
        <v>3020</v>
      </c>
      <c r="AD96" s="12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</row>
    <row r="97" spans="1:41" ht="10.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2" t="s">
        <v>3021</v>
      </c>
      <c r="S97" s="12" t="s">
        <v>3022</v>
      </c>
      <c r="T97" s="14"/>
      <c r="U97" s="14"/>
      <c r="V97" s="19"/>
      <c r="W97" s="14"/>
      <c r="X97" s="14"/>
      <c r="Y97" s="14"/>
      <c r="Z97" s="14"/>
      <c r="AA97" s="14"/>
      <c r="AB97" s="13"/>
      <c r="AC97" s="12" t="s">
        <v>3023</v>
      </c>
      <c r="AD97" s="12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</row>
    <row r="98" spans="1:41" ht="10.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2" t="s">
        <v>2435</v>
      </c>
      <c r="S98" s="12" t="s">
        <v>2436</v>
      </c>
      <c r="T98" s="14"/>
      <c r="U98" s="14"/>
      <c r="V98" s="19"/>
      <c r="W98" s="14"/>
      <c r="X98" s="14"/>
      <c r="Y98" s="14"/>
      <c r="Z98" s="14"/>
      <c r="AA98" s="14"/>
      <c r="AB98" s="13"/>
      <c r="AC98" s="12" t="s">
        <v>3024</v>
      </c>
      <c r="AD98" s="12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</row>
    <row r="99" spans="1:41" ht="10.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2" t="s">
        <v>3025</v>
      </c>
      <c r="S99" s="12" t="s">
        <v>2527</v>
      </c>
      <c r="T99" s="14"/>
      <c r="U99" s="14"/>
      <c r="V99" s="19"/>
      <c r="W99" s="14"/>
      <c r="X99" s="14"/>
      <c r="Y99" s="14"/>
      <c r="Z99" s="14"/>
      <c r="AA99" s="14"/>
      <c r="AB99" s="13"/>
      <c r="AC99" s="12" t="s">
        <v>3026</v>
      </c>
      <c r="AD99" s="12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</row>
    <row r="100" spans="1:41" ht="10.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2" t="s">
        <v>2604</v>
      </c>
      <c r="S100" s="12" t="s">
        <v>3027</v>
      </c>
      <c r="T100" s="14"/>
      <c r="U100" s="14"/>
      <c r="V100" s="19"/>
      <c r="W100" s="14"/>
      <c r="X100" s="14"/>
      <c r="Y100" s="14"/>
      <c r="Z100" s="14"/>
      <c r="AA100" s="14"/>
      <c r="AB100" s="13"/>
      <c r="AC100" s="12" t="s">
        <v>3028</v>
      </c>
      <c r="AD100" s="12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</row>
    <row r="101" spans="1:41" ht="10.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2" t="s">
        <v>2602</v>
      </c>
      <c r="S101" s="12" t="s">
        <v>2603</v>
      </c>
      <c r="T101" s="14"/>
      <c r="U101" s="14"/>
      <c r="V101" s="19"/>
      <c r="W101" s="14"/>
      <c r="X101" s="14"/>
      <c r="Y101" s="14"/>
      <c r="Z101" s="14"/>
      <c r="AA101" s="14"/>
      <c r="AB101" s="13"/>
      <c r="AC101" s="12" t="s">
        <v>3029</v>
      </c>
      <c r="AD101" s="12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</row>
    <row r="102" spans="1:41" ht="10.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2" t="s">
        <v>2585</v>
      </c>
      <c r="S102" s="12" t="s">
        <v>2586</v>
      </c>
      <c r="T102" s="14"/>
      <c r="U102" s="14"/>
      <c r="V102" s="19"/>
      <c r="W102" s="14"/>
      <c r="X102" s="14"/>
      <c r="Y102" s="14"/>
      <c r="Z102" s="14"/>
      <c r="AA102" s="14"/>
      <c r="AB102" s="13"/>
      <c r="AC102" s="12" t="s">
        <v>3030</v>
      </c>
      <c r="AD102" s="12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</row>
    <row r="103" spans="1:41" ht="10.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2" t="s">
        <v>3031</v>
      </c>
      <c r="S103" s="12" t="s">
        <v>3032</v>
      </c>
      <c r="T103" s="14"/>
      <c r="U103" s="14"/>
      <c r="V103" s="19"/>
      <c r="W103" s="14"/>
      <c r="X103" s="14"/>
      <c r="Y103" s="14"/>
      <c r="Z103" s="14"/>
      <c r="AA103" s="14"/>
      <c r="AB103" s="13"/>
      <c r="AC103" s="12" t="s">
        <v>3033</v>
      </c>
      <c r="AD103" s="12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</row>
    <row r="104" spans="1:41" ht="10.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2" t="s">
        <v>2414</v>
      </c>
      <c r="S104" s="12" t="s">
        <v>2413</v>
      </c>
      <c r="T104" s="14"/>
      <c r="U104" s="14"/>
      <c r="V104" s="19"/>
      <c r="W104" s="14"/>
      <c r="X104" s="14"/>
      <c r="Y104" s="14"/>
      <c r="Z104" s="14"/>
      <c r="AA104" s="14"/>
      <c r="AB104" s="13"/>
      <c r="AC104" s="12" t="s">
        <v>3034</v>
      </c>
      <c r="AD104" s="12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</row>
    <row r="105" spans="1:41" ht="10.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2" t="s">
        <v>2636</v>
      </c>
      <c r="S105" s="12" t="s">
        <v>2637</v>
      </c>
      <c r="T105" s="14"/>
      <c r="U105" s="14"/>
      <c r="V105" s="19"/>
      <c r="W105" s="14"/>
      <c r="X105" s="14"/>
      <c r="Y105" s="14"/>
      <c r="Z105" s="14"/>
      <c r="AA105" s="14"/>
      <c r="AB105" s="13"/>
      <c r="AC105" s="12" t="s">
        <v>3035</v>
      </c>
      <c r="AD105" s="12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</row>
    <row r="106" spans="1:41" ht="10.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2" t="s">
        <v>3036</v>
      </c>
      <c r="S106" s="12" t="s">
        <v>3037</v>
      </c>
      <c r="T106" s="14"/>
      <c r="U106" s="14"/>
      <c r="V106" s="19"/>
      <c r="W106" s="14"/>
      <c r="X106" s="14"/>
      <c r="Y106" s="14"/>
      <c r="Z106" s="14"/>
      <c r="AA106" s="14"/>
      <c r="AB106" s="13"/>
      <c r="AC106" s="12" t="s">
        <v>3038</v>
      </c>
      <c r="AD106" s="12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</row>
    <row r="107" spans="1:41" ht="10.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2" t="s">
        <v>2640</v>
      </c>
      <c r="S107" s="12" t="s">
        <v>2641</v>
      </c>
      <c r="T107" s="14"/>
      <c r="U107" s="14"/>
      <c r="V107" s="19"/>
      <c r="W107" s="14"/>
      <c r="X107" s="14"/>
      <c r="Y107" s="14"/>
      <c r="Z107" s="14"/>
      <c r="AA107" s="14"/>
      <c r="AB107" s="13"/>
      <c r="AC107" s="12" t="s">
        <v>3039</v>
      </c>
      <c r="AD107" s="12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</row>
    <row r="108" spans="1:41" ht="10.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2" t="s">
        <v>3040</v>
      </c>
      <c r="S108" s="12" t="s">
        <v>3041</v>
      </c>
      <c r="T108" s="14"/>
      <c r="U108" s="14"/>
      <c r="V108" s="19"/>
      <c r="W108" s="14"/>
      <c r="X108" s="14"/>
      <c r="Y108" s="14"/>
      <c r="Z108" s="14"/>
      <c r="AA108" s="14"/>
      <c r="AB108" s="13"/>
      <c r="AC108" s="12" t="s">
        <v>3042</v>
      </c>
      <c r="AD108" s="12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</row>
    <row r="109" spans="1:41" ht="10.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2" t="s">
        <v>2440</v>
      </c>
      <c r="S109" s="12" t="s">
        <v>2441</v>
      </c>
      <c r="T109" s="14"/>
      <c r="U109" s="14"/>
      <c r="V109" s="19"/>
      <c r="W109" s="14"/>
      <c r="X109" s="14"/>
      <c r="Y109" s="14"/>
      <c r="Z109" s="14"/>
      <c r="AA109" s="14"/>
      <c r="AB109" s="13"/>
      <c r="AC109" s="12" t="s">
        <v>3043</v>
      </c>
      <c r="AD109" s="12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</row>
    <row r="110" spans="1:41" ht="10.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2" t="s">
        <v>3044</v>
      </c>
      <c r="S110" s="12" t="s">
        <v>3045</v>
      </c>
      <c r="T110" s="14"/>
      <c r="U110" s="14"/>
      <c r="V110" s="19"/>
      <c r="W110" s="14"/>
      <c r="X110" s="14"/>
      <c r="Y110" s="14"/>
      <c r="Z110" s="14"/>
      <c r="AA110" s="14"/>
      <c r="AB110" s="13"/>
      <c r="AC110" s="12" t="s">
        <v>3046</v>
      </c>
      <c r="AD110" s="12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</row>
    <row r="111" spans="1:41" ht="10.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2" t="s">
        <v>2534</v>
      </c>
      <c r="S111" s="12" t="s">
        <v>2535</v>
      </c>
      <c r="T111" s="14"/>
      <c r="U111" s="14"/>
      <c r="V111" s="19"/>
      <c r="W111" s="14"/>
      <c r="X111" s="14"/>
      <c r="Y111" s="14"/>
      <c r="Z111" s="14"/>
      <c r="AA111" s="14"/>
      <c r="AB111" s="13"/>
      <c r="AC111" s="12" t="s">
        <v>3047</v>
      </c>
      <c r="AD111" s="12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</row>
    <row r="112" spans="1:41" ht="10.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2" t="s">
        <v>3048</v>
      </c>
      <c r="S112" s="12" t="s">
        <v>3049</v>
      </c>
      <c r="T112" s="14"/>
      <c r="U112" s="14"/>
      <c r="V112" s="19"/>
      <c r="W112" s="14"/>
      <c r="X112" s="14"/>
      <c r="Y112" s="14"/>
      <c r="Z112" s="14"/>
      <c r="AA112" s="14"/>
      <c r="AB112" s="13"/>
      <c r="AC112" s="12" t="s">
        <v>3050</v>
      </c>
      <c r="AD112" s="12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</row>
    <row r="113" spans="1:41" ht="10.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2" t="s">
        <v>2425</v>
      </c>
      <c r="S113" s="12" t="s">
        <v>2426</v>
      </c>
      <c r="T113" s="14"/>
      <c r="U113" s="14"/>
      <c r="V113" s="19"/>
      <c r="W113" s="14"/>
      <c r="X113" s="14"/>
      <c r="Y113" s="14"/>
      <c r="Z113" s="14"/>
      <c r="AA113" s="14"/>
      <c r="AB113" s="13"/>
      <c r="AC113" s="12" t="s">
        <v>3051</v>
      </c>
      <c r="AD113" s="12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</row>
    <row r="114" spans="1:41" ht="10.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2" t="s">
        <v>2428</v>
      </c>
      <c r="S114" s="12" t="s">
        <v>2427</v>
      </c>
      <c r="T114" s="14"/>
      <c r="U114" s="14"/>
      <c r="V114" s="19"/>
      <c r="W114" s="14"/>
      <c r="X114" s="14"/>
      <c r="Y114" s="14"/>
      <c r="Z114" s="14"/>
      <c r="AA114" s="14"/>
      <c r="AB114" s="13"/>
      <c r="AC114" s="12" t="s">
        <v>3052</v>
      </c>
      <c r="AD114" s="12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</row>
    <row r="115" spans="1:41" ht="10.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2" t="s">
        <v>3053</v>
      </c>
      <c r="S115" s="12" t="s">
        <v>2655</v>
      </c>
      <c r="T115" s="14"/>
      <c r="U115" s="14"/>
      <c r="V115" s="19"/>
      <c r="W115" s="14"/>
      <c r="X115" s="14"/>
      <c r="Y115" s="14"/>
      <c r="Z115" s="14"/>
      <c r="AA115" s="14"/>
      <c r="AB115" s="13"/>
      <c r="AC115" s="12" t="s">
        <v>3054</v>
      </c>
      <c r="AD115" s="12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</row>
    <row r="116" spans="1:41" ht="10.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2" t="s">
        <v>2450</v>
      </c>
      <c r="S116" s="12" t="s">
        <v>2451</v>
      </c>
      <c r="T116" s="14"/>
      <c r="U116" s="14"/>
      <c r="V116" s="19"/>
      <c r="W116" s="14"/>
      <c r="X116" s="14"/>
      <c r="Y116" s="14"/>
      <c r="Z116" s="14"/>
      <c r="AA116" s="14"/>
      <c r="AB116" s="13"/>
      <c r="AC116" s="12" t="s">
        <v>3055</v>
      </c>
      <c r="AD116" s="12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</row>
    <row r="117" spans="1:41" ht="10.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2" t="s">
        <v>2650</v>
      </c>
      <c r="S117" s="12" t="s">
        <v>2651</v>
      </c>
      <c r="T117" s="14"/>
      <c r="U117" s="14"/>
      <c r="V117" s="19"/>
      <c r="W117" s="14"/>
      <c r="X117" s="14"/>
      <c r="Y117" s="14"/>
      <c r="Z117" s="14"/>
      <c r="AA117" s="14"/>
      <c r="AB117" s="13"/>
      <c r="AC117" s="12" t="s">
        <v>3056</v>
      </c>
      <c r="AD117" s="12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</row>
    <row r="118" spans="1:41" ht="10.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2" t="s">
        <v>3057</v>
      </c>
      <c r="S118" s="12" t="s">
        <v>3058</v>
      </c>
      <c r="T118" s="14"/>
      <c r="U118" s="14"/>
      <c r="V118" s="19"/>
      <c r="W118" s="14"/>
      <c r="X118" s="14"/>
      <c r="Y118" s="14"/>
      <c r="Z118" s="14"/>
      <c r="AA118" s="14"/>
      <c r="AB118" s="13"/>
      <c r="AC118" s="12" t="s">
        <v>3059</v>
      </c>
      <c r="AD118" s="12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</row>
    <row r="119" spans="1:41" ht="10.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2" t="s">
        <v>2405</v>
      </c>
      <c r="S119" s="12" t="s">
        <v>2406</v>
      </c>
      <c r="T119" s="14"/>
      <c r="U119" s="14"/>
      <c r="V119" s="19"/>
      <c r="W119" s="14"/>
      <c r="X119" s="14"/>
      <c r="Y119" s="14"/>
      <c r="Z119" s="14"/>
      <c r="AA119" s="14"/>
      <c r="AB119" s="13"/>
      <c r="AC119" s="12" t="s">
        <v>3060</v>
      </c>
      <c r="AD119" s="12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</row>
    <row r="120" spans="1:41" ht="10.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2" t="s">
        <v>3061</v>
      </c>
      <c r="S120" s="12" t="s">
        <v>2561</v>
      </c>
      <c r="T120" s="14"/>
      <c r="U120" s="14"/>
      <c r="V120" s="19"/>
      <c r="W120" s="14"/>
      <c r="X120" s="14"/>
      <c r="Y120" s="14"/>
      <c r="Z120" s="14"/>
      <c r="AA120" s="14"/>
      <c r="AB120" s="13"/>
      <c r="AC120" s="12" t="s">
        <v>3062</v>
      </c>
      <c r="AD120" s="12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</row>
    <row r="121" spans="1:41" ht="10.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2" t="s">
        <v>3063</v>
      </c>
      <c r="S121" s="12" t="s">
        <v>3064</v>
      </c>
      <c r="T121" s="14"/>
      <c r="U121" s="14"/>
      <c r="V121" s="19"/>
      <c r="W121" s="14"/>
      <c r="X121" s="14"/>
      <c r="Y121" s="14"/>
      <c r="Z121" s="14"/>
      <c r="AA121" s="14"/>
      <c r="AB121" s="13"/>
      <c r="AC121" s="12" t="s">
        <v>3065</v>
      </c>
      <c r="AD121" s="12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</row>
    <row r="122" spans="1:41" ht="10.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2" t="s">
        <v>2503</v>
      </c>
      <c r="S122" s="12" t="s">
        <v>2504</v>
      </c>
      <c r="T122" s="14"/>
      <c r="U122" s="14"/>
      <c r="V122" s="19"/>
      <c r="W122" s="14"/>
      <c r="X122" s="14"/>
      <c r="Y122" s="14"/>
      <c r="Z122" s="14"/>
      <c r="AA122" s="14"/>
      <c r="AB122" s="13"/>
      <c r="AC122" s="12" t="s">
        <v>3066</v>
      </c>
      <c r="AD122" s="12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</row>
    <row r="123" spans="1:41" ht="10.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2"/>
      <c r="S123" s="12"/>
      <c r="T123" s="14"/>
      <c r="U123" s="14"/>
      <c r="V123" s="19"/>
      <c r="W123" s="14"/>
      <c r="X123" s="14"/>
      <c r="Y123" s="14"/>
      <c r="Z123" s="14"/>
      <c r="AA123" s="14"/>
      <c r="AB123" s="13"/>
      <c r="AC123" s="12" t="s">
        <v>3067</v>
      </c>
      <c r="AD123" s="12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</row>
    <row r="124" spans="1:41" ht="10.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2"/>
      <c r="S124" s="12"/>
      <c r="T124" s="14"/>
      <c r="U124" s="14"/>
      <c r="V124" s="19"/>
      <c r="W124" s="14"/>
      <c r="X124" s="14"/>
      <c r="Y124" s="14"/>
      <c r="Z124" s="14"/>
      <c r="AA124" s="14"/>
      <c r="AB124" s="13"/>
      <c r="AC124" s="12" t="s">
        <v>3068</v>
      </c>
      <c r="AD124" s="12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</row>
    <row r="125" spans="1:41" ht="10.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2"/>
      <c r="S125" s="12"/>
      <c r="T125" s="14"/>
      <c r="U125" s="14"/>
      <c r="V125" s="19"/>
      <c r="W125" s="14"/>
      <c r="X125" s="14"/>
      <c r="Y125" s="14"/>
      <c r="Z125" s="14"/>
      <c r="AA125" s="14"/>
      <c r="AB125" s="13"/>
      <c r="AC125" s="12" t="s">
        <v>3069</v>
      </c>
      <c r="AD125" s="12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</row>
    <row r="126" spans="1:41" ht="10.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2"/>
      <c r="S126" s="12"/>
      <c r="T126" s="14"/>
      <c r="U126" s="14"/>
      <c r="V126" s="19"/>
      <c r="W126" s="14"/>
      <c r="X126" s="14"/>
      <c r="Y126" s="14"/>
      <c r="Z126" s="14"/>
      <c r="AA126" s="14"/>
      <c r="AB126" s="13"/>
      <c r="AC126" s="12" t="s">
        <v>3070</v>
      </c>
      <c r="AD126" s="12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</row>
    <row r="127" spans="1:41" ht="10.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2"/>
      <c r="S127" s="12"/>
      <c r="T127" s="14"/>
      <c r="U127" s="14"/>
      <c r="V127" s="19"/>
      <c r="W127" s="14"/>
      <c r="X127" s="14"/>
      <c r="Y127" s="14"/>
      <c r="Z127" s="14"/>
      <c r="AA127" s="14"/>
      <c r="AB127" s="13"/>
      <c r="AC127" s="12" t="s">
        <v>2369</v>
      </c>
      <c r="AD127" s="12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</row>
    <row r="128" spans="1:41" ht="10.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2"/>
      <c r="S128" s="12"/>
      <c r="T128" s="14"/>
      <c r="U128" s="14"/>
      <c r="V128" s="19"/>
      <c r="W128" s="14"/>
      <c r="X128" s="14"/>
      <c r="Y128" s="14"/>
      <c r="Z128" s="14"/>
      <c r="AA128" s="14"/>
      <c r="AB128" s="13"/>
      <c r="AC128" s="12" t="s">
        <v>3071</v>
      </c>
      <c r="AD128" s="12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</row>
    <row r="129" spans="1:41" ht="10.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2"/>
      <c r="S129" s="12"/>
      <c r="T129" s="14"/>
      <c r="U129" s="14"/>
      <c r="V129" s="19"/>
      <c r="W129" s="14"/>
      <c r="X129" s="14"/>
      <c r="Y129" s="14"/>
      <c r="Z129" s="14"/>
      <c r="AA129" s="14"/>
      <c r="AB129" s="13"/>
      <c r="AC129" s="12" t="s">
        <v>3072</v>
      </c>
      <c r="AD129" s="12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</row>
    <row r="130" spans="1:41" ht="10.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2"/>
      <c r="S130" s="12"/>
      <c r="T130" s="14"/>
      <c r="U130" s="14"/>
      <c r="V130" s="19"/>
      <c r="W130" s="14"/>
      <c r="X130" s="14"/>
      <c r="Y130" s="14"/>
      <c r="Z130" s="14"/>
      <c r="AA130" s="14"/>
      <c r="AB130" s="13"/>
      <c r="AC130" s="12" t="s">
        <v>3073</v>
      </c>
      <c r="AD130" s="12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</row>
    <row r="131" spans="1:41" ht="10.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2"/>
      <c r="S131" s="12"/>
      <c r="T131" s="14"/>
      <c r="U131" s="14"/>
      <c r="V131" s="19"/>
      <c r="W131" s="14"/>
      <c r="X131" s="14"/>
      <c r="Y131" s="14"/>
      <c r="Z131" s="14"/>
      <c r="AA131" s="14"/>
      <c r="AB131" s="13"/>
      <c r="AC131" s="12" t="s">
        <v>3074</v>
      </c>
      <c r="AD131" s="12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</row>
    <row r="132" spans="1:41" ht="10.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2"/>
      <c r="S132" s="12"/>
      <c r="T132" s="14"/>
      <c r="U132" s="14"/>
      <c r="V132" s="19"/>
      <c r="W132" s="14"/>
      <c r="X132" s="14"/>
      <c r="Y132" s="14"/>
      <c r="Z132" s="14"/>
      <c r="AA132" s="14"/>
      <c r="AB132" s="13"/>
      <c r="AC132" s="12" t="s">
        <v>3075</v>
      </c>
      <c r="AD132" s="12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</row>
    <row r="133" spans="1:41" ht="10.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2"/>
      <c r="S133" s="12"/>
      <c r="T133" s="14"/>
      <c r="U133" s="14"/>
      <c r="V133" s="19"/>
      <c r="W133" s="14"/>
      <c r="X133" s="14"/>
      <c r="Y133" s="14"/>
      <c r="Z133" s="14"/>
      <c r="AA133" s="14"/>
      <c r="AB133" s="13"/>
      <c r="AC133" s="12" t="s">
        <v>3076</v>
      </c>
      <c r="AD133" s="12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</row>
    <row r="134" spans="1:41" ht="10.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2"/>
      <c r="S134" s="12"/>
      <c r="T134" s="14"/>
      <c r="U134" s="14"/>
      <c r="V134" s="19"/>
      <c r="W134" s="14"/>
      <c r="X134" s="14"/>
      <c r="Y134" s="14"/>
      <c r="Z134" s="14"/>
      <c r="AA134" s="14"/>
      <c r="AB134" s="13"/>
      <c r="AC134" s="12" t="s">
        <v>3077</v>
      </c>
      <c r="AD134" s="12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</row>
    <row r="135" spans="1:41" ht="10.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2"/>
      <c r="S135" s="12"/>
      <c r="T135" s="14"/>
      <c r="U135" s="14"/>
      <c r="V135" s="19"/>
      <c r="W135" s="14"/>
      <c r="X135" s="14"/>
      <c r="Y135" s="14"/>
      <c r="Z135" s="14"/>
      <c r="AA135" s="14"/>
      <c r="AB135" s="13"/>
      <c r="AC135" s="12" t="s">
        <v>3078</v>
      </c>
      <c r="AD135" s="12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</row>
    <row r="136" spans="1:41" ht="10.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2"/>
      <c r="S136" s="12"/>
      <c r="T136" s="14"/>
      <c r="U136" s="14"/>
      <c r="V136" s="19"/>
      <c r="W136" s="14"/>
      <c r="X136" s="14"/>
      <c r="Y136" s="14"/>
      <c r="Z136" s="14"/>
      <c r="AA136" s="14"/>
      <c r="AB136" s="13"/>
      <c r="AC136" s="12" t="s">
        <v>3079</v>
      </c>
      <c r="AD136" s="12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</row>
    <row r="137" spans="1:41" ht="10.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2"/>
      <c r="S137" s="12"/>
      <c r="T137" s="14"/>
      <c r="U137" s="14"/>
      <c r="V137" s="19"/>
      <c r="W137" s="14"/>
      <c r="X137" s="14"/>
      <c r="Y137" s="14"/>
      <c r="Z137" s="14"/>
      <c r="AA137" s="14"/>
      <c r="AB137" s="13"/>
      <c r="AC137" s="12" t="s">
        <v>3080</v>
      </c>
      <c r="AD137" s="12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</row>
    <row r="138" spans="1:41" ht="10.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2"/>
      <c r="S138" s="12"/>
      <c r="T138" s="14"/>
      <c r="U138" s="14"/>
      <c r="V138" s="19"/>
      <c r="W138" s="14"/>
      <c r="X138" s="14"/>
      <c r="Y138" s="14"/>
      <c r="Z138" s="14"/>
      <c r="AA138" s="14"/>
      <c r="AB138" s="13"/>
      <c r="AC138" s="12" t="s">
        <v>3081</v>
      </c>
      <c r="AD138" s="12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</row>
    <row r="139" spans="1:41" ht="10.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2"/>
      <c r="S139" s="12"/>
      <c r="T139" s="14"/>
      <c r="U139" s="14"/>
      <c r="V139" s="19"/>
      <c r="W139" s="14"/>
      <c r="X139" s="14"/>
      <c r="Y139" s="14"/>
      <c r="Z139" s="14"/>
      <c r="AA139" s="14"/>
      <c r="AB139" s="13"/>
      <c r="AC139" s="12" t="s">
        <v>3082</v>
      </c>
      <c r="AD139" s="12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</row>
    <row r="140" spans="1:41" ht="10.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2"/>
      <c r="S140" s="12"/>
      <c r="T140" s="14"/>
      <c r="U140" s="14"/>
      <c r="V140" s="19"/>
      <c r="W140" s="14"/>
      <c r="X140" s="14"/>
      <c r="Y140" s="14"/>
      <c r="Z140" s="14"/>
      <c r="AA140" s="14"/>
      <c r="AB140" s="13"/>
      <c r="AC140" s="12" t="s">
        <v>3083</v>
      </c>
      <c r="AD140" s="12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</row>
    <row r="141" spans="1:41" ht="10.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2"/>
      <c r="S141" s="12"/>
      <c r="T141" s="14"/>
      <c r="U141" s="14"/>
      <c r="V141" s="19"/>
      <c r="W141" s="14"/>
      <c r="X141" s="14"/>
      <c r="Y141" s="14"/>
      <c r="Z141" s="14"/>
      <c r="AA141" s="14"/>
      <c r="AB141" s="13"/>
      <c r="AC141" s="12" t="s">
        <v>3084</v>
      </c>
      <c r="AD141" s="12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</row>
    <row r="142" spans="1:41" ht="10.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2"/>
      <c r="S142" s="12"/>
      <c r="T142" s="14"/>
      <c r="U142" s="14"/>
      <c r="V142" s="19"/>
      <c r="W142" s="14"/>
      <c r="X142" s="14"/>
      <c r="Y142" s="14"/>
      <c r="Z142" s="14"/>
      <c r="AA142" s="14"/>
      <c r="AB142" s="13"/>
      <c r="AC142" s="12" t="s">
        <v>3085</v>
      </c>
      <c r="AD142" s="12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</row>
    <row r="143" spans="1:41" ht="10.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2"/>
      <c r="S143" s="12"/>
      <c r="T143" s="14"/>
      <c r="U143" s="14"/>
      <c r="V143" s="19"/>
      <c r="W143" s="14"/>
      <c r="X143" s="14"/>
      <c r="Y143" s="14"/>
      <c r="Z143" s="14"/>
      <c r="AA143" s="14"/>
      <c r="AB143" s="13"/>
      <c r="AC143" s="12" t="s">
        <v>3086</v>
      </c>
      <c r="AD143" s="12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</row>
    <row r="144" spans="1:41" ht="10.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2"/>
      <c r="S144" s="12"/>
      <c r="T144" s="14"/>
      <c r="U144" s="14"/>
      <c r="V144" s="19"/>
      <c r="W144" s="14"/>
      <c r="X144" s="14"/>
      <c r="Y144" s="14"/>
      <c r="Z144" s="14"/>
      <c r="AA144" s="14"/>
      <c r="AB144" s="13"/>
      <c r="AC144" s="12" t="s">
        <v>3087</v>
      </c>
      <c r="AD144" s="12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</row>
    <row r="145" spans="1:41" ht="10.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2"/>
      <c r="S145" s="12"/>
      <c r="T145" s="14"/>
      <c r="U145" s="14"/>
      <c r="V145" s="19"/>
      <c r="W145" s="14"/>
      <c r="X145" s="14"/>
      <c r="Y145" s="14"/>
      <c r="Z145" s="14"/>
      <c r="AA145" s="14"/>
      <c r="AB145" s="13"/>
      <c r="AC145" s="12" t="s">
        <v>3088</v>
      </c>
      <c r="AD145" s="12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</row>
    <row r="146" spans="1:41" ht="10.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2"/>
      <c r="S146" s="12"/>
      <c r="T146" s="14"/>
      <c r="U146" s="14"/>
      <c r="V146" s="19"/>
      <c r="W146" s="14"/>
      <c r="X146" s="14"/>
      <c r="Y146" s="14"/>
      <c r="Z146" s="14"/>
      <c r="AA146" s="14"/>
      <c r="AB146" s="13"/>
      <c r="AC146" s="12" t="s">
        <v>3089</v>
      </c>
      <c r="AD146" s="12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</row>
    <row r="147" spans="1:41" ht="10.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2"/>
      <c r="S147" s="12"/>
      <c r="T147" s="14"/>
      <c r="U147" s="14"/>
      <c r="V147" s="19"/>
      <c r="W147" s="14"/>
      <c r="X147" s="14"/>
      <c r="Y147" s="14"/>
      <c r="Z147" s="14"/>
      <c r="AA147" s="14"/>
      <c r="AB147" s="13"/>
      <c r="AC147" s="12" t="s">
        <v>3090</v>
      </c>
      <c r="AD147" s="12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</row>
    <row r="148" spans="1:41" ht="10.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2"/>
      <c r="S148" s="12"/>
      <c r="T148" s="14"/>
      <c r="U148" s="14"/>
      <c r="V148" s="19"/>
      <c r="W148" s="14"/>
      <c r="X148" s="14"/>
      <c r="Y148" s="14"/>
      <c r="Z148" s="14"/>
      <c r="AA148" s="14"/>
      <c r="AB148" s="13"/>
      <c r="AC148" s="12" t="s">
        <v>3091</v>
      </c>
      <c r="AD148" s="12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</row>
    <row r="149" spans="1:41" ht="10.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2"/>
      <c r="S149" s="12"/>
      <c r="T149" s="14"/>
      <c r="U149" s="14"/>
      <c r="V149" s="19"/>
      <c r="W149" s="14"/>
      <c r="X149" s="14"/>
      <c r="Y149" s="14"/>
      <c r="Z149" s="14"/>
      <c r="AA149" s="14"/>
      <c r="AB149" s="13"/>
      <c r="AC149" s="12" t="s">
        <v>3092</v>
      </c>
      <c r="AD149" s="12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</row>
    <row r="150" spans="1:41" ht="10.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2"/>
      <c r="S150" s="12"/>
      <c r="T150" s="14"/>
      <c r="U150" s="14"/>
      <c r="V150" s="19"/>
      <c r="W150" s="14"/>
      <c r="X150" s="14"/>
      <c r="Y150" s="14"/>
      <c r="Z150" s="14"/>
      <c r="AA150" s="14"/>
      <c r="AB150" s="13"/>
      <c r="AC150" s="12" t="s">
        <v>3093</v>
      </c>
      <c r="AD150" s="12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</row>
    <row r="151" spans="1:41" ht="10.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2"/>
      <c r="S151" s="12"/>
      <c r="T151" s="14"/>
      <c r="U151" s="14"/>
      <c r="V151" s="19"/>
      <c r="W151" s="14"/>
      <c r="X151" s="14"/>
      <c r="Y151" s="14"/>
      <c r="Z151" s="14"/>
      <c r="AA151" s="14"/>
      <c r="AB151" s="13"/>
      <c r="AC151" s="12" t="s">
        <v>3094</v>
      </c>
      <c r="AD151" s="12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</row>
    <row r="152" spans="1:41" ht="10.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2"/>
      <c r="S152" s="12"/>
      <c r="T152" s="14"/>
      <c r="U152" s="14"/>
      <c r="V152" s="19"/>
      <c r="W152" s="14"/>
      <c r="X152" s="14"/>
      <c r="Y152" s="14"/>
      <c r="Z152" s="14"/>
      <c r="AA152" s="14"/>
      <c r="AB152" s="13"/>
      <c r="AC152" s="12" t="s">
        <v>3095</v>
      </c>
      <c r="AD152" s="12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</row>
    <row r="153" spans="1:41" ht="10.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2"/>
      <c r="S153" s="12"/>
      <c r="T153" s="14"/>
      <c r="U153" s="14"/>
      <c r="V153" s="19"/>
      <c r="W153" s="14"/>
      <c r="X153" s="14"/>
      <c r="Y153" s="14"/>
      <c r="Z153" s="14"/>
      <c r="AA153" s="14"/>
      <c r="AB153" s="13"/>
      <c r="AC153" s="12" t="s">
        <v>3096</v>
      </c>
      <c r="AD153" s="12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</row>
    <row r="154" spans="1:41" ht="10.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2"/>
      <c r="S154" s="12"/>
      <c r="T154" s="14"/>
      <c r="U154" s="14"/>
      <c r="V154" s="19"/>
      <c r="W154" s="14"/>
      <c r="X154" s="14"/>
      <c r="Y154" s="14"/>
      <c r="Z154" s="14"/>
      <c r="AA154" s="14"/>
      <c r="AB154" s="13"/>
      <c r="AC154" s="12" t="s">
        <v>3097</v>
      </c>
      <c r="AD154" s="12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</row>
    <row r="155" spans="1:41" ht="10.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2"/>
      <c r="S155" s="12"/>
      <c r="T155" s="14"/>
      <c r="U155" s="14"/>
      <c r="V155" s="19"/>
      <c r="W155" s="14"/>
      <c r="X155" s="14"/>
      <c r="Y155" s="14"/>
      <c r="Z155" s="14"/>
      <c r="AA155" s="14"/>
      <c r="AB155" s="13"/>
      <c r="AC155" s="12" t="s">
        <v>3098</v>
      </c>
      <c r="AD155" s="12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</row>
    <row r="156" spans="1:41" ht="10.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2"/>
      <c r="S156" s="12"/>
      <c r="T156" s="14"/>
      <c r="U156" s="14"/>
      <c r="V156" s="19"/>
      <c r="W156" s="14"/>
      <c r="X156" s="14"/>
      <c r="Y156" s="14"/>
      <c r="Z156" s="14"/>
      <c r="AA156" s="14"/>
      <c r="AB156" s="13"/>
      <c r="AC156" s="12" t="s">
        <v>3099</v>
      </c>
      <c r="AD156" s="12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</row>
    <row r="157" spans="1:41" ht="10.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2"/>
      <c r="S157" s="12"/>
      <c r="T157" s="14"/>
      <c r="U157" s="14"/>
      <c r="V157" s="19"/>
      <c r="W157" s="14"/>
      <c r="X157" s="14"/>
      <c r="Y157" s="14"/>
      <c r="Z157" s="14"/>
      <c r="AA157" s="14"/>
      <c r="AB157" s="13"/>
      <c r="AC157" s="12" t="s">
        <v>3100</v>
      </c>
      <c r="AD157" s="12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</row>
    <row r="158" spans="1:41" ht="10.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2"/>
      <c r="S158" s="12"/>
      <c r="T158" s="14"/>
      <c r="U158" s="14"/>
      <c r="V158" s="19"/>
      <c r="W158" s="14"/>
      <c r="X158" s="14"/>
      <c r="Y158" s="14"/>
      <c r="Z158" s="14"/>
      <c r="AA158" s="14"/>
      <c r="AB158" s="13"/>
      <c r="AC158" s="12" t="s">
        <v>3101</v>
      </c>
      <c r="AD158" s="12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</row>
    <row r="159" spans="1:41" ht="10.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2"/>
      <c r="S159" s="12"/>
      <c r="T159" s="14"/>
      <c r="U159" s="14"/>
      <c r="V159" s="19"/>
      <c r="W159" s="14"/>
      <c r="X159" s="14"/>
      <c r="Y159" s="14"/>
      <c r="Z159" s="14"/>
      <c r="AA159" s="14"/>
      <c r="AB159" s="13"/>
      <c r="AC159" s="12" t="s">
        <v>3102</v>
      </c>
      <c r="AD159" s="12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</row>
    <row r="160" spans="1:41" ht="10.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2"/>
      <c r="S160" s="12"/>
      <c r="T160" s="14"/>
      <c r="U160" s="14"/>
      <c r="V160" s="19"/>
      <c r="W160" s="14"/>
      <c r="X160" s="14"/>
      <c r="Y160" s="14"/>
      <c r="Z160" s="14"/>
      <c r="AA160" s="14"/>
      <c r="AB160" s="13"/>
      <c r="AC160" s="12" t="s">
        <v>3103</v>
      </c>
      <c r="AD160" s="12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</row>
    <row r="161" spans="1:41" ht="10.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2"/>
      <c r="S161" s="12"/>
      <c r="T161" s="14"/>
      <c r="U161" s="14"/>
      <c r="V161" s="19"/>
      <c r="W161" s="14"/>
      <c r="X161" s="14"/>
      <c r="Y161" s="14"/>
      <c r="Z161" s="14"/>
      <c r="AA161" s="14"/>
      <c r="AB161" s="13"/>
      <c r="AC161" s="12" t="s">
        <v>3104</v>
      </c>
      <c r="AD161" s="12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</row>
    <row r="162" spans="1:41" ht="10.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2"/>
      <c r="S162" s="12"/>
      <c r="T162" s="14"/>
      <c r="U162" s="14"/>
      <c r="V162" s="19"/>
      <c r="W162" s="14"/>
      <c r="X162" s="14"/>
      <c r="Y162" s="14"/>
      <c r="Z162" s="14"/>
      <c r="AA162" s="14"/>
      <c r="AB162" s="13"/>
      <c r="AC162" s="12" t="s">
        <v>3105</v>
      </c>
      <c r="AD162" s="12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</row>
    <row r="163" spans="1:41" ht="10.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2"/>
      <c r="S163" s="12"/>
      <c r="T163" s="14"/>
      <c r="U163" s="14"/>
      <c r="V163" s="19"/>
      <c r="W163" s="14"/>
      <c r="X163" s="14"/>
      <c r="Y163" s="14"/>
      <c r="Z163" s="14"/>
      <c r="AA163" s="14"/>
      <c r="AB163" s="13"/>
      <c r="AC163" s="12" t="s">
        <v>3106</v>
      </c>
      <c r="AD163" s="12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</row>
    <row r="164" spans="1:41" ht="10.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2"/>
      <c r="S164" s="12"/>
      <c r="T164" s="14"/>
      <c r="U164" s="14"/>
      <c r="V164" s="19"/>
      <c r="W164" s="14"/>
      <c r="X164" s="14"/>
      <c r="Y164" s="14"/>
      <c r="Z164" s="14"/>
      <c r="AA164" s="14"/>
      <c r="AB164" s="13"/>
      <c r="AC164" s="12" t="s">
        <v>3107</v>
      </c>
      <c r="AD164" s="12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</row>
    <row r="165" spans="1:41" ht="10.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2"/>
      <c r="S165" s="12"/>
      <c r="T165" s="14"/>
      <c r="U165" s="14"/>
      <c r="V165" s="19"/>
      <c r="W165" s="14"/>
      <c r="X165" s="14"/>
      <c r="Y165" s="14"/>
      <c r="Z165" s="14"/>
      <c r="AA165" s="14"/>
      <c r="AB165" s="13"/>
      <c r="AC165" s="12" t="s">
        <v>3108</v>
      </c>
      <c r="AD165" s="12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</row>
    <row r="166" spans="1:41" ht="10.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2"/>
      <c r="S166" s="12"/>
      <c r="T166" s="14"/>
      <c r="U166" s="14"/>
      <c r="V166" s="19"/>
      <c r="W166" s="14"/>
      <c r="X166" s="14"/>
      <c r="Y166" s="14"/>
      <c r="Z166" s="14"/>
      <c r="AA166" s="14"/>
      <c r="AB166" s="13"/>
      <c r="AC166" s="12" t="s">
        <v>3109</v>
      </c>
      <c r="AD166" s="12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</row>
    <row r="167" spans="1:41" ht="10.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2"/>
      <c r="S167" s="12"/>
      <c r="T167" s="14"/>
      <c r="U167" s="14"/>
      <c r="V167" s="19"/>
      <c r="W167" s="14"/>
      <c r="X167" s="14"/>
      <c r="Y167" s="14"/>
      <c r="Z167" s="14"/>
      <c r="AA167" s="14"/>
      <c r="AB167" s="13"/>
      <c r="AC167" s="12" t="s">
        <v>3110</v>
      </c>
      <c r="AD167" s="12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</row>
    <row r="168" spans="1:41" ht="10.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2"/>
      <c r="S168" s="12"/>
      <c r="T168" s="14"/>
      <c r="U168" s="14"/>
      <c r="V168" s="19"/>
      <c r="W168" s="14"/>
      <c r="X168" s="14"/>
      <c r="Y168" s="14"/>
      <c r="Z168" s="14"/>
      <c r="AA168" s="14"/>
      <c r="AB168" s="13"/>
      <c r="AC168" s="12" t="s">
        <v>3111</v>
      </c>
      <c r="AD168" s="12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</row>
    <row r="169" spans="1:41" ht="10.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2"/>
      <c r="S169" s="12"/>
      <c r="T169" s="14"/>
      <c r="U169" s="14"/>
      <c r="V169" s="19"/>
      <c r="W169" s="14"/>
      <c r="X169" s="14"/>
      <c r="Y169" s="14"/>
      <c r="Z169" s="14"/>
      <c r="AA169" s="14"/>
      <c r="AB169" s="13"/>
      <c r="AC169" s="12" t="s">
        <v>3112</v>
      </c>
      <c r="AD169" s="12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</row>
    <row r="170" spans="1:41" ht="10.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2"/>
      <c r="S170" s="12"/>
      <c r="T170" s="14"/>
      <c r="U170" s="14"/>
      <c r="V170" s="19"/>
      <c r="W170" s="14"/>
      <c r="X170" s="14"/>
      <c r="Y170" s="14"/>
      <c r="Z170" s="14"/>
      <c r="AA170" s="14"/>
      <c r="AB170" s="13"/>
      <c r="AC170" s="12" t="s">
        <v>3113</v>
      </c>
      <c r="AD170" s="12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</row>
    <row r="171" spans="1:41" ht="10.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2"/>
      <c r="S171" s="12"/>
      <c r="T171" s="14"/>
      <c r="U171" s="14"/>
      <c r="V171" s="19"/>
      <c r="W171" s="14"/>
      <c r="X171" s="14"/>
      <c r="Y171" s="14"/>
      <c r="Z171" s="14"/>
      <c r="AA171" s="14"/>
      <c r="AB171" s="13"/>
      <c r="AC171" s="12" t="s">
        <v>3114</v>
      </c>
      <c r="AD171" s="12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</row>
    <row r="172" spans="1:41" ht="10.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2"/>
      <c r="S172" s="12"/>
      <c r="T172" s="14"/>
      <c r="U172" s="14"/>
      <c r="V172" s="19"/>
      <c r="W172" s="14"/>
      <c r="X172" s="14"/>
      <c r="Y172" s="14"/>
      <c r="Z172" s="14"/>
      <c r="AA172" s="14"/>
      <c r="AB172" s="13"/>
      <c r="AC172" s="12" t="s">
        <v>3115</v>
      </c>
      <c r="AD172" s="12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</row>
    <row r="173" spans="1:41" ht="10.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2"/>
      <c r="S173" s="12"/>
      <c r="T173" s="14"/>
      <c r="U173" s="14"/>
      <c r="V173" s="19"/>
      <c r="W173" s="14"/>
      <c r="X173" s="14"/>
      <c r="Y173" s="14"/>
      <c r="Z173" s="14"/>
      <c r="AA173" s="14"/>
      <c r="AB173" s="13"/>
      <c r="AC173" s="12" t="s">
        <v>3116</v>
      </c>
      <c r="AD173" s="12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</row>
    <row r="174" spans="1:41" ht="10.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2"/>
      <c r="S174" s="12"/>
      <c r="T174" s="14"/>
      <c r="U174" s="14"/>
      <c r="V174" s="19"/>
      <c r="W174" s="14"/>
      <c r="X174" s="14"/>
      <c r="Y174" s="14"/>
      <c r="Z174" s="14"/>
      <c r="AA174" s="14"/>
      <c r="AB174" s="13"/>
      <c r="AC174" s="12" t="s">
        <v>3117</v>
      </c>
      <c r="AD174" s="12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</row>
    <row r="175" spans="1:41" ht="10.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2"/>
      <c r="S175" s="12"/>
      <c r="T175" s="14"/>
      <c r="U175" s="14"/>
      <c r="V175" s="19"/>
      <c r="W175" s="14"/>
      <c r="X175" s="14"/>
      <c r="Y175" s="14"/>
      <c r="Z175" s="14"/>
      <c r="AA175" s="14"/>
      <c r="AB175" s="13"/>
      <c r="AC175" s="12" t="s">
        <v>3118</v>
      </c>
      <c r="AD175" s="12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</row>
    <row r="176" spans="1:41" ht="10.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2"/>
      <c r="S176" s="12"/>
      <c r="T176" s="14"/>
      <c r="U176" s="14"/>
      <c r="V176" s="19"/>
      <c r="W176" s="14"/>
      <c r="X176" s="14"/>
      <c r="Y176" s="14"/>
      <c r="Z176" s="14"/>
      <c r="AA176" s="14"/>
      <c r="AB176" s="13"/>
      <c r="AC176" s="12" t="s">
        <v>3119</v>
      </c>
      <c r="AD176" s="12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</row>
    <row r="177" spans="1:41" ht="10.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2"/>
      <c r="S177" s="12"/>
      <c r="T177" s="14"/>
      <c r="U177" s="14"/>
      <c r="V177" s="19"/>
      <c r="W177" s="14"/>
      <c r="X177" s="14"/>
      <c r="Y177" s="14"/>
      <c r="Z177" s="14"/>
      <c r="AA177" s="14"/>
      <c r="AB177" s="13"/>
      <c r="AC177" s="12" t="s">
        <v>3120</v>
      </c>
      <c r="AD177" s="12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</row>
    <row r="178" spans="1:41" ht="10.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2"/>
      <c r="S178" s="12"/>
      <c r="T178" s="14"/>
      <c r="U178" s="14"/>
      <c r="V178" s="19"/>
      <c r="W178" s="14"/>
      <c r="X178" s="14"/>
      <c r="Y178" s="14"/>
      <c r="Z178" s="14"/>
      <c r="AA178" s="14"/>
      <c r="AB178" s="13"/>
      <c r="AC178" s="12" t="s">
        <v>3121</v>
      </c>
      <c r="AD178" s="12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</row>
    <row r="179" spans="1:41" ht="10.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2"/>
      <c r="S179" s="12"/>
      <c r="T179" s="14"/>
      <c r="U179" s="14"/>
      <c r="V179" s="19"/>
      <c r="W179" s="14"/>
      <c r="X179" s="14"/>
      <c r="Y179" s="14"/>
      <c r="Z179" s="14"/>
      <c r="AA179" s="14"/>
      <c r="AB179" s="13"/>
      <c r="AC179" s="12" t="s">
        <v>3122</v>
      </c>
      <c r="AD179" s="12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</row>
    <row r="180" spans="1:41" ht="10.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2"/>
      <c r="S180" s="12"/>
      <c r="T180" s="14"/>
      <c r="U180" s="14"/>
      <c r="V180" s="19"/>
      <c r="W180" s="14"/>
      <c r="X180" s="14"/>
      <c r="Y180" s="14"/>
      <c r="Z180" s="14"/>
      <c r="AA180" s="14"/>
      <c r="AB180" s="13"/>
      <c r="AC180" s="12" t="s">
        <v>3123</v>
      </c>
      <c r="AD180" s="12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</row>
    <row r="181" spans="1:41" ht="10.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2"/>
      <c r="S181" s="12"/>
      <c r="T181" s="14"/>
      <c r="U181" s="14"/>
      <c r="V181" s="19"/>
      <c r="W181" s="14"/>
      <c r="X181" s="14"/>
      <c r="Y181" s="14"/>
      <c r="Z181" s="14"/>
      <c r="AA181" s="14"/>
      <c r="AB181" s="13"/>
      <c r="AC181" s="12" t="s">
        <v>3124</v>
      </c>
      <c r="AD181" s="12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</row>
    <row r="182" spans="1:41" ht="10.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2"/>
      <c r="S182" s="12"/>
      <c r="T182" s="14"/>
      <c r="U182" s="14"/>
      <c r="V182" s="19"/>
      <c r="W182" s="14"/>
      <c r="X182" s="14"/>
      <c r="Y182" s="14"/>
      <c r="Z182" s="14"/>
      <c r="AA182" s="14"/>
      <c r="AB182" s="13"/>
      <c r="AC182" s="12" t="s">
        <v>3125</v>
      </c>
      <c r="AD182" s="12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</row>
    <row r="183" spans="1:41" ht="10.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2"/>
      <c r="S183" s="12"/>
      <c r="T183" s="14"/>
      <c r="U183" s="14"/>
      <c r="V183" s="19"/>
      <c r="W183" s="14"/>
      <c r="X183" s="14"/>
      <c r="Y183" s="14"/>
      <c r="Z183" s="14"/>
      <c r="AA183" s="14"/>
      <c r="AB183" s="13"/>
      <c r="AC183" s="12" t="s">
        <v>3126</v>
      </c>
      <c r="AD183" s="12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</row>
    <row r="184" spans="1:41" ht="10.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2"/>
      <c r="S184" s="12"/>
      <c r="T184" s="14"/>
      <c r="U184" s="14"/>
      <c r="V184" s="19"/>
      <c r="W184" s="14"/>
      <c r="X184" s="14"/>
      <c r="Y184" s="14"/>
      <c r="Z184" s="14"/>
      <c r="AA184" s="14"/>
      <c r="AB184" s="13"/>
      <c r="AC184" s="12" t="s">
        <v>3127</v>
      </c>
      <c r="AD184" s="12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</row>
    <row r="185" spans="1:41" ht="10.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2"/>
      <c r="S185" s="12"/>
      <c r="T185" s="14"/>
      <c r="U185" s="14"/>
      <c r="V185" s="19"/>
      <c r="W185" s="14"/>
      <c r="X185" s="14"/>
      <c r="Y185" s="14"/>
      <c r="Z185" s="14"/>
      <c r="AA185" s="14"/>
      <c r="AB185" s="13"/>
      <c r="AC185" s="12" t="s">
        <v>3128</v>
      </c>
      <c r="AD185" s="12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</row>
    <row r="186" spans="1:41" ht="10.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2"/>
      <c r="S186" s="12"/>
      <c r="T186" s="14"/>
      <c r="U186" s="14"/>
      <c r="V186" s="19"/>
      <c r="W186" s="14"/>
      <c r="X186" s="14"/>
      <c r="Y186" s="14"/>
      <c r="Z186" s="14"/>
      <c r="AA186" s="14"/>
      <c r="AB186" s="13"/>
      <c r="AC186" s="12" t="s">
        <v>3129</v>
      </c>
      <c r="AD186" s="12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</row>
    <row r="187" spans="1:41" ht="10.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2"/>
      <c r="S187" s="12"/>
      <c r="T187" s="14"/>
      <c r="U187" s="14"/>
      <c r="V187" s="19"/>
      <c r="W187" s="14"/>
      <c r="X187" s="14"/>
      <c r="Y187" s="14"/>
      <c r="Z187" s="14"/>
      <c r="AA187" s="14"/>
      <c r="AB187" s="13"/>
      <c r="AC187" s="12" t="s">
        <v>3130</v>
      </c>
      <c r="AD187" s="12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</row>
    <row r="188" spans="1:41" ht="10.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2"/>
      <c r="S188" s="12"/>
      <c r="T188" s="14"/>
      <c r="U188" s="14"/>
      <c r="V188" s="19"/>
      <c r="W188" s="14"/>
      <c r="X188" s="14"/>
      <c r="Y188" s="14"/>
      <c r="Z188" s="14"/>
      <c r="AA188" s="14"/>
      <c r="AB188" s="13"/>
      <c r="AC188" s="12" t="s">
        <v>3131</v>
      </c>
      <c r="AD188" s="12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</row>
    <row r="189" spans="1:41" ht="10.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2"/>
      <c r="S189" s="12"/>
      <c r="T189" s="14"/>
      <c r="U189" s="14"/>
      <c r="V189" s="19"/>
      <c r="W189" s="14"/>
      <c r="X189" s="14"/>
      <c r="Y189" s="14"/>
      <c r="Z189" s="14"/>
      <c r="AA189" s="14"/>
      <c r="AB189" s="13"/>
      <c r="AC189" s="12" t="s">
        <v>3132</v>
      </c>
      <c r="AD189" s="12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</row>
    <row r="190" spans="1:41" ht="10.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2"/>
      <c r="S190" s="12"/>
      <c r="T190" s="14"/>
      <c r="U190" s="14"/>
      <c r="V190" s="19"/>
      <c r="W190" s="14"/>
      <c r="X190" s="14"/>
      <c r="Y190" s="14"/>
      <c r="Z190" s="14"/>
      <c r="AA190" s="14"/>
      <c r="AB190" s="13"/>
      <c r="AC190" s="12" t="s">
        <v>3133</v>
      </c>
      <c r="AD190" s="12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</row>
    <row r="191" spans="1:41" ht="10.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2"/>
      <c r="S191" s="12"/>
      <c r="T191" s="14"/>
      <c r="U191" s="14"/>
      <c r="V191" s="19"/>
      <c r="W191" s="14"/>
      <c r="X191" s="14"/>
      <c r="Y191" s="14"/>
      <c r="Z191" s="14"/>
      <c r="AA191" s="14"/>
      <c r="AB191" s="13"/>
      <c r="AC191" s="12" t="s">
        <v>3134</v>
      </c>
      <c r="AD191" s="12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</row>
    <row r="192" spans="1:41" ht="10.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2"/>
      <c r="S192" s="12"/>
      <c r="T192" s="14"/>
      <c r="U192" s="14"/>
      <c r="V192" s="19"/>
      <c r="W192" s="14"/>
      <c r="X192" s="14"/>
      <c r="Y192" s="14"/>
      <c r="Z192" s="14"/>
      <c r="AA192" s="14"/>
      <c r="AB192" s="13"/>
      <c r="AC192" s="12" t="s">
        <v>3135</v>
      </c>
      <c r="AD192" s="12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</row>
    <row r="193" spans="1:41" ht="10.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2"/>
      <c r="S193" s="12"/>
      <c r="T193" s="14"/>
      <c r="U193" s="14"/>
      <c r="V193" s="19"/>
      <c r="W193" s="14"/>
      <c r="X193" s="14"/>
      <c r="Y193" s="14"/>
      <c r="Z193" s="14"/>
      <c r="AA193" s="14"/>
      <c r="AB193" s="13"/>
      <c r="AC193" s="12" t="s">
        <v>3136</v>
      </c>
      <c r="AD193" s="12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</row>
    <row r="194" spans="1:41" ht="10.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2"/>
      <c r="S194" s="12"/>
      <c r="T194" s="14"/>
      <c r="U194" s="14"/>
      <c r="V194" s="19"/>
      <c r="W194" s="14"/>
      <c r="X194" s="14"/>
      <c r="Y194" s="14"/>
      <c r="Z194" s="14"/>
      <c r="AA194" s="14"/>
      <c r="AB194" s="13"/>
      <c r="AC194" s="12" t="s">
        <v>3137</v>
      </c>
      <c r="AD194" s="12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</row>
    <row r="195" spans="1:41" ht="10.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2"/>
      <c r="S195" s="12"/>
      <c r="T195" s="14"/>
      <c r="U195" s="14"/>
      <c r="V195" s="19"/>
      <c r="W195" s="14"/>
      <c r="X195" s="14"/>
      <c r="Y195" s="14"/>
      <c r="Z195" s="14"/>
      <c r="AA195" s="14"/>
      <c r="AB195" s="13"/>
      <c r="AC195" s="12" t="s">
        <v>3138</v>
      </c>
      <c r="AD195" s="12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</row>
    <row r="196" spans="1:41" ht="10.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2"/>
      <c r="S196" s="12"/>
      <c r="T196" s="14"/>
      <c r="U196" s="14"/>
      <c r="V196" s="19"/>
      <c r="W196" s="14"/>
      <c r="X196" s="14"/>
      <c r="Y196" s="14"/>
      <c r="Z196" s="14"/>
      <c r="AA196" s="14"/>
      <c r="AB196" s="13"/>
      <c r="AC196" s="12" t="s">
        <v>3139</v>
      </c>
      <c r="AD196" s="12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</row>
    <row r="197" spans="1:41" ht="10.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2"/>
      <c r="S197" s="12"/>
      <c r="T197" s="14"/>
      <c r="U197" s="14"/>
      <c r="V197" s="19"/>
      <c r="W197" s="14"/>
      <c r="X197" s="14"/>
      <c r="Y197" s="14"/>
      <c r="Z197" s="14"/>
      <c r="AA197" s="14"/>
      <c r="AB197" s="13"/>
      <c r="AC197" s="12" t="s">
        <v>3140</v>
      </c>
      <c r="AD197" s="12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</row>
    <row r="198" spans="1:41" ht="10.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2"/>
      <c r="S198" s="12"/>
      <c r="T198" s="14"/>
      <c r="U198" s="14"/>
      <c r="V198" s="19"/>
      <c r="W198" s="14"/>
      <c r="X198" s="14"/>
      <c r="Y198" s="14"/>
      <c r="Z198" s="14"/>
      <c r="AA198" s="14"/>
      <c r="AB198" s="13"/>
      <c r="AC198" s="12" t="s">
        <v>3141</v>
      </c>
      <c r="AD198" s="12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</row>
    <row r="199" spans="1:41" ht="10.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2"/>
      <c r="S199" s="12"/>
      <c r="T199" s="14"/>
      <c r="U199" s="14"/>
      <c r="V199" s="19"/>
      <c r="W199" s="14"/>
      <c r="X199" s="14"/>
      <c r="Y199" s="14"/>
      <c r="Z199" s="14"/>
      <c r="AA199" s="14"/>
      <c r="AB199" s="13"/>
      <c r="AC199" s="12" t="s">
        <v>3142</v>
      </c>
      <c r="AD199" s="12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</row>
    <row r="200" spans="1:41" ht="10.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2"/>
      <c r="S200" s="12"/>
      <c r="T200" s="14"/>
      <c r="U200" s="14"/>
      <c r="V200" s="19"/>
      <c r="W200" s="14"/>
      <c r="X200" s="14"/>
      <c r="Y200" s="14"/>
      <c r="Z200" s="14"/>
      <c r="AA200" s="14"/>
      <c r="AB200" s="13"/>
      <c r="AC200" s="12" t="s">
        <v>3143</v>
      </c>
      <c r="AD200" s="12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</row>
    <row r="201" spans="1:41" ht="10.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2"/>
      <c r="S201" s="12"/>
      <c r="T201" s="14"/>
      <c r="U201" s="14"/>
      <c r="V201" s="19"/>
      <c r="W201" s="14"/>
      <c r="X201" s="14"/>
      <c r="Y201" s="14"/>
      <c r="Z201" s="14"/>
      <c r="AA201" s="14"/>
      <c r="AB201" s="13"/>
      <c r="AC201" s="12" t="s">
        <v>3144</v>
      </c>
      <c r="AD201" s="12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</row>
    <row r="202" spans="1:41" ht="10.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2"/>
      <c r="S202" s="12"/>
      <c r="T202" s="14"/>
      <c r="U202" s="14"/>
      <c r="V202" s="19"/>
      <c r="W202" s="14"/>
      <c r="X202" s="14"/>
      <c r="Y202" s="14"/>
      <c r="Z202" s="14"/>
      <c r="AA202" s="14"/>
      <c r="AB202" s="13"/>
      <c r="AC202" s="12" t="s">
        <v>3145</v>
      </c>
      <c r="AD202" s="12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</row>
    <row r="203" spans="1:41" ht="10.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2"/>
      <c r="S203" s="12"/>
      <c r="T203" s="14"/>
      <c r="U203" s="14"/>
      <c r="V203" s="19"/>
      <c r="W203" s="14"/>
      <c r="X203" s="14"/>
      <c r="Y203" s="14"/>
      <c r="Z203" s="14"/>
      <c r="AA203" s="14"/>
      <c r="AB203" s="13"/>
      <c r="AC203" s="12" t="s">
        <v>3146</v>
      </c>
      <c r="AD203" s="12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</row>
    <row r="204" spans="1:41" ht="10.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2"/>
      <c r="S204" s="12"/>
      <c r="T204" s="14"/>
      <c r="U204" s="14"/>
      <c r="V204" s="19"/>
      <c r="W204" s="14"/>
      <c r="X204" s="14"/>
      <c r="Y204" s="14"/>
      <c r="Z204" s="14"/>
      <c r="AA204" s="14"/>
      <c r="AB204" s="13"/>
      <c r="AC204" s="12" t="s">
        <v>3147</v>
      </c>
      <c r="AD204" s="12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</row>
    <row r="205" spans="1:41" ht="10.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2"/>
      <c r="S205" s="12"/>
      <c r="T205" s="14"/>
      <c r="U205" s="14"/>
      <c r="V205" s="19"/>
      <c r="W205" s="14"/>
      <c r="X205" s="14"/>
      <c r="Y205" s="14"/>
      <c r="Z205" s="14"/>
      <c r="AA205" s="14"/>
      <c r="AB205" s="13"/>
      <c r="AC205" s="12" t="s">
        <v>3148</v>
      </c>
      <c r="AD205" s="12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</row>
    <row r="206" spans="1:41" ht="10.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2"/>
      <c r="S206" s="12"/>
      <c r="T206" s="14"/>
      <c r="U206" s="14"/>
      <c r="V206" s="19"/>
      <c r="W206" s="14"/>
      <c r="X206" s="14"/>
      <c r="Y206" s="14"/>
      <c r="Z206" s="14"/>
      <c r="AA206" s="14"/>
      <c r="AB206" s="13"/>
      <c r="AC206" s="12" t="s">
        <v>3149</v>
      </c>
      <c r="AD206" s="12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</row>
    <row r="207" spans="1:41" ht="10.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2"/>
      <c r="S207" s="12"/>
      <c r="T207" s="14"/>
      <c r="U207" s="14"/>
      <c r="V207" s="19"/>
      <c r="W207" s="14"/>
      <c r="X207" s="14"/>
      <c r="Y207" s="14"/>
      <c r="Z207" s="14"/>
      <c r="AA207" s="14"/>
      <c r="AB207" s="13"/>
      <c r="AC207" s="12" t="s">
        <v>3150</v>
      </c>
      <c r="AD207" s="12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</row>
    <row r="208" spans="1:41" ht="10.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2"/>
      <c r="S208" s="12"/>
      <c r="T208" s="14"/>
      <c r="U208" s="14"/>
      <c r="V208" s="19"/>
      <c r="W208" s="14"/>
      <c r="X208" s="14"/>
      <c r="Y208" s="14"/>
      <c r="Z208" s="14"/>
      <c r="AA208" s="14"/>
      <c r="AB208" s="13"/>
      <c r="AC208" s="12" t="s">
        <v>3151</v>
      </c>
      <c r="AD208" s="12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</row>
    <row r="209" spans="1:41" ht="10.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2"/>
      <c r="S209" s="12"/>
      <c r="T209" s="14"/>
      <c r="U209" s="14"/>
      <c r="V209" s="19"/>
      <c r="W209" s="14"/>
      <c r="X209" s="14"/>
      <c r="Y209" s="14"/>
      <c r="Z209" s="14"/>
      <c r="AA209" s="14"/>
      <c r="AB209" s="13"/>
      <c r="AC209" s="12" t="s">
        <v>3152</v>
      </c>
      <c r="AD209" s="12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</row>
    <row r="210" spans="1:41" ht="10.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2"/>
      <c r="S210" s="12"/>
      <c r="T210" s="14"/>
      <c r="U210" s="14"/>
      <c r="V210" s="19"/>
      <c r="W210" s="14"/>
      <c r="X210" s="14"/>
      <c r="Y210" s="14"/>
      <c r="Z210" s="14"/>
      <c r="AA210" s="14"/>
      <c r="AB210" s="13"/>
      <c r="AC210" s="12" t="s">
        <v>3153</v>
      </c>
      <c r="AD210" s="12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</row>
    <row r="211" spans="1:41" ht="10.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2"/>
      <c r="S211" s="12"/>
      <c r="T211" s="14"/>
      <c r="U211" s="14"/>
      <c r="V211" s="19"/>
      <c r="W211" s="14"/>
      <c r="X211" s="14"/>
      <c r="Y211" s="14"/>
      <c r="Z211" s="14"/>
      <c r="AA211" s="14"/>
      <c r="AB211" s="13"/>
      <c r="AC211" s="12" t="s">
        <v>3154</v>
      </c>
      <c r="AD211" s="12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</row>
    <row r="212" spans="1:41" ht="10.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2"/>
      <c r="S212" s="12"/>
      <c r="T212" s="14"/>
      <c r="U212" s="14"/>
      <c r="V212" s="19"/>
      <c r="W212" s="14"/>
      <c r="X212" s="14"/>
      <c r="Y212" s="14"/>
      <c r="Z212" s="14"/>
      <c r="AA212" s="14"/>
      <c r="AB212" s="13"/>
      <c r="AC212" s="12" t="s">
        <v>3155</v>
      </c>
      <c r="AD212" s="12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</row>
    <row r="213" spans="1:41" ht="10.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2"/>
      <c r="S213" s="12"/>
      <c r="T213" s="14"/>
      <c r="U213" s="14"/>
      <c r="V213" s="19"/>
      <c r="W213" s="14"/>
      <c r="X213" s="14"/>
      <c r="Y213" s="14"/>
      <c r="Z213" s="14"/>
      <c r="AA213" s="14"/>
      <c r="AB213" s="13"/>
      <c r="AC213" s="12" t="s">
        <v>3156</v>
      </c>
      <c r="AD213" s="12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</row>
    <row r="214" spans="1:41" ht="10.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2"/>
      <c r="S214" s="12"/>
      <c r="T214" s="14"/>
      <c r="U214" s="14"/>
      <c r="V214" s="19"/>
      <c r="W214" s="14"/>
      <c r="X214" s="14"/>
      <c r="Y214" s="14"/>
      <c r="Z214" s="14"/>
      <c r="AA214" s="14"/>
      <c r="AB214" s="13"/>
      <c r="AC214" s="12" t="s">
        <v>3157</v>
      </c>
      <c r="AD214" s="12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</row>
    <row r="215" spans="1:41" ht="10.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2"/>
      <c r="S215" s="12"/>
      <c r="T215" s="14"/>
      <c r="U215" s="14"/>
      <c r="V215" s="19"/>
      <c r="W215" s="14"/>
      <c r="X215" s="14"/>
      <c r="Y215" s="14"/>
      <c r="Z215" s="14"/>
      <c r="AA215" s="14"/>
      <c r="AB215" s="13"/>
      <c r="AC215" s="12" t="s">
        <v>3158</v>
      </c>
      <c r="AD215" s="12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</row>
    <row r="216" spans="1:41" ht="10.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2"/>
      <c r="S216" s="12"/>
      <c r="T216" s="14"/>
      <c r="U216" s="14"/>
      <c r="V216" s="19"/>
      <c r="W216" s="14"/>
      <c r="X216" s="14"/>
      <c r="Y216" s="14"/>
      <c r="Z216" s="14"/>
      <c r="AA216" s="14"/>
      <c r="AB216" s="13"/>
      <c r="AC216" s="12" t="s">
        <v>3159</v>
      </c>
      <c r="AD216" s="12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</row>
    <row r="217" spans="1:41" ht="10.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2"/>
      <c r="S217" s="12"/>
      <c r="T217" s="14"/>
      <c r="U217" s="14"/>
      <c r="V217" s="19"/>
      <c r="W217" s="14"/>
      <c r="X217" s="14"/>
      <c r="Y217" s="14"/>
      <c r="Z217" s="14"/>
      <c r="AA217" s="14"/>
      <c r="AB217" s="13"/>
      <c r="AC217" s="12" t="s">
        <v>3160</v>
      </c>
      <c r="AD217" s="12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</row>
    <row r="218" spans="1:41" ht="10.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2"/>
      <c r="S218" s="12"/>
      <c r="T218" s="14"/>
      <c r="U218" s="14"/>
      <c r="V218" s="19"/>
      <c r="W218" s="14"/>
      <c r="X218" s="14"/>
      <c r="Y218" s="14"/>
      <c r="Z218" s="14"/>
      <c r="AA218" s="14"/>
      <c r="AB218" s="13"/>
      <c r="AC218" s="12" t="s">
        <v>3161</v>
      </c>
      <c r="AD218" s="12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</row>
    <row r="219" spans="1:41" ht="10.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2"/>
      <c r="S219" s="12"/>
      <c r="T219" s="14"/>
      <c r="U219" s="14"/>
      <c r="V219" s="19"/>
      <c r="W219" s="14"/>
      <c r="X219" s="14"/>
      <c r="Y219" s="14"/>
      <c r="Z219" s="14"/>
      <c r="AA219" s="14"/>
      <c r="AB219" s="13"/>
      <c r="AC219" s="12" t="s">
        <v>3162</v>
      </c>
      <c r="AD219" s="12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</row>
    <row r="220" spans="1:41" ht="10.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2"/>
      <c r="S220" s="12"/>
      <c r="T220" s="14"/>
      <c r="U220" s="14"/>
      <c r="V220" s="19"/>
      <c r="W220" s="14"/>
      <c r="X220" s="14"/>
      <c r="Y220" s="14"/>
      <c r="Z220" s="14"/>
      <c r="AA220" s="14"/>
      <c r="AB220" s="13"/>
      <c r="AC220" s="12" t="s">
        <v>3163</v>
      </c>
      <c r="AD220" s="12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</row>
    <row r="221" spans="1:41" ht="10.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2"/>
      <c r="S221" s="12"/>
      <c r="T221" s="14"/>
      <c r="U221" s="14"/>
      <c r="V221" s="19"/>
      <c r="W221" s="14"/>
      <c r="X221" s="14"/>
      <c r="Y221" s="14"/>
      <c r="Z221" s="14"/>
      <c r="AA221" s="14"/>
      <c r="AB221" s="13"/>
      <c r="AC221" s="12" t="s">
        <v>3164</v>
      </c>
      <c r="AD221" s="12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</row>
    <row r="222" spans="1:41" ht="10.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2"/>
      <c r="S222" s="12"/>
      <c r="T222" s="14"/>
      <c r="U222" s="14"/>
      <c r="V222" s="19"/>
      <c r="W222" s="14"/>
      <c r="X222" s="14"/>
      <c r="Y222" s="14"/>
      <c r="Z222" s="14"/>
      <c r="AA222" s="14"/>
      <c r="AB222" s="13"/>
      <c r="AC222" s="12" t="s">
        <v>3165</v>
      </c>
      <c r="AD222" s="12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</row>
    <row r="223" spans="1:41" ht="10.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2"/>
      <c r="S223" s="12"/>
      <c r="T223" s="14"/>
      <c r="U223" s="14"/>
      <c r="V223" s="19"/>
      <c r="W223" s="14"/>
      <c r="X223" s="14"/>
      <c r="Y223" s="14"/>
      <c r="Z223" s="14"/>
      <c r="AA223" s="14"/>
      <c r="AB223" s="13"/>
      <c r="AC223" s="12" t="s">
        <v>3166</v>
      </c>
      <c r="AD223" s="12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</row>
    <row r="224" spans="1:41" ht="10.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2"/>
      <c r="S224" s="12"/>
      <c r="T224" s="14"/>
      <c r="U224" s="14"/>
      <c r="V224" s="19"/>
      <c r="W224" s="14"/>
      <c r="X224" s="14"/>
      <c r="Y224" s="14"/>
      <c r="Z224" s="14"/>
      <c r="AA224" s="14"/>
      <c r="AB224" s="13"/>
      <c r="AC224" s="12" t="s">
        <v>3167</v>
      </c>
      <c r="AD224" s="12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</row>
    <row r="225" spans="1:41" ht="10.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2"/>
      <c r="S225" s="12"/>
      <c r="T225" s="14"/>
      <c r="U225" s="14"/>
      <c r="V225" s="19"/>
      <c r="W225" s="14"/>
      <c r="X225" s="14"/>
      <c r="Y225" s="14"/>
      <c r="Z225" s="14"/>
      <c r="AA225" s="14"/>
      <c r="AB225" s="13"/>
      <c r="AC225" s="12" t="s">
        <v>3168</v>
      </c>
      <c r="AD225" s="12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</row>
    <row r="226" spans="1:41" ht="10.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2"/>
      <c r="S226" s="12"/>
      <c r="T226" s="14"/>
      <c r="U226" s="14"/>
      <c r="V226" s="19"/>
      <c r="W226" s="14"/>
      <c r="X226" s="14"/>
      <c r="Y226" s="14"/>
      <c r="Z226" s="14"/>
      <c r="AA226" s="14"/>
      <c r="AB226" s="13"/>
      <c r="AC226" s="12" t="s">
        <v>3169</v>
      </c>
      <c r="AD226" s="12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</row>
    <row r="227" spans="1:41" ht="10.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2"/>
      <c r="S227" s="12"/>
      <c r="T227" s="14"/>
      <c r="U227" s="14"/>
      <c r="V227" s="19"/>
      <c r="W227" s="14"/>
      <c r="X227" s="14"/>
      <c r="Y227" s="14"/>
      <c r="Z227" s="14"/>
      <c r="AA227" s="14"/>
      <c r="AB227" s="13"/>
      <c r="AC227" s="12" t="s">
        <v>3170</v>
      </c>
      <c r="AD227" s="12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</row>
    <row r="228" spans="1:41" ht="10.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2"/>
      <c r="S228" s="12"/>
      <c r="T228" s="14"/>
      <c r="U228" s="14"/>
      <c r="V228" s="19"/>
      <c r="W228" s="14"/>
      <c r="X228" s="14"/>
      <c r="Y228" s="14"/>
      <c r="Z228" s="14"/>
      <c r="AA228" s="14"/>
      <c r="AB228" s="13"/>
      <c r="AC228" s="12" t="s">
        <v>3171</v>
      </c>
      <c r="AD228" s="12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</row>
    <row r="229" spans="1:41" ht="10.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2"/>
      <c r="S229" s="12"/>
      <c r="T229" s="14"/>
      <c r="U229" s="14"/>
      <c r="V229" s="19"/>
      <c r="W229" s="14"/>
      <c r="X229" s="14"/>
      <c r="Y229" s="14"/>
      <c r="Z229" s="14"/>
      <c r="AA229" s="14"/>
      <c r="AB229" s="13"/>
      <c r="AC229" s="12" t="s">
        <v>3172</v>
      </c>
      <c r="AD229" s="12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</row>
    <row r="230" spans="1:41" ht="10.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2"/>
      <c r="S230" s="12"/>
      <c r="T230" s="14"/>
      <c r="U230" s="14"/>
      <c r="V230" s="19"/>
      <c r="W230" s="14"/>
      <c r="X230" s="14"/>
      <c r="Y230" s="14"/>
      <c r="Z230" s="14"/>
      <c r="AA230" s="14"/>
      <c r="AB230" s="13"/>
      <c r="AC230" s="12" t="s">
        <v>3173</v>
      </c>
      <c r="AD230" s="12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</row>
    <row r="231" spans="1:41" ht="10.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2"/>
      <c r="S231" s="12"/>
      <c r="T231" s="14"/>
      <c r="U231" s="14"/>
      <c r="V231" s="19"/>
      <c r="W231" s="14"/>
      <c r="X231" s="14"/>
      <c r="Y231" s="14"/>
      <c r="Z231" s="14"/>
      <c r="AA231" s="14"/>
      <c r="AB231" s="13"/>
      <c r="AC231" s="12" t="s">
        <v>3174</v>
      </c>
      <c r="AD231" s="12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</row>
    <row r="232" spans="1:41" ht="10.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2"/>
      <c r="S232" s="12"/>
      <c r="T232" s="14"/>
      <c r="U232" s="14"/>
      <c r="V232" s="19"/>
      <c r="W232" s="14"/>
      <c r="X232" s="14"/>
      <c r="Y232" s="14"/>
      <c r="Z232" s="14"/>
      <c r="AA232" s="14"/>
      <c r="AB232" s="13"/>
      <c r="AC232" s="12" t="s">
        <v>3175</v>
      </c>
      <c r="AD232" s="12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</row>
    <row r="233" spans="1:41" ht="10.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2"/>
      <c r="S233" s="12"/>
      <c r="T233" s="14"/>
      <c r="U233" s="14"/>
      <c r="V233" s="19"/>
      <c r="W233" s="14"/>
      <c r="X233" s="14"/>
      <c r="Y233" s="14"/>
      <c r="Z233" s="14"/>
      <c r="AA233" s="14"/>
      <c r="AB233" s="13"/>
      <c r="AC233" s="12" t="s">
        <v>3176</v>
      </c>
      <c r="AD233" s="12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</row>
    <row r="234" spans="1:41" ht="10.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2"/>
      <c r="S234" s="12"/>
      <c r="T234" s="14"/>
      <c r="U234" s="14"/>
      <c r="V234" s="19"/>
      <c r="W234" s="14"/>
      <c r="X234" s="14"/>
      <c r="Y234" s="14"/>
      <c r="Z234" s="14"/>
      <c r="AA234" s="14"/>
      <c r="AB234" s="13"/>
      <c r="AC234" s="12" t="s">
        <v>3177</v>
      </c>
      <c r="AD234" s="12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</row>
    <row r="235" spans="1:41" ht="10.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4"/>
      <c r="U235" s="14"/>
      <c r="V235" s="19"/>
      <c r="W235" s="14"/>
      <c r="X235" s="14"/>
      <c r="Y235" s="14"/>
      <c r="Z235" s="14"/>
      <c r="AA235" s="14"/>
      <c r="AB235" s="13"/>
      <c r="AC235" s="12" t="s">
        <v>3178</v>
      </c>
      <c r="AD235" s="12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</row>
    <row r="236" spans="1:41" ht="10.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2"/>
      <c r="S236" s="12"/>
      <c r="T236" s="14"/>
      <c r="U236" s="14"/>
      <c r="V236" s="19"/>
      <c r="W236" s="14"/>
      <c r="X236" s="14"/>
      <c r="Y236" s="14"/>
      <c r="Z236" s="14"/>
      <c r="AA236" s="14"/>
      <c r="AB236" s="13"/>
      <c r="AC236" s="12" t="s">
        <v>3179</v>
      </c>
      <c r="AD236" s="12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</row>
    <row r="237" spans="1:41" ht="10.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2"/>
      <c r="S237" s="12"/>
      <c r="T237" s="14"/>
      <c r="U237" s="14"/>
      <c r="V237" s="19"/>
      <c r="W237" s="14"/>
      <c r="X237" s="14"/>
      <c r="Y237" s="14"/>
      <c r="Z237" s="14"/>
      <c r="AA237" s="14"/>
      <c r="AB237" s="13"/>
      <c r="AC237" s="12" t="s">
        <v>3180</v>
      </c>
      <c r="AD237" s="12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</row>
    <row r="238" spans="1:41" ht="10.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2"/>
      <c r="S238" s="12"/>
      <c r="T238" s="14"/>
      <c r="U238" s="14"/>
      <c r="V238" s="19"/>
      <c r="W238" s="14"/>
      <c r="X238" s="14"/>
      <c r="Y238" s="14"/>
      <c r="Z238" s="14"/>
      <c r="AA238" s="14"/>
      <c r="AB238" s="13"/>
      <c r="AC238" s="12" t="s">
        <v>3181</v>
      </c>
      <c r="AD238" s="12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</row>
    <row r="239" spans="1:41" ht="10.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2"/>
      <c r="S239" s="12"/>
      <c r="T239" s="14"/>
      <c r="U239" s="14"/>
      <c r="V239" s="19"/>
      <c r="W239" s="14"/>
      <c r="X239" s="14"/>
      <c r="Y239" s="14"/>
      <c r="Z239" s="14"/>
      <c r="AA239" s="14"/>
      <c r="AB239" s="13"/>
      <c r="AC239" s="12" t="s">
        <v>3182</v>
      </c>
      <c r="AD239" s="12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</row>
    <row r="240" spans="1:41" ht="10.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2"/>
      <c r="S240" s="12"/>
      <c r="T240" s="14"/>
      <c r="U240" s="14"/>
      <c r="V240" s="19"/>
      <c r="W240" s="14"/>
      <c r="X240" s="14"/>
      <c r="Y240" s="14"/>
      <c r="Z240" s="14"/>
      <c r="AA240" s="14"/>
      <c r="AB240" s="13"/>
      <c r="AC240" s="12" t="s">
        <v>3183</v>
      </c>
      <c r="AD240" s="12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</row>
    <row r="241" spans="1:41" ht="10.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2"/>
      <c r="S241" s="12"/>
      <c r="T241" s="14"/>
      <c r="U241" s="14"/>
      <c r="V241" s="19"/>
      <c r="W241" s="14"/>
      <c r="X241" s="14"/>
      <c r="Y241" s="14"/>
      <c r="Z241" s="14"/>
      <c r="AA241" s="14"/>
      <c r="AB241" s="13"/>
      <c r="AC241" s="12" t="s">
        <v>3184</v>
      </c>
      <c r="AD241" s="12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</row>
    <row r="242" spans="1:41" ht="10.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2"/>
      <c r="S242" s="12"/>
      <c r="T242" s="14"/>
      <c r="U242" s="14"/>
      <c r="V242" s="19"/>
      <c r="W242" s="14"/>
      <c r="X242" s="14"/>
      <c r="Y242" s="14"/>
      <c r="Z242" s="14"/>
      <c r="AA242" s="14"/>
      <c r="AB242" s="13"/>
      <c r="AC242" s="12" t="s">
        <v>3185</v>
      </c>
      <c r="AD242" s="12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</row>
    <row r="243" spans="1:41" ht="10.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2"/>
      <c r="S243" s="12"/>
      <c r="T243" s="14"/>
      <c r="U243" s="14"/>
      <c r="V243" s="19"/>
      <c r="W243" s="14"/>
      <c r="X243" s="14"/>
      <c r="Y243" s="14"/>
      <c r="Z243" s="14"/>
      <c r="AA243" s="14"/>
      <c r="AB243" s="13"/>
      <c r="AC243" s="12" t="s">
        <v>3186</v>
      </c>
      <c r="AD243" s="12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</row>
    <row r="244" spans="1:41" ht="10.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2"/>
      <c r="S244" s="12"/>
      <c r="T244" s="14"/>
      <c r="U244" s="14"/>
      <c r="V244" s="19"/>
      <c r="W244" s="14"/>
      <c r="X244" s="14"/>
      <c r="Y244" s="14"/>
      <c r="Z244" s="14"/>
      <c r="AA244" s="14"/>
      <c r="AB244" s="13"/>
      <c r="AC244" s="12" t="s">
        <v>3187</v>
      </c>
      <c r="AD244" s="12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</row>
    <row r="245" spans="1:41" ht="10.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2"/>
      <c r="S245" s="12"/>
      <c r="T245" s="14"/>
      <c r="U245" s="14"/>
      <c r="V245" s="19"/>
      <c r="W245" s="14"/>
      <c r="X245" s="14"/>
      <c r="Y245" s="14"/>
      <c r="Z245" s="14"/>
      <c r="AA245" s="14"/>
      <c r="AB245" s="13"/>
      <c r="AC245" s="12" t="s">
        <v>3188</v>
      </c>
      <c r="AD245" s="12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</row>
    <row r="246" spans="1:41" ht="10.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2"/>
      <c r="S246" s="12"/>
      <c r="T246" s="14"/>
      <c r="U246" s="14"/>
      <c r="V246" s="19"/>
      <c r="W246" s="14"/>
      <c r="X246" s="14"/>
      <c r="Y246" s="14"/>
      <c r="Z246" s="14"/>
      <c r="AA246" s="14"/>
      <c r="AB246" s="13"/>
      <c r="AC246" s="12" t="s">
        <v>3189</v>
      </c>
      <c r="AD246" s="12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</row>
  </sheetData>
  <conditionalFormatting sqref="A1:U1 W1:AK1">
    <cfRule type="expression" dxfId="0" priority="1" stopIfTrue="1">
      <formula>LEN(TRIM(A1))&gt;0</formula>
    </cfRule>
  </conditionalFormatting>
  <pageMargins left="0.70000000000000007" right="0.70000000000000007" top="1.14375" bottom="1.14375" header="0.75000000000000011" footer="0.75000000000000011"/>
  <pageSetup paperSize="9" fitToWidth="0" fitToHeight="0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8"/>
  <dimension ref="A1:E15"/>
  <sheetViews>
    <sheetView workbookViewId="0">
      <selection activeCell="M41" sqref="M41"/>
    </sheetView>
  </sheetViews>
  <sheetFormatPr defaultRowHeight="14"/>
  <cols>
    <col min="1" max="1" width="18.9140625" bestFit="1" customWidth="1"/>
    <col min="2" max="2" width="13.9140625" customWidth="1"/>
    <col min="4" max="4" width="14.08203125" customWidth="1"/>
    <col min="5" max="5" width="12.4140625" customWidth="1"/>
  </cols>
  <sheetData>
    <row r="1" spans="1:5">
      <c r="A1" t="s">
        <v>3190</v>
      </c>
      <c r="B1" t="s">
        <v>3191</v>
      </c>
      <c r="D1" s="109" t="s">
        <v>3192</v>
      </c>
      <c r="E1" s="109" t="s">
        <v>3193</v>
      </c>
    </row>
    <row r="2" spans="1:5">
      <c r="A2" t="s">
        <v>3194</v>
      </c>
      <c r="B2" t="s">
        <v>3195</v>
      </c>
      <c r="D2" s="103" t="s">
        <v>2828</v>
      </c>
      <c r="E2" s="104" t="s">
        <v>3196</v>
      </c>
    </row>
    <row r="3" spans="1:5">
      <c r="A3" t="s">
        <v>3197</v>
      </c>
      <c r="D3" s="105" t="s">
        <v>2883</v>
      </c>
      <c r="E3" s="106" t="s">
        <v>3198</v>
      </c>
    </row>
    <row r="4" spans="1:5">
      <c r="A4" t="s">
        <v>3199</v>
      </c>
      <c r="D4" s="105" t="s">
        <v>2816</v>
      </c>
      <c r="E4" s="106" t="s">
        <v>3200</v>
      </c>
    </row>
    <row r="5" spans="1:5">
      <c r="A5" t="s">
        <v>3201</v>
      </c>
      <c r="D5" s="105" t="s">
        <v>2838</v>
      </c>
      <c r="E5" s="106" t="s">
        <v>3202</v>
      </c>
    </row>
    <row r="6" spans="1:5">
      <c r="A6" t="s">
        <v>3203</v>
      </c>
      <c r="D6" s="107" t="s">
        <v>2846</v>
      </c>
      <c r="E6" s="108" t="s">
        <v>3204</v>
      </c>
    </row>
    <row r="7" spans="1:5">
      <c r="A7" t="s">
        <v>3205</v>
      </c>
      <c r="D7" s="103" t="s">
        <v>2869</v>
      </c>
      <c r="E7" s="104" t="s">
        <v>3206</v>
      </c>
    </row>
    <row r="8" spans="1:5">
      <c r="A8" t="s">
        <v>3207</v>
      </c>
      <c r="D8" s="105" t="s">
        <v>2879</v>
      </c>
      <c r="E8" s="106" t="s">
        <v>3208</v>
      </c>
    </row>
    <row r="9" spans="1:5">
      <c r="A9" t="s">
        <v>3209</v>
      </c>
      <c r="D9" s="105" t="s">
        <v>2861</v>
      </c>
      <c r="E9" s="106" t="s">
        <v>3210</v>
      </c>
    </row>
    <row r="10" spans="1:5">
      <c r="A10" t="s">
        <v>3211</v>
      </c>
      <c r="D10" s="107" t="s">
        <v>769</v>
      </c>
      <c r="E10" s="108" t="s">
        <v>3212</v>
      </c>
    </row>
    <row r="11" spans="1:5">
      <c r="A11" t="s">
        <v>3213</v>
      </c>
    </row>
    <row r="12" spans="1:5">
      <c r="A12" t="s">
        <v>3214</v>
      </c>
    </row>
    <row r="13" spans="1:5">
      <c r="A13" t="s">
        <v>3215</v>
      </c>
    </row>
    <row r="14" spans="1:5">
      <c r="A14" t="s">
        <v>3216</v>
      </c>
    </row>
    <row r="15" spans="1:5">
      <c r="A15" t="s">
        <v>3217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9"/>
  <sheetViews>
    <sheetView zoomScale="70" zoomScaleNormal="70" workbookViewId="0">
      <selection activeCell="F3" sqref="F3:F9"/>
    </sheetView>
  </sheetViews>
  <sheetFormatPr defaultRowHeight="14"/>
  <cols>
    <col min="1" max="1" width="11.5" customWidth="1"/>
    <col min="2" max="2" width="82.5" customWidth="1"/>
    <col min="3" max="3" width="16.1640625" customWidth="1"/>
    <col min="4" max="4" width="2.1640625" customWidth="1"/>
    <col min="5" max="5" width="4.6640625" customWidth="1"/>
    <col min="6" max="6" width="14.08203125" customWidth="1"/>
    <col min="7" max="7" width="89" customWidth="1"/>
    <col min="8" max="8" width="13.58203125" customWidth="1"/>
  </cols>
  <sheetData>
    <row r="1" spans="1:8" ht="23.4" customHeight="1">
      <c r="A1" s="401" t="s">
        <v>3218</v>
      </c>
      <c r="B1" s="399"/>
      <c r="C1" s="399"/>
      <c r="F1" s="402" t="s">
        <v>3219</v>
      </c>
      <c r="G1" s="399"/>
      <c r="H1" s="399"/>
    </row>
    <row r="2" spans="1:8" ht="21" customHeight="1">
      <c r="A2" s="133" t="s">
        <v>3220</v>
      </c>
      <c r="B2" s="133" t="s">
        <v>3221</v>
      </c>
      <c r="C2" s="135" t="s">
        <v>775</v>
      </c>
      <c r="D2" s="134"/>
      <c r="E2" s="134"/>
      <c r="F2" s="133" t="s">
        <v>3222</v>
      </c>
      <c r="G2" s="133" t="s">
        <v>3221</v>
      </c>
      <c r="H2" s="135" t="s">
        <v>775</v>
      </c>
    </row>
    <row r="3" spans="1:8" ht="49.25" customHeight="1">
      <c r="A3" s="127">
        <v>0</v>
      </c>
      <c r="B3" s="128" t="s">
        <v>3223</v>
      </c>
      <c r="C3" s="132"/>
      <c r="F3" s="129" t="s">
        <v>3224</v>
      </c>
      <c r="G3" s="128" t="s">
        <v>3225</v>
      </c>
      <c r="H3" s="132"/>
    </row>
    <row r="4" spans="1:8" ht="40" customHeight="1">
      <c r="A4" s="127">
        <v>38</v>
      </c>
      <c r="B4" s="128" t="s">
        <v>3226</v>
      </c>
      <c r="C4" s="132"/>
      <c r="F4" s="129" t="s">
        <v>3227</v>
      </c>
      <c r="G4" s="128" t="s">
        <v>3228</v>
      </c>
      <c r="H4" s="132"/>
    </row>
    <row r="5" spans="1:8" ht="40" customHeight="1">
      <c r="A5" s="127">
        <v>68</v>
      </c>
      <c r="B5" s="128" t="s">
        <v>3229</v>
      </c>
      <c r="C5" s="132"/>
      <c r="F5" s="129" t="s">
        <v>3230</v>
      </c>
      <c r="G5" s="128" t="s">
        <v>3231</v>
      </c>
      <c r="H5" s="132"/>
    </row>
    <row r="6" spans="1:8" ht="40" customHeight="1">
      <c r="A6" s="127">
        <v>108</v>
      </c>
      <c r="B6" s="128" t="s">
        <v>3232</v>
      </c>
      <c r="C6" s="132"/>
      <c r="F6" s="130" t="s">
        <v>3233</v>
      </c>
      <c r="G6" s="128" t="s">
        <v>3234</v>
      </c>
      <c r="H6" s="132"/>
    </row>
    <row r="7" spans="1:8" ht="40" customHeight="1">
      <c r="A7" s="132"/>
      <c r="B7" s="132"/>
      <c r="C7" s="132"/>
      <c r="F7" s="128" t="s">
        <v>3235</v>
      </c>
      <c r="G7" s="131" t="s">
        <v>3236</v>
      </c>
      <c r="H7" s="132"/>
    </row>
    <row r="8" spans="1:8" ht="40" customHeight="1">
      <c r="A8" s="132"/>
      <c r="B8" s="132"/>
      <c r="C8" s="132"/>
      <c r="F8" s="128" t="s">
        <v>3237</v>
      </c>
      <c r="G8" s="128" t="s">
        <v>3238</v>
      </c>
      <c r="H8" s="132"/>
    </row>
    <row r="9" spans="1:8" ht="40" customHeight="1">
      <c r="A9" s="132"/>
      <c r="B9" s="132"/>
      <c r="C9" s="132"/>
      <c r="F9" s="131" t="s">
        <v>3239</v>
      </c>
      <c r="G9" s="128" t="s">
        <v>3240</v>
      </c>
      <c r="H9" s="132"/>
    </row>
  </sheetData>
  <mergeCells count="2">
    <mergeCell ref="A1:C1"/>
    <mergeCell ref="F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1185"/>
  <sheetViews>
    <sheetView workbookViewId="0"/>
  </sheetViews>
  <sheetFormatPr defaultRowHeight="14"/>
  <sheetData>
    <row r="1" spans="1:1">
      <c r="A1" s="320" t="s">
        <v>3241</v>
      </c>
    </row>
    <row r="2" spans="1:1">
      <c r="A2" t="s">
        <v>3242</v>
      </c>
    </row>
    <row r="3" spans="1:1">
      <c r="A3" t="s">
        <v>3243</v>
      </c>
    </row>
    <row r="4" spans="1:1">
      <c r="A4" t="s">
        <v>3244</v>
      </c>
    </row>
    <row r="5" spans="1:1">
      <c r="A5" t="s">
        <v>484</v>
      </c>
    </row>
    <row r="6" spans="1:1">
      <c r="A6" t="s">
        <v>753</v>
      </c>
    </row>
    <row r="7" spans="1:1">
      <c r="A7" t="s">
        <v>3245</v>
      </c>
    </row>
    <row r="8" spans="1:1">
      <c r="A8" t="s">
        <v>3246</v>
      </c>
    </row>
    <row r="9" spans="1:1">
      <c r="A9" t="s">
        <v>469</v>
      </c>
    </row>
    <row r="10" spans="1:1">
      <c r="A10" t="s">
        <v>514</v>
      </c>
    </row>
    <row r="11" spans="1:1">
      <c r="A11" t="s">
        <v>1586</v>
      </c>
    </row>
    <row r="12" spans="1:1">
      <c r="A12" t="s">
        <v>441</v>
      </c>
    </row>
    <row r="13" spans="1:1">
      <c r="A13" t="s">
        <v>358</v>
      </c>
    </row>
    <row r="14" spans="1:1">
      <c r="A14" t="s">
        <v>1595</v>
      </c>
    </row>
    <row r="15" spans="1:1">
      <c r="A15" t="s">
        <v>1454</v>
      </c>
    </row>
    <row r="16" spans="1:1">
      <c r="A16" t="s">
        <v>289</v>
      </c>
    </row>
    <row r="17" spans="1:1">
      <c r="A17" t="s">
        <v>3247</v>
      </c>
    </row>
    <row r="18" spans="1:1">
      <c r="A18" t="s">
        <v>3248</v>
      </c>
    </row>
    <row r="19" spans="1:1">
      <c r="A19" t="s">
        <v>121</v>
      </c>
    </row>
    <row r="20" spans="1:1">
      <c r="A20" t="s">
        <v>731</v>
      </c>
    </row>
    <row r="21" spans="1:1">
      <c r="A21" t="s">
        <v>3249</v>
      </c>
    </row>
    <row r="22" spans="1:1">
      <c r="A22" t="s">
        <v>3250</v>
      </c>
    </row>
    <row r="23" spans="1:1">
      <c r="A23" t="s">
        <v>3251</v>
      </c>
    </row>
    <row r="24" spans="1:1">
      <c r="A24" t="s">
        <v>3252</v>
      </c>
    </row>
    <row r="25" spans="1:1">
      <c r="A25" t="s">
        <v>536</v>
      </c>
    </row>
    <row r="26" spans="1:1">
      <c r="A26" t="s">
        <v>538</v>
      </c>
    </row>
    <row r="27" spans="1:1">
      <c r="A27" t="s">
        <v>734</v>
      </c>
    </row>
    <row r="28" spans="1:1">
      <c r="A28" t="s">
        <v>1788</v>
      </c>
    </row>
    <row r="29" spans="1:1">
      <c r="A29" t="s">
        <v>3253</v>
      </c>
    </row>
    <row r="30" spans="1:1">
      <c r="A30" t="s">
        <v>1768</v>
      </c>
    </row>
    <row r="31" spans="1:1">
      <c r="A31" t="s">
        <v>1533</v>
      </c>
    </row>
    <row r="32" spans="1:1">
      <c r="A32" t="s">
        <v>3254</v>
      </c>
    </row>
    <row r="33" spans="1:1">
      <c r="A33" t="s">
        <v>3255</v>
      </c>
    </row>
    <row r="34" spans="1:1">
      <c r="A34" t="s">
        <v>3256</v>
      </c>
    </row>
    <row r="35" spans="1:1">
      <c r="A35" t="s">
        <v>3257</v>
      </c>
    </row>
    <row r="36" spans="1:1">
      <c r="A36" t="s">
        <v>3258</v>
      </c>
    </row>
    <row r="37" spans="1:1">
      <c r="A37" t="s">
        <v>1538</v>
      </c>
    </row>
    <row r="38" spans="1:1">
      <c r="A38" t="s">
        <v>105</v>
      </c>
    </row>
    <row r="39" spans="1:1">
      <c r="A39" t="s">
        <v>3259</v>
      </c>
    </row>
    <row r="40" spans="1:1">
      <c r="A40" t="s">
        <v>116</v>
      </c>
    </row>
    <row r="41" spans="1:1">
      <c r="A41" t="s">
        <v>35</v>
      </c>
    </row>
    <row r="42" spans="1:1">
      <c r="A42" t="s">
        <v>3260</v>
      </c>
    </row>
    <row r="43" spans="1:1">
      <c r="A43" t="s">
        <v>3261</v>
      </c>
    </row>
    <row r="44" spans="1:1">
      <c r="A44" t="s">
        <v>3262</v>
      </c>
    </row>
    <row r="45" spans="1:1">
      <c r="A45" t="s">
        <v>3263</v>
      </c>
    </row>
    <row r="46" spans="1:1">
      <c r="A46" t="s">
        <v>1872</v>
      </c>
    </row>
    <row r="47" spans="1:1">
      <c r="A47" t="s">
        <v>3264</v>
      </c>
    </row>
    <row r="48" spans="1:1">
      <c r="A48" t="s">
        <v>526</v>
      </c>
    </row>
    <row r="49" spans="1:1">
      <c r="A49" t="s">
        <v>554</v>
      </c>
    </row>
    <row r="50" spans="1:1">
      <c r="A50" t="s">
        <v>357</v>
      </c>
    </row>
    <row r="51" spans="1:1">
      <c r="A51" t="s">
        <v>178</v>
      </c>
    </row>
    <row r="52" spans="1:1">
      <c r="A52" t="s">
        <v>474</v>
      </c>
    </row>
    <row r="53" spans="1:1">
      <c r="A53" t="s">
        <v>3265</v>
      </c>
    </row>
    <row r="54" spans="1:1">
      <c r="A54" t="s">
        <v>3266</v>
      </c>
    </row>
    <row r="55" spans="1:1">
      <c r="A55" t="s">
        <v>3267</v>
      </c>
    </row>
    <row r="56" spans="1:1">
      <c r="A56" t="s">
        <v>3268</v>
      </c>
    </row>
    <row r="57" spans="1:1">
      <c r="A57" t="s">
        <v>3269</v>
      </c>
    </row>
    <row r="58" spans="1:1">
      <c r="A58" t="s">
        <v>32</v>
      </c>
    </row>
    <row r="59" spans="1:1">
      <c r="A59" t="s">
        <v>3270</v>
      </c>
    </row>
    <row r="60" spans="1:1">
      <c r="A60" t="s">
        <v>3271</v>
      </c>
    </row>
    <row r="61" spans="1:1">
      <c r="A61" t="s">
        <v>440</v>
      </c>
    </row>
    <row r="62" spans="1:1">
      <c r="A62" t="s">
        <v>3272</v>
      </c>
    </row>
    <row r="63" spans="1:1">
      <c r="A63" t="s">
        <v>3273</v>
      </c>
    </row>
    <row r="64" spans="1:1">
      <c r="A64" t="s">
        <v>479</v>
      </c>
    </row>
    <row r="65" spans="1:1">
      <c r="A65" t="s">
        <v>747</v>
      </c>
    </row>
    <row r="66" spans="1:1">
      <c r="A66" t="s">
        <v>1530</v>
      </c>
    </row>
    <row r="67" spans="1:1">
      <c r="A67" t="s">
        <v>3274</v>
      </c>
    </row>
    <row r="68" spans="1:1">
      <c r="A68" t="s">
        <v>1628</v>
      </c>
    </row>
    <row r="69" spans="1:1">
      <c r="A69" t="s">
        <v>3275</v>
      </c>
    </row>
    <row r="70" spans="1:1">
      <c r="A70" t="s">
        <v>3276</v>
      </c>
    </row>
    <row r="71" spans="1:1">
      <c r="A71" t="s">
        <v>199</v>
      </c>
    </row>
    <row r="72" spans="1:1">
      <c r="A72" t="s">
        <v>3277</v>
      </c>
    </row>
    <row r="73" spans="1:1">
      <c r="A73" t="s">
        <v>3278</v>
      </c>
    </row>
    <row r="74" spans="1:1">
      <c r="A74" t="s">
        <v>293</v>
      </c>
    </row>
    <row r="75" spans="1:1">
      <c r="A75" t="s">
        <v>3279</v>
      </c>
    </row>
    <row r="76" spans="1:1">
      <c r="A76" t="s">
        <v>3280</v>
      </c>
    </row>
    <row r="77" spans="1:1">
      <c r="A77" t="s">
        <v>15</v>
      </c>
    </row>
    <row r="78" spans="1:1">
      <c r="A78" t="s">
        <v>3281</v>
      </c>
    </row>
    <row r="79" spans="1:1">
      <c r="A79" t="s">
        <v>83</v>
      </c>
    </row>
    <row r="80" spans="1:1">
      <c r="A80" t="s">
        <v>3282</v>
      </c>
    </row>
    <row r="81" spans="1:1">
      <c r="A81" t="s">
        <v>1707</v>
      </c>
    </row>
    <row r="82" spans="1:1">
      <c r="A82" t="s">
        <v>439</v>
      </c>
    </row>
    <row r="83" spans="1:1">
      <c r="A83" t="s">
        <v>3283</v>
      </c>
    </row>
    <row r="84" spans="1:1">
      <c r="A84" t="s">
        <v>3284</v>
      </c>
    </row>
    <row r="85" spans="1:1">
      <c r="A85" t="s">
        <v>310</v>
      </c>
    </row>
    <row r="86" spans="1:1">
      <c r="A86" t="s">
        <v>3285</v>
      </c>
    </row>
    <row r="87" spans="1:1">
      <c r="A87" t="s">
        <v>467</v>
      </c>
    </row>
    <row r="88" spans="1:1">
      <c r="A88" t="s">
        <v>3286</v>
      </c>
    </row>
    <row r="89" spans="1:1">
      <c r="A89" t="s">
        <v>3287</v>
      </c>
    </row>
    <row r="90" spans="1:1">
      <c r="A90" t="s">
        <v>531</v>
      </c>
    </row>
    <row r="91" spans="1:1">
      <c r="A91" t="s">
        <v>3288</v>
      </c>
    </row>
    <row r="92" spans="1:1">
      <c r="A92" t="s">
        <v>485</v>
      </c>
    </row>
    <row r="93" spans="1:1">
      <c r="A93" t="s">
        <v>3289</v>
      </c>
    </row>
    <row r="94" spans="1:1">
      <c r="A94" t="s">
        <v>3290</v>
      </c>
    </row>
    <row r="95" spans="1:1">
      <c r="A95" t="s">
        <v>3291</v>
      </c>
    </row>
    <row r="96" spans="1:1">
      <c r="A96" t="s">
        <v>3292</v>
      </c>
    </row>
    <row r="97" spans="1:1">
      <c r="A97" t="s">
        <v>3293</v>
      </c>
    </row>
    <row r="98" spans="1:1">
      <c r="A98" t="s">
        <v>1643</v>
      </c>
    </row>
    <row r="99" spans="1:1">
      <c r="A99" t="s">
        <v>3294</v>
      </c>
    </row>
    <row r="100" spans="1:1">
      <c r="A100" t="s">
        <v>3295</v>
      </c>
    </row>
    <row r="101" spans="1:1">
      <c r="A101" t="s">
        <v>274</v>
      </c>
    </row>
    <row r="102" spans="1:1">
      <c r="A102" t="s">
        <v>493</v>
      </c>
    </row>
    <row r="103" spans="1:1">
      <c r="A103" t="s">
        <v>3296</v>
      </c>
    </row>
    <row r="104" spans="1:1">
      <c r="A104" t="s">
        <v>459</v>
      </c>
    </row>
    <row r="105" spans="1:1">
      <c r="A105" t="s">
        <v>37</v>
      </c>
    </row>
    <row r="106" spans="1:1">
      <c r="A106" t="s">
        <v>3297</v>
      </c>
    </row>
    <row r="107" spans="1:1">
      <c r="A107" t="s">
        <v>3298</v>
      </c>
    </row>
    <row r="108" spans="1:1">
      <c r="A108" t="s">
        <v>480</v>
      </c>
    </row>
    <row r="109" spans="1:1">
      <c r="A109" t="s">
        <v>3299</v>
      </c>
    </row>
    <row r="110" spans="1:1">
      <c r="A110" t="s">
        <v>3300</v>
      </c>
    </row>
    <row r="111" spans="1:1">
      <c r="A111" t="s">
        <v>3301</v>
      </c>
    </row>
    <row r="112" spans="1:1">
      <c r="A112" t="s">
        <v>3302</v>
      </c>
    </row>
    <row r="113" spans="1:1">
      <c r="A113" t="s">
        <v>463</v>
      </c>
    </row>
    <row r="114" spans="1:1">
      <c r="A114" t="s">
        <v>200</v>
      </c>
    </row>
    <row r="115" spans="1:1">
      <c r="A115" t="s">
        <v>3303</v>
      </c>
    </row>
    <row r="116" spans="1:1">
      <c r="A116" t="s">
        <v>1556</v>
      </c>
    </row>
    <row r="117" spans="1:1">
      <c r="A117" t="s">
        <v>3304</v>
      </c>
    </row>
    <row r="118" spans="1:1">
      <c r="A118" t="s">
        <v>3305</v>
      </c>
    </row>
    <row r="119" spans="1:1">
      <c r="A119" t="s">
        <v>3306</v>
      </c>
    </row>
    <row r="120" spans="1:1">
      <c r="A120" t="s">
        <v>3307</v>
      </c>
    </row>
    <row r="121" spans="1:1">
      <c r="A121" t="s">
        <v>3308</v>
      </c>
    </row>
    <row r="122" spans="1:1">
      <c r="A122" t="s">
        <v>3309</v>
      </c>
    </row>
    <row r="123" spans="1:1">
      <c r="A123" t="s">
        <v>3310</v>
      </c>
    </row>
    <row r="124" spans="1:1">
      <c r="A124" t="s">
        <v>3311</v>
      </c>
    </row>
    <row r="125" spans="1:1">
      <c r="A125" t="s">
        <v>3312</v>
      </c>
    </row>
    <row r="126" spans="1:1">
      <c r="A126" t="s">
        <v>75</v>
      </c>
    </row>
    <row r="127" spans="1:1">
      <c r="A127" t="s">
        <v>3313</v>
      </c>
    </row>
    <row r="128" spans="1:1">
      <c r="A128" t="s">
        <v>1804</v>
      </c>
    </row>
    <row r="129" spans="1:1">
      <c r="A129" t="s">
        <v>3314</v>
      </c>
    </row>
    <row r="130" spans="1:1">
      <c r="A130" t="s">
        <v>305</v>
      </c>
    </row>
    <row r="131" spans="1:1">
      <c r="A131" t="s">
        <v>120</v>
      </c>
    </row>
    <row r="132" spans="1:1">
      <c r="A132" t="s">
        <v>3315</v>
      </c>
    </row>
    <row r="133" spans="1:1">
      <c r="A133" t="s">
        <v>258</v>
      </c>
    </row>
    <row r="134" spans="1:1">
      <c r="A134" t="s">
        <v>322</v>
      </c>
    </row>
    <row r="135" spans="1:1">
      <c r="A135" t="s">
        <v>3316</v>
      </c>
    </row>
    <row r="136" spans="1:1">
      <c r="A136" t="s">
        <v>489</v>
      </c>
    </row>
    <row r="137" spans="1:1">
      <c r="A137" t="s">
        <v>7</v>
      </c>
    </row>
    <row r="138" spans="1:1">
      <c r="A138" t="s">
        <v>3317</v>
      </c>
    </row>
    <row r="139" spans="1:1">
      <c r="A139" t="s">
        <v>3318</v>
      </c>
    </row>
    <row r="140" spans="1:1">
      <c r="A140" t="s">
        <v>3319</v>
      </c>
    </row>
    <row r="141" spans="1:1">
      <c r="A141" t="s">
        <v>509</v>
      </c>
    </row>
    <row r="142" spans="1:1">
      <c r="A142" t="s">
        <v>3320</v>
      </c>
    </row>
    <row r="143" spans="1:1">
      <c r="A143" t="s">
        <v>3321</v>
      </c>
    </row>
    <row r="144" spans="1:1">
      <c r="A144" t="s">
        <v>3322</v>
      </c>
    </row>
    <row r="145" spans="1:1">
      <c r="A145" t="s">
        <v>3323</v>
      </c>
    </row>
    <row r="146" spans="1:1">
      <c r="A146" t="s">
        <v>3324</v>
      </c>
    </row>
    <row r="147" spans="1:1">
      <c r="A147" t="s">
        <v>387</v>
      </c>
    </row>
    <row r="148" spans="1:1">
      <c r="A148" t="s">
        <v>3325</v>
      </c>
    </row>
    <row r="149" spans="1:1">
      <c r="A149" t="s">
        <v>3326</v>
      </c>
    </row>
    <row r="150" spans="1:1">
      <c r="A150" t="s">
        <v>3327</v>
      </c>
    </row>
    <row r="151" spans="1:1">
      <c r="A151" t="s">
        <v>3328</v>
      </c>
    </row>
    <row r="152" spans="1:1">
      <c r="A152" t="s">
        <v>3329</v>
      </c>
    </row>
    <row r="153" spans="1:1">
      <c r="A153" t="s">
        <v>3330</v>
      </c>
    </row>
    <row r="154" spans="1:1">
      <c r="A154" t="s">
        <v>3331</v>
      </c>
    </row>
    <row r="155" spans="1:1">
      <c r="A155" t="s">
        <v>1780</v>
      </c>
    </row>
    <row r="156" spans="1:1">
      <c r="A156" t="s">
        <v>3332</v>
      </c>
    </row>
    <row r="157" spans="1:1">
      <c r="A157" t="s">
        <v>3333</v>
      </c>
    </row>
    <row r="158" spans="1:1">
      <c r="A158" t="s">
        <v>3334</v>
      </c>
    </row>
    <row r="159" spans="1:1">
      <c r="A159" t="s">
        <v>63</v>
      </c>
    </row>
    <row r="160" spans="1:1">
      <c r="A160" t="s">
        <v>3335</v>
      </c>
    </row>
    <row r="161" spans="1:1">
      <c r="A161" t="s">
        <v>123</v>
      </c>
    </row>
    <row r="162" spans="1:1">
      <c r="A162" t="s">
        <v>193</v>
      </c>
    </row>
    <row r="163" spans="1:1">
      <c r="A163" t="s">
        <v>3336</v>
      </c>
    </row>
    <row r="164" spans="1:1">
      <c r="A164" t="s">
        <v>3337</v>
      </c>
    </row>
    <row r="165" spans="1:1">
      <c r="A165" t="s">
        <v>1692</v>
      </c>
    </row>
    <row r="166" spans="1:1">
      <c r="A166" t="s">
        <v>481</v>
      </c>
    </row>
    <row r="167" spans="1:1">
      <c r="A167" t="s">
        <v>60</v>
      </c>
    </row>
    <row r="168" spans="1:1">
      <c r="A168" t="s">
        <v>3338</v>
      </c>
    </row>
    <row r="169" spans="1:1">
      <c r="A169" t="s">
        <v>3339</v>
      </c>
    </row>
    <row r="170" spans="1:1">
      <c r="A170" t="s">
        <v>513</v>
      </c>
    </row>
    <row r="171" spans="1:1">
      <c r="A171" t="s">
        <v>3340</v>
      </c>
    </row>
    <row r="172" spans="1:1">
      <c r="A172" t="s">
        <v>176</v>
      </c>
    </row>
    <row r="173" spans="1:1">
      <c r="A173" t="s">
        <v>195</v>
      </c>
    </row>
    <row r="174" spans="1:1">
      <c r="A174" t="s">
        <v>3341</v>
      </c>
    </row>
    <row r="175" spans="1:1">
      <c r="A175" t="s">
        <v>30</v>
      </c>
    </row>
    <row r="176" spans="1:1">
      <c r="A176" t="s">
        <v>29</v>
      </c>
    </row>
    <row r="177" spans="1:1">
      <c r="A177" t="s">
        <v>3342</v>
      </c>
    </row>
    <row r="178" spans="1:1">
      <c r="A178" t="s">
        <v>3343</v>
      </c>
    </row>
    <row r="179" spans="1:1">
      <c r="A179" t="s">
        <v>518</v>
      </c>
    </row>
    <row r="180" spans="1:1">
      <c r="A180" t="s">
        <v>3344</v>
      </c>
    </row>
    <row r="181" spans="1:1">
      <c r="A181" t="s">
        <v>1868</v>
      </c>
    </row>
    <row r="182" spans="1:1">
      <c r="A182" t="s">
        <v>3345</v>
      </c>
    </row>
    <row r="183" spans="1:1">
      <c r="A183" t="s">
        <v>3346</v>
      </c>
    </row>
    <row r="184" spans="1:1">
      <c r="A184" t="s">
        <v>3347</v>
      </c>
    </row>
    <row r="185" spans="1:1">
      <c r="A185" t="s">
        <v>520</v>
      </c>
    </row>
    <row r="186" spans="1:1">
      <c r="A186" t="s">
        <v>3348</v>
      </c>
    </row>
    <row r="187" spans="1:1">
      <c r="A187" t="s">
        <v>241</v>
      </c>
    </row>
    <row r="188" spans="1:1">
      <c r="A188" t="s">
        <v>194</v>
      </c>
    </row>
    <row r="189" spans="1:1">
      <c r="A189" t="s">
        <v>3349</v>
      </c>
    </row>
    <row r="190" spans="1:1">
      <c r="A190" t="s">
        <v>352</v>
      </c>
    </row>
    <row r="191" spans="1:1">
      <c r="A191" t="s">
        <v>3350</v>
      </c>
    </row>
    <row r="192" spans="1:1">
      <c r="A192" t="s">
        <v>3351</v>
      </c>
    </row>
    <row r="193" spans="1:1">
      <c r="A193" t="s">
        <v>3352</v>
      </c>
    </row>
    <row r="194" spans="1:1">
      <c r="A194" t="s">
        <v>3353</v>
      </c>
    </row>
    <row r="195" spans="1:1">
      <c r="A195" t="s">
        <v>3354</v>
      </c>
    </row>
    <row r="196" spans="1:1">
      <c r="A196" t="s">
        <v>93</v>
      </c>
    </row>
    <row r="197" spans="1:1">
      <c r="A197" t="s">
        <v>3355</v>
      </c>
    </row>
    <row r="198" spans="1:1">
      <c r="A198" t="s">
        <v>3356</v>
      </c>
    </row>
    <row r="199" spans="1:1">
      <c r="A199" t="s">
        <v>3357</v>
      </c>
    </row>
    <row r="200" spans="1:1">
      <c r="A200" t="s">
        <v>3358</v>
      </c>
    </row>
    <row r="201" spans="1:1">
      <c r="A201" t="s">
        <v>161</v>
      </c>
    </row>
    <row r="202" spans="1:1">
      <c r="A202" t="s">
        <v>364</v>
      </c>
    </row>
    <row r="203" spans="1:1">
      <c r="A203" t="s">
        <v>3359</v>
      </c>
    </row>
    <row r="204" spans="1:1">
      <c r="A204" t="s">
        <v>1774</v>
      </c>
    </row>
    <row r="205" spans="1:1">
      <c r="A205" t="s">
        <v>3360</v>
      </c>
    </row>
    <row r="206" spans="1:1">
      <c r="A206" t="s">
        <v>3361</v>
      </c>
    </row>
    <row r="207" spans="1:1">
      <c r="A207" t="s">
        <v>491</v>
      </c>
    </row>
    <row r="208" spans="1:1">
      <c r="A208" t="s">
        <v>62</v>
      </c>
    </row>
    <row r="209" spans="1:1">
      <c r="A209" t="s">
        <v>3362</v>
      </c>
    </row>
    <row r="210" spans="1:1">
      <c r="A210" t="s">
        <v>3363</v>
      </c>
    </row>
    <row r="211" spans="1:1">
      <c r="A211" t="s">
        <v>151</v>
      </c>
    </row>
    <row r="212" spans="1:1">
      <c r="A212" t="s">
        <v>3364</v>
      </c>
    </row>
    <row r="213" spans="1:1">
      <c r="A213" t="s">
        <v>431</v>
      </c>
    </row>
    <row r="214" spans="1:1">
      <c r="A214" t="s">
        <v>325</v>
      </c>
    </row>
    <row r="215" spans="1:1">
      <c r="A215" t="s">
        <v>3365</v>
      </c>
    </row>
    <row r="216" spans="1:1">
      <c r="A216" t="s">
        <v>735</v>
      </c>
    </row>
    <row r="217" spans="1:1">
      <c r="A217" t="s">
        <v>3366</v>
      </c>
    </row>
    <row r="218" spans="1:1">
      <c r="A218" t="s">
        <v>142</v>
      </c>
    </row>
    <row r="219" spans="1:1">
      <c r="A219" t="s">
        <v>172</v>
      </c>
    </row>
    <row r="220" spans="1:1">
      <c r="A220" t="s">
        <v>308</v>
      </c>
    </row>
    <row r="221" spans="1:1">
      <c r="A221" t="s">
        <v>3367</v>
      </c>
    </row>
    <row r="222" spans="1:1">
      <c r="A222" t="s">
        <v>212</v>
      </c>
    </row>
    <row r="223" spans="1:1">
      <c r="A223" t="s">
        <v>3368</v>
      </c>
    </row>
    <row r="224" spans="1:1">
      <c r="A224" t="s">
        <v>3369</v>
      </c>
    </row>
    <row r="225" spans="1:1">
      <c r="A225" t="s">
        <v>3370</v>
      </c>
    </row>
    <row r="226" spans="1:1">
      <c r="A226" t="s">
        <v>1672</v>
      </c>
    </row>
    <row r="227" spans="1:1">
      <c r="A227" t="s">
        <v>1756</v>
      </c>
    </row>
    <row r="228" spans="1:1">
      <c r="A228" t="s">
        <v>3371</v>
      </c>
    </row>
    <row r="229" spans="1:1">
      <c r="A229" t="s">
        <v>490</v>
      </c>
    </row>
    <row r="230" spans="1:1">
      <c r="A230" t="s">
        <v>3372</v>
      </c>
    </row>
    <row r="231" spans="1:1">
      <c r="A231" t="s">
        <v>3373</v>
      </c>
    </row>
    <row r="232" spans="1:1">
      <c r="A232" t="s">
        <v>356</v>
      </c>
    </row>
    <row r="233" spans="1:1">
      <c r="A233" t="s">
        <v>3374</v>
      </c>
    </row>
    <row r="234" spans="1:1">
      <c r="A234" t="s">
        <v>27</v>
      </c>
    </row>
    <row r="235" spans="1:1">
      <c r="A235" t="s">
        <v>3375</v>
      </c>
    </row>
    <row r="236" spans="1:1">
      <c r="A236" t="s">
        <v>3376</v>
      </c>
    </row>
    <row r="237" spans="1:1">
      <c r="A237" t="s">
        <v>727</v>
      </c>
    </row>
    <row r="238" spans="1:1">
      <c r="A238" t="s">
        <v>528</v>
      </c>
    </row>
    <row r="239" spans="1:1">
      <c r="A239" t="s">
        <v>3377</v>
      </c>
    </row>
    <row r="240" spans="1:1">
      <c r="A240" t="s">
        <v>52</v>
      </c>
    </row>
    <row r="241" spans="1:1">
      <c r="A241" t="s">
        <v>3378</v>
      </c>
    </row>
    <row r="242" spans="1:1">
      <c r="A242" t="s">
        <v>1808</v>
      </c>
    </row>
    <row r="243" spans="1:1">
      <c r="A243" t="s">
        <v>3379</v>
      </c>
    </row>
    <row r="244" spans="1:1">
      <c r="A244" t="s">
        <v>3380</v>
      </c>
    </row>
    <row r="245" spans="1:1">
      <c r="A245" t="s">
        <v>414</v>
      </c>
    </row>
    <row r="246" spans="1:1">
      <c r="A246" t="s">
        <v>114</v>
      </c>
    </row>
    <row r="247" spans="1:1">
      <c r="A247" t="s">
        <v>306</v>
      </c>
    </row>
    <row r="248" spans="1:1">
      <c r="A248" t="s">
        <v>3381</v>
      </c>
    </row>
    <row r="249" spans="1:1">
      <c r="A249" t="s">
        <v>3382</v>
      </c>
    </row>
    <row r="250" spans="1:1">
      <c r="A250" t="s">
        <v>3383</v>
      </c>
    </row>
    <row r="251" spans="1:1">
      <c r="A251" t="s">
        <v>1696</v>
      </c>
    </row>
    <row r="252" spans="1:1">
      <c r="A252" t="s">
        <v>3384</v>
      </c>
    </row>
    <row r="253" spans="1:1">
      <c r="A253" t="s">
        <v>3385</v>
      </c>
    </row>
    <row r="254" spans="1:1">
      <c r="A254" t="s">
        <v>522</v>
      </c>
    </row>
    <row r="255" spans="1:1">
      <c r="A255" t="s">
        <v>3386</v>
      </c>
    </row>
    <row r="256" spans="1:1">
      <c r="A256" t="s">
        <v>144</v>
      </c>
    </row>
    <row r="257" spans="1:1">
      <c r="A257" t="s">
        <v>3387</v>
      </c>
    </row>
    <row r="258" spans="1:1">
      <c r="A258" t="s">
        <v>3388</v>
      </c>
    </row>
    <row r="259" spans="1:1">
      <c r="A259" t="s">
        <v>1624</v>
      </c>
    </row>
    <row r="260" spans="1:1">
      <c r="A260" t="s">
        <v>3389</v>
      </c>
    </row>
    <row r="261" spans="1:1">
      <c r="A261" t="s">
        <v>511</v>
      </c>
    </row>
    <row r="262" spans="1:1">
      <c r="A262" t="s">
        <v>3390</v>
      </c>
    </row>
    <row r="263" spans="1:1">
      <c r="A263" t="s">
        <v>303</v>
      </c>
    </row>
    <row r="264" spans="1:1">
      <c r="A264" t="s">
        <v>375</v>
      </c>
    </row>
    <row r="265" spans="1:1">
      <c r="A265" t="s">
        <v>101</v>
      </c>
    </row>
    <row r="266" spans="1:1">
      <c r="A266" t="s">
        <v>3391</v>
      </c>
    </row>
    <row r="267" spans="1:1">
      <c r="A267" t="s">
        <v>3392</v>
      </c>
    </row>
    <row r="268" spans="1:1">
      <c r="A268" t="s">
        <v>3393</v>
      </c>
    </row>
    <row r="269" spans="1:1">
      <c r="A269" t="s">
        <v>444</v>
      </c>
    </row>
    <row r="270" spans="1:1">
      <c r="A270" t="s">
        <v>3394</v>
      </c>
    </row>
    <row r="271" spans="1:1">
      <c r="A271" t="s">
        <v>312</v>
      </c>
    </row>
    <row r="272" spans="1:1">
      <c r="A272" t="s">
        <v>3395</v>
      </c>
    </row>
    <row r="273" spans="1:1">
      <c r="A273" t="s">
        <v>1731</v>
      </c>
    </row>
    <row r="274" spans="1:1">
      <c r="A274" t="s">
        <v>94</v>
      </c>
    </row>
    <row r="275" spans="1:1">
      <c r="A275" t="s">
        <v>3396</v>
      </c>
    </row>
    <row r="276" spans="1:1">
      <c r="A276" t="s">
        <v>761</v>
      </c>
    </row>
    <row r="277" spans="1:1">
      <c r="A277" t="s">
        <v>3397</v>
      </c>
    </row>
    <row r="278" spans="1:1">
      <c r="A278" t="s">
        <v>3398</v>
      </c>
    </row>
    <row r="279" spans="1:1">
      <c r="A279" t="s">
        <v>3399</v>
      </c>
    </row>
    <row r="280" spans="1:1">
      <c r="A280" t="s">
        <v>8</v>
      </c>
    </row>
    <row r="281" spans="1:1">
      <c r="A281" t="s">
        <v>3400</v>
      </c>
    </row>
    <row r="282" spans="1:1">
      <c r="A282" t="s">
        <v>3401</v>
      </c>
    </row>
    <row r="283" spans="1:1">
      <c r="A283" t="s">
        <v>3402</v>
      </c>
    </row>
    <row r="284" spans="1:1">
      <c r="A284" t="s">
        <v>390</v>
      </c>
    </row>
    <row r="285" spans="1:1">
      <c r="A285" t="s">
        <v>3403</v>
      </c>
    </row>
    <row r="286" spans="1:1">
      <c r="A286" t="s">
        <v>3404</v>
      </c>
    </row>
    <row r="287" spans="1:1">
      <c r="A287" t="s">
        <v>3405</v>
      </c>
    </row>
    <row r="288" spans="1:1">
      <c r="A288" t="s">
        <v>730</v>
      </c>
    </row>
    <row r="289" spans="1:1">
      <c r="A289" t="s">
        <v>3406</v>
      </c>
    </row>
    <row r="290" spans="1:1">
      <c r="A290" t="s">
        <v>3407</v>
      </c>
    </row>
    <row r="291" spans="1:1">
      <c r="A291" t="s">
        <v>3408</v>
      </c>
    </row>
    <row r="292" spans="1:1">
      <c r="A292" t="s">
        <v>203</v>
      </c>
    </row>
    <row r="293" spans="1:1">
      <c r="A293" t="s">
        <v>132</v>
      </c>
    </row>
    <row r="294" spans="1:1">
      <c r="A294" t="s">
        <v>3409</v>
      </c>
    </row>
    <row r="295" spans="1:1">
      <c r="A295" t="s">
        <v>3410</v>
      </c>
    </row>
    <row r="296" spans="1:1">
      <c r="A296" t="s">
        <v>3411</v>
      </c>
    </row>
    <row r="297" spans="1:1">
      <c r="A297" t="s">
        <v>118</v>
      </c>
    </row>
    <row r="298" spans="1:1">
      <c r="A298" t="s">
        <v>3412</v>
      </c>
    </row>
    <row r="299" spans="1:1">
      <c r="A299" t="s">
        <v>3413</v>
      </c>
    </row>
    <row r="300" spans="1:1">
      <c r="A300" t="s">
        <v>129</v>
      </c>
    </row>
    <row r="301" spans="1:1">
      <c r="A301" t="s">
        <v>230</v>
      </c>
    </row>
    <row r="302" spans="1:1">
      <c r="A302" t="s">
        <v>3414</v>
      </c>
    </row>
    <row r="303" spans="1:1">
      <c r="A303" t="s">
        <v>3415</v>
      </c>
    </row>
    <row r="304" spans="1:1">
      <c r="A304" t="s">
        <v>3416</v>
      </c>
    </row>
    <row r="305" spans="1:1">
      <c r="A305" t="s">
        <v>95</v>
      </c>
    </row>
    <row r="306" spans="1:1">
      <c r="A306" t="s">
        <v>124</v>
      </c>
    </row>
    <row r="307" spans="1:1">
      <c r="A307" t="s">
        <v>3417</v>
      </c>
    </row>
    <row r="308" spans="1:1">
      <c r="A308" t="s">
        <v>3418</v>
      </c>
    </row>
    <row r="309" spans="1:1">
      <c r="A309" t="s">
        <v>3419</v>
      </c>
    </row>
    <row r="310" spans="1:1">
      <c r="A310" t="s">
        <v>456</v>
      </c>
    </row>
    <row r="311" spans="1:1">
      <c r="A311" t="s">
        <v>130</v>
      </c>
    </row>
    <row r="312" spans="1:1">
      <c r="A312" t="s">
        <v>3420</v>
      </c>
    </row>
    <row r="313" spans="1:1">
      <c r="A313" t="s">
        <v>3421</v>
      </c>
    </row>
    <row r="314" spans="1:1">
      <c r="A314" t="s">
        <v>1736</v>
      </c>
    </row>
    <row r="315" spans="1:1">
      <c r="A315" t="s">
        <v>1864</v>
      </c>
    </row>
    <row r="316" spans="1:1">
      <c r="A316" t="s">
        <v>397</v>
      </c>
    </row>
    <row r="317" spans="1:1">
      <c r="A317" t="s">
        <v>187</v>
      </c>
    </row>
    <row r="318" spans="1:1">
      <c r="A318" t="s">
        <v>249</v>
      </c>
    </row>
    <row r="319" spans="1:1">
      <c r="A319" t="s">
        <v>3422</v>
      </c>
    </row>
    <row r="320" spans="1:1">
      <c r="A320" t="s">
        <v>3423</v>
      </c>
    </row>
    <row r="321" spans="1:1">
      <c r="A321" t="s">
        <v>3424</v>
      </c>
    </row>
    <row r="322" spans="1:1">
      <c r="A322" t="s">
        <v>381</v>
      </c>
    </row>
    <row r="323" spans="1:1">
      <c r="A323" t="s">
        <v>3425</v>
      </c>
    </row>
    <row r="324" spans="1:1">
      <c r="A324" t="s">
        <v>3426</v>
      </c>
    </row>
    <row r="325" spans="1:1">
      <c r="A325" t="s">
        <v>136</v>
      </c>
    </row>
    <row r="326" spans="1:1">
      <c r="A326" t="s">
        <v>3427</v>
      </c>
    </row>
    <row r="327" spans="1:1">
      <c r="A327" t="s">
        <v>3428</v>
      </c>
    </row>
    <row r="328" spans="1:1">
      <c r="A328" t="s">
        <v>3429</v>
      </c>
    </row>
    <row r="329" spans="1:1">
      <c r="A329" t="s">
        <v>206</v>
      </c>
    </row>
    <row r="330" spans="1:1">
      <c r="A330" t="s">
        <v>3430</v>
      </c>
    </row>
    <row r="331" spans="1:1">
      <c r="A331" t="s">
        <v>3431</v>
      </c>
    </row>
    <row r="332" spans="1:1">
      <c r="A332" t="s">
        <v>3432</v>
      </c>
    </row>
    <row r="333" spans="1:1">
      <c r="A333" t="s">
        <v>3433</v>
      </c>
    </row>
    <row r="334" spans="1:1">
      <c r="A334" t="s">
        <v>11</v>
      </c>
    </row>
    <row r="335" spans="1:1">
      <c r="A335" t="s">
        <v>3434</v>
      </c>
    </row>
    <row r="336" spans="1:1">
      <c r="A336" t="s">
        <v>1680</v>
      </c>
    </row>
    <row r="337" spans="1:1">
      <c r="A337" t="s">
        <v>184</v>
      </c>
    </row>
    <row r="338" spans="1:1">
      <c r="A338" t="s">
        <v>3435</v>
      </c>
    </row>
    <row r="339" spans="1:1">
      <c r="A339" t="s">
        <v>3436</v>
      </c>
    </row>
    <row r="340" spans="1:1">
      <c r="A340" t="s">
        <v>3437</v>
      </c>
    </row>
    <row r="341" spans="1:1">
      <c r="A341" t="s">
        <v>285</v>
      </c>
    </row>
    <row r="342" spans="1:1">
      <c r="A342" t="s">
        <v>3438</v>
      </c>
    </row>
    <row r="343" spans="1:1">
      <c r="A343" t="s">
        <v>3439</v>
      </c>
    </row>
    <row r="344" spans="1:1">
      <c r="A344" t="s">
        <v>372</v>
      </c>
    </row>
    <row r="345" spans="1:1">
      <c r="A345" t="s">
        <v>205</v>
      </c>
    </row>
    <row r="346" spans="1:1">
      <c r="A346" t="s">
        <v>76</v>
      </c>
    </row>
    <row r="347" spans="1:1">
      <c r="A347" t="s">
        <v>760</v>
      </c>
    </row>
    <row r="348" spans="1:1">
      <c r="A348" t="s">
        <v>3440</v>
      </c>
    </row>
    <row r="349" spans="1:1">
      <c r="A349" t="s">
        <v>1722</v>
      </c>
    </row>
    <row r="350" spans="1:1">
      <c r="A350" t="s">
        <v>3441</v>
      </c>
    </row>
    <row r="351" spans="1:1">
      <c r="A351" t="s">
        <v>3442</v>
      </c>
    </row>
    <row r="352" spans="1:1">
      <c r="A352" t="s">
        <v>3443</v>
      </c>
    </row>
    <row r="353" spans="1:1">
      <c r="A353" t="s">
        <v>3444</v>
      </c>
    </row>
    <row r="354" spans="1:1">
      <c r="A354" t="s">
        <v>369</v>
      </c>
    </row>
    <row r="355" spans="1:1">
      <c r="A355" t="s">
        <v>483</v>
      </c>
    </row>
    <row r="356" spans="1:1">
      <c r="A356" t="s">
        <v>400</v>
      </c>
    </row>
    <row r="357" spans="1:1">
      <c r="A357" t="s">
        <v>108</v>
      </c>
    </row>
    <row r="358" spans="1:1">
      <c r="A358" t="s">
        <v>473</v>
      </c>
    </row>
    <row r="359" spans="1:1">
      <c r="A359" t="s">
        <v>527</v>
      </c>
    </row>
    <row r="360" spans="1:1">
      <c r="A360" t="s">
        <v>3445</v>
      </c>
    </row>
    <row r="361" spans="1:1">
      <c r="A361" t="s">
        <v>167</v>
      </c>
    </row>
    <row r="362" spans="1:1">
      <c r="A362" t="s">
        <v>3446</v>
      </c>
    </row>
    <row r="363" spans="1:1">
      <c r="A363" t="s">
        <v>3447</v>
      </c>
    </row>
    <row r="364" spans="1:1">
      <c r="A364" t="s">
        <v>3448</v>
      </c>
    </row>
    <row r="365" spans="1:1">
      <c r="A365" t="s">
        <v>3449</v>
      </c>
    </row>
    <row r="366" spans="1:1">
      <c r="A366" t="s">
        <v>3450</v>
      </c>
    </row>
    <row r="367" spans="1:1">
      <c r="A367" t="s">
        <v>3451</v>
      </c>
    </row>
    <row r="368" spans="1:1">
      <c r="A368" t="s">
        <v>3452</v>
      </c>
    </row>
    <row r="369" spans="1:1">
      <c r="A369" t="s">
        <v>5</v>
      </c>
    </row>
    <row r="370" spans="1:1">
      <c r="A370" t="s">
        <v>3453</v>
      </c>
    </row>
    <row r="371" spans="1:1">
      <c r="A371" t="s">
        <v>3454</v>
      </c>
    </row>
    <row r="372" spans="1:1">
      <c r="A372" t="s">
        <v>3455</v>
      </c>
    </row>
    <row r="373" spans="1:1">
      <c r="A373" t="s">
        <v>233</v>
      </c>
    </row>
    <row r="374" spans="1:1">
      <c r="A374" t="s">
        <v>3456</v>
      </c>
    </row>
    <row r="375" spans="1:1">
      <c r="A375" t="s">
        <v>3457</v>
      </c>
    </row>
    <row r="376" spans="1:1">
      <c r="A376" t="s">
        <v>3458</v>
      </c>
    </row>
    <row r="377" spans="1:1">
      <c r="A377" t="s">
        <v>3459</v>
      </c>
    </row>
    <row r="378" spans="1:1">
      <c r="A378" t="s">
        <v>1828</v>
      </c>
    </row>
    <row r="379" spans="1:1">
      <c r="A379" t="s">
        <v>314</v>
      </c>
    </row>
    <row r="380" spans="1:1">
      <c r="A380" t="s">
        <v>207</v>
      </c>
    </row>
    <row r="381" spans="1:1">
      <c r="A381" t="s">
        <v>3460</v>
      </c>
    </row>
    <row r="382" spans="1:1">
      <c r="A382" t="s">
        <v>3461</v>
      </c>
    </row>
    <row r="383" spans="1:1">
      <c r="A383" t="s">
        <v>3462</v>
      </c>
    </row>
    <row r="384" spans="1:1">
      <c r="A384" t="s">
        <v>3463</v>
      </c>
    </row>
    <row r="385" spans="1:1">
      <c r="A385" t="s">
        <v>3464</v>
      </c>
    </row>
    <row r="386" spans="1:1">
      <c r="A386" t="s">
        <v>404</v>
      </c>
    </row>
    <row r="387" spans="1:1">
      <c r="A387" t="s">
        <v>388</v>
      </c>
    </row>
    <row r="388" spans="1:1">
      <c r="A388" t="s">
        <v>3465</v>
      </c>
    </row>
    <row r="389" spans="1:1">
      <c r="A389" t="s">
        <v>3466</v>
      </c>
    </row>
    <row r="390" spans="1:1">
      <c r="A390" t="s">
        <v>1552</v>
      </c>
    </row>
    <row r="391" spans="1:1">
      <c r="A391" t="s">
        <v>3467</v>
      </c>
    </row>
    <row r="392" spans="1:1">
      <c r="A392" t="s">
        <v>234</v>
      </c>
    </row>
    <row r="393" spans="1:1">
      <c r="A393" t="s">
        <v>3468</v>
      </c>
    </row>
    <row r="394" spans="1:1">
      <c r="A394" t="s">
        <v>3469</v>
      </c>
    </row>
    <row r="395" spans="1:1">
      <c r="A395" t="s">
        <v>3470</v>
      </c>
    </row>
    <row r="396" spans="1:1">
      <c r="A396" t="s">
        <v>3471</v>
      </c>
    </row>
    <row r="397" spans="1:1">
      <c r="A397" t="s">
        <v>3472</v>
      </c>
    </row>
    <row r="398" spans="1:1">
      <c r="A398" t="s">
        <v>3473</v>
      </c>
    </row>
    <row r="399" spans="1:1">
      <c r="A399" t="s">
        <v>125</v>
      </c>
    </row>
    <row r="400" spans="1:1">
      <c r="A400" t="s">
        <v>301</v>
      </c>
    </row>
    <row r="401" spans="1:1">
      <c r="A401" t="s">
        <v>3474</v>
      </c>
    </row>
    <row r="402" spans="1:1">
      <c r="A402" t="s">
        <v>107</v>
      </c>
    </row>
    <row r="403" spans="1:1">
      <c r="A403" t="s">
        <v>3475</v>
      </c>
    </row>
    <row r="404" spans="1:1">
      <c r="A404" t="s">
        <v>516</v>
      </c>
    </row>
    <row r="405" spans="1:1">
      <c r="A405" t="s">
        <v>3476</v>
      </c>
    </row>
    <row r="406" spans="1:1">
      <c r="A406" t="s">
        <v>3477</v>
      </c>
    </row>
    <row r="407" spans="1:1">
      <c r="A407" t="s">
        <v>17</v>
      </c>
    </row>
    <row r="408" spans="1:1">
      <c r="A408" t="s">
        <v>3478</v>
      </c>
    </row>
    <row r="409" spans="1:1">
      <c r="A409" t="s">
        <v>385</v>
      </c>
    </row>
    <row r="410" spans="1:1">
      <c r="A410" t="s">
        <v>3479</v>
      </c>
    </row>
    <row r="411" spans="1:1">
      <c r="A411" t="s">
        <v>384</v>
      </c>
    </row>
    <row r="412" spans="1:1">
      <c r="A412" t="s">
        <v>427</v>
      </c>
    </row>
    <row r="413" spans="1:1">
      <c r="A413" t="s">
        <v>762</v>
      </c>
    </row>
    <row r="414" spans="1:1">
      <c r="A414" t="s">
        <v>432</v>
      </c>
    </row>
    <row r="415" spans="1:1">
      <c r="A415" t="s">
        <v>3480</v>
      </c>
    </row>
    <row r="416" spans="1:1">
      <c r="A416" t="s">
        <v>309</v>
      </c>
    </row>
    <row r="417" spans="1:1">
      <c r="A417" t="s">
        <v>3481</v>
      </c>
    </row>
    <row r="418" spans="1:1">
      <c r="A418" t="s">
        <v>3482</v>
      </c>
    </row>
    <row r="419" spans="1:1">
      <c r="A419" t="s">
        <v>3483</v>
      </c>
    </row>
    <row r="420" spans="1:1">
      <c r="A420" t="s">
        <v>22</v>
      </c>
    </row>
    <row r="421" spans="1:1">
      <c r="A421" t="s">
        <v>3484</v>
      </c>
    </row>
    <row r="422" spans="1:1">
      <c r="A422" t="s">
        <v>3485</v>
      </c>
    </row>
    <row r="423" spans="1:1">
      <c r="A423" t="s">
        <v>763</v>
      </c>
    </row>
    <row r="424" spans="1:1">
      <c r="A424" t="s">
        <v>3486</v>
      </c>
    </row>
    <row r="425" spans="1:1">
      <c r="A425" t="s">
        <v>1817</v>
      </c>
    </row>
    <row r="426" spans="1:1">
      <c r="A426" t="s">
        <v>3487</v>
      </c>
    </row>
    <row r="427" spans="1:1">
      <c r="A427" t="s">
        <v>3488</v>
      </c>
    </row>
    <row r="428" spans="1:1">
      <c r="A428" t="s">
        <v>3489</v>
      </c>
    </row>
    <row r="429" spans="1:1">
      <c r="A429" t="s">
        <v>1748</v>
      </c>
    </row>
    <row r="430" spans="1:1">
      <c r="A430" t="s">
        <v>127</v>
      </c>
    </row>
    <row r="431" spans="1:1">
      <c r="A431" t="s">
        <v>3490</v>
      </c>
    </row>
    <row r="432" spans="1:1">
      <c r="A432" t="s">
        <v>3491</v>
      </c>
    </row>
    <row r="433" spans="1:1">
      <c r="A433" t="s">
        <v>25</v>
      </c>
    </row>
    <row r="434" spans="1:1">
      <c r="A434" t="s">
        <v>260</v>
      </c>
    </row>
    <row r="435" spans="1:1">
      <c r="A435" t="s">
        <v>213</v>
      </c>
    </row>
    <row r="436" spans="1:1">
      <c r="A436" t="s">
        <v>3492</v>
      </c>
    </row>
    <row r="437" spans="1:1">
      <c r="A437" t="s">
        <v>171</v>
      </c>
    </row>
    <row r="438" spans="1:1">
      <c r="A438" t="s">
        <v>3493</v>
      </c>
    </row>
    <row r="439" spans="1:1">
      <c r="A439" t="s">
        <v>3494</v>
      </c>
    </row>
    <row r="440" spans="1:1">
      <c r="A440" t="s">
        <v>362</v>
      </c>
    </row>
    <row r="441" spans="1:1">
      <c r="A441" t="s">
        <v>3495</v>
      </c>
    </row>
    <row r="442" spans="1:1">
      <c r="A442" t="s">
        <v>196</v>
      </c>
    </row>
    <row r="443" spans="1:1">
      <c r="A443" t="s">
        <v>12</v>
      </c>
    </row>
    <row r="444" spans="1:1">
      <c r="A444" t="s">
        <v>3496</v>
      </c>
    </row>
    <row r="445" spans="1:1">
      <c r="A445" t="s">
        <v>214</v>
      </c>
    </row>
    <row r="446" spans="1:1">
      <c r="A446" t="s">
        <v>436</v>
      </c>
    </row>
    <row r="447" spans="1:1">
      <c r="A447" t="s">
        <v>99</v>
      </c>
    </row>
    <row r="448" spans="1:1">
      <c r="A448" t="s">
        <v>3497</v>
      </c>
    </row>
    <row r="449" spans="1:1">
      <c r="A449" t="s">
        <v>421</v>
      </c>
    </row>
    <row r="450" spans="1:1">
      <c r="A450" t="s">
        <v>3498</v>
      </c>
    </row>
    <row r="451" spans="1:1">
      <c r="A451" t="s">
        <v>3499</v>
      </c>
    </row>
    <row r="452" spans="1:1">
      <c r="A452" t="s">
        <v>294</v>
      </c>
    </row>
    <row r="453" spans="1:1">
      <c r="A453" t="s">
        <v>3500</v>
      </c>
    </row>
    <row r="454" spans="1:1">
      <c r="A454" t="s">
        <v>3501</v>
      </c>
    </row>
    <row r="455" spans="1:1">
      <c r="A455" t="s">
        <v>3502</v>
      </c>
    </row>
    <row r="456" spans="1:1">
      <c r="A456" t="s">
        <v>1813</v>
      </c>
    </row>
    <row r="457" spans="1:1">
      <c r="A457" t="s">
        <v>354</v>
      </c>
    </row>
    <row r="458" spans="1:1">
      <c r="A458" t="s">
        <v>3503</v>
      </c>
    </row>
    <row r="459" spans="1:1">
      <c r="A459" t="s">
        <v>3504</v>
      </c>
    </row>
    <row r="460" spans="1:1">
      <c r="A460" t="s">
        <v>236</v>
      </c>
    </row>
    <row r="461" spans="1:1">
      <c r="A461" t="s">
        <v>3505</v>
      </c>
    </row>
    <row r="462" spans="1:1">
      <c r="A462" t="s">
        <v>1771</v>
      </c>
    </row>
    <row r="463" spans="1:1">
      <c r="A463" t="s">
        <v>3506</v>
      </c>
    </row>
    <row r="464" spans="1:1">
      <c r="A464" t="s">
        <v>1739</v>
      </c>
    </row>
    <row r="465" spans="1:1">
      <c r="A465" t="s">
        <v>3507</v>
      </c>
    </row>
    <row r="466" spans="1:1">
      <c r="A466" t="s">
        <v>264</v>
      </c>
    </row>
    <row r="467" spans="1:1">
      <c r="A467" t="s">
        <v>14</v>
      </c>
    </row>
    <row r="468" spans="1:1">
      <c r="A468" t="s">
        <v>389</v>
      </c>
    </row>
    <row r="469" spans="1:1">
      <c r="A469" t="s">
        <v>3508</v>
      </c>
    </row>
    <row r="470" spans="1:1">
      <c r="A470" t="s">
        <v>3509</v>
      </c>
    </row>
    <row r="471" spans="1:1">
      <c r="A471" t="s">
        <v>3510</v>
      </c>
    </row>
    <row r="472" spans="1:1">
      <c r="A472" t="s">
        <v>3511</v>
      </c>
    </row>
    <row r="473" spans="1:1">
      <c r="A473" t="s">
        <v>3512</v>
      </c>
    </row>
    <row r="474" spans="1:1">
      <c r="A474" t="s">
        <v>754</v>
      </c>
    </row>
    <row r="475" spans="1:1">
      <c r="A475" t="s">
        <v>3513</v>
      </c>
    </row>
    <row r="476" spans="1:1">
      <c r="A476" t="s">
        <v>90</v>
      </c>
    </row>
    <row r="477" spans="1:1">
      <c r="A477" t="s">
        <v>3514</v>
      </c>
    </row>
    <row r="478" spans="1:1">
      <c r="A478" t="s">
        <v>3515</v>
      </c>
    </row>
    <row r="479" spans="1:1">
      <c r="A479" t="s">
        <v>3516</v>
      </c>
    </row>
    <row r="480" spans="1:1">
      <c r="A480" t="s">
        <v>492</v>
      </c>
    </row>
    <row r="481" spans="1:1">
      <c r="A481" t="s">
        <v>3517</v>
      </c>
    </row>
    <row r="482" spans="1:1">
      <c r="A482" t="s">
        <v>3518</v>
      </c>
    </row>
    <row r="483" spans="1:1">
      <c r="A483" t="s">
        <v>173</v>
      </c>
    </row>
    <row r="484" spans="1:1">
      <c r="A484" t="s">
        <v>3519</v>
      </c>
    </row>
    <row r="485" spans="1:1">
      <c r="A485" t="s">
        <v>202</v>
      </c>
    </row>
    <row r="486" spans="1:1">
      <c r="A486" t="s">
        <v>3520</v>
      </c>
    </row>
    <row r="487" spans="1:1">
      <c r="A487" t="s">
        <v>2</v>
      </c>
    </row>
    <row r="488" spans="1:1">
      <c r="A488" t="s">
        <v>3521</v>
      </c>
    </row>
    <row r="489" spans="1:1">
      <c r="A489" t="s">
        <v>1832</v>
      </c>
    </row>
    <row r="490" spans="1:1">
      <c r="A490" t="s">
        <v>3522</v>
      </c>
    </row>
    <row r="491" spans="1:1">
      <c r="A491" t="s">
        <v>3523</v>
      </c>
    </row>
    <row r="492" spans="1:1">
      <c r="A492" t="s">
        <v>3524</v>
      </c>
    </row>
    <row r="493" spans="1:1">
      <c r="A493" t="s">
        <v>3525</v>
      </c>
    </row>
    <row r="494" spans="1:1">
      <c r="A494" t="s">
        <v>3526</v>
      </c>
    </row>
    <row r="495" spans="1:1">
      <c r="A495" t="s">
        <v>433</v>
      </c>
    </row>
    <row r="496" spans="1:1">
      <c r="A496" t="s">
        <v>61</v>
      </c>
    </row>
    <row r="497" spans="1:1">
      <c r="A497" t="s">
        <v>3527</v>
      </c>
    </row>
    <row r="498" spans="1:1">
      <c r="A498" t="s">
        <v>3528</v>
      </c>
    </row>
    <row r="499" spans="1:1">
      <c r="A499" t="s">
        <v>3529</v>
      </c>
    </row>
    <row r="500" spans="1:1">
      <c r="A500" t="s">
        <v>3530</v>
      </c>
    </row>
    <row r="501" spans="1:1">
      <c r="A501" t="s">
        <v>3531</v>
      </c>
    </row>
    <row r="502" spans="1:1">
      <c r="A502" t="s">
        <v>3532</v>
      </c>
    </row>
    <row r="503" spans="1:1">
      <c r="A503" t="s">
        <v>6</v>
      </c>
    </row>
    <row r="504" spans="1:1">
      <c r="A504" t="s">
        <v>3533</v>
      </c>
    </row>
    <row r="505" spans="1:1">
      <c r="A505" t="s">
        <v>3534</v>
      </c>
    </row>
    <row r="506" spans="1:1">
      <c r="A506" t="s">
        <v>272</v>
      </c>
    </row>
    <row r="507" spans="1:1">
      <c r="A507" t="s">
        <v>3535</v>
      </c>
    </row>
    <row r="508" spans="1:1">
      <c r="A508" t="s">
        <v>3536</v>
      </c>
    </row>
    <row r="509" spans="1:1">
      <c r="A509" t="s">
        <v>3537</v>
      </c>
    </row>
    <row r="510" spans="1:1">
      <c r="A510" t="s">
        <v>320</v>
      </c>
    </row>
    <row r="511" spans="1:1">
      <c r="A511" t="s">
        <v>3538</v>
      </c>
    </row>
    <row r="512" spans="1:1">
      <c r="A512" t="s">
        <v>3539</v>
      </c>
    </row>
    <row r="513" spans="1:1">
      <c r="A513" t="s">
        <v>3540</v>
      </c>
    </row>
    <row r="514" spans="1:1">
      <c r="A514" t="s">
        <v>3541</v>
      </c>
    </row>
    <row r="515" spans="1:1">
      <c r="A515" t="s">
        <v>418</v>
      </c>
    </row>
    <row r="516" spans="1:1">
      <c r="A516" t="s">
        <v>3542</v>
      </c>
    </row>
    <row r="517" spans="1:1">
      <c r="A517" t="s">
        <v>359</v>
      </c>
    </row>
    <row r="518" spans="1:1">
      <c r="A518" t="s">
        <v>1852</v>
      </c>
    </row>
    <row r="519" spans="1:1">
      <c r="A519" t="s">
        <v>411</v>
      </c>
    </row>
    <row r="520" spans="1:1">
      <c r="A520" t="s">
        <v>3543</v>
      </c>
    </row>
    <row r="521" spans="1:1">
      <c r="A521" t="s">
        <v>288</v>
      </c>
    </row>
    <row r="522" spans="1:1">
      <c r="A522" t="s">
        <v>750</v>
      </c>
    </row>
    <row r="523" spans="1:1">
      <c r="A523" t="s">
        <v>3544</v>
      </c>
    </row>
    <row r="524" spans="1:1">
      <c r="A524" t="s">
        <v>3545</v>
      </c>
    </row>
    <row r="525" spans="1:1">
      <c r="A525" t="s">
        <v>3546</v>
      </c>
    </row>
    <row r="526" spans="1:1">
      <c r="A526" t="s">
        <v>3547</v>
      </c>
    </row>
    <row r="527" spans="1:1">
      <c r="A527" t="s">
        <v>97</v>
      </c>
    </row>
    <row r="528" spans="1:1">
      <c r="A528" t="s">
        <v>139</v>
      </c>
    </row>
    <row r="529" spans="1:1">
      <c r="A529" t="s">
        <v>476</v>
      </c>
    </row>
    <row r="530" spans="1:1">
      <c r="A530" t="s">
        <v>3548</v>
      </c>
    </row>
    <row r="531" spans="1:1">
      <c r="A531" t="s">
        <v>3549</v>
      </c>
    </row>
    <row r="532" spans="1:1">
      <c r="A532" t="s">
        <v>3550</v>
      </c>
    </row>
    <row r="533" spans="1:1">
      <c r="A533" t="s">
        <v>3551</v>
      </c>
    </row>
    <row r="534" spans="1:1">
      <c r="A534" t="s">
        <v>470</v>
      </c>
    </row>
    <row r="535" spans="1:1">
      <c r="A535" t="s">
        <v>3552</v>
      </c>
    </row>
    <row r="536" spans="1:1">
      <c r="A536" t="s">
        <v>3553</v>
      </c>
    </row>
    <row r="537" spans="1:1">
      <c r="A537" t="s">
        <v>3554</v>
      </c>
    </row>
    <row r="538" spans="1:1">
      <c r="A538" t="s">
        <v>113</v>
      </c>
    </row>
    <row r="539" spans="1:1">
      <c r="A539" t="s">
        <v>3555</v>
      </c>
    </row>
    <row r="540" spans="1:1">
      <c r="A540" t="s">
        <v>3556</v>
      </c>
    </row>
    <row r="541" spans="1:1">
      <c r="A541" t="s">
        <v>102</v>
      </c>
    </row>
    <row r="542" spans="1:1">
      <c r="A542" t="s">
        <v>3557</v>
      </c>
    </row>
    <row r="543" spans="1:1">
      <c r="A543" t="s">
        <v>3558</v>
      </c>
    </row>
    <row r="544" spans="1:1">
      <c r="A544" t="s">
        <v>204</v>
      </c>
    </row>
    <row r="545" spans="1:1">
      <c r="A545" t="s">
        <v>3559</v>
      </c>
    </row>
    <row r="546" spans="1:1">
      <c r="A546" t="s">
        <v>3560</v>
      </c>
    </row>
    <row r="547" spans="1:1">
      <c r="A547" t="s">
        <v>1565</v>
      </c>
    </row>
    <row r="548" spans="1:1">
      <c r="A548" t="s">
        <v>3561</v>
      </c>
    </row>
    <row r="549" spans="1:1">
      <c r="A549" t="s">
        <v>752</v>
      </c>
    </row>
    <row r="550" spans="1:1">
      <c r="A550" t="s">
        <v>3562</v>
      </c>
    </row>
    <row r="551" spans="1:1">
      <c r="A551" t="s">
        <v>3563</v>
      </c>
    </row>
    <row r="552" spans="1:1">
      <c r="A552" t="s">
        <v>109</v>
      </c>
    </row>
    <row r="553" spans="1:1">
      <c r="A553" t="s">
        <v>3564</v>
      </c>
    </row>
    <row r="554" spans="1:1">
      <c r="A554" t="s">
        <v>3565</v>
      </c>
    </row>
    <row r="555" spans="1:1">
      <c r="A555" t="s">
        <v>3566</v>
      </c>
    </row>
    <row r="556" spans="1:1">
      <c r="A556" t="s">
        <v>1620</v>
      </c>
    </row>
    <row r="557" spans="1:1">
      <c r="A557" t="s">
        <v>3567</v>
      </c>
    </row>
    <row r="558" spans="1:1">
      <c r="A558" t="s">
        <v>3568</v>
      </c>
    </row>
    <row r="559" spans="1:1">
      <c r="A559" t="s">
        <v>1711</v>
      </c>
    </row>
    <row r="560" spans="1:1">
      <c r="A560" t="s">
        <v>1752</v>
      </c>
    </row>
    <row r="561" spans="1:1">
      <c r="A561" t="s">
        <v>3569</v>
      </c>
    </row>
    <row r="562" spans="1:1">
      <c r="A562" t="s">
        <v>402</v>
      </c>
    </row>
    <row r="563" spans="1:1">
      <c r="A563" t="s">
        <v>3570</v>
      </c>
    </row>
    <row r="564" spans="1:1">
      <c r="A564" t="s">
        <v>191</v>
      </c>
    </row>
    <row r="565" spans="1:1">
      <c r="A565" t="s">
        <v>311</v>
      </c>
    </row>
    <row r="566" spans="1:1">
      <c r="A566" t="s">
        <v>3571</v>
      </c>
    </row>
    <row r="567" spans="1:1">
      <c r="A567" t="s">
        <v>228</v>
      </c>
    </row>
    <row r="568" spans="1:1">
      <c r="A568" t="s">
        <v>3572</v>
      </c>
    </row>
    <row r="569" spans="1:1">
      <c r="A569" t="s">
        <v>457</v>
      </c>
    </row>
    <row r="570" spans="1:1">
      <c r="A570" t="s">
        <v>407</v>
      </c>
    </row>
    <row r="571" spans="1:1">
      <c r="A571" t="s">
        <v>3573</v>
      </c>
    </row>
    <row r="572" spans="1:1">
      <c r="A572" t="s">
        <v>532</v>
      </c>
    </row>
    <row r="573" spans="1:1">
      <c r="A573" t="s">
        <v>737</v>
      </c>
    </row>
    <row r="574" spans="1:1">
      <c r="A574" t="s">
        <v>3574</v>
      </c>
    </row>
    <row r="575" spans="1:1">
      <c r="A575" t="s">
        <v>3575</v>
      </c>
    </row>
    <row r="576" spans="1:1">
      <c r="A576" t="s">
        <v>3576</v>
      </c>
    </row>
    <row r="577" spans="1:1">
      <c r="A577" t="s">
        <v>1633</v>
      </c>
    </row>
    <row r="578" spans="1:1">
      <c r="A578" t="s">
        <v>103</v>
      </c>
    </row>
    <row r="579" spans="1:1">
      <c r="A579" t="s">
        <v>215</v>
      </c>
    </row>
    <row r="580" spans="1:1">
      <c r="A580" t="s">
        <v>3577</v>
      </c>
    </row>
    <row r="581" spans="1:1">
      <c r="A581" t="s">
        <v>3578</v>
      </c>
    </row>
    <row r="582" spans="1:1">
      <c r="A582" t="s">
        <v>3579</v>
      </c>
    </row>
    <row r="583" spans="1:1">
      <c r="A583" t="s">
        <v>3580</v>
      </c>
    </row>
    <row r="584" spans="1:1">
      <c r="A584" t="s">
        <v>3581</v>
      </c>
    </row>
    <row r="585" spans="1:1">
      <c r="A585" t="s">
        <v>454</v>
      </c>
    </row>
    <row r="586" spans="1:1">
      <c r="A586" t="s">
        <v>3582</v>
      </c>
    </row>
    <row r="587" spans="1:1">
      <c r="A587" t="s">
        <v>3583</v>
      </c>
    </row>
    <row r="588" spans="1:1">
      <c r="A588" t="s">
        <v>3584</v>
      </c>
    </row>
    <row r="589" spans="1:1">
      <c r="A589" t="s">
        <v>3585</v>
      </c>
    </row>
    <row r="590" spans="1:1">
      <c r="A590" t="s">
        <v>1660</v>
      </c>
    </row>
    <row r="591" spans="1:1">
      <c r="A591" t="s">
        <v>1668</v>
      </c>
    </row>
    <row r="592" spans="1:1">
      <c r="A592" t="s">
        <v>208</v>
      </c>
    </row>
    <row r="593" spans="1:1">
      <c r="A593" t="s">
        <v>3586</v>
      </c>
    </row>
    <row r="594" spans="1:1">
      <c r="A594" t="s">
        <v>3587</v>
      </c>
    </row>
    <row r="595" spans="1:1">
      <c r="A595" t="s">
        <v>3588</v>
      </c>
    </row>
    <row r="596" spans="1:1">
      <c r="A596" t="s">
        <v>3589</v>
      </c>
    </row>
    <row r="597" spans="1:1">
      <c r="A597" t="s">
        <v>257</v>
      </c>
    </row>
    <row r="598" spans="1:1">
      <c r="A598" t="s">
        <v>3590</v>
      </c>
    </row>
    <row r="599" spans="1:1">
      <c r="A599" t="s">
        <v>182</v>
      </c>
    </row>
    <row r="600" spans="1:1">
      <c r="A600" t="s">
        <v>422</v>
      </c>
    </row>
    <row r="601" spans="1:1">
      <c r="A601" t="s">
        <v>33</v>
      </c>
    </row>
    <row r="602" spans="1:1">
      <c r="A602" t="s">
        <v>3591</v>
      </c>
    </row>
    <row r="603" spans="1:1">
      <c r="A603" t="s">
        <v>3592</v>
      </c>
    </row>
    <row r="604" spans="1:1">
      <c r="A604" t="s">
        <v>59</v>
      </c>
    </row>
    <row r="605" spans="1:1">
      <c r="A605" t="s">
        <v>3593</v>
      </c>
    </row>
    <row r="606" spans="1:1">
      <c r="A606" t="s">
        <v>210</v>
      </c>
    </row>
    <row r="607" spans="1:1">
      <c r="A607" t="s">
        <v>3594</v>
      </c>
    </row>
    <row r="608" spans="1:1">
      <c r="A608" t="s">
        <v>3595</v>
      </c>
    </row>
    <row r="609" spans="1:1">
      <c r="A609" t="s">
        <v>3596</v>
      </c>
    </row>
    <row r="610" spans="1:1">
      <c r="A610" t="s">
        <v>355</v>
      </c>
    </row>
    <row r="611" spans="1:1">
      <c r="A611" t="s">
        <v>3597</v>
      </c>
    </row>
    <row r="612" spans="1:1">
      <c r="A612" t="s">
        <v>437</v>
      </c>
    </row>
    <row r="613" spans="1:1">
      <c r="A613" t="s">
        <v>417</v>
      </c>
    </row>
    <row r="614" spans="1:1">
      <c r="A614" t="s">
        <v>3598</v>
      </c>
    </row>
    <row r="615" spans="1:1">
      <c r="A615" t="s">
        <v>3599</v>
      </c>
    </row>
    <row r="616" spans="1:1">
      <c r="A616" t="s">
        <v>3600</v>
      </c>
    </row>
    <row r="617" spans="1:1">
      <c r="A617" t="s">
        <v>3601</v>
      </c>
    </row>
    <row r="618" spans="1:1">
      <c r="A618" t="s">
        <v>177</v>
      </c>
    </row>
    <row r="619" spans="1:1">
      <c r="A619" t="s">
        <v>3602</v>
      </c>
    </row>
    <row r="620" spans="1:1">
      <c r="A620" t="s">
        <v>2775</v>
      </c>
    </row>
    <row r="621" spans="1:1">
      <c r="A621" t="s">
        <v>3603</v>
      </c>
    </row>
    <row r="622" spans="1:1">
      <c r="A622" t="s">
        <v>3604</v>
      </c>
    </row>
    <row r="623" spans="1:1">
      <c r="A623" t="s">
        <v>3605</v>
      </c>
    </row>
    <row r="624" spans="1:1">
      <c r="A624" t="s">
        <v>3606</v>
      </c>
    </row>
    <row r="625" spans="1:1">
      <c r="A625" t="s">
        <v>3607</v>
      </c>
    </row>
    <row r="626" spans="1:1">
      <c r="A626" t="s">
        <v>415</v>
      </c>
    </row>
    <row r="627" spans="1:1">
      <c r="A627" t="s">
        <v>1590</v>
      </c>
    </row>
    <row r="628" spans="1:1">
      <c r="A628" t="s">
        <v>3608</v>
      </c>
    </row>
    <row r="629" spans="1:1">
      <c r="A629" t="s">
        <v>3609</v>
      </c>
    </row>
    <row r="630" spans="1:1">
      <c r="A630" t="s">
        <v>1796</v>
      </c>
    </row>
    <row r="631" spans="1:1">
      <c r="A631" t="s">
        <v>117</v>
      </c>
    </row>
    <row r="632" spans="1:1">
      <c r="A632" t="s">
        <v>282</v>
      </c>
    </row>
    <row r="633" spans="1:1">
      <c r="A633" t="s">
        <v>201</v>
      </c>
    </row>
    <row r="634" spans="1:1">
      <c r="A634" t="s">
        <v>3610</v>
      </c>
    </row>
    <row r="635" spans="1:1">
      <c r="A635" t="s">
        <v>3611</v>
      </c>
    </row>
    <row r="636" spans="1:1">
      <c r="A636" t="s">
        <v>235</v>
      </c>
    </row>
    <row r="637" spans="1:1">
      <c r="A637" t="s">
        <v>3612</v>
      </c>
    </row>
    <row r="638" spans="1:1">
      <c r="A638" t="s">
        <v>366</v>
      </c>
    </row>
    <row r="639" spans="1:1">
      <c r="A639" t="s">
        <v>446</v>
      </c>
    </row>
    <row r="640" spans="1:1">
      <c r="A640" t="s">
        <v>3613</v>
      </c>
    </row>
    <row r="641" spans="1:1">
      <c r="A641" t="s">
        <v>350</v>
      </c>
    </row>
    <row r="642" spans="1:1">
      <c r="A642" t="s">
        <v>3614</v>
      </c>
    </row>
    <row r="643" spans="1:1">
      <c r="A643" t="s">
        <v>3615</v>
      </c>
    </row>
    <row r="644" spans="1:1">
      <c r="A644" t="s">
        <v>443</v>
      </c>
    </row>
    <row r="645" spans="1:1">
      <c r="A645" t="s">
        <v>197</v>
      </c>
    </row>
    <row r="646" spans="1:1">
      <c r="A646" t="s">
        <v>313</v>
      </c>
    </row>
    <row r="647" spans="1:1">
      <c r="A647" t="s">
        <v>3616</v>
      </c>
    </row>
    <row r="648" spans="1:1">
      <c r="A648" t="s">
        <v>3617</v>
      </c>
    </row>
    <row r="649" spans="1:1">
      <c r="A649" t="s">
        <v>91</v>
      </c>
    </row>
    <row r="650" spans="1:1">
      <c r="A650" t="s">
        <v>3618</v>
      </c>
    </row>
    <row r="651" spans="1:1">
      <c r="A651" t="s">
        <v>3619</v>
      </c>
    </row>
    <row r="652" spans="1:1">
      <c r="A652" t="s">
        <v>3620</v>
      </c>
    </row>
    <row r="653" spans="1:1">
      <c r="A653" t="s">
        <v>53</v>
      </c>
    </row>
    <row r="654" spans="1:1">
      <c r="A654" t="s">
        <v>3621</v>
      </c>
    </row>
    <row r="655" spans="1:1">
      <c r="A655" t="s">
        <v>3622</v>
      </c>
    </row>
    <row r="656" spans="1:1">
      <c r="A656" t="s">
        <v>3623</v>
      </c>
    </row>
    <row r="657" spans="1:1">
      <c r="A657" t="s">
        <v>1656</v>
      </c>
    </row>
    <row r="658" spans="1:1">
      <c r="A658" t="s">
        <v>50</v>
      </c>
    </row>
    <row r="659" spans="1:1">
      <c r="A659" t="s">
        <v>3624</v>
      </c>
    </row>
    <row r="660" spans="1:1">
      <c r="A660" t="s">
        <v>3625</v>
      </c>
    </row>
    <row r="661" spans="1:1">
      <c r="A661" t="s">
        <v>98</v>
      </c>
    </row>
    <row r="662" spans="1:1">
      <c r="A662" t="s">
        <v>3626</v>
      </c>
    </row>
    <row r="663" spans="1:1">
      <c r="A663" t="s">
        <v>1726</v>
      </c>
    </row>
    <row r="664" spans="1:1">
      <c r="A664" t="s">
        <v>3627</v>
      </c>
    </row>
    <row r="665" spans="1:1">
      <c r="A665" t="s">
        <v>307</v>
      </c>
    </row>
    <row r="666" spans="1:1">
      <c r="A666" t="s">
        <v>466</v>
      </c>
    </row>
    <row r="667" spans="1:1">
      <c r="A667" t="s">
        <v>460</v>
      </c>
    </row>
    <row r="668" spans="1:1">
      <c r="A668" t="s">
        <v>377</v>
      </c>
    </row>
    <row r="669" spans="1:1">
      <c r="A669" t="s">
        <v>3628</v>
      </c>
    </row>
    <row r="670" spans="1:1">
      <c r="A670" t="s">
        <v>3629</v>
      </c>
    </row>
    <row r="671" spans="1:1">
      <c r="A671" t="s">
        <v>3630</v>
      </c>
    </row>
    <row r="672" spans="1:1">
      <c r="A672" t="s">
        <v>3631</v>
      </c>
    </row>
    <row r="673" spans="1:1">
      <c r="A673" t="s">
        <v>3632</v>
      </c>
    </row>
    <row r="674" spans="1:1">
      <c r="A674" t="s">
        <v>40</v>
      </c>
    </row>
    <row r="675" spans="1:1">
      <c r="A675" t="s">
        <v>1611</v>
      </c>
    </row>
    <row r="676" spans="1:1">
      <c r="A676" t="s">
        <v>3633</v>
      </c>
    </row>
    <row r="677" spans="1:1">
      <c r="A677" t="s">
        <v>3634</v>
      </c>
    </row>
    <row r="678" spans="1:1">
      <c r="A678" t="s">
        <v>66</v>
      </c>
    </row>
    <row r="679" spans="1:1">
      <c r="A679" t="s">
        <v>3635</v>
      </c>
    </row>
    <row r="680" spans="1:1">
      <c r="A680" t="s">
        <v>3636</v>
      </c>
    </row>
    <row r="681" spans="1:1">
      <c r="A681" t="s">
        <v>3637</v>
      </c>
    </row>
    <row r="682" spans="1:1">
      <c r="A682" t="s">
        <v>423</v>
      </c>
    </row>
    <row r="683" spans="1:1">
      <c r="A683" t="s">
        <v>3638</v>
      </c>
    </row>
    <row r="684" spans="1:1">
      <c r="A684" t="s">
        <v>428</v>
      </c>
    </row>
    <row r="685" spans="1:1">
      <c r="A685" t="s">
        <v>3639</v>
      </c>
    </row>
    <row r="686" spans="1:1">
      <c r="A686" t="s">
        <v>3640</v>
      </c>
    </row>
    <row r="687" spans="1:1">
      <c r="A687" t="s">
        <v>3641</v>
      </c>
    </row>
    <row r="688" spans="1:1">
      <c r="A688" t="s">
        <v>3642</v>
      </c>
    </row>
    <row r="689" spans="1:1">
      <c r="A689" t="s">
        <v>380</v>
      </c>
    </row>
    <row r="690" spans="1:1">
      <c r="A690" t="s">
        <v>3643</v>
      </c>
    </row>
    <row r="691" spans="1:1">
      <c r="A691" t="s">
        <v>3644</v>
      </c>
    </row>
    <row r="692" spans="1:1">
      <c r="A692" t="s">
        <v>3645</v>
      </c>
    </row>
    <row r="693" spans="1:1">
      <c r="A693" t="s">
        <v>111</v>
      </c>
    </row>
    <row r="694" spans="1:1">
      <c r="A694" t="s">
        <v>3646</v>
      </c>
    </row>
    <row r="695" spans="1:1">
      <c r="A695" t="s">
        <v>507</v>
      </c>
    </row>
    <row r="696" spans="1:1">
      <c r="A696" t="s">
        <v>3647</v>
      </c>
    </row>
    <row r="697" spans="1:1">
      <c r="A697" t="s">
        <v>3648</v>
      </c>
    </row>
    <row r="698" spans="1:1">
      <c r="A698" t="s">
        <v>3649</v>
      </c>
    </row>
    <row r="699" spans="1:1">
      <c r="A699" t="s">
        <v>55</v>
      </c>
    </row>
    <row r="700" spans="1:1">
      <c r="A700" t="s">
        <v>3650</v>
      </c>
    </row>
    <row r="701" spans="1:1">
      <c r="A701" t="s">
        <v>20</v>
      </c>
    </row>
    <row r="702" spans="1:1">
      <c r="A702" t="s">
        <v>3651</v>
      </c>
    </row>
    <row r="703" spans="1:1">
      <c r="A703" t="s">
        <v>1607</v>
      </c>
    </row>
    <row r="704" spans="1:1">
      <c r="A704" t="s">
        <v>1543</v>
      </c>
    </row>
    <row r="705" spans="1:1">
      <c r="A705" t="s">
        <v>475</v>
      </c>
    </row>
    <row r="706" spans="1:1">
      <c r="A706" t="s">
        <v>3652</v>
      </c>
    </row>
    <row r="707" spans="1:1">
      <c r="A707" t="s">
        <v>106</v>
      </c>
    </row>
    <row r="708" spans="1:1">
      <c r="A708" t="s">
        <v>3653</v>
      </c>
    </row>
    <row r="709" spans="1:1">
      <c r="A709" t="s">
        <v>3654</v>
      </c>
    </row>
    <row r="710" spans="1:1">
      <c r="A710" t="s">
        <v>3655</v>
      </c>
    </row>
    <row r="711" spans="1:1">
      <c r="A711" t="s">
        <v>3656</v>
      </c>
    </row>
    <row r="712" spans="1:1">
      <c r="A712" t="s">
        <v>159</v>
      </c>
    </row>
    <row r="713" spans="1:1">
      <c r="A713" t="s">
        <v>521</v>
      </c>
    </row>
    <row r="714" spans="1:1">
      <c r="A714" t="s">
        <v>3657</v>
      </c>
    </row>
    <row r="715" spans="1:1">
      <c r="A715" t="s">
        <v>3658</v>
      </c>
    </row>
    <row r="716" spans="1:1">
      <c r="A716" t="s">
        <v>186</v>
      </c>
    </row>
    <row r="717" spans="1:1">
      <c r="A717" t="s">
        <v>367</v>
      </c>
    </row>
    <row r="718" spans="1:1">
      <c r="A718" t="s">
        <v>3659</v>
      </c>
    </row>
    <row r="719" spans="1:1">
      <c r="A719" t="s">
        <v>3660</v>
      </c>
    </row>
    <row r="720" spans="1:1">
      <c r="A720" t="s">
        <v>3661</v>
      </c>
    </row>
    <row r="721" spans="1:1">
      <c r="A721" t="s">
        <v>398</v>
      </c>
    </row>
    <row r="722" spans="1:1">
      <c r="A722" t="s">
        <v>3662</v>
      </c>
    </row>
    <row r="723" spans="1:1">
      <c r="A723" t="s">
        <v>3663</v>
      </c>
    </row>
    <row r="724" spans="1:1">
      <c r="A724" t="s">
        <v>3664</v>
      </c>
    </row>
    <row r="725" spans="1:1">
      <c r="A725" t="s">
        <v>3665</v>
      </c>
    </row>
    <row r="726" spans="1:1">
      <c r="A726" t="s">
        <v>3666</v>
      </c>
    </row>
    <row r="727" spans="1:1">
      <c r="A727" t="s">
        <v>3667</v>
      </c>
    </row>
    <row r="728" spans="1:1">
      <c r="A728" t="s">
        <v>3668</v>
      </c>
    </row>
    <row r="729" spans="1:1">
      <c r="A729" t="s">
        <v>3669</v>
      </c>
    </row>
    <row r="730" spans="1:1">
      <c r="A730" t="s">
        <v>1843</v>
      </c>
    </row>
    <row r="731" spans="1:1">
      <c r="A731" t="s">
        <v>3670</v>
      </c>
    </row>
    <row r="732" spans="1:1">
      <c r="A732" t="s">
        <v>3671</v>
      </c>
    </row>
    <row r="733" spans="1:1">
      <c r="A733" t="s">
        <v>1760</v>
      </c>
    </row>
    <row r="734" spans="1:1">
      <c r="A734" t="s">
        <v>3672</v>
      </c>
    </row>
    <row r="735" spans="1:1">
      <c r="A735" t="s">
        <v>420</v>
      </c>
    </row>
    <row r="736" spans="1:1">
      <c r="A736" t="s">
        <v>3673</v>
      </c>
    </row>
    <row r="737" spans="1:1">
      <c r="A737" t="s">
        <v>150</v>
      </c>
    </row>
    <row r="738" spans="1:1">
      <c r="A738" t="s">
        <v>3674</v>
      </c>
    </row>
    <row r="739" spans="1:1">
      <c r="A739" t="s">
        <v>3675</v>
      </c>
    </row>
    <row r="740" spans="1:1">
      <c r="A740" t="s">
        <v>401</v>
      </c>
    </row>
    <row r="741" spans="1:1">
      <c r="A741" t="s">
        <v>3676</v>
      </c>
    </row>
    <row r="742" spans="1:1">
      <c r="A742" t="s">
        <v>413</v>
      </c>
    </row>
    <row r="743" spans="1:1">
      <c r="A743" t="s">
        <v>3677</v>
      </c>
    </row>
    <row r="744" spans="1:1">
      <c r="A744" t="s">
        <v>3678</v>
      </c>
    </row>
    <row r="745" spans="1:1">
      <c r="A745" t="s">
        <v>3679</v>
      </c>
    </row>
    <row r="746" spans="1:1">
      <c r="A746" t="s">
        <v>3680</v>
      </c>
    </row>
    <row r="747" spans="1:1">
      <c r="A747" t="s">
        <v>1701</v>
      </c>
    </row>
    <row r="748" spans="1:1">
      <c r="A748" t="s">
        <v>3681</v>
      </c>
    </row>
    <row r="749" spans="1:1">
      <c r="A749" t="s">
        <v>739</v>
      </c>
    </row>
    <row r="750" spans="1:1">
      <c r="A750" t="s">
        <v>3682</v>
      </c>
    </row>
    <row r="751" spans="1:1">
      <c r="A751" t="s">
        <v>3683</v>
      </c>
    </row>
    <row r="752" spans="1:1">
      <c r="A752" t="s">
        <v>471</v>
      </c>
    </row>
    <row r="753" spans="1:1">
      <c r="A753" t="s">
        <v>368</v>
      </c>
    </row>
    <row r="754" spans="1:1">
      <c r="A754" t="s">
        <v>523</v>
      </c>
    </row>
    <row r="755" spans="1:1">
      <c r="A755" t="s">
        <v>3684</v>
      </c>
    </row>
    <row r="756" spans="1:1">
      <c r="A756" t="s">
        <v>3685</v>
      </c>
    </row>
    <row r="757" spans="1:1">
      <c r="A757" t="s">
        <v>3686</v>
      </c>
    </row>
    <row r="758" spans="1:1">
      <c r="A758" t="s">
        <v>3687</v>
      </c>
    </row>
    <row r="759" spans="1:1">
      <c r="A759" t="s">
        <v>1856</v>
      </c>
    </row>
    <row r="760" spans="1:1">
      <c r="A760" t="s">
        <v>188</v>
      </c>
    </row>
    <row r="761" spans="1:1">
      <c r="A761" t="s">
        <v>3688</v>
      </c>
    </row>
    <row r="762" spans="1:1">
      <c r="A762" t="s">
        <v>291</v>
      </c>
    </row>
    <row r="763" spans="1:1">
      <c r="A763" t="s">
        <v>3689</v>
      </c>
    </row>
    <row r="764" spans="1:1">
      <c r="A764" t="s">
        <v>530</v>
      </c>
    </row>
    <row r="765" spans="1:1">
      <c r="A765" t="s">
        <v>3690</v>
      </c>
    </row>
    <row r="766" spans="1:1">
      <c r="A766" t="s">
        <v>3691</v>
      </c>
    </row>
    <row r="767" spans="1:1">
      <c r="A767" t="s">
        <v>3692</v>
      </c>
    </row>
    <row r="768" spans="1:1">
      <c r="A768" t="s">
        <v>3693</v>
      </c>
    </row>
    <row r="769" spans="1:1">
      <c r="A769" t="s">
        <v>2688</v>
      </c>
    </row>
    <row r="770" spans="1:1">
      <c r="A770" t="s">
        <v>3694</v>
      </c>
    </row>
    <row r="771" spans="1:1">
      <c r="A771" t="s">
        <v>3695</v>
      </c>
    </row>
    <row r="772" spans="1:1">
      <c r="A772" t="s">
        <v>3696</v>
      </c>
    </row>
    <row r="773" spans="1:1">
      <c r="A773" t="s">
        <v>403</v>
      </c>
    </row>
    <row r="774" spans="1:1">
      <c r="A774" t="s">
        <v>3697</v>
      </c>
    </row>
    <row r="775" spans="1:1">
      <c r="A775" t="s">
        <v>540</v>
      </c>
    </row>
    <row r="776" spans="1:1">
      <c r="A776" t="s">
        <v>361</v>
      </c>
    </row>
    <row r="777" spans="1:1">
      <c r="A777" t="s">
        <v>3698</v>
      </c>
    </row>
    <row r="778" spans="1:1">
      <c r="A778" t="s">
        <v>229</v>
      </c>
    </row>
    <row r="779" spans="1:1">
      <c r="A779" t="s">
        <v>281</v>
      </c>
    </row>
    <row r="780" spans="1:1">
      <c r="A780" t="s">
        <v>3699</v>
      </c>
    </row>
    <row r="781" spans="1:1">
      <c r="A781" t="s">
        <v>3700</v>
      </c>
    </row>
    <row r="782" spans="1:1">
      <c r="A782" t="s">
        <v>3701</v>
      </c>
    </row>
    <row r="783" spans="1:1">
      <c r="A783" t="s">
        <v>316</v>
      </c>
    </row>
    <row r="784" spans="1:1">
      <c r="A784" t="s">
        <v>3702</v>
      </c>
    </row>
    <row r="785" spans="1:1">
      <c r="A785" t="s">
        <v>464</v>
      </c>
    </row>
    <row r="786" spans="1:1">
      <c r="A786" t="s">
        <v>3703</v>
      </c>
    </row>
    <row r="787" spans="1:1">
      <c r="A787" t="s">
        <v>3704</v>
      </c>
    </row>
    <row r="788" spans="1:1">
      <c r="A788" t="s">
        <v>3705</v>
      </c>
    </row>
    <row r="789" spans="1:1">
      <c r="A789" t="s">
        <v>3706</v>
      </c>
    </row>
    <row r="790" spans="1:1">
      <c r="A790" t="s">
        <v>89</v>
      </c>
    </row>
    <row r="791" spans="1:1">
      <c r="A791" t="s">
        <v>175</v>
      </c>
    </row>
    <row r="792" spans="1:1">
      <c r="A792" t="s">
        <v>3707</v>
      </c>
    </row>
    <row r="793" spans="1:1">
      <c r="A793" t="s">
        <v>3708</v>
      </c>
    </row>
    <row r="794" spans="1:1">
      <c r="A794" t="s">
        <v>3709</v>
      </c>
    </row>
    <row r="795" spans="1:1">
      <c r="A795" t="s">
        <v>3710</v>
      </c>
    </row>
    <row r="796" spans="1:1">
      <c r="A796" t="s">
        <v>3711</v>
      </c>
    </row>
    <row r="797" spans="1:1">
      <c r="A797" t="s">
        <v>406</v>
      </c>
    </row>
    <row r="798" spans="1:1">
      <c r="A798" t="s">
        <v>3712</v>
      </c>
    </row>
    <row r="799" spans="1:1">
      <c r="A799" t="s">
        <v>3713</v>
      </c>
    </row>
    <row r="800" spans="1:1">
      <c r="A800" t="s">
        <v>3714</v>
      </c>
    </row>
    <row r="801" spans="1:1">
      <c r="A801" t="s">
        <v>3715</v>
      </c>
    </row>
    <row r="802" spans="1:1">
      <c r="A802" t="s">
        <v>1599</v>
      </c>
    </row>
    <row r="803" spans="1:1">
      <c r="A803" t="s">
        <v>3716</v>
      </c>
    </row>
    <row r="804" spans="1:1">
      <c r="A804" t="s">
        <v>185</v>
      </c>
    </row>
    <row r="805" spans="1:1">
      <c r="A805" t="s">
        <v>3717</v>
      </c>
    </row>
    <row r="806" spans="1:1">
      <c r="A806" t="s">
        <v>3718</v>
      </c>
    </row>
    <row r="807" spans="1:1">
      <c r="A807" t="s">
        <v>3719</v>
      </c>
    </row>
    <row r="808" spans="1:1">
      <c r="A808" t="s">
        <v>3720</v>
      </c>
    </row>
    <row r="809" spans="1:1">
      <c r="A809" t="s">
        <v>3721</v>
      </c>
    </row>
    <row r="810" spans="1:1">
      <c r="A810" t="s">
        <v>419</v>
      </c>
    </row>
    <row r="811" spans="1:1">
      <c r="A811" t="s">
        <v>318</v>
      </c>
    </row>
    <row r="812" spans="1:1">
      <c r="A812" t="s">
        <v>137</v>
      </c>
    </row>
    <row r="813" spans="1:1">
      <c r="A813" t="s">
        <v>3722</v>
      </c>
    </row>
    <row r="814" spans="1:1">
      <c r="A814" t="s">
        <v>3723</v>
      </c>
    </row>
    <row r="815" spans="1:1">
      <c r="A815" t="s">
        <v>3724</v>
      </c>
    </row>
    <row r="816" spans="1:1">
      <c r="A816" t="s">
        <v>1777</v>
      </c>
    </row>
    <row r="817" spans="1:1">
      <c r="A817" t="s">
        <v>3725</v>
      </c>
    </row>
    <row r="818" spans="1:1">
      <c r="A818" t="s">
        <v>3726</v>
      </c>
    </row>
    <row r="819" spans="1:1">
      <c r="A819" t="s">
        <v>323</v>
      </c>
    </row>
    <row r="820" spans="1:1">
      <c r="A820" t="s">
        <v>726</v>
      </c>
    </row>
    <row r="821" spans="1:1">
      <c r="A821" t="s">
        <v>3727</v>
      </c>
    </row>
    <row r="822" spans="1:1">
      <c r="A822" t="s">
        <v>686</v>
      </c>
    </row>
    <row r="823" spans="1:1">
      <c r="A823" t="s">
        <v>3728</v>
      </c>
    </row>
    <row r="824" spans="1:1">
      <c r="A824" t="s">
        <v>692</v>
      </c>
    </row>
    <row r="825" spans="1:1">
      <c r="A825" t="s">
        <v>112</v>
      </c>
    </row>
    <row r="826" spans="1:1">
      <c r="A826" t="s">
        <v>110</v>
      </c>
    </row>
    <row r="827" spans="1:1">
      <c r="A827" t="s">
        <v>179</v>
      </c>
    </row>
    <row r="828" spans="1:1">
      <c r="A828" t="s">
        <v>3729</v>
      </c>
    </row>
    <row r="829" spans="1:1">
      <c r="A829" t="s">
        <v>3730</v>
      </c>
    </row>
    <row r="830" spans="1:1">
      <c r="A830" t="s">
        <v>724</v>
      </c>
    </row>
    <row r="831" spans="1:1">
      <c r="A831" t="s">
        <v>3731</v>
      </c>
    </row>
    <row r="832" spans="1:1">
      <c r="A832" t="s">
        <v>1784</v>
      </c>
    </row>
    <row r="833" spans="1:1">
      <c r="A833" t="s">
        <v>232</v>
      </c>
    </row>
    <row r="834" spans="1:1">
      <c r="A834" t="s">
        <v>146</v>
      </c>
    </row>
    <row r="835" spans="1:1">
      <c r="A835" t="s">
        <v>3732</v>
      </c>
    </row>
    <row r="836" spans="1:1">
      <c r="A836" t="s">
        <v>3733</v>
      </c>
    </row>
    <row r="837" spans="1:1">
      <c r="A837" t="s">
        <v>458</v>
      </c>
    </row>
    <row r="838" spans="1:1">
      <c r="A838" t="s">
        <v>3734</v>
      </c>
    </row>
    <row r="839" spans="1:1">
      <c r="A839" t="s">
        <v>3735</v>
      </c>
    </row>
    <row r="840" spans="1:1">
      <c r="A840" t="s">
        <v>3736</v>
      </c>
    </row>
    <row r="841" spans="1:1">
      <c r="A841" t="s">
        <v>3737</v>
      </c>
    </row>
    <row r="842" spans="1:1">
      <c r="A842" t="s">
        <v>3738</v>
      </c>
    </row>
    <row r="843" spans="1:1">
      <c r="A843" t="s">
        <v>3739</v>
      </c>
    </row>
    <row r="844" spans="1:1">
      <c r="A844" t="s">
        <v>379</v>
      </c>
    </row>
    <row r="845" spans="1:1">
      <c r="A845" t="s">
        <v>3740</v>
      </c>
    </row>
    <row r="846" spans="1:1">
      <c r="A846" t="s">
        <v>3741</v>
      </c>
    </row>
    <row r="847" spans="1:1">
      <c r="A847" t="s">
        <v>3742</v>
      </c>
    </row>
    <row r="848" spans="1:1">
      <c r="A848" t="s">
        <v>3743</v>
      </c>
    </row>
    <row r="849" spans="1:1">
      <c r="A849" t="s">
        <v>3744</v>
      </c>
    </row>
    <row r="850" spans="1:1">
      <c r="A850" t="s">
        <v>537</v>
      </c>
    </row>
    <row r="851" spans="1:1">
      <c r="A851" t="s">
        <v>278</v>
      </c>
    </row>
    <row r="852" spans="1:1">
      <c r="A852" t="s">
        <v>3745</v>
      </c>
    </row>
    <row r="853" spans="1:1">
      <c r="A853" t="s">
        <v>3746</v>
      </c>
    </row>
    <row r="854" spans="1:1">
      <c r="A854" t="s">
        <v>1719</v>
      </c>
    </row>
    <row r="855" spans="1:1">
      <c r="A855" t="s">
        <v>3747</v>
      </c>
    </row>
    <row r="856" spans="1:1">
      <c r="A856" t="s">
        <v>445</v>
      </c>
    </row>
    <row r="857" spans="1:1">
      <c r="A857" t="s">
        <v>216</v>
      </c>
    </row>
    <row r="858" spans="1:1">
      <c r="A858" t="s">
        <v>3748</v>
      </c>
    </row>
    <row r="859" spans="1:1">
      <c r="A859" t="s">
        <v>408</v>
      </c>
    </row>
    <row r="860" spans="1:1">
      <c r="A860" t="s">
        <v>3749</v>
      </c>
    </row>
    <row r="861" spans="1:1">
      <c r="A861" t="s">
        <v>3750</v>
      </c>
    </row>
    <row r="862" spans="1:1">
      <c r="A862" t="s">
        <v>1800</v>
      </c>
    </row>
    <row r="863" spans="1:1">
      <c r="A863" t="s">
        <v>1847</v>
      </c>
    </row>
    <row r="864" spans="1:1">
      <c r="A864" t="s">
        <v>3751</v>
      </c>
    </row>
    <row r="865" spans="1:1">
      <c r="A865" t="s">
        <v>209</v>
      </c>
    </row>
    <row r="866" spans="1:1">
      <c r="A866" t="s">
        <v>128</v>
      </c>
    </row>
    <row r="867" spans="1:1">
      <c r="A867" t="s">
        <v>3752</v>
      </c>
    </row>
    <row r="868" spans="1:1">
      <c r="A868" t="s">
        <v>259</v>
      </c>
    </row>
    <row r="869" spans="1:1">
      <c r="A869" t="s">
        <v>3753</v>
      </c>
    </row>
    <row r="870" spans="1:1">
      <c r="A870" t="s">
        <v>3754</v>
      </c>
    </row>
    <row r="871" spans="1:1">
      <c r="A871" t="s">
        <v>3755</v>
      </c>
    </row>
    <row r="872" spans="1:1">
      <c r="A872" t="s">
        <v>728</v>
      </c>
    </row>
    <row r="873" spans="1:1">
      <c r="A873" t="s">
        <v>3756</v>
      </c>
    </row>
    <row r="874" spans="1:1">
      <c r="A874" t="s">
        <v>324</v>
      </c>
    </row>
    <row r="875" spans="1:1">
      <c r="A875" t="s">
        <v>3757</v>
      </c>
    </row>
    <row r="876" spans="1:1">
      <c r="A876" t="s">
        <v>3758</v>
      </c>
    </row>
    <row r="877" spans="1:1">
      <c r="A877" t="s">
        <v>277</v>
      </c>
    </row>
    <row r="878" spans="1:1">
      <c r="A878" t="s">
        <v>3759</v>
      </c>
    </row>
    <row r="879" spans="1:1">
      <c r="A879" t="s">
        <v>267</v>
      </c>
    </row>
    <row r="880" spans="1:1">
      <c r="A880" t="s">
        <v>764</v>
      </c>
    </row>
    <row r="881" spans="1:1">
      <c r="A881" t="s">
        <v>3760</v>
      </c>
    </row>
    <row r="882" spans="1:1">
      <c r="A882" t="s">
        <v>3761</v>
      </c>
    </row>
    <row r="883" spans="1:1">
      <c r="A883" t="s">
        <v>3762</v>
      </c>
    </row>
    <row r="884" spans="1:1">
      <c r="A884" t="s">
        <v>174</v>
      </c>
    </row>
    <row r="885" spans="1:1">
      <c r="A885" t="s">
        <v>1639</v>
      </c>
    </row>
    <row r="886" spans="1:1">
      <c r="A886" t="s">
        <v>3763</v>
      </c>
    </row>
    <row r="887" spans="1:1">
      <c r="A887" t="s">
        <v>181</v>
      </c>
    </row>
    <row r="888" spans="1:1">
      <c r="A888" t="s">
        <v>3764</v>
      </c>
    </row>
    <row r="889" spans="1:1">
      <c r="A889" t="s">
        <v>143</v>
      </c>
    </row>
    <row r="890" spans="1:1">
      <c r="A890" t="s">
        <v>237</v>
      </c>
    </row>
    <row r="891" spans="1:1">
      <c r="A891" t="s">
        <v>3765</v>
      </c>
    </row>
    <row r="892" spans="1:1">
      <c r="A892" t="s">
        <v>3766</v>
      </c>
    </row>
    <row r="893" spans="1:1">
      <c r="A893" t="s">
        <v>3767</v>
      </c>
    </row>
    <row r="894" spans="1:1">
      <c r="A894" t="s">
        <v>429</v>
      </c>
    </row>
    <row r="895" spans="1:1">
      <c r="A895" t="s">
        <v>3768</v>
      </c>
    </row>
    <row r="896" spans="1:1">
      <c r="A896" t="s">
        <v>3769</v>
      </c>
    </row>
    <row r="897" spans="1:1">
      <c r="A897" t="s">
        <v>3770</v>
      </c>
    </row>
    <row r="898" spans="1:1">
      <c r="A898" t="s">
        <v>3771</v>
      </c>
    </row>
    <row r="899" spans="1:1">
      <c r="A899" t="s">
        <v>3772</v>
      </c>
    </row>
    <row r="900" spans="1:1">
      <c r="A900" t="s">
        <v>3773</v>
      </c>
    </row>
    <row r="901" spans="1:1">
      <c r="A901" t="s">
        <v>3774</v>
      </c>
    </row>
    <row r="902" spans="1:1">
      <c r="A902" t="s">
        <v>3775</v>
      </c>
    </row>
    <row r="903" spans="1:1">
      <c r="A903" t="s">
        <v>3776</v>
      </c>
    </row>
    <row r="904" spans="1:1">
      <c r="A904" t="s">
        <v>3777</v>
      </c>
    </row>
    <row r="905" spans="1:1">
      <c r="A905" t="s">
        <v>3778</v>
      </c>
    </row>
    <row r="906" spans="1:1">
      <c r="A906" t="s">
        <v>3779</v>
      </c>
    </row>
    <row r="907" spans="1:1">
      <c r="A907" t="s">
        <v>18</v>
      </c>
    </row>
    <row r="908" spans="1:1">
      <c r="A908" t="s">
        <v>3780</v>
      </c>
    </row>
    <row r="909" spans="1:1">
      <c r="A909" t="s">
        <v>242</v>
      </c>
    </row>
    <row r="910" spans="1:1">
      <c r="A910" t="s">
        <v>3781</v>
      </c>
    </row>
    <row r="911" spans="1:1">
      <c r="A911" t="s">
        <v>748</v>
      </c>
    </row>
    <row r="912" spans="1:1">
      <c r="A912" t="s">
        <v>736</v>
      </c>
    </row>
    <row r="913" spans="1:1">
      <c r="A913" t="s">
        <v>3782</v>
      </c>
    </row>
    <row r="914" spans="1:1">
      <c r="A914" t="s">
        <v>3783</v>
      </c>
    </row>
    <row r="915" spans="1:1">
      <c r="A915" t="s">
        <v>3784</v>
      </c>
    </row>
    <row r="916" spans="1:1">
      <c r="A916" t="s">
        <v>3785</v>
      </c>
    </row>
    <row r="917" spans="1:1">
      <c r="A917" t="s">
        <v>3786</v>
      </c>
    </row>
    <row r="918" spans="1:1">
      <c r="A918" t="s">
        <v>3787</v>
      </c>
    </row>
    <row r="919" spans="1:1">
      <c r="A919" t="s">
        <v>3788</v>
      </c>
    </row>
    <row r="920" spans="1:1">
      <c r="A920" t="s">
        <v>3789</v>
      </c>
    </row>
    <row r="921" spans="1:1">
      <c r="A921" t="s">
        <v>3790</v>
      </c>
    </row>
    <row r="922" spans="1:1">
      <c r="A922" t="s">
        <v>3791</v>
      </c>
    </row>
    <row r="923" spans="1:1">
      <c r="A923" t="s">
        <v>36</v>
      </c>
    </row>
    <row r="924" spans="1:1">
      <c r="A924" t="s">
        <v>297</v>
      </c>
    </row>
    <row r="925" spans="1:1">
      <c r="A925" t="s">
        <v>3792</v>
      </c>
    </row>
    <row r="926" spans="1:1">
      <c r="A926" t="s">
        <v>3793</v>
      </c>
    </row>
    <row r="927" spans="1:1">
      <c r="A927" t="s">
        <v>3794</v>
      </c>
    </row>
    <row r="928" spans="1:1">
      <c r="A928" t="s">
        <v>765</v>
      </c>
    </row>
    <row r="929" spans="1:1">
      <c r="A929" t="s">
        <v>3795</v>
      </c>
    </row>
    <row r="930" spans="1:1">
      <c r="A930" t="s">
        <v>3796</v>
      </c>
    </row>
    <row r="931" spans="1:1">
      <c r="A931" t="s">
        <v>100</v>
      </c>
    </row>
    <row r="932" spans="1:1">
      <c r="A932" t="s">
        <v>26</v>
      </c>
    </row>
    <row r="933" spans="1:1">
      <c r="A933" t="s">
        <v>3797</v>
      </c>
    </row>
    <row r="934" spans="1:1">
      <c r="A934" t="s">
        <v>3798</v>
      </c>
    </row>
    <row r="935" spans="1:1">
      <c r="A935" t="s">
        <v>3799</v>
      </c>
    </row>
    <row r="936" spans="1:1">
      <c r="A936" t="s">
        <v>1744</v>
      </c>
    </row>
    <row r="937" spans="1:1">
      <c r="A937" t="s">
        <v>3800</v>
      </c>
    </row>
    <row r="938" spans="1:1">
      <c r="A938" t="s">
        <v>3801</v>
      </c>
    </row>
    <row r="939" spans="1:1">
      <c r="A939" t="s">
        <v>284</v>
      </c>
    </row>
    <row r="940" spans="1:1">
      <c r="A940" t="s">
        <v>688</v>
      </c>
    </row>
    <row r="941" spans="1:1">
      <c r="A941" t="s">
        <v>3802</v>
      </c>
    </row>
    <row r="942" spans="1:1">
      <c r="A942" t="s">
        <v>3803</v>
      </c>
    </row>
    <row r="943" spans="1:1">
      <c r="A943" t="s">
        <v>3804</v>
      </c>
    </row>
    <row r="944" spans="1:1">
      <c r="A944" t="s">
        <v>65</v>
      </c>
    </row>
    <row r="945" spans="1:1">
      <c r="A945" t="s">
        <v>3805</v>
      </c>
    </row>
    <row r="946" spans="1:1">
      <c r="A946" t="s">
        <v>3806</v>
      </c>
    </row>
    <row r="947" spans="1:1">
      <c r="A947" t="s">
        <v>373</v>
      </c>
    </row>
    <row r="948" spans="1:1">
      <c r="A948" t="s">
        <v>3807</v>
      </c>
    </row>
    <row r="949" spans="1:1">
      <c r="A949" t="s">
        <v>211</v>
      </c>
    </row>
    <row r="950" spans="1:1">
      <c r="A950" t="s">
        <v>3808</v>
      </c>
    </row>
    <row r="951" spans="1:1">
      <c r="A951" t="s">
        <v>3809</v>
      </c>
    </row>
    <row r="952" spans="1:1">
      <c r="A952" t="s">
        <v>64</v>
      </c>
    </row>
    <row r="953" spans="1:1">
      <c r="A953" t="s">
        <v>3810</v>
      </c>
    </row>
    <row r="954" spans="1:1">
      <c r="A954" t="s">
        <v>3811</v>
      </c>
    </row>
    <row r="955" spans="1:1">
      <c r="A955" t="s">
        <v>1688</v>
      </c>
    </row>
    <row r="956" spans="1:1">
      <c r="A956" t="s">
        <v>1792</v>
      </c>
    </row>
    <row r="957" spans="1:1">
      <c r="A957" t="s">
        <v>749</v>
      </c>
    </row>
    <row r="958" spans="1:1">
      <c r="A958" t="s">
        <v>3812</v>
      </c>
    </row>
    <row r="959" spans="1:1">
      <c r="A959" t="s">
        <v>298</v>
      </c>
    </row>
    <row r="960" spans="1:1">
      <c r="A960" t="s">
        <v>3813</v>
      </c>
    </row>
    <row r="961" spans="1:1">
      <c r="A961" t="s">
        <v>1603</v>
      </c>
    </row>
    <row r="962" spans="1:1">
      <c r="A962" t="s">
        <v>1764</v>
      </c>
    </row>
    <row r="963" spans="1:1">
      <c r="A963" t="s">
        <v>3814</v>
      </c>
    </row>
    <row r="964" spans="1:1">
      <c r="A964" t="s">
        <v>3815</v>
      </c>
    </row>
    <row r="965" spans="1:1">
      <c r="A965" t="s">
        <v>722</v>
      </c>
    </row>
    <row r="966" spans="1:1">
      <c r="A966" t="s">
        <v>134</v>
      </c>
    </row>
    <row r="967" spans="1:1">
      <c r="A967" t="s">
        <v>1569</v>
      </c>
    </row>
    <row r="968" spans="1:1">
      <c r="A968" t="s">
        <v>3816</v>
      </c>
    </row>
    <row r="969" spans="1:1">
      <c r="A969" t="s">
        <v>517</v>
      </c>
    </row>
    <row r="970" spans="1:1">
      <c r="A970" t="s">
        <v>304</v>
      </c>
    </row>
    <row r="971" spans="1:1">
      <c r="A971" t="s">
        <v>3817</v>
      </c>
    </row>
    <row r="972" spans="1:1">
      <c r="A972" t="s">
        <v>3818</v>
      </c>
    </row>
    <row r="973" spans="1:1">
      <c r="A973" t="s">
        <v>3819</v>
      </c>
    </row>
    <row r="974" spans="1:1">
      <c r="A974" t="s">
        <v>3820</v>
      </c>
    </row>
    <row r="975" spans="1:1">
      <c r="A975" t="s">
        <v>3821</v>
      </c>
    </row>
    <row r="976" spans="1:1">
      <c r="A976" t="s">
        <v>435</v>
      </c>
    </row>
    <row r="977" spans="1:1">
      <c r="A977" t="s">
        <v>279</v>
      </c>
    </row>
    <row r="978" spans="1:1">
      <c r="A978" t="s">
        <v>135</v>
      </c>
    </row>
    <row r="979" spans="1:1">
      <c r="A979" t="s">
        <v>180</v>
      </c>
    </row>
    <row r="980" spans="1:1">
      <c r="A980" t="s">
        <v>3822</v>
      </c>
    </row>
    <row r="981" spans="1:1">
      <c r="A981" t="s">
        <v>363</v>
      </c>
    </row>
    <row r="982" spans="1:1">
      <c r="A982" t="s">
        <v>376</v>
      </c>
    </row>
    <row r="983" spans="1:1">
      <c r="A983" t="s">
        <v>283</v>
      </c>
    </row>
    <row r="984" spans="1:1">
      <c r="A984" t="s">
        <v>3823</v>
      </c>
    </row>
    <row r="985" spans="1:1">
      <c r="A985" t="s">
        <v>3824</v>
      </c>
    </row>
    <row r="986" spans="1:1">
      <c r="A986" t="s">
        <v>3825</v>
      </c>
    </row>
    <row r="987" spans="1:1">
      <c r="A987" t="s">
        <v>3826</v>
      </c>
    </row>
    <row r="988" spans="1:1">
      <c r="A988" t="s">
        <v>3827</v>
      </c>
    </row>
    <row r="989" spans="1:1">
      <c r="A989" t="s">
        <v>1647</v>
      </c>
    </row>
    <row r="990" spans="1:1">
      <c r="A990" t="s">
        <v>3828</v>
      </c>
    </row>
    <row r="991" spans="1:1">
      <c r="A991" t="s">
        <v>1</v>
      </c>
    </row>
    <row r="992" spans="1:1">
      <c r="A992" t="s">
        <v>3829</v>
      </c>
    </row>
    <row r="993" spans="1:1">
      <c r="A993" t="s">
        <v>300</v>
      </c>
    </row>
    <row r="994" spans="1:1">
      <c r="A994" t="s">
        <v>3830</v>
      </c>
    </row>
    <row r="995" spans="1:1">
      <c r="A995" t="s">
        <v>3831</v>
      </c>
    </row>
    <row r="996" spans="1:1">
      <c r="A996" t="s">
        <v>510</v>
      </c>
    </row>
    <row r="997" spans="1:1">
      <c r="A997" t="s">
        <v>3832</v>
      </c>
    </row>
    <row r="998" spans="1:1">
      <c r="A998" t="s">
        <v>3833</v>
      </c>
    </row>
    <row r="999" spans="1:1">
      <c r="A999" t="s">
        <v>3834</v>
      </c>
    </row>
    <row r="1000" spans="1:1">
      <c r="A1000" t="s">
        <v>3835</v>
      </c>
    </row>
    <row r="1001" spans="1:1">
      <c r="A1001" t="s">
        <v>370</v>
      </c>
    </row>
    <row r="1002" spans="1:1">
      <c r="A1002" t="s">
        <v>3836</v>
      </c>
    </row>
    <row r="1003" spans="1:1">
      <c r="A1003" t="s">
        <v>3837</v>
      </c>
    </row>
    <row r="1004" spans="1:1">
      <c r="A1004" t="s">
        <v>3838</v>
      </c>
    </row>
    <row r="1005" spans="1:1">
      <c r="A1005" t="s">
        <v>3839</v>
      </c>
    </row>
    <row r="1006" spans="1:1">
      <c r="A1006" t="s">
        <v>1652</v>
      </c>
    </row>
    <row r="1007" spans="1:1">
      <c r="A1007" t="s">
        <v>1877</v>
      </c>
    </row>
    <row r="1008" spans="1:1">
      <c r="A1008" t="s">
        <v>3840</v>
      </c>
    </row>
    <row r="1009" spans="1:1">
      <c r="A1009" t="s">
        <v>3841</v>
      </c>
    </row>
    <row r="1010" spans="1:1">
      <c r="A1010" t="s">
        <v>3842</v>
      </c>
    </row>
    <row r="1011" spans="1:1">
      <c r="A1011" t="s">
        <v>410</v>
      </c>
    </row>
    <row r="1012" spans="1:1">
      <c r="A1012" t="s">
        <v>3843</v>
      </c>
    </row>
    <row r="1013" spans="1:1">
      <c r="A1013" t="s">
        <v>3844</v>
      </c>
    </row>
    <row r="1014" spans="1:1">
      <c r="A1014" t="s">
        <v>3845</v>
      </c>
    </row>
    <row r="1015" spans="1:1">
      <c r="A1015" t="s">
        <v>3846</v>
      </c>
    </row>
    <row r="1016" spans="1:1">
      <c r="A1016" t="s">
        <v>3847</v>
      </c>
    </row>
    <row r="1017" spans="1:1">
      <c r="A1017" t="s">
        <v>365</v>
      </c>
    </row>
    <row r="1018" spans="1:1">
      <c r="A1018" t="s">
        <v>218</v>
      </c>
    </row>
    <row r="1019" spans="1:1">
      <c r="A1019" t="s">
        <v>3848</v>
      </c>
    </row>
    <row r="1020" spans="1:1">
      <c r="A1020" t="s">
        <v>3849</v>
      </c>
    </row>
    <row r="1021" spans="1:1">
      <c r="A1021" t="s">
        <v>3850</v>
      </c>
    </row>
    <row r="1022" spans="1:1">
      <c r="A1022" t="s">
        <v>1821</v>
      </c>
    </row>
    <row r="1023" spans="1:1">
      <c r="A1023" t="s">
        <v>24</v>
      </c>
    </row>
    <row r="1024" spans="1:1">
      <c r="A1024" t="s">
        <v>3851</v>
      </c>
    </row>
    <row r="1025" spans="1:1">
      <c r="A1025" t="s">
        <v>3852</v>
      </c>
    </row>
    <row r="1026" spans="1:1">
      <c r="A1026" t="s">
        <v>3853</v>
      </c>
    </row>
    <row r="1027" spans="1:1">
      <c r="A1027" t="s">
        <v>3854</v>
      </c>
    </row>
    <row r="1028" spans="1:1">
      <c r="A1028" t="s">
        <v>3855</v>
      </c>
    </row>
    <row r="1029" spans="1:1">
      <c r="A1029" t="s">
        <v>3856</v>
      </c>
    </row>
    <row r="1030" spans="1:1">
      <c r="A1030" t="s">
        <v>3857</v>
      </c>
    </row>
    <row r="1031" spans="1:1">
      <c r="A1031" t="s">
        <v>3858</v>
      </c>
    </row>
    <row r="1032" spans="1:1">
      <c r="A1032" t="s">
        <v>3859</v>
      </c>
    </row>
    <row r="1033" spans="1:1">
      <c r="A1033" t="s">
        <v>3860</v>
      </c>
    </row>
    <row r="1034" spans="1:1">
      <c r="A1034" t="s">
        <v>51</v>
      </c>
    </row>
    <row r="1035" spans="1:1">
      <c r="A1035" t="s">
        <v>3861</v>
      </c>
    </row>
    <row r="1036" spans="1:1">
      <c r="A1036" t="s">
        <v>3862</v>
      </c>
    </row>
    <row r="1037" spans="1:1">
      <c r="A1037" t="s">
        <v>3863</v>
      </c>
    </row>
    <row r="1038" spans="1:1">
      <c r="A1038" t="s">
        <v>3864</v>
      </c>
    </row>
    <row r="1039" spans="1:1">
      <c r="A1039" t="s">
        <v>3865</v>
      </c>
    </row>
    <row r="1040" spans="1:1">
      <c r="A1040" t="s">
        <v>3866</v>
      </c>
    </row>
    <row r="1041" spans="1:1">
      <c r="A1041" t="s">
        <v>3867</v>
      </c>
    </row>
    <row r="1042" spans="1:1">
      <c r="A1042" t="s">
        <v>3868</v>
      </c>
    </row>
    <row r="1043" spans="1:1">
      <c r="A1043" t="s">
        <v>3869</v>
      </c>
    </row>
    <row r="1044" spans="1:1">
      <c r="A1044" t="s">
        <v>3870</v>
      </c>
    </row>
    <row r="1045" spans="1:1">
      <c r="A1045" t="s">
        <v>169</v>
      </c>
    </row>
    <row r="1046" spans="1:1">
      <c r="A1046" t="s">
        <v>3871</v>
      </c>
    </row>
    <row r="1047" spans="1:1">
      <c r="A1047" t="s">
        <v>3872</v>
      </c>
    </row>
    <row r="1048" spans="1:1">
      <c r="A1048" t="s">
        <v>3873</v>
      </c>
    </row>
    <row r="1049" spans="1:1">
      <c r="A1049" t="s">
        <v>299</v>
      </c>
    </row>
    <row r="1050" spans="1:1">
      <c r="A1050" t="s">
        <v>3874</v>
      </c>
    </row>
    <row r="1051" spans="1:1">
      <c r="A1051" t="s">
        <v>217</v>
      </c>
    </row>
    <row r="1052" spans="1:1">
      <c r="A1052" t="s">
        <v>256</v>
      </c>
    </row>
    <row r="1053" spans="1:1">
      <c r="A1053" t="s">
        <v>3875</v>
      </c>
    </row>
    <row r="1054" spans="1:1">
      <c r="A1054" t="s">
        <v>351</v>
      </c>
    </row>
    <row r="1055" spans="1:1">
      <c r="A1055" t="s">
        <v>198</v>
      </c>
    </row>
    <row r="1056" spans="1:1">
      <c r="A1056" t="s">
        <v>3876</v>
      </c>
    </row>
    <row r="1057" spans="1:1">
      <c r="A1057" t="s">
        <v>425</v>
      </c>
    </row>
    <row r="1058" spans="1:1">
      <c r="A1058" t="s">
        <v>31</v>
      </c>
    </row>
    <row r="1059" spans="1:1">
      <c r="A1059" t="s">
        <v>3877</v>
      </c>
    </row>
    <row r="1060" spans="1:1">
      <c r="A1060" t="s">
        <v>3878</v>
      </c>
    </row>
    <row r="1061" spans="1:1">
      <c r="A1061" t="s">
        <v>386</v>
      </c>
    </row>
    <row r="1062" spans="1:1">
      <c r="A1062" t="s">
        <v>3879</v>
      </c>
    </row>
    <row r="1063" spans="1:1">
      <c r="A1063" t="s">
        <v>3880</v>
      </c>
    </row>
    <row r="1064" spans="1:1">
      <c r="A1064" t="s">
        <v>3881</v>
      </c>
    </row>
    <row r="1065" spans="1:1">
      <c r="A1065" t="s">
        <v>3882</v>
      </c>
    </row>
    <row r="1066" spans="1:1">
      <c r="A1066" t="s">
        <v>315</v>
      </c>
    </row>
    <row r="1067" spans="1:1">
      <c r="A1067" t="s">
        <v>3883</v>
      </c>
    </row>
    <row r="1068" spans="1:1">
      <c r="A1068" t="s">
        <v>3884</v>
      </c>
    </row>
    <row r="1069" spans="1:1">
      <c r="A1069" t="s">
        <v>3885</v>
      </c>
    </row>
    <row r="1070" spans="1:1">
      <c r="A1070" t="s">
        <v>472</v>
      </c>
    </row>
    <row r="1071" spans="1:1">
      <c r="A1071" t="s">
        <v>3886</v>
      </c>
    </row>
    <row r="1072" spans="1:1">
      <c r="A1072" t="s">
        <v>290</v>
      </c>
    </row>
    <row r="1073" spans="1:1">
      <c r="A1073" t="s">
        <v>1684</v>
      </c>
    </row>
    <row r="1074" spans="1:1">
      <c r="A1074" t="s">
        <v>119</v>
      </c>
    </row>
    <row r="1075" spans="1:1">
      <c r="A1075" t="s">
        <v>3887</v>
      </c>
    </row>
    <row r="1076" spans="1:1">
      <c r="A1076" t="s">
        <v>3888</v>
      </c>
    </row>
    <row r="1077" spans="1:1">
      <c r="A1077" t="s">
        <v>3889</v>
      </c>
    </row>
    <row r="1078" spans="1:1">
      <c r="A1078" t="s">
        <v>3890</v>
      </c>
    </row>
    <row r="1079" spans="1:1">
      <c r="A1079" t="s">
        <v>3891</v>
      </c>
    </row>
    <row r="1080" spans="1:1">
      <c r="A1080" t="s">
        <v>3892</v>
      </c>
    </row>
    <row r="1081" spans="1:1">
      <c r="A1081" t="s">
        <v>3893</v>
      </c>
    </row>
    <row r="1082" spans="1:1">
      <c r="A1082" t="s">
        <v>462</v>
      </c>
    </row>
    <row r="1083" spans="1:1">
      <c r="A1083" t="s">
        <v>192</v>
      </c>
    </row>
    <row r="1084" spans="1:1">
      <c r="A1084" t="s">
        <v>424</v>
      </c>
    </row>
    <row r="1085" spans="1:1">
      <c r="A1085" t="s">
        <v>3894</v>
      </c>
    </row>
    <row r="1086" spans="1:1">
      <c r="A1086" t="s">
        <v>3895</v>
      </c>
    </row>
    <row r="1087" spans="1:1">
      <c r="A1087" t="s">
        <v>3896</v>
      </c>
    </row>
    <row r="1088" spans="1:1">
      <c r="A1088" t="s">
        <v>1664</v>
      </c>
    </row>
    <row r="1089" spans="1:1">
      <c r="A1089" t="s">
        <v>170</v>
      </c>
    </row>
    <row r="1090" spans="1:1">
      <c r="A1090" t="s">
        <v>3897</v>
      </c>
    </row>
    <row r="1091" spans="1:1">
      <c r="A1091" t="s">
        <v>231</v>
      </c>
    </row>
    <row r="1092" spans="1:1">
      <c r="A1092" t="s">
        <v>3898</v>
      </c>
    </row>
    <row r="1093" spans="1:1">
      <c r="A1093" t="s">
        <v>3899</v>
      </c>
    </row>
    <row r="1094" spans="1:1">
      <c r="A1094" t="s">
        <v>519</v>
      </c>
    </row>
    <row r="1095" spans="1:1">
      <c r="A1095" t="s">
        <v>3900</v>
      </c>
    </row>
    <row r="1096" spans="1:1">
      <c r="A1096" t="s">
        <v>3901</v>
      </c>
    </row>
    <row r="1097" spans="1:1">
      <c r="A1097" t="s">
        <v>1616</v>
      </c>
    </row>
    <row r="1098" spans="1:1">
      <c r="A1098" t="s">
        <v>302</v>
      </c>
    </row>
    <row r="1099" spans="1:1">
      <c r="A1099" t="s">
        <v>183</v>
      </c>
    </row>
    <row r="1100" spans="1:1">
      <c r="A1100" t="s">
        <v>3902</v>
      </c>
    </row>
    <row r="1101" spans="1:1">
      <c r="A1101" t="s">
        <v>3903</v>
      </c>
    </row>
    <row r="1102" spans="1:1">
      <c r="A1102" t="s">
        <v>1582</v>
      </c>
    </row>
    <row r="1103" spans="1:1">
      <c r="A1103" t="s">
        <v>3904</v>
      </c>
    </row>
    <row r="1104" spans="1:1">
      <c r="A1104" t="s">
        <v>3905</v>
      </c>
    </row>
    <row r="1105" spans="1:1">
      <c r="A1105" t="s">
        <v>3906</v>
      </c>
    </row>
    <row r="1106" spans="1:1">
      <c r="A1106" t="s">
        <v>3907</v>
      </c>
    </row>
    <row r="1107" spans="1:1">
      <c r="A1107" t="s">
        <v>3908</v>
      </c>
    </row>
    <row r="1108" spans="1:1">
      <c r="A1108" t="s">
        <v>3909</v>
      </c>
    </row>
    <row r="1109" spans="1:1">
      <c r="A1109" t="s">
        <v>3910</v>
      </c>
    </row>
    <row r="1110" spans="1:1">
      <c r="A1110" t="s">
        <v>3911</v>
      </c>
    </row>
    <row r="1111" spans="1:1">
      <c r="A1111" t="s">
        <v>3912</v>
      </c>
    </row>
    <row r="1112" spans="1:1">
      <c r="A1112" t="s">
        <v>3913</v>
      </c>
    </row>
    <row r="1113" spans="1:1">
      <c r="A1113" t="s">
        <v>3914</v>
      </c>
    </row>
    <row r="1114" spans="1:1">
      <c r="A1114" t="s">
        <v>3915</v>
      </c>
    </row>
    <row r="1115" spans="1:1">
      <c r="A1115" t="s">
        <v>3916</v>
      </c>
    </row>
    <row r="1116" spans="1:1">
      <c r="A1116" t="s">
        <v>3917</v>
      </c>
    </row>
    <row r="1117" spans="1:1">
      <c r="A1117" t="s">
        <v>1676</v>
      </c>
    </row>
    <row r="1118" spans="1:1">
      <c r="A1118" t="s">
        <v>442</v>
      </c>
    </row>
    <row r="1119" spans="1:1">
      <c r="A1119" t="s">
        <v>371</v>
      </c>
    </row>
    <row r="1120" spans="1:1">
      <c r="A1120" t="s">
        <v>383</v>
      </c>
    </row>
    <row r="1121" spans="1:1">
      <c r="A1121" t="s">
        <v>3918</v>
      </c>
    </row>
    <row r="1122" spans="1:1">
      <c r="A1122" t="s">
        <v>1574</v>
      </c>
    </row>
    <row r="1123" spans="1:1">
      <c r="A1123" t="s">
        <v>10</v>
      </c>
    </row>
    <row r="1124" spans="1:1">
      <c r="A1124" t="s">
        <v>3919</v>
      </c>
    </row>
    <row r="1125" spans="1:1">
      <c r="A1125" t="s">
        <v>3920</v>
      </c>
    </row>
    <row r="1126" spans="1:1">
      <c r="A1126" t="s">
        <v>1561</v>
      </c>
    </row>
    <row r="1127" spans="1:1">
      <c r="A1127" t="s">
        <v>3921</v>
      </c>
    </row>
    <row r="1128" spans="1:1">
      <c r="A1128" t="s">
        <v>3922</v>
      </c>
    </row>
    <row r="1129" spans="1:1">
      <c r="A1129" t="s">
        <v>1548</v>
      </c>
    </row>
    <row r="1130" spans="1:1">
      <c r="A1130" t="s">
        <v>3923</v>
      </c>
    </row>
    <row r="1131" spans="1:1">
      <c r="A1131" t="s">
        <v>131</v>
      </c>
    </row>
    <row r="1132" spans="1:1">
      <c r="A1132" t="s">
        <v>3924</v>
      </c>
    </row>
    <row r="1133" spans="1:1">
      <c r="A1133" t="s">
        <v>3925</v>
      </c>
    </row>
    <row r="1134" spans="1:1">
      <c r="A1134" t="s">
        <v>3926</v>
      </c>
    </row>
    <row r="1135" spans="1:1">
      <c r="A1135" t="s">
        <v>3927</v>
      </c>
    </row>
    <row r="1136" spans="1:1">
      <c r="A1136" t="s">
        <v>149</v>
      </c>
    </row>
    <row r="1137" spans="1:1">
      <c r="A1137" t="s">
        <v>3928</v>
      </c>
    </row>
    <row r="1138" spans="1:1">
      <c r="A1138" t="s">
        <v>3929</v>
      </c>
    </row>
    <row r="1139" spans="1:1">
      <c r="A1139" t="s">
        <v>3</v>
      </c>
    </row>
    <row r="1140" spans="1:1">
      <c r="A1140" t="s">
        <v>3930</v>
      </c>
    </row>
    <row r="1141" spans="1:1">
      <c r="A1141" t="s">
        <v>286</v>
      </c>
    </row>
    <row r="1142" spans="1:1">
      <c r="A1142" t="s">
        <v>3931</v>
      </c>
    </row>
    <row r="1143" spans="1:1">
      <c r="A1143" t="s">
        <v>3932</v>
      </c>
    </row>
    <row r="1144" spans="1:1">
      <c r="A1144" t="s">
        <v>3933</v>
      </c>
    </row>
    <row r="1145" spans="1:1">
      <c r="A1145" t="s">
        <v>3934</v>
      </c>
    </row>
    <row r="1146" spans="1:1">
      <c r="A1146" t="s">
        <v>1524</v>
      </c>
    </row>
    <row r="1147" spans="1:1">
      <c r="A1147" t="s">
        <v>3935</v>
      </c>
    </row>
    <row r="1148" spans="1:1">
      <c r="A1148" t="s">
        <v>3936</v>
      </c>
    </row>
    <row r="1149" spans="1:1">
      <c r="A1149" t="s">
        <v>3937</v>
      </c>
    </row>
    <row r="1150" spans="1:1">
      <c r="A1150" t="s">
        <v>539</v>
      </c>
    </row>
    <row r="1151" spans="1:1">
      <c r="A1151" t="s">
        <v>3938</v>
      </c>
    </row>
    <row r="1152" spans="1:1">
      <c r="A1152" t="s">
        <v>3939</v>
      </c>
    </row>
    <row r="1153" spans="1:1">
      <c r="A1153" t="s">
        <v>3940</v>
      </c>
    </row>
    <row r="1154" spans="1:1">
      <c r="A1154" t="s">
        <v>3941</v>
      </c>
    </row>
    <row r="1155" spans="1:1">
      <c r="A1155" t="s">
        <v>3942</v>
      </c>
    </row>
    <row r="1156" spans="1:1">
      <c r="A1156" t="s">
        <v>3943</v>
      </c>
    </row>
    <row r="1157" spans="1:1">
      <c r="A1157" t="s">
        <v>3944</v>
      </c>
    </row>
    <row r="1158" spans="1:1">
      <c r="A1158" t="s">
        <v>1860</v>
      </c>
    </row>
    <row r="1159" spans="1:1">
      <c r="A1159" t="s">
        <v>3945</v>
      </c>
    </row>
    <row r="1160" spans="1:1">
      <c r="A1160" t="s">
        <v>1578</v>
      </c>
    </row>
    <row r="1161" spans="1:1">
      <c r="A1161" t="s">
        <v>1715</v>
      </c>
    </row>
    <row r="1162" spans="1:1">
      <c r="A1162" t="s">
        <v>3946</v>
      </c>
    </row>
    <row r="1163" spans="1:1">
      <c r="A1163" t="s">
        <v>96</v>
      </c>
    </row>
    <row r="1164" spans="1:1">
      <c r="A1164" t="s">
        <v>3947</v>
      </c>
    </row>
    <row r="1165" spans="1:1">
      <c r="A1165" t="s">
        <v>3948</v>
      </c>
    </row>
    <row r="1166" spans="1:1">
      <c r="A1166" t="s">
        <v>19</v>
      </c>
    </row>
    <row r="1167" spans="1:1">
      <c r="A1167" t="s">
        <v>3949</v>
      </c>
    </row>
    <row r="1168" spans="1:1">
      <c r="A1168" t="s">
        <v>751</v>
      </c>
    </row>
    <row r="1169" spans="1:1">
      <c r="A1169" t="s">
        <v>3950</v>
      </c>
    </row>
    <row r="1170" spans="1:1">
      <c r="A1170" t="s">
        <v>3951</v>
      </c>
    </row>
    <row r="1171" spans="1:1">
      <c r="A1171" t="s">
        <v>3952</v>
      </c>
    </row>
    <row r="1172" spans="1:1">
      <c r="A1172" t="s">
        <v>3953</v>
      </c>
    </row>
    <row r="1173" spans="1:1">
      <c r="A1173" t="s">
        <v>453</v>
      </c>
    </row>
    <row r="1174" spans="1:1">
      <c r="A1174" t="s">
        <v>3954</v>
      </c>
    </row>
    <row r="1175" spans="1:1">
      <c r="A1175" t="s">
        <v>82</v>
      </c>
    </row>
    <row r="1176" spans="1:1">
      <c r="A1176" t="s">
        <v>1825</v>
      </c>
    </row>
    <row r="1177" spans="1:1">
      <c r="A1177" t="s">
        <v>3955</v>
      </c>
    </row>
    <row r="1178" spans="1:1">
      <c r="A1178" t="s">
        <v>3956</v>
      </c>
    </row>
    <row r="1179" spans="1:1">
      <c r="A1179" t="s">
        <v>78</v>
      </c>
    </row>
    <row r="1180" spans="1:1">
      <c r="A1180" t="s">
        <v>3957</v>
      </c>
    </row>
    <row r="1181" spans="1:1">
      <c r="A1181" t="s">
        <v>3958</v>
      </c>
    </row>
    <row r="1182" spans="1:1">
      <c r="A1182" t="s">
        <v>3959</v>
      </c>
    </row>
    <row r="1183" spans="1:1">
      <c r="A1183" t="s">
        <v>3960</v>
      </c>
    </row>
    <row r="1184" spans="1:1">
      <c r="A1184" t="s">
        <v>3961</v>
      </c>
    </row>
    <row r="1185" spans="1:1">
      <c r="A1185" t="s">
        <v>3962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84"/>
  <sheetViews>
    <sheetView topLeftCell="A49" zoomScale="87" zoomScaleNormal="130" workbookViewId="0">
      <selection activeCell="B29" sqref="B29"/>
    </sheetView>
  </sheetViews>
  <sheetFormatPr defaultRowHeight="14"/>
  <cols>
    <col min="1" max="1" width="52.75" customWidth="1"/>
    <col min="2" max="2" width="103.6640625" bestFit="1" customWidth="1"/>
    <col min="3" max="3" width="71.5" customWidth="1"/>
  </cols>
  <sheetData>
    <row r="1" spans="1:3">
      <c r="A1" t="s">
        <v>3241</v>
      </c>
      <c r="B1" t="s">
        <v>1507</v>
      </c>
      <c r="C1" t="s">
        <v>0</v>
      </c>
    </row>
    <row r="2" spans="1:3">
      <c r="A2" t="s">
        <v>4275</v>
      </c>
      <c r="B2" t="s">
        <v>4143</v>
      </c>
      <c r="C2" t="str">
        <f>_xlfn.XLOOKUP(B2,AFG_Input_Alvin!D:D,AFG_Input_Alvin!E:E)</f>
        <v>HANDE CHEN</v>
      </c>
    </row>
    <row r="3" spans="1:3">
      <c r="A3" s="365" t="s">
        <v>4144</v>
      </c>
      <c r="B3" t="s">
        <v>1508</v>
      </c>
      <c r="C3" t="str">
        <f>_xlfn.XLOOKUP(B3,AFG_Input_Alvin!D:D,AFG_Input_Alvin!E:E)</f>
        <v>TONG HO RESTAURANT LIMITED~Test 1</v>
      </c>
    </row>
    <row r="4" spans="1:3">
      <c r="A4" t="s">
        <v>4130</v>
      </c>
      <c r="B4" t="s">
        <v>4147</v>
      </c>
      <c r="C4" t="str">
        <f>_xlfn.XLOOKUP(B4,AFG_Input_Alvin!D:D,AFG_Input_Alvin!E:E)</f>
        <v>74765840-000-01-24-5</v>
      </c>
    </row>
    <row r="5" spans="1:3">
      <c r="A5" t="s">
        <v>4146</v>
      </c>
      <c r="B5" t="s">
        <v>4148</v>
      </c>
      <c r="C5" t="str">
        <f>_xlfn.XLOOKUP(B5,AFG_Input_Alvin!D:D,AFG_Input_Alvin!E:E)</f>
        <v>Fast Food Restaurants</v>
      </c>
    </row>
    <row r="6" spans="1:3">
      <c r="A6" t="s">
        <v>4131</v>
      </c>
      <c r="B6" t="s">
        <v>4277</v>
      </c>
      <c r="C6" t="str">
        <f>_xlfn.XLOOKUP(B6,AFG_Input_Alvin!D:D,AFG_Input_Alvin!E:E)</f>
        <v>kailam0126@hotmail.com</v>
      </c>
    </row>
    <row r="7" spans="1:3">
      <c r="A7" t="s">
        <v>4132</v>
      </c>
      <c r="B7" t="s">
        <v>4278</v>
      </c>
      <c r="C7" t="str">
        <f>_xlfn.XLOOKUP(B7,AFG_Input_Alvin!D:D,AFG_Input_Alvin!E:E)</f>
        <v>5401 9126</v>
      </c>
    </row>
    <row r="8" spans="1:3">
      <c r="A8" t="s">
        <v>4145</v>
      </c>
      <c r="B8" t="s">
        <v>4150</v>
      </c>
      <c r="C8" t="str">
        <f>_xlfn.XLOOKUP(B8,AFG_Input_Alvin!D:D,AFG_Input_Alvin!E:E)</f>
        <v>S8A G/F BAUHINIA GARDEN 11 TONG CHUN ST Tseung Kwan O New Territories</v>
      </c>
    </row>
    <row r="9" spans="1:3">
      <c r="A9" t="s">
        <v>4133</v>
      </c>
      <c r="B9" t="s">
        <v>4150</v>
      </c>
      <c r="C9" t="str">
        <f>_xlfn.XLOOKUP(B9,AFG_Input_Alvin!D:D,AFG_Input_Alvin!E:E)</f>
        <v>S8A G/F BAUHINIA GARDEN 11 TONG CHUN ST Tseung Kwan O New Territories</v>
      </c>
    </row>
    <row r="10" spans="1:3">
      <c r="A10" t="s">
        <v>4134</v>
      </c>
      <c r="B10" t="s">
        <v>4143</v>
      </c>
      <c r="C10" t="str">
        <f>_xlfn.XLOOKUP(B10,AFG_Input_Alvin!D:D,AFG_Input_Alvin!E:E)</f>
        <v>HANDE CHEN</v>
      </c>
    </row>
    <row r="11" spans="1:3">
      <c r="A11" t="s">
        <v>4135</v>
      </c>
      <c r="B11" t="s">
        <v>4152</v>
      </c>
      <c r="C11" t="str">
        <f>_xlfn.XLOOKUP(B11,AFG_Input_Alvin!D:D,AFG_Input_Alvin!E:E)</f>
        <v>Sole Proprietor</v>
      </c>
    </row>
    <row r="12" spans="1:3">
      <c r="A12" t="s">
        <v>4136</v>
      </c>
      <c r="B12" t="s">
        <v>4153</v>
      </c>
      <c r="C12" t="str">
        <f>_xlfn.XLOOKUP(B12,AFG_Input_Alvin!D:D,AFG_Input_Alvin!E:E)</f>
        <v>5401 9126</v>
      </c>
    </row>
    <row r="13" spans="1:3">
      <c r="A13" t="s">
        <v>4137</v>
      </c>
      <c r="B13" t="s">
        <v>4154</v>
      </c>
      <c r="C13" t="str">
        <f>_xlfn.XLOOKUP(B13,AFG_Input_Alvin!D:D,AFG_Input_Alvin!E:E)</f>
        <v>kailam0126@hotmail.com</v>
      </c>
    </row>
    <row r="14" spans="1:3">
      <c r="A14" t="s">
        <v>4138</v>
      </c>
      <c r="B14" t="s">
        <v>4151</v>
      </c>
      <c r="C14" t="str">
        <f>_xlfn.XLOOKUP(B14,AFG_Input_Alvin!D:D,AFG_Input_Alvin!E:E)</f>
        <v>HANDE CHEN</v>
      </c>
    </row>
    <row r="15" spans="1:3">
      <c r="A15" t="s">
        <v>4139</v>
      </c>
      <c r="B15" t="s">
        <v>4155</v>
      </c>
      <c r="C15" t="str">
        <f>_xlfn.XLOOKUP(B15,AFG_Input_Alvin!D:D,AFG_Input_Alvin!E:E)</f>
        <v>Director</v>
      </c>
    </row>
    <row r="16" spans="1:3">
      <c r="A16" t="s">
        <v>4140</v>
      </c>
      <c r="B16" t="s">
        <v>4156</v>
      </c>
      <c r="C16" t="str">
        <f>_xlfn.XLOOKUP(B16,AFG_Input_Alvin!D:D,AFG_Input_Alvin!E:E)</f>
        <v>5401 9126</v>
      </c>
    </row>
    <row r="17" spans="1:3">
      <c r="A17" t="s">
        <v>4141</v>
      </c>
      <c r="B17" t="s">
        <v>4157</v>
      </c>
      <c r="C17" t="str">
        <f>_xlfn.XLOOKUP(B17,AFG_Input_Alvin!D:D,AFG_Input_Alvin!E:E)</f>
        <v>kailam0126@hotmail.com</v>
      </c>
    </row>
    <row r="18" spans="1:3">
      <c r="A18" t="s">
        <v>4159</v>
      </c>
      <c r="B18" s="374" t="s">
        <v>4279</v>
      </c>
      <c r="C18" t="str">
        <f>_xlfn.XLOOKUP(B18,AFG_Input_Alvin!D:D,AFG_Input_Alvin!E:E)</f>
        <v xml:space="preserve"> </v>
      </c>
    </row>
    <row r="19" spans="1:3">
      <c r="A19" t="s">
        <v>4158</v>
      </c>
      <c r="B19" s="374" t="s">
        <v>4276</v>
      </c>
      <c r="C19" t="str">
        <f>_xlfn.XLOOKUP(B19,AFG_Input_Alvin!D:D,AFG_Input_Alvin!E:E)</f>
        <v xml:space="preserve"> </v>
      </c>
    </row>
    <row r="20" spans="1:3">
      <c r="A20" t="s">
        <v>4196</v>
      </c>
      <c r="B20" t="s">
        <v>4197</v>
      </c>
      <c r="C20">
        <f>_xlfn.XLOOKUP(B20,AFG_Input_Alvin!D:D,AFG_Input_Alvin!E:E)</f>
        <v>1</v>
      </c>
    </row>
    <row r="21" spans="1:3">
      <c r="A21" t="s">
        <v>4167</v>
      </c>
      <c r="B21" t="s">
        <v>4198</v>
      </c>
      <c r="C21" s="376">
        <f>_xlfn.XLOOKUP(B21,AFG_Input_Alvin!D:D,AFG_Input_Alvin!E:E)</f>
        <v>45555</v>
      </c>
    </row>
    <row r="22" spans="1:3">
      <c r="A22" t="s">
        <v>4168</v>
      </c>
      <c r="B22" t="s">
        <v>4199</v>
      </c>
      <c r="C22" t="str">
        <f>_xlfn.XLOOKUP(B22,AFG_Input_Alvin!D:D,AFG_Input_Alvin!E:E)</f>
        <v>X</v>
      </c>
    </row>
    <row r="23" spans="1:3">
      <c r="A23" t="s">
        <v>4169</v>
      </c>
      <c r="B23" t="s">
        <v>4200</v>
      </c>
      <c r="C23" t="str">
        <f>_xlfn.XLOOKUP(B23,AFG_Input_Alvin!D:D,AFG_Input_Alvin!E:E)</f>
        <v xml:space="preserve"> </v>
      </c>
    </row>
    <row r="24" spans="1:3">
      <c r="A24" t="s">
        <v>4170</v>
      </c>
      <c r="B24" t="s">
        <v>4205</v>
      </c>
      <c r="C24" t="str">
        <f>_xlfn.XLOOKUP(B24,AFG_Input_Alvin!D:D,AFG_Input_Alvin!E:E)</f>
        <v xml:space="preserve"> </v>
      </c>
    </row>
    <row r="25" spans="1:3">
      <c r="A25" t="s">
        <v>4171</v>
      </c>
      <c r="B25" t="s">
        <v>4204</v>
      </c>
      <c r="C25" t="str">
        <f>_xlfn.XLOOKUP(B25,AFG_Input_Alvin!D:D,AFG_Input_Alvin!E:E)</f>
        <v xml:space="preserve"> </v>
      </c>
    </row>
    <row r="26" spans="1:3">
      <c r="A26" t="s">
        <v>4172</v>
      </c>
      <c r="B26" t="s">
        <v>4203</v>
      </c>
      <c r="C26" t="str">
        <f>_xlfn.XLOOKUP(B26,AFG_Input_Alvin!D:D,AFG_Input_Alvin!E:E)</f>
        <v xml:space="preserve"> </v>
      </c>
    </row>
    <row r="27" spans="1:3">
      <c r="A27" t="s">
        <v>4173</v>
      </c>
      <c r="B27" t="s">
        <v>4201</v>
      </c>
      <c r="C27" t="str">
        <f>_xlfn.XLOOKUP(B27,AFG_Input_Alvin!D:D,AFG_Input_Alvin!E:E)</f>
        <v>X</v>
      </c>
    </row>
    <row r="28" spans="1:3">
      <c r="A28" t="s">
        <v>4174</v>
      </c>
      <c r="B28" t="s">
        <v>4202</v>
      </c>
      <c r="C28" t="str">
        <f>_xlfn.XLOOKUP(B28,AFG_Input_Alvin!D:D,AFG_Input_Alvin!E:E)</f>
        <v>X</v>
      </c>
    </row>
    <row r="29" spans="1:3">
      <c r="A29" t="s">
        <v>4175</v>
      </c>
      <c r="B29" s="374" t="s">
        <v>4280</v>
      </c>
      <c r="C29" t="str">
        <f>_xlfn.XLOOKUP(B29,AFG_Input_Alvin!D:D,AFG_Input_Alvin!E:E)</f>
        <v xml:space="preserve"> </v>
      </c>
    </row>
    <row r="30" spans="1:3">
      <c r="A30" t="s">
        <v>4176</v>
      </c>
      <c r="B30" s="374" t="s">
        <v>4281</v>
      </c>
      <c r="C30" t="str">
        <f>_xlfn.XLOOKUP(B30,AFG_Input_Alvin!D:D,AFG_Input_Alvin!E:E)</f>
        <v xml:space="preserve"> </v>
      </c>
    </row>
    <row r="31" spans="1:3">
      <c r="A31" t="s">
        <v>4177</v>
      </c>
      <c r="B31" t="s">
        <v>4206</v>
      </c>
      <c r="C31" t="str">
        <f>_xlfn.XLOOKUP(B31,AFG_Input_Alvin!D:D,AFG_Input_Alvin!E:E)</f>
        <v xml:space="preserve"> </v>
      </c>
    </row>
    <row r="32" spans="1:3">
      <c r="A32" t="s">
        <v>4178</v>
      </c>
      <c r="B32" t="s">
        <v>4207</v>
      </c>
      <c r="C32" t="str">
        <f>_xlfn.XLOOKUP(B32,AFG_Input_Alvin!D:D,AFG_Input_Alvin!E:E)</f>
        <v>X</v>
      </c>
    </row>
    <row r="33" spans="1:3">
      <c r="A33" t="s">
        <v>4179</v>
      </c>
      <c r="B33" t="s">
        <v>4208</v>
      </c>
      <c r="C33" t="str">
        <f>_xlfn.XLOOKUP(B33,AFG_Input_Alvin!D:D,AFG_Input_Alvin!E:E)</f>
        <v xml:space="preserve"> </v>
      </c>
    </row>
    <row r="34" spans="1:3">
      <c r="A34" t="s">
        <v>4180</v>
      </c>
      <c r="B34" t="s">
        <v>4209</v>
      </c>
      <c r="C34" t="str">
        <f>_xlfn.XLOOKUP(B34,AFG_Input_Alvin!D:D,AFG_Input_Alvin!E:E)</f>
        <v xml:space="preserve"> </v>
      </c>
    </row>
    <row r="35" spans="1:3">
      <c r="A35" t="s">
        <v>4181</v>
      </c>
      <c r="B35" t="s">
        <v>4222</v>
      </c>
      <c r="C35" t="str">
        <f>_xlfn.XLOOKUP(B35,AFG_Input_Alvin!D:D,AFG_Input_Alvin!E:E)</f>
        <v xml:space="preserve"> </v>
      </c>
    </row>
    <row r="36" spans="1:3">
      <c r="A36" t="s">
        <v>4182</v>
      </c>
      <c r="B36" t="s">
        <v>4214</v>
      </c>
      <c r="C36" t="str">
        <f>_xlfn.XLOOKUP(B36,AFG_Input_Alvin!D:D,AFG_Input_Alvin!E:E)</f>
        <v xml:space="preserve"> </v>
      </c>
    </row>
    <row r="37" spans="1:3">
      <c r="A37" t="s">
        <v>4183</v>
      </c>
      <c r="B37" t="s">
        <v>4215</v>
      </c>
      <c r="C37" t="str">
        <f>_xlfn.XLOOKUP(B37,AFG_Input_Alvin!D:D,AFG_Input_Alvin!E:E)</f>
        <v xml:space="preserve"> </v>
      </c>
    </row>
    <row r="38" spans="1:3">
      <c r="A38" t="s">
        <v>4184</v>
      </c>
      <c r="B38" t="s">
        <v>4216</v>
      </c>
      <c r="C38" t="str">
        <f>_xlfn.XLOOKUP(B38,AFG_Input_Alvin!D:D,AFG_Input_Alvin!E:E)</f>
        <v>X</v>
      </c>
    </row>
    <row r="39" spans="1:3">
      <c r="A39" t="s">
        <v>4185</v>
      </c>
      <c r="B39" t="s">
        <v>4217</v>
      </c>
      <c r="C39" t="str">
        <f>_xlfn.XLOOKUP(B39,AFG_Input_Alvin!D:D,AFG_Input_Alvin!E:E)</f>
        <v xml:space="preserve"> </v>
      </c>
    </row>
    <row r="40" spans="1:3">
      <c r="A40" t="s">
        <v>4186</v>
      </c>
      <c r="B40" t="s">
        <v>4218</v>
      </c>
      <c r="C40" t="str">
        <f>_xlfn.XLOOKUP(B40,AFG_Input_Alvin!D:D,AFG_Input_Alvin!E:E)</f>
        <v>X</v>
      </c>
    </row>
    <row r="41" spans="1:3">
      <c r="A41" t="s">
        <v>4187</v>
      </c>
      <c r="B41" t="s">
        <v>4219</v>
      </c>
      <c r="C41" t="str">
        <f>_xlfn.XLOOKUP(B41,AFG_Input_Alvin!D:D,AFG_Input_Alvin!E:E)</f>
        <v xml:space="preserve"> </v>
      </c>
    </row>
    <row r="42" spans="1:3">
      <c r="A42" t="s">
        <v>4188</v>
      </c>
      <c r="B42" t="s">
        <v>4220</v>
      </c>
      <c r="C42" t="str">
        <f>_xlfn.XLOOKUP(B42,AFG_Input_Alvin!D:D,AFG_Input_Alvin!E:E)</f>
        <v xml:space="preserve"> </v>
      </c>
    </row>
    <row r="43" spans="1:3">
      <c r="A43" t="s">
        <v>4189</v>
      </c>
      <c r="B43" t="s">
        <v>4221</v>
      </c>
      <c r="C43" t="str">
        <f>_xlfn.XLOOKUP(B43,AFG_Input_Alvin!D:D,AFG_Input_Alvin!E:E)</f>
        <v xml:space="preserve"> </v>
      </c>
    </row>
    <row r="44" spans="1:3">
      <c r="A44" t="s">
        <v>4190</v>
      </c>
      <c r="B44" t="s">
        <v>4226</v>
      </c>
      <c r="C44" t="str">
        <f>_xlfn.XLOOKUP(B44,AFG_Input_Alvin!D:D,AFG_Input_Alvin!E:E)</f>
        <v/>
      </c>
    </row>
    <row r="45" spans="1:3">
      <c r="A45" t="s">
        <v>4191</v>
      </c>
      <c r="B45" t="s">
        <v>4227</v>
      </c>
      <c r="C45" t="str">
        <f>_xlfn.XLOOKUP(B45,AFG_Input_Alvin!D:D,AFG_Input_Alvin!E:E)</f>
        <v/>
      </c>
    </row>
    <row r="46" spans="1:3">
      <c r="A46" t="s">
        <v>4192</v>
      </c>
      <c r="B46" t="s">
        <v>4228</v>
      </c>
      <c r="C46" t="str">
        <f>_xlfn.XLOOKUP(B46,AFG_Input_Alvin!D:D,AFG_Input_Alvin!E:E)</f>
        <v/>
      </c>
    </row>
    <row r="47" spans="1:3">
      <c r="A47" t="s">
        <v>4193</v>
      </c>
      <c r="B47" t="s">
        <v>4229</v>
      </c>
      <c r="C47" t="str">
        <f>_xlfn.XLOOKUP(B47,AFG_Input_Alvin!D:D,AFG_Input_Alvin!E:E)</f>
        <v>x</v>
      </c>
    </row>
    <row r="48" spans="1:3">
      <c r="A48" t="s">
        <v>4194</v>
      </c>
      <c r="B48" t="s">
        <v>4230</v>
      </c>
      <c r="C48" t="str">
        <f>_xlfn.XLOOKUP(B48,AFG_Input_Alvin!D:D,AFG_Input_Alvin!E:E)</f>
        <v/>
      </c>
    </row>
    <row r="49" spans="1:3">
      <c r="A49" t="s">
        <v>4195</v>
      </c>
      <c r="B49" t="s">
        <v>4231</v>
      </c>
      <c r="C49" t="str">
        <f>_xlfn.XLOOKUP(B49,AFG_Input_Alvin!D:D,AFG_Input_Alvin!E:E)</f>
        <v/>
      </c>
    </row>
    <row r="50" spans="1:3">
      <c r="A50" t="s">
        <v>4232</v>
      </c>
      <c r="B50" t="s">
        <v>4225</v>
      </c>
      <c r="C50">
        <f>_xlfn.XLOOKUP(B50,AFG_Input_Alvin!D:D,AFG_Input_Alvin!E:E)</f>
        <v>123456</v>
      </c>
    </row>
    <row r="51" spans="1:3">
      <c r="A51" t="s">
        <v>4274</v>
      </c>
      <c r="B51" t="s">
        <v>4237</v>
      </c>
      <c r="C51" t="str">
        <f>_xlfn.XLOOKUP(B51,AFG_Input_Alvin!D:D,AFG_Input_Alvin!E:E)</f>
        <v xml:space="preserve"> </v>
      </c>
    </row>
    <row r="52" spans="1:3">
      <c r="A52" t="s">
        <v>4233</v>
      </c>
      <c r="B52" t="s">
        <v>4238</v>
      </c>
      <c r="C52" t="str">
        <f>_xlfn.XLOOKUP(B52,AFG_Input_Alvin!D:D,AFG_Input_Alvin!E:E)</f>
        <v xml:space="preserve"> </v>
      </c>
    </row>
    <row r="53" spans="1:3">
      <c r="A53" t="s">
        <v>4234</v>
      </c>
      <c r="B53" t="s">
        <v>4239</v>
      </c>
      <c r="C53" t="str">
        <f>_xlfn.XLOOKUP(B53,AFG_Input_Alvin!D:D,AFG_Input_Alvin!E:E)</f>
        <v>X</v>
      </c>
    </row>
    <row r="54" spans="1:3">
      <c r="A54" t="s">
        <v>4235</v>
      </c>
      <c r="B54" t="s">
        <v>4240</v>
      </c>
      <c r="C54" t="str">
        <f>_xlfn.XLOOKUP(B54,AFG_Input_Alvin!D:D,AFG_Input_Alvin!E:E)</f>
        <v>X</v>
      </c>
    </row>
    <row r="55" spans="1:3">
      <c r="A55" t="s">
        <v>4236</v>
      </c>
      <c r="B55" t="s">
        <v>4241</v>
      </c>
      <c r="C55" t="str">
        <f>_xlfn.XLOOKUP(B55,AFG_Input_Alvin!D:D,AFG_Input_Alvin!E:E)</f>
        <v xml:space="preserve"> </v>
      </c>
    </row>
    <row r="56" spans="1:3">
      <c r="A56" t="s">
        <v>4243</v>
      </c>
      <c r="B56" t="s">
        <v>4246</v>
      </c>
      <c r="C56">
        <f>_xlfn.XLOOKUP(B56,AFG_Input_Alvin!D:D,AFG_Input_Alvin!E:E)</f>
        <v>100577</v>
      </c>
    </row>
    <row r="57" spans="1:3">
      <c r="A57" t="s">
        <v>4244</v>
      </c>
      <c r="B57" s="374" t="s">
        <v>4282</v>
      </c>
      <c r="C57" t="str">
        <f>_xlfn.XLOOKUP(B57,AFG_Input_Alvin!D:D,AFG_Input_Alvin!E:E)</f>
        <v>BANK OF CHINA (HONG KONG) LIMITED</v>
      </c>
    </row>
    <row r="58" spans="1:3">
      <c r="A58" t="s">
        <v>4242</v>
      </c>
      <c r="B58" t="s">
        <v>4248</v>
      </c>
      <c r="C58" t="str">
        <f>_xlfn.XLOOKUP(B58,AFG_Input_Alvin!D:D,AFG_Input_Alvin!E:E)</f>
        <v xml:space="preserve">24 months  
(codes: WMER2YDE-program, IBSCCX0060/1159958 - Merchant Service $298 ($210 discount), IBSCCX0067/1167103-A920 terminal by HKT) </v>
      </c>
    </row>
    <row r="59" spans="1:3">
      <c r="A59" t="s">
        <v>4245</v>
      </c>
      <c r="B59" t="s">
        <v>4247</v>
      </c>
      <c r="C59" t="str">
        <f>_xlfn.XLOOKUP(B59,AFG_Input_Alvin!D:D,AFG_Input_Alvin!E:E)</f>
        <v>$88</v>
      </c>
    </row>
    <row r="60" spans="1:3">
      <c r="A60" t="s">
        <v>4250</v>
      </c>
      <c r="B60" t="s">
        <v>4251</v>
      </c>
      <c r="C60">
        <f>_xlfn.XLOOKUP(B60,AFG_Input_Alvin!D:D,AFG_Input_Alvin!E:E)</f>
        <v>108</v>
      </c>
    </row>
    <row r="61" spans="1:3">
      <c r="A61" t="s">
        <v>4249</v>
      </c>
      <c r="B61" t="s">
        <v>4252</v>
      </c>
      <c r="C61" t="str">
        <f>_xlfn.XLOOKUP(B61,AFG_Input_Alvin!D:D,AFG_Input_Alvin!E:E)</f>
        <v>24 months 
(code: WMER2YDE-program, IBSCCX0137/1734346 - HKT POS $108)</v>
      </c>
    </row>
    <row r="62" spans="1:3">
      <c r="A62" t="s">
        <v>4268</v>
      </c>
      <c r="B62" t="s">
        <v>1508</v>
      </c>
      <c r="C62" t="str">
        <f>_xlfn.XLOOKUP(B62,AFG_Input_Alvin!D:D,AFG_Input_Alvin!E:E)</f>
        <v>TONG HO RESTAURANT LIMITED~Test 1</v>
      </c>
    </row>
    <row r="63" spans="1:3">
      <c r="A63" t="s">
        <v>4263</v>
      </c>
      <c r="B63" t="s">
        <v>4147</v>
      </c>
      <c r="C63" t="str">
        <f>_xlfn.XLOOKUP(B63,AFG_Input_Alvin!D:D,AFG_Input_Alvin!E:E)</f>
        <v>74765840-000-01-24-5</v>
      </c>
    </row>
    <row r="64" spans="1:3">
      <c r="A64" t="s">
        <v>4270</v>
      </c>
      <c r="B64" t="s">
        <v>4150</v>
      </c>
      <c r="C64" t="str">
        <f>_xlfn.XLOOKUP(B64,AFG_Input_Alvin!D:D,AFG_Input_Alvin!E:E)</f>
        <v>S8A G/F BAUHINIA GARDEN 11 TONG CHUN ST Tseung Kwan O New Territories</v>
      </c>
    </row>
    <row r="65" spans="1:3">
      <c r="A65" t="s">
        <v>4269</v>
      </c>
      <c r="B65" t="s">
        <v>4148</v>
      </c>
      <c r="C65" t="str">
        <f>_xlfn.XLOOKUP(B65,AFG_Input_Alvin!D:D,AFG_Input_Alvin!E:E)</f>
        <v>Fast Food Restaurants</v>
      </c>
    </row>
    <row r="66" spans="1:3">
      <c r="A66" t="s">
        <v>4271</v>
      </c>
      <c r="B66" t="s">
        <v>4197</v>
      </c>
      <c r="C66">
        <f>_xlfn.XLOOKUP(B66,AFG_Input_Alvin!D:D,AFG_Input_Alvin!E:E)</f>
        <v>1</v>
      </c>
    </row>
    <row r="67" spans="1:3">
      <c r="A67" t="s">
        <v>4272</v>
      </c>
      <c r="B67" t="s">
        <v>4237</v>
      </c>
      <c r="C67" t="str">
        <f>_xlfn.XLOOKUP(B67,AFG_Input_Alvin!D:D,AFG_Input_Alvin!E:E)</f>
        <v xml:space="preserve"> </v>
      </c>
    </row>
    <row r="68" spans="1:3">
      <c r="A68" t="s">
        <v>4265</v>
      </c>
      <c r="B68" t="s">
        <v>4273</v>
      </c>
      <c r="C68" t="str">
        <f>_xlfn.XLOOKUP(B68,AFG_Input_Alvin!D:D,AFG_Input_Alvin!E:E)</f>
        <v>SHARETEA~Test 1</v>
      </c>
    </row>
    <row r="69" spans="1:3">
      <c r="A69" t="s">
        <v>4266</v>
      </c>
      <c r="B69" t="s">
        <v>1509</v>
      </c>
      <c r="C69" t="str">
        <f>_xlfn.XLOOKUP(B69,AFG_Input_Alvin!D:D,AFG_Input_Alvin!E:E)</f>
        <v>S8A  G/F  BAUHINIA GARDEN  11 TONG CHUN ST  Tseung Kwan O  New Territories</v>
      </c>
    </row>
    <row r="70" spans="1:3">
      <c r="A70" t="s">
        <v>4267</v>
      </c>
      <c r="B70" t="s">
        <v>4149</v>
      </c>
      <c r="C70" t="str">
        <f>_xlfn.XLOOKUP(B70,AFG_Input_Alvin!D:D,AFG_Input_Alvin!E:E)</f>
        <v>S8A  G/F  BAUHINIA GARDEN  11 TONG CHUN ST  Tseung Kwan O  New Territories</v>
      </c>
    </row>
    <row r="71" spans="1:3">
      <c r="A71" t="s">
        <v>4253</v>
      </c>
      <c r="B71" s="374" t="s">
        <v>4285</v>
      </c>
      <c r="C71" t="str">
        <f>_xlfn.XLOOKUP(B71,AFG_Input_Alvin!D:D,AFG_Input_Alvin!E:E)</f>
        <v>ABC Limited</v>
      </c>
    </row>
    <row r="72" spans="1:3">
      <c r="A72" t="s">
        <v>4254</v>
      </c>
      <c r="B72" t="s">
        <v>4143</v>
      </c>
      <c r="C72" t="str">
        <f>_xlfn.XLOOKUP(B72,AFG_Input_Alvin!D:D,AFG_Input_Alvin!E:E)</f>
        <v>HANDE CHEN</v>
      </c>
    </row>
    <row r="73" spans="1:3">
      <c r="A73" t="s">
        <v>4255</v>
      </c>
      <c r="B73" t="s">
        <v>4152</v>
      </c>
      <c r="C73" t="str">
        <f>_xlfn.XLOOKUP(B73,AFG_Input_Alvin!D:D,AFG_Input_Alvin!E:E)</f>
        <v>Sole Proprietor</v>
      </c>
    </row>
    <row r="74" spans="1:3">
      <c r="A74" t="s">
        <v>4256</v>
      </c>
      <c r="B74" t="s">
        <v>4153</v>
      </c>
      <c r="C74" t="str">
        <f>_xlfn.XLOOKUP(B74,AFG_Input_Alvin!D:D,AFG_Input_Alvin!E:E)</f>
        <v>5401 9126</v>
      </c>
    </row>
    <row r="75" spans="1:3">
      <c r="A75" t="s">
        <v>4257</v>
      </c>
      <c r="B75" t="s">
        <v>4154</v>
      </c>
      <c r="C75" t="str">
        <f>_xlfn.XLOOKUP(B75,AFG_Input_Alvin!D:D,AFG_Input_Alvin!E:E)</f>
        <v>kailam0126@hotmail.com</v>
      </c>
    </row>
    <row r="76" spans="1:3">
      <c r="A76" t="s">
        <v>4258</v>
      </c>
      <c r="B76" t="s">
        <v>4151</v>
      </c>
      <c r="C76" t="str">
        <f>_xlfn.XLOOKUP(B76,AFG_Input_Alvin!D:D,AFG_Input_Alvin!E:E)</f>
        <v>HANDE CHEN</v>
      </c>
    </row>
    <row r="77" spans="1:3">
      <c r="A77" t="s">
        <v>4259</v>
      </c>
      <c r="B77" t="s">
        <v>4155</v>
      </c>
      <c r="C77" t="str">
        <f>_xlfn.XLOOKUP(B77,AFG_Input_Alvin!D:D,AFG_Input_Alvin!E:E)</f>
        <v>Director</v>
      </c>
    </row>
    <row r="78" spans="1:3">
      <c r="A78" t="s">
        <v>4260</v>
      </c>
      <c r="B78" t="s">
        <v>4156</v>
      </c>
      <c r="C78" t="str">
        <f>_xlfn.XLOOKUP(B78,AFG_Input_Alvin!D:D,AFG_Input_Alvin!E:E)</f>
        <v>5401 9126</v>
      </c>
    </row>
    <row r="79" spans="1:3">
      <c r="A79" t="s">
        <v>4261</v>
      </c>
      <c r="B79" t="s">
        <v>4157</v>
      </c>
      <c r="C79" t="str">
        <f>_xlfn.XLOOKUP(B79,AFG_Input_Alvin!D:D,AFG_Input_Alvin!E:E)</f>
        <v>kailam0126@hotmail.com</v>
      </c>
    </row>
    <row r="80" spans="1:3">
      <c r="A80" t="s">
        <v>4262</v>
      </c>
      <c r="B80" s="374" t="s">
        <v>4283</v>
      </c>
      <c r="C80" t="str">
        <f>_xlfn.XLOOKUP(B80,AFG_Input_Alvin!D:D,AFG_Input_Alvin!E:E)</f>
        <v>SHARETEA</v>
      </c>
    </row>
    <row r="81" spans="1:3">
      <c r="A81" t="s">
        <v>4264</v>
      </c>
      <c r="B81" s="374" t="s">
        <v>4284</v>
      </c>
      <c r="C81" t="str">
        <f>_xlfn.XLOOKUP(B81,AFG_Input_Alvin!D:D,AFG_Input_Alvin!E:E)</f>
        <v>S8A G/F BAUHINIA GDN 11 TONG CHUN ST TKO NT</v>
      </c>
    </row>
    <row r="82" spans="1:3">
      <c r="A82" t="s">
        <v>4292</v>
      </c>
      <c r="B82" t="s">
        <v>4290</v>
      </c>
      <c r="C82" t="str">
        <f>_xlfn.XLOOKUP(B82,AFG_Input_Alvin!D:D,AFG_Input_Alvin!E:E)</f>
        <v>HANDE CHEN</v>
      </c>
    </row>
    <row r="83" spans="1:3">
      <c r="A83" t="s">
        <v>4287</v>
      </c>
      <c r="B83" t="s">
        <v>4289</v>
      </c>
      <c r="C83" t="str">
        <f>_xlfn.XLOOKUP(B83,AFG_Input_Alvin!D:D,AFG_Input_Alvin!E:E)</f>
        <v>Director</v>
      </c>
    </row>
    <row r="84" spans="1:3">
      <c r="A84" t="s">
        <v>4288</v>
      </c>
      <c r="B84" t="s">
        <v>4291</v>
      </c>
      <c r="C84" s="375">
        <f ca="1">_xlfn.XLOOKUP(B84,AFG_Input_Alvin!D:D,AFG_Input_Alvin!E:E)</f>
        <v>45547</v>
      </c>
    </row>
  </sheetData>
  <autoFilter ref="A2:C84" xr:uid="{00000000-0001-0000-0600-000000000000}"/>
  <phoneticPr fontId="89" type="noConversion"/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79998168889431442"/>
  </sheetPr>
  <dimension ref="A1:E367"/>
  <sheetViews>
    <sheetView topLeftCell="A30" zoomScale="83" zoomScaleNormal="115" workbookViewId="0">
      <selection activeCell="C239" sqref="C239"/>
    </sheetView>
  </sheetViews>
  <sheetFormatPr defaultRowHeight="14"/>
  <cols>
    <col min="1" max="1" width="17.83203125" bestFit="1" customWidth="1"/>
    <col min="2" max="2" width="26.33203125" customWidth="1"/>
    <col min="3" max="3" width="61.75" customWidth="1"/>
    <col min="4" max="4" width="57.9140625" customWidth="1"/>
    <col min="5" max="5" width="37" style="50" customWidth="1"/>
  </cols>
  <sheetData>
    <row r="1" spans="1:5">
      <c r="A1" t="s">
        <v>1502</v>
      </c>
      <c r="B1" t="s">
        <v>1503</v>
      </c>
      <c r="C1" s="318" t="s">
        <v>1504</v>
      </c>
      <c r="D1" s="318" t="s">
        <v>1505</v>
      </c>
      <c r="E1" s="50" t="s">
        <v>0</v>
      </c>
    </row>
    <row r="2" spans="1:5">
      <c r="A2" s="361" t="s">
        <v>1506</v>
      </c>
      <c r="C2" s="318" t="str">
        <f>'Application Merchant'!A1</f>
        <v>Application Date</v>
      </c>
      <c r="D2" s="318" t="str">
        <f t="shared" ref="D2:D34" si="0">A2&amp;"_"&amp;B2&amp;"_"&amp;C2</f>
        <v>Application Merchant__Application Date</v>
      </c>
      <c r="E2" s="368">
        <f ca="1">'Application Merchant'!B1</f>
        <v>45547</v>
      </c>
    </row>
    <row r="3" spans="1:5">
      <c r="A3" s="361" t="s">
        <v>1506</v>
      </c>
      <c r="C3" t="s">
        <v>1</v>
      </c>
      <c r="D3" s="318" t="str">
        <f t="shared" si="0"/>
        <v>Application Merchant__DD</v>
      </c>
      <c r="E3" s="50" t="str">
        <f ca="1">TEXT(DAY(E2),"00")</f>
        <v>12</v>
      </c>
    </row>
    <row r="4" spans="1:5">
      <c r="A4" s="361" t="s">
        <v>1506</v>
      </c>
      <c r="C4" t="s">
        <v>2</v>
      </c>
      <c r="D4" s="318" t="str">
        <f t="shared" si="0"/>
        <v>Application Merchant__MM</v>
      </c>
      <c r="E4" s="50" t="str">
        <f ca="1">TEXT(MONTH(E2),"00")</f>
        <v>09</v>
      </c>
    </row>
    <row r="5" spans="1:5">
      <c r="A5" s="361" t="s">
        <v>1506</v>
      </c>
      <c r="C5" t="s">
        <v>3</v>
      </c>
      <c r="D5" s="318" t="str">
        <f t="shared" si="0"/>
        <v>Application Merchant__YYYY</v>
      </c>
      <c r="E5" s="50" t="str">
        <f ca="1">TEXT(YEAR(E2),"00")</f>
        <v>2024</v>
      </c>
    </row>
    <row r="6" spans="1:5">
      <c r="A6" s="361" t="s">
        <v>1506</v>
      </c>
      <c r="C6" t="s">
        <v>4</v>
      </c>
      <c r="D6" s="318" t="str">
        <f t="shared" si="0"/>
        <v>Application Merchant__YY</v>
      </c>
      <c r="E6" s="50" t="str">
        <f ca="1">RIGHT(E5, 2)</f>
        <v>24</v>
      </c>
    </row>
    <row r="7" spans="1:5">
      <c r="A7" s="361" t="s">
        <v>1506</v>
      </c>
      <c r="C7" t="s">
        <v>5</v>
      </c>
      <c r="D7" s="318" t="str">
        <f t="shared" si="0"/>
        <v>Application Merchant__Date</v>
      </c>
      <c r="E7" s="368">
        <f ca="1">E2</f>
        <v>45547</v>
      </c>
    </row>
    <row r="8" spans="1:5">
      <c r="A8" s="361" t="s">
        <v>1506</v>
      </c>
      <c r="C8" s="318" t="str">
        <f>'Application Merchant'!A2</f>
        <v>Sales Reference Code</v>
      </c>
      <c r="D8" s="318" t="str">
        <f t="shared" si="0"/>
        <v>Application Merchant__Sales Reference Code</v>
      </c>
      <c r="E8" s="50" t="str">
        <f>'Application Merchant'!B2</f>
        <v>DVT202408XXX</v>
      </c>
    </row>
    <row r="9" spans="1:5">
      <c r="A9" s="361" t="s">
        <v>1506</v>
      </c>
      <c r="C9" s="318" t="str">
        <f>'Application Merchant'!A3</f>
        <v>Sales Name                               q</v>
      </c>
      <c r="D9" s="318" t="str">
        <f t="shared" si="0"/>
        <v>Application Merchant__Sales Name                               q</v>
      </c>
      <c r="E9" s="50" t="str">
        <f>'Application Merchant'!B3</f>
        <v>Ivan Kwok</v>
      </c>
    </row>
    <row r="10" spans="1:5">
      <c r="A10" s="361" t="s">
        <v>1506</v>
      </c>
      <c r="C10" s="318" t="str">
        <f>'Application Merchant'!A4</f>
        <v>Sales Code           (automatic input)</v>
      </c>
      <c r="D10" s="318" t="str">
        <f t="shared" si="0"/>
        <v>Application Merchant__Sales Code           (automatic input)</v>
      </c>
      <c r="E10" s="50" t="str">
        <f>'Application Merchant'!B4</f>
        <v>BD29</v>
      </c>
    </row>
    <row r="11" spans="1:5">
      <c r="A11" s="361" t="s">
        <v>1506</v>
      </c>
      <c r="C11" s="318" t="str">
        <f>'Application Merchant'!A5</f>
        <v>Sales Title</v>
      </c>
      <c r="D11" s="318" t="str">
        <f t="shared" si="0"/>
        <v>Application Merchant__Sales Title</v>
      </c>
      <c r="E11" s="50" t="str">
        <f>'Application Merchant'!B5</f>
        <v>Sales Executive</v>
      </c>
    </row>
    <row r="12" spans="1:5">
      <c r="A12" s="361" t="s">
        <v>1506</v>
      </c>
      <c r="C12" s="318" t="str">
        <f>'Application Merchant'!A6</f>
        <v>Sales Contact no.</v>
      </c>
      <c r="D12" s="318" t="str">
        <f t="shared" si="0"/>
        <v>Application Merchant__Sales Contact no.</v>
      </c>
      <c r="E12" s="50" t="str">
        <f>'Application Merchant'!B6</f>
        <v>6620 2468</v>
      </c>
    </row>
    <row r="13" spans="1:5" ht="14.5" customHeight="1">
      <c r="A13" s="361" t="s">
        <v>1506</v>
      </c>
      <c r="B13" s="66" t="s">
        <v>772</v>
      </c>
      <c r="C13" s="318" t="str">
        <f>'Application Merchant'!A9</f>
        <v>Cert. Of Incorp. Country             q</v>
      </c>
      <c r="D13" s="318" t="str">
        <f t="shared" si="0"/>
        <v>Application Merchant_From CI_Cert. Of Incorp. Country             q</v>
      </c>
      <c r="E13" s="50" t="str">
        <f>'Application Merchant'!B9</f>
        <v>Afghanistan</v>
      </c>
    </row>
    <row r="14" spans="1:5" ht="14.5" customHeight="1">
      <c r="A14" s="361" t="s">
        <v>1506</v>
      </c>
      <c r="B14" s="66" t="s">
        <v>772</v>
      </c>
      <c r="C14" s="318" t="str">
        <f>'Application Merchant'!A10</f>
        <v>Cert. Of Incorp. Number</v>
      </c>
      <c r="D14" s="318" t="str">
        <f t="shared" si="0"/>
        <v>Application Merchant_From CI_Cert. Of Incorp. Number</v>
      </c>
      <c r="E14" s="50">
        <f>'Application Merchant'!B10</f>
        <v>3224327</v>
      </c>
    </row>
    <row r="15" spans="1:5" ht="14.5" customHeight="1">
      <c r="A15" s="361" t="s">
        <v>1506</v>
      </c>
      <c r="B15" s="66" t="s">
        <v>772</v>
      </c>
      <c r="C15" s="318" t="str">
        <f>'Application Merchant'!A11</f>
        <v>Cert. Of Incorp. Eff. Date</v>
      </c>
      <c r="D15" s="318" t="str">
        <f t="shared" si="0"/>
        <v>Application Merchant_From CI_Cert. Of Incorp. Eff. Date</v>
      </c>
      <c r="E15" s="368">
        <f>'Application Merchant'!B11</f>
        <v>44937</v>
      </c>
    </row>
    <row r="16" spans="1:5" ht="14.5" customHeight="1">
      <c r="A16" s="361" t="s">
        <v>1506</v>
      </c>
      <c r="B16" s="66" t="s">
        <v>792</v>
      </c>
      <c r="C16" s="318" t="str">
        <f>'Application Merchant'!A15</f>
        <v>Name of Business (EN)</v>
      </c>
      <c r="D16" s="318" t="str">
        <f t="shared" si="0"/>
        <v>Application Merchant_From BR_Name of Business (EN)</v>
      </c>
      <c r="E16" s="50" t="str">
        <f>'Application Merchant'!B15</f>
        <v>TONG HO RESTAURANT LIMITED~Test 1</v>
      </c>
    </row>
    <row r="17" spans="1:5" ht="14.5" customHeight="1">
      <c r="A17" s="361" t="s">
        <v>1506</v>
      </c>
      <c r="B17" s="66" t="s">
        <v>792</v>
      </c>
      <c r="C17" s="318" t="str">
        <f>'Application Merchant'!A16</f>
        <v>Name of Business (TC繁)</v>
      </c>
      <c r="D17" s="318" t="str">
        <f t="shared" si="0"/>
        <v>Application Merchant_From BR_Name of Business (TC繁)</v>
      </c>
      <c r="E17" s="50" t="str">
        <f>'Application Merchant'!B16</f>
        <v>潼灝餐飲有限公司~Test 1</v>
      </c>
    </row>
    <row r="18" spans="1:5" ht="14.5" customHeight="1">
      <c r="A18" s="361" t="s">
        <v>1506</v>
      </c>
      <c r="B18" s="66" t="s">
        <v>792</v>
      </c>
      <c r="C18" s="318" t="str">
        <f>'Application Merchant'!A17</f>
        <v>Name of Business (SC簡)</v>
      </c>
      <c r="D18" s="318" t="str">
        <f t="shared" si="0"/>
        <v>Application Merchant_From BR_Name of Business (SC簡)</v>
      </c>
      <c r="E18" s="50" t="str">
        <f>'Application Merchant'!B17</f>
        <v>潼灝餐飲有限公司~Test 1</v>
      </c>
    </row>
    <row r="19" spans="1:5" ht="14.5" customHeight="1">
      <c r="A19" s="361" t="s">
        <v>1506</v>
      </c>
      <c r="B19" s="66" t="s">
        <v>792</v>
      </c>
      <c r="C19" s="318" t="str">
        <f>'Application Merchant'!A18</f>
        <v>Business / Branch Name (EN)</v>
      </c>
      <c r="D19" s="318" t="str">
        <f t="shared" si="0"/>
        <v>Application Merchant_From BR_Business / Branch Name (EN)</v>
      </c>
      <c r="E19" s="50" t="str">
        <f>'Application Merchant'!B18</f>
        <v>SHARETEA~Test 1</v>
      </c>
    </row>
    <row r="20" spans="1:5" ht="14.5" customHeight="1">
      <c r="A20" s="361" t="s">
        <v>1506</v>
      </c>
      <c r="B20" s="66" t="s">
        <v>792</v>
      </c>
      <c r="C20" s="318" t="str">
        <f>'Application Merchant'!A19</f>
        <v>Business / Branch Name (TC繁)</v>
      </c>
      <c r="D20" s="318" t="str">
        <f t="shared" si="0"/>
        <v>Application Merchant_From BR_Business / Branch Name (TC繁)</v>
      </c>
      <c r="E20" s="50" t="str">
        <f>'Application Merchant'!B19</f>
        <v>歇腳亭~Test 1</v>
      </c>
    </row>
    <row r="21" spans="1:5" ht="14.5" customHeight="1">
      <c r="A21" s="361" t="s">
        <v>1506</v>
      </c>
      <c r="B21" s="66" t="s">
        <v>792</v>
      </c>
      <c r="C21" s="318" t="str">
        <f>'Application Merchant'!A20</f>
        <v>Busiess Type                             q</v>
      </c>
      <c r="D21" s="318" t="str">
        <f t="shared" si="0"/>
        <v>Application Merchant_From BR_Busiess Type                             q</v>
      </c>
      <c r="E21" s="50" t="str">
        <f>'Application Merchant'!B20</f>
        <v>Government</v>
      </c>
    </row>
    <row r="22" spans="1:5" ht="14.5" customHeight="1">
      <c r="A22" s="361" t="s">
        <v>1506</v>
      </c>
      <c r="B22" s="66" t="s">
        <v>792</v>
      </c>
      <c r="C22" s="318" t="str">
        <f>'Application Merchant'!A21</f>
        <v>Full BR Number (20 Char)</v>
      </c>
      <c r="D22" s="318" t="str">
        <f t="shared" si="0"/>
        <v>Application Merchant_From BR_Full BR Number (20 Char)</v>
      </c>
      <c r="E22" s="50" t="str">
        <f>'Application Merchant'!B21</f>
        <v>74765840-000-01-24-5</v>
      </c>
    </row>
    <row r="23" spans="1:5" ht="14.5" customHeight="1">
      <c r="A23" s="361" t="s">
        <v>1506</v>
      </c>
      <c r="B23" s="66" t="s">
        <v>792</v>
      </c>
      <c r="C23" s="318" t="str">
        <f>'Application Merchant'!A22</f>
        <v>BR Issue Date</v>
      </c>
      <c r="D23" s="318" t="str">
        <f t="shared" si="0"/>
        <v>Application Merchant_From BR_BR Issue Date</v>
      </c>
      <c r="E23" s="50">
        <f>'Application Merchant'!B22</f>
        <v>45302</v>
      </c>
    </row>
    <row r="24" spans="1:5" ht="14.5" customHeight="1">
      <c r="A24" s="361" t="s">
        <v>1506</v>
      </c>
      <c r="B24" s="66" t="s">
        <v>792</v>
      </c>
      <c r="C24" s="318" t="str">
        <f>'Application Merchant'!A23</f>
        <v>BR Date of Expiry</v>
      </c>
      <c r="D24" s="318" t="str">
        <f t="shared" si="0"/>
        <v>Application Merchant_From BR_BR Date of Expiry</v>
      </c>
      <c r="E24" s="50">
        <f>'Application Merchant'!B23</f>
        <v>45667</v>
      </c>
    </row>
    <row r="25" spans="1:5" ht="14.5" customHeight="1">
      <c r="A25" s="361" t="s">
        <v>1506</v>
      </c>
      <c r="B25" s="66" t="s">
        <v>792</v>
      </c>
      <c r="C25" s="318" t="str">
        <f>'Application Merchant'!A24</f>
        <v>Business Nature                         q</v>
      </c>
      <c r="D25" s="318" t="str">
        <f t="shared" si="0"/>
        <v>Application Merchant_From BR_Business Nature                         q</v>
      </c>
      <c r="E25" s="50" t="str">
        <f>'Application Merchant'!B24</f>
        <v>Fast Food Restaurants</v>
      </c>
    </row>
    <row r="26" spans="1:5" ht="14.5" customHeight="1">
      <c r="A26" s="361" t="s">
        <v>1506</v>
      </c>
      <c r="B26" s="66" t="s">
        <v>792</v>
      </c>
      <c r="C26" s="318" t="str">
        <f>'Application Merchant'!A25</f>
        <v>BR FltRm (need to fill in Rm  / Flat)</v>
      </c>
      <c r="D26" s="318" t="str">
        <f t="shared" si="0"/>
        <v>Application Merchant_From BR_BR FltRm (need to fill in Rm  / Flat)</v>
      </c>
      <c r="E26" s="50" t="str">
        <f>'Application Merchant'!B25</f>
        <v>S8A</v>
      </c>
    </row>
    <row r="27" spans="1:5" ht="14.5" customHeight="1">
      <c r="A27" s="361" t="s">
        <v>1506</v>
      </c>
      <c r="B27" s="66" t="s">
        <v>792</v>
      </c>
      <c r="C27" s="318" t="str">
        <f>'Application Merchant'!A26</f>
        <v>BR Floor (need to fill in /F)</v>
      </c>
      <c r="D27" s="318" t="str">
        <f t="shared" si="0"/>
        <v>Application Merchant_From BR_BR Floor (need to fill in /F)</v>
      </c>
      <c r="E27" s="50" t="str">
        <f>'Application Merchant'!B26</f>
        <v>G/F</v>
      </c>
    </row>
    <row r="28" spans="1:5" ht="14.5" customHeight="1">
      <c r="A28" s="361" t="s">
        <v>1506</v>
      </c>
      <c r="B28" s="66" t="s">
        <v>792</v>
      </c>
      <c r="C28" s="318" t="str">
        <f>'Application Merchant'!A27</f>
        <v>BR BlkBldg</v>
      </c>
      <c r="D28" s="318" t="str">
        <f t="shared" si="0"/>
        <v>Application Merchant_From BR_BR BlkBldg</v>
      </c>
      <c r="E28" s="50" t="str">
        <f>'Application Merchant'!B27</f>
        <v>BAUHINIA GARDEN</v>
      </c>
    </row>
    <row r="29" spans="1:5" ht="14.5" customHeight="1">
      <c r="A29" s="361" t="s">
        <v>1506</v>
      </c>
      <c r="B29" s="66" t="s">
        <v>792</v>
      </c>
      <c r="C29" s="318" t="str">
        <f>'Application Merchant'!A28</f>
        <v>BR Street</v>
      </c>
      <c r="D29" s="318" t="str">
        <f t="shared" si="0"/>
        <v>Application Merchant_From BR_BR Street</v>
      </c>
      <c r="E29" s="50" t="str">
        <f>'Application Merchant'!B28</f>
        <v>11 TONG CHUN ST</v>
      </c>
    </row>
    <row r="30" spans="1:5" ht="14.5" customHeight="1">
      <c r="A30" s="361" t="s">
        <v>1506</v>
      </c>
      <c r="B30" s="66" t="s">
        <v>792</v>
      </c>
      <c r="C30" s="318" t="str">
        <f>'Application Merchant'!A29</f>
        <v>BR District                               q</v>
      </c>
      <c r="D30" s="318" t="str">
        <f t="shared" si="0"/>
        <v>Application Merchant_From BR_BR District                               q</v>
      </c>
      <c r="E30" s="50" t="str">
        <f>'Application Merchant'!B29</f>
        <v>Tseung Kwan O</v>
      </c>
    </row>
    <row r="31" spans="1:5" ht="14.5" customHeight="1">
      <c r="A31" s="361" t="s">
        <v>1506</v>
      </c>
      <c r="B31" s="66" t="s">
        <v>792</v>
      </c>
      <c r="C31" s="318" t="str">
        <f>'Application Merchant'!A30</f>
        <v>BR Region                                q</v>
      </c>
      <c r="D31" s="318" t="str">
        <f t="shared" si="0"/>
        <v>Application Merchant_From BR_BR Region                                q</v>
      </c>
      <c r="E31" s="50" t="str">
        <f>'Application Merchant'!B30</f>
        <v>New Territories</v>
      </c>
    </row>
    <row r="32" spans="1:5" ht="14.5" customHeight="1">
      <c r="A32" s="361" t="s">
        <v>1506</v>
      </c>
      <c r="B32" s="66" t="s">
        <v>792</v>
      </c>
      <c r="C32" s="318" t="str">
        <f>'Application Merchant'!A31</f>
        <v>BR Address</v>
      </c>
      <c r="D32" s="318" t="str">
        <f t="shared" si="0"/>
        <v>Application Merchant_From BR_BR Address</v>
      </c>
      <c r="E32" s="50" t="str">
        <f>'Application Merchant'!B31</f>
        <v>S8A G/F BAUHINIA GARDEN 11 TONG CHUN ST Tseung Kwan O New Territories</v>
      </c>
    </row>
    <row r="33" spans="1:5">
      <c r="A33" s="361" t="s">
        <v>1506</v>
      </c>
      <c r="C33" s="318" t="str">
        <f>'Application Merchant'!A34</f>
        <v>Merchant Name (25 digits-Eng)</v>
      </c>
      <c r="D33" s="318" t="str">
        <f t="shared" si="0"/>
        <v>Application Merchant__Merchant Name (25 digits-Eng)</v>
      </c>
      <c r="E33" s="50" t="str">
        <f>'Application Merchant'!B34</f>
        <v>SHARETEA~Test 1</v>
      </c>
    </row>
    <row r="34" spans="1:5" ht="13" customHeight="1">
      <c r="A34" s="361" t="s">
        <v>1506</v>
      </c>
      <c r="B34" s="43" t="s">
        <v>866</v>
      </c>
      <c r="C34" s="318" t="str">
        <f>'Application Merchant'!A37</f>
        <v>ShopName1 - Display name</v>
      </c>
      <c r="D34" s="318" t="str">
        <f t="shared" si="0"/>
        <v>Application Merchant_ShopName1 / Installation_ShopName1 - Display name</v>
      </c>
      <c r="E34" s="50" t="str">
        <f>'Application Merchant'!B37</f>
        <v>SHARETEA~Test 1</v>
      </c>
    </row>
    <row r="35" spans="1:5" ht="14.5" customHeight="1">
      <c r="A35" s="361" t="s">
        <v>1506</v>
      </c>
      <c r="B35" s="43" t="s">
        <v>866</v>
      </c>
      <c r="C35" s="318" t="str">
        <f>'Application Merchant'!A38</f>
        <v>ShopName1 - BR EN</v>
      </c>
      <c r="D35" s="318" t="str">
        <f t="shared" ref="D35:D66" si="1">A35&amp;"_"&amp;B35&amp;"_"&amp;C35</f>
        <v>Application Merchant_ShopName1 / Installation_ShopName1 - BR EN</v>
      </c>
      <c r="E35" s="50" t="str">
        <f>'Application Merchant'!B38</f>
        <v>SHARETEA~Test 1</v>
      </c>
    </row>
    <row r="36" spans="1:5" ht="14.5" customHeight="1">
      <c r="A36" s="361" t="s">
        <v>1506</v>
      </c>
      <c r="B36" s="43" t="s">
        <v>866</v>
      </c>
      <c r="C36" s="318" t="str">
        <f>'Application Merchant'!A39</f>
        <v>ShopName1 - BR CHI</v>
      </c>
      <c r="D36" s="318" t="str">
        <f t="shared" si="1"/>
        <v>Application Merchant_ShopName1 / Installation_ShopName1 - BR CHI</v>
      </c>
      <c r="E36" s="50" t="str">
        <f>'Application Merchant'!B39</f>
        <v>歇腳亭~Test 1</v>
      </c>
    </row>
    <row r="37" spans="1:5" ht="14.5" customHeight="1">
      <c r="A37" s="361" t="s">
        <v>1506</v>
      </c>
      <c r="B37" s="43" t="s">
        <v>866</v>
      </c>
      <c r="C37" s="318" t="str">
        <f>'Application Merchant'!A40</f>
        <v>Shop1 FltRm</v>
      </c>
      <c r="D37" s="318" t="str">
        <f t="shared" si="1"/>
        <v>Application Merchant_ShopName1 / Installation_Shop1 FltRm</v>
      </c>
      <c r="E37" s="50" t="str">
        <f>'Application Merchant'!B40</f>
        <v>S8A</v>
      </c>
    </row>
    <row r="38" spans="1:5" ht="14.5" customHeight="1">
      <c r="A38" s="361" t="s">
        <v>1506</v>
      </c>
      <c r="B38" s="43" t="s">
        <v>866</v>
      </c>
      <c r="C38" s="318" t="str">
        <f>'Application Merchant'!A41</f>
        <v>Shop1 Floor</v>
      </c>
      <c r="D38" s="318" t="str">
        <f t="shared" si="1"/>
        <v>Application Merchant_ShopName1 / Installation_Shop1 Floor</v>
      </c>
      <c r="E38" s="50" t="str">
        <f>'Application Merchant'!B41</f>
        <v>G/F</v>
      </c>
    </row>
    <row r="39" spans="1:5" ht="14.5" customHeight="1">
      <c r="A39" s="361" t="s">
        <v>1506</v>
      </c>
      <c r="B39" s="43" t="s">
        <v>866</v>
      </c>
      <c r="C39" s="318" t="str">
        <f>'Application Merchant'!A42</f>
        <v>Shop1 BlkBldg</v>
      </c>
      <c r="D39" s="318" t="str">
        <f t="shared" si="1"/>
        <v>Application Merchant_ShopName1 / Installation_Shop1 BlkBldg</v>
      </c>
      <c r="E39" s="50" t="str">
        <f>'Application Merchant'!B42</f>
        <v>BAUHINIA GARDEN</v>
      </c>
    </row>
    <row r="40" spans="1:5" ht="14.5" customHeight="1">
      <c r="A40" s="361" t="s">
        <v>1506</v>
      </c>
      <c r="B40" s="43" t="s">
        <v>866</v>
      </c>
      <c r="C40" s="318" t="str">
        <f>'Application Merchant'!A43</f>
        <v>Shop1 Street</v>
      </c>
      <c r="D40" s="318" t="str">
        <f t="shared" si="1"/>
        <v>Application Merchant_ShopName1 / Installation_Shop1 Street</v>
      </c>
      <c r="E40" s="50" t="str">
        <f>'Application Merchant'!B43</f>
        <v>11 TONG CHUN ST</v>
      </c>
    </row>
    <row r="41" spans="1:5" ht="14.5" customHeight="1">
      <c r="A41" s="361" t="s">
        <v>1506</v>
      </c>
      <c r="B41" s="43" t="s">
        <v>866</v>
      </c>
      <c r="C41" s="318" t="str">
        <f>'Application Merchant'!A44</f>
        <v>Shop1 District</v>
      </c>
      <c r="D41" s="318" t="str">
        <f t="shared" si="1"/>
        <v>Application Merchant_ShopName1 / Installation_Shop1 District</v>
      </c>
      <c r="E41" s="50" t="str">
        <f>'Application Merchant'!B44</f>
        <v>Tseung Kwan O</v>
      </c>
    </row>
    <row r="42" spans="1:5" ht="14.5" customHeight="1">
      <c r="A42" s="361" t="s">
        <v>1506</v>
      </c>
      <c r="B42" s="43" t="s">
        <v>866</v>
      </c>
      <c r="C42" s="318" t="str">
        <f>'Application Merchant'!A45</f>
        <v>Shop1 Region</v>
      </c>
      <c r="D42" s="318" t="str">
        <f t="shared" si="1"/>
        <v>Application Merchant_ShopName1 / Installation_Shop1 Region</v>
      </c>
      <c r="E42" s="50" t="str">
        <f>'Application Merchant'!B45</f>
        <v>New Territories</v>
      </c>
    </row>
    <row r="43" spans="1:5" ht="14.5" customHeight="1">
      <c r="A43" s="361" t="s">
        <v>1506</v>
      </c>
      <c r="B43" s="43" t="s">
        <v>866</v>
      </c>
      <c r="C43" s="318" t="str">
        <f>'Application Merchant'!A46</f>
        <v>Tel</v>
      </c>
      <c r="D43" s="318" t="str">
        <f t="shared" si="1"/>
        <v>Application Merchant_ShopName1 / Installation_Tel</v>
      </c>
      <c r="E43" s="50" t="str">
        <f>'Application Merchant'!B46</f>
        <v>N/A</v>
      </c>
    </row>
    <row r="44" spans="1:5" ht="14.5" customHeight="1">
      <c r="A44" s="361" t="s">
        <v>1506</v>
      </c>
      <c r="B44" s="43" t="s">
        <v>866</v>
      </c>
      <c r="C44" s="318" t="str">
        <f>'Application Merchant'!A47</f>
        <v>BR Number</v>
      </c>
      <c r="D44" s="318" t="str">
        <f t="shared" si="1"/>
        <v>Application Merchant_ShopName1 / Installation_BR Number</v>
      </c>
      <c r="E44" s="50" t="str">
        <f>'Application Merchant'!B47</f>
        <v>74765840-000-01-24-5</v>
      </c>
    </row>
    <row r="45" spans="1:5" ht="14.5" customHeight="1">
      <c r="A45" s="361" t="s">
        <v>1506</v>
      </c>
      <c r="B45" s="43" t="s">
        <v>866</v>
      </c>
      <c r="C45" s="318" t="str">
        <f>'Application Merchant'!A48</f>
        <v>No of POS &lt; No. of mPOS (Shop 1) &gt;</v>
      </c>
      <c r="D45" s="318" t="str">
        <f t="shared" si="1"/>
        <v>Application Merchant_ShopName1 / Installation_No of POS &lt; No. of mPOS (Shop 1) &gt;</v>
      </c>
      <c r="E45" s="50">
        <f>'Application Merchant'!B48</f>
        <v>1</v>
      </c>
    </row>
    <row r="46" spans="1:5" ht="14.5" customHeight="1">
      <c r="A46" s="361" t="s">
        <v>1506</v>
      </c>
      <c r="B46" s="43" t="s">
        <v>866</v>
      </c>
      <c r="C46" s="318" t="str">
        <f>'Application Merchant'!A49</f>
        <v>Display address (default = Shop)
(default = B40,B41,B42,B43,B44,B45)</v>
      </c>
      <c r="D46" s="318" t="str">
        <f t="shared" si="1"/>
        <v>Application Merchant_ShopName1 / Installation_Display address (default = Shop)
(default = B40,B41,B42,B43,B44,B45)</v>
      </c>
      <c r="E46" s="50" t="str">
        <f>'Application Merchant'!B49</f>
        <v>S8A  G/F  BAUHINIA GARDEN  11 TONG CHUN ST  Tseung Kwan O  New Territories</v>
      </c>
    </row>
    <row r="47" spans="1:5" ht="14.5" customHeight="1">
      <c r="A47" s="361" t="s">
        <v>1506</v>
      </c>
      <c r="B47" s="43" t="s">
        <v>866</v>
      </c>
      <c r="C47" s="318" t="str">
        <f>'Application Merchant'!A50</f>
        <v>Installation address (default = Shop)
(default = B40,B41,B42,B43,B44,B45)</v>
      </c>
      <c r="D47" s="318" t="str">
        <f t="shared" si="1"/>
        <v>Application Merchant_ShopName1 / Installation_Installation address (default = Shop)
(default = B40,B41,B42,B43,B44,B45)</v>
      </c>
      <c r="E47" s="50" t="str">
        <f>'Application Merchant'!B50</f>
        <v>S8A  G/F  BAUHINIA GARDEN  11 TONG CHUN ST  Tseung Kwan O  New Territories</v>
      </c>
    </row>
    <row r="48" spans="1:5" ht="14.5" customHeight="1">
      <c r="A48" s="361" t="s">
        <v>1506</v>
      </c>
      <c r="B48" s="43" t="s">
        <v>866</v>
      </c>
      <c r="C48" s="318" t="str">
        <f>'Application Merchant'!A51</f>
        <v>SmartPOS Delivery Address (not same as installation address</v>
      </c>
      <c r="D48" s="318" t="str">
        <f t="shared" si="1"/>
        <v>Application Merchant_ShopName1 / Installation_SmartPOS Delivery Address (not same as installation address</v>
      </c>
      <c r="E48" s="50" t="str">
        <f>IF('Application Merchant'!B51 = "same as installation address", E47, 'Application Merchant'!B51)</f>
        <v>ABC Limited</v>
      </c>
    </row>
    <row r="49" spans="1:5" ht="14.5" customHeight="1">
      <c r="A49" s="361" t="s">
        <v>1506</v>
      </c>
      <c r="B49" s="43" t="s">
        <v>866</v>
      </c>
      <c r="C49" s="318" t="str">
        <f>'Application Merchant'!A52</f>
        <v>Smartpos Installation Primary Contact Person</v>
      </c>
      <c r="D49" s="318" t="str">
        <f t="shared" si="1"/>
        <v>Application Merchant_ShopName1 / Installation_Smartpos Installation Primary Contact Person</v>
      </c>
      <c r="E49" s="50" t="str">
        <f>'Application Merchant'!B52</f>
        <v>MR CHEN</v>
      </c>
    </row>
    <row r="50" spans="1:5" ht="14.5" customHeight="1">
      <c r="A50" s="361" t="s">
        <v>1506</v>
      </c>
      <c r="B50" s="43" t="s">
        <v>866</v>
      </c>
      <c r="C50" s="318" t="str">
        <f>'Application Merchant'!A53</f>
        <v>Smartpos Installation Primary Contact Position</v>
      </c>
      <c r="D50" s="318" t="str">
        <f t="shared" si="1"/>
        <v>Application Merchant_ShopName1 / Installation_Smartpos Installation Primary Contact Position</v>
      </c>
      <c r="E50" s="50" t="str">
        <f>'Application Merchant'!B53</f>
        <v>DIRECTOR</v>
      </c>
    </row>
    <row r="51" spans="1:5" ht="14.5" customHeight="1">
      <c r="A51" s="361" t="s">
        <v>1506</v>
      </c>
      <c r="B51" s="43" t="s">
        <v>866</v>
      </c>
      <c r="C51" s="318" t="str">
        <f>'Application Merchant'!A54</f>
        <v>Smartpos Installation Primary Contact tel</v>
      </c>
      <c r="D51" s="318" t="str">
        <f t="shared" si="1"/>
        <v>Application Merchant_ShopName1 / Installation_Smartpos Installation Primary Contact tel</v>
      </c>
      <c r="E51" s="50" t="str">
        <f>'Application Merchant'!B54</f>
        <v>5401 9126</v>
      </c>
    </row>
    <row r="52" spans="1:5" ht="14.5" customHeight="1">
      <c r="A52" s="361" t="s">
        <v>1506</v>
      </c>
      <c r="B52" s="43" t="s">
        <v>866</v>
      </c>
      <c r="C52" s="318" t="str">
        <f>'Application Merchant'!A55</f>
        <v>Smartpos Installation Primary Contact email</v>
      </c>
      <c r="D52" s="318" t="str">
        <f t="shared" si="1"/>
        <v>Application Merchant_ShopName1 / Installation_Smartpos Installation Primary Contact email</v>
      </c>
      <c r="E52" s="50" t="str">
        <f>'Application Merchant'!B55</f>
        <v>kailam0126@hotmail.com</v>
      </c>
    </row>
    <row r="53" spans="1:5" ht="14.5" customHeight="1">
      <c r="A53" s="361" t="s">
        <v>1506</v>
      </c>
      <c r="B53" s="43" t="s">
        <v>866</v>
      </c>
      <c r="C53" s="318" t="str">
        <f>'Application Merchant'!A56</f>
        <v>Smartpos Installation Second Contact Person</v>
      </c>
      <c r="D53" s="318" t="str">
        <f t="shared" si="1"/>
        <v>Application Merchant_ShopName1 / Installation_Smartpos Installation Second Contact Person</v>
      </c>
      <c r="E53" s="50" t="str">
        <f>'Application Merchant'!B56</f>
        <v>N/A</v>
      </c>
    </row>
    <row r="54" spans="1:5" ht="14.5" customHeight="1">
      <c r="A54" s="361" t="s">
        <v>1506</v>
      </c>
      <c r="B54" s="43" t="s">
        <v>866</v>
      </c>
      <c r="C54" s="318" t="str">
        <f>'Application Merchant'!A57</f>
        <v>Smartpos Installation Second Contact Position</v>
      </c>
      <c r="D54" s="318" t="str">
        <f t="shared" si="1"/>
        <v>Application Merchant_ShopName1 / Installation_Smartpos Installation Second Contact Position</v>
      </c>
      <c r="E54" s="50" t="str">
        <f>'Application Merchant'!B57</f>
        <v>N/A</v>
      </c>
    </row>
    <row r="55" spans="1:5" ht="14.5" customHeight="1">
      <c r="A55" s="361" t="s">
        <v>1506</v>
      </c>
      <c r="B55" s="43" t="s">
        <v>866</v>
      </c>
      <c r="C55" s="318" t="str">
        <f>'Application Merchant'!A58</f>
        <v>Smartpos Installation Second Contact tel</v>
      </c>
      <c r="D55" s="318" t="str">
        <f t="shared" si="1"/>
        <v>Application Merchant_ShopName1 / Installation_Smartpos Installation Second Contact tel</v>
      </c>
      <c r="E55" s="50" t="str">
        <f>'Application Merchant'!B58</f>
        <v>N/A</v>
      </c>
    </row>
    <row r="56" spans="1:5" ht="14.5" customHeight="1">
      <c r="A56" s="361" t="s">
        <v>1506</v>
      </c>
      <c r="B56" s="43" t="s">
        <v>866</v>
      </c>
      <c r="C56" s="318" t="str">
        <f>'Application Merchant'!A59</f>
        <v>Smartpos Installation Second Contact email</v>
      </c>
      <c r="D56" s="318" t="str">
        <f t="shared" si="1"/>
        <v>Application Merchant_ShopName1 / Installation_Smartpos Installation Second Contact email</v>
      </c>
      <c r="E56" s="50">
        <f>'Application Merchant'!B59</f>
        <v>0</v>
      </c>
    </row>
    <row r="57" spans="1:5">
      <c r="A57" s="361" t="s">
        <v>1506</v>
      </c>
      <c r="B57" t="s">
        <v>914</v>
      </c>
      <c r="C57" s="318" t="str">
        <f>'Application Merchant'!A61</f>
        <v>HKTPOS APP Display Trading Name</v>
      </c>
      <c r="D57" s="318" t="str">
        <f t="shared" si="1"/>
        <v>Application Merchant_HKTPOS Rental Form_HKTPOS APP Display Trading Name</v>
      </c>
      <c r="E57" s="50" t="str">
        <f>'Application Merchant'!B61</f>
        <v>SHARETEA</v>
      </c>
    </row>
    <row r="58" spans="1:5">
      <c r="A58" s="361" t="s">
        <v>1506</v>
      </c>
      <c r="B58" t="s">
        <v>914</v>
      </c>
      <c r="C58" s="318" t="str">
        <f>'Application Merchant'!A62</f>
        <v>HKTPOS APP Display Address</v>
      </c>
      <c r="D58" s="318" t="str">
        <f t="shared" si="1"/>
        <v>Application Merchant_HKTPOS Rental Form_HKTPOS APP Display Address</v>
      </c>
      <c r="E58" s="50" t="str">
        <f>'Application Merchant'!B62</f>
        <v>S8A G/F BAUHINIA GDN 11 TONG CHUN ST TKO NT</v>
      </c>
    </row>
    <row r="59" spans="1:5" ht="14.5" customHeight="1">
      <c r="A59" s="361" t="s">
        <v>1506</v>
      </c>
      <c r="B59" s="66" t="s">
        <v>773</v>
      </c>
      <c r="C59" s="318" t="str">
        <f>'Application Merchant'!E9</f>
        <v>Office Tel</v>
      </c>
      <c r="D59" s="318" t="str">
        <f t="shared" si="1"/>
        <v>Application Merchant_Merchant Info_Office Tel</v>
      </c>
      <c r="E59" s="50" t="str">
        <f>'Application Merchant'!F9</f>
        <v>5401 9126</v>
      </c>
    </row>
    <row r="60" spans="1:5" ht="14.5" customHeight="1">
      <c r="A60" s="361" t="s">
        <v>1506</v>
      </c>
      <c r="B60" s="66" t="s">
        <v>773</v>
      </c>
      <c r="C60" s="318" t="str">
        <f>'Application Merchant'!E10</f>
        <v>Office email</v>
      </c>
      <c r="D60" s="318" t="str">
        <f t="shared" si="1"/>
        <v>Application Merchant_Merchant Info_Office email</v>
      </c>
      <c r="E60" s="50" t="str">
        <f>'Application Merchant'!F10</f>
        <v>kailam0126@hotmail.com</v>
      </c>
    </row>
    <row r="61" spans="1:5" ht="14.5" customHeight="1">
      <c r="A61" s="361" t="s">
        <v>1506</v>
      </c>
      <c r="B61" s="66" t="s">
        <v>773</v>
      </c>
      <c r="C61" s="318" t="str">
        <f>'Application Merchant'!E11</f>
        <v>No of Shop</v>
      </c>
      <c r="D61" s="318" t="str">
        <f t="shared" si="1"/>
        <v>Application Merchant_Merchant Info_No of Shop</v>
      </c>
      <c r="E61" s="50">
        <f>'Application Merchant'!F11</f>
        <v>1</v>
      </c>
    </row>
    <row r="62" spans="1:5" ht="14.5" customHeight="1">
      <c r="A62" s="361" t="s">
        <v>1506</v>
      </c>
      <c r="B62" s="66" t="s">
        <v>793</v>
      </c>
      <c r="C62" t="str">
        <f>'Application Merchant'!E15</f>
        <v>Shop1 FltRm</v>
      </c>
      <c r="D62" s="318" t="str">
        <f t="shared" si="1"/>
        <v>Application Merchant_Billing Address_Shop1 FltRm</v>
      </c>
      <c r="E62" s="50" t="str">
        <f>'Application Merchant'!F15</f>
        <v>S8A</v>
      </c>
    </row>
    <row r="63" spans="1:5" ht="14.5" customHeight="1">
      <c r="A63" s="361" t="s">
        <v>1506</v>
      </c>
      <c r="B63" s="66" t="s">
        <v>793</v>
      </c>
      <c r="C63" t="str">
        <f>'Application Merchant'!E16</f>
        <v>Shop1 Floor</v>
      </c>
      <c r="D63" s="318" t="str">
        <f t="shared" si="1"/>
        <v>Application Merchant_Billing Address_Shop1 Floor</v>
      </c>
      <c r="E63" s="50" t="str">
        <f>'Application Merchant'!F16</f>
        <v>G/F</v>
      </c>
    </row>
    <row r="64" spans="1:5" ht="14.5" customHeight="1">
      <c r="A64" s="361" t="s">
        <v>1506</v>
      </c>
      <c r="B64" s="66" t="s">
        <v>793</v>
      </c>
      <c r="C64" t="str">
        <f>'Application Merchant'!E17</f>
        <v>Shop1 BlkBldg</v>
      </c>
      <c r="D64" s="318" t="str">
        <f t="shared" si="1"/>
        <v>Application Merchant_Billing Address_Shop1 BlkBldg</v>
      </c>
      <c r="E64" s="50" t="str">
        <f>'Application Merchant'!F17</f>
        <v>BAUHINIA GARDEN</v>
      </c>
    </row>
    <row r="65" spans="1:5" ht="14.5" customHeight="1">
      <c r="A65" s="361" t="s">
        <v>1506</v>
      </c>
      <c r="B65" s="66" t="s">
        <v>793</v>
      </c>
      <c r="C65" t="str">
        <f>'Application Merchant'!E18</f>
        <v>Shop1 Street</v>
      </c>
      <c r="D65" s="318" t="str">
        <f t="shared" si="1"/>
        <v>Application Merchant_Billing Address_Shop1 Street</v>
      </c>
      <c r="E65" s="50" t="str">
        <f>'Application Merchant'!F18</f>
        <v>11 TONG CHUN ST</v>
      </c>
    </row>
    <row r="66" spans="1:5" ht="14.5" customHeight="1">
      <c r="A66" s="361" t="s">
        <v>1506</v>
      </c>
      <c r="B66" s="66" t="s">
        <v>793</v>
      </c>
      <c r="C66" t="str">
        <f>'Application Merchant'!E19</f>
        <v>Shop1 District</v>
      </c>
      <c r="D66" s="318" t="str">
        <f t="shared" si="1"/>
        <v>Application Merchant_Billing Address_Shop1 District</v>
      </c>
      <c r="E66" s="50" t="str">
        <f>'Application Merchant'!F19</f>
        <v>Tseung Kwan O</v>
      </c>
    </row>
    <row r="67" spans="1:5" ht="14.5" customHeight="1">
      <c r="A67" s="361" t="s">
        <v>1506</v>
      </c>
      <c r="B67" s="66" t="s">
        <v>793</v>
      </c>
      <c r="C67" t="str">
        <f>'Application Merchant'!E20</f>
        <v>Shop1 Region</v>
      </c>
      <c r="D67" s="318" t="str">
        <f t="shared" ref="D67:D145" si="2">A67&amp;"_"&amp;B67&amp;"_"&amp;C67</f>
        <v>Application Merchant_Billing Address_Shop1 Region</v>
      </c>
      <c r="E67" s="50" t="str">
        <f>'Application Merchant'!F20</f>
        <v>New Territories</v>
      </c>
    </row>
    <row r="68" spans="1:5" ht="14.5" customHeight="1">
      <c r="A68" s="361" t="s">
        <v>1506</v>
      </c>
      <c r="B68" s="66" t="s">
        <v>834</v>
      </c>
      <c r="C68" t="str">
        <f>'Application Merchant'!E24</f>
        <v>Account Name</v>
      </c>
      <c r="D68" s="318" t="str">
        <f t="shared" si="2"/>
        <v>Application Merchant_Bank Account Info._Account Name</v>
      </c>
      <c r="E68" s="50" t="str">
        <f>'Application Merchant'!F24</f>
        <v>TONG HO RESTAURANT LIMITED</v>
      </c>
    </row>
    <row r="69" spans="1:5" ht="14.5" customHeight="1">
      <c r="A69" s="361" t="s">
        <v>1506</v>
      </c>
      <c r="B69" s="66" t="s">
        <v>834</v>
      </c>
      <c r="C69" t="str">
        <f>'Application Merchant'!E25</f>
        <v>Bank Code                               q</v>
      </c>
      <c r="D69" s="318" t="str">
        <f t="shared" si="2"/>
        <v>Application Merchant_Bank Account Info._Bank Code                               q</v>
      </c>
      <c r="E69" s="50" t="str">
        <f>'Application Merchant'!F25</f>
        <v>012</v>
      </c>
    </row>
    <row r="70" spans="1:5" ht="14.5" customHeight="1">
      <c r="A70" s="361" t="s">
        <v>1506</v>
      </c>
      <c r="B70" s="66" t="s">
        <v>834</v>
      </c>
      <c r="C70" t="str">
        <f>'Application Merchant'!E26</f>
        <v>Branch Code</v>
      </c>
      <c r="D70" s="318" t="str">
        <f t="shared" si="2"/>
        <v>Application Merchant_Bank Account Info._Branch Code</v>
      </c>
      <c r="E70" s="50" t="str">
        <f>'Application Merchant'!F26</f>
        <v>663</v>
      </c>
    </row>
    <row r="71" spans="1:5" ht="14.5" customHeight="1">
      <c r="A71" s="361" t="s">
        <v>1506</v>
      </c>
      <c r="B71" s="66" t="s">
        <v>834</v>
      </c>
      <c r="C71" t="str">
        <f>'Application Merchant'!E27</f>
        <v>Account Number (7-9 digit)</v>
      </c>
      <c r="D71" s="318" t="str">
        <f t="shared" si="2"/>
        <v>Application Merchant_Bank Account Info._Account Number (7-9 digit)</v>
      </c>
      <c r="E71" s="50" t="str">
        <f>'Application Merchant'!F27</f>
        <v>2-012695-3</v>
      </c>
    </row>
    <row r="72" spans="1:5" ht="14.5" customHeight="1">
      <c r="A72" s="361" t="s">
        <v>1506</v>
      </c>
      <c r="B72" s="66" t="s">
        <v>834</v>
      </c>
      <c r="C72" t="str">
        <f>'Application Merchant'!E28</f>
        <v>Bank Statement Address (Full)</v>
      </c>
      <c r="D72" s="318" t="str">
        <f t="shared" si="2"/>
        <v>Application Merchant_Bank Account Info._Bank Statement Address (Full)</v>
      </c>
      <c r="E72" s="50" t="str">
        <f>'Application Merchant'!F28</f>
        <v>S8A G/F BAUHINIA GARDEN 11 TONG CHUN ST TSEUNG KWAN O NT HK</v>
      </c>
    </row>
    <row r="73" spans="1:5" ht="14.5" customHeight="1">
      <c r="A73" s="361" t="s">
        <v>1506</v>
      </c>
      <c r="B73" s="66" t="s">
        <v>834</v>
      </c>
      <c r="C73" t="str">
        <f>'Application Merchant'!E29</f>
        <v>Bank Name         (automatic input)</v>
      </c>
      <c r="D73" s="318" t="str">
        <f t="shared" si="2"/>
        <v>Application Merchant_Bank Account Info._Bank Name         (automatic input)</v>
      </c>
      <c r="E73" s="50" t="str">
        <f>'Application Merchant'!F29</f>
        <v>BANK OF CHINA (HONG KONG) LIMITED</v>
      </c>
    </row>
    <row r="74" spans="1:5" ht="14.5" customHeight="1">
      <c r="A74" s="361" t="s">
        <v>1506</v>
      </c>
      <c r="B74" s="66" t="s">
        <v>834</v>
      </c>
      <c r="C74" t="str">
        <f>'Application Merchant'!E30</f>
        <v>SWIFT Code       (automatic input)</v>
      </c>
      <c r="D74" s="318" t="str">
        <f t="shared" si="2"/>
        <v>Application Merchant_Bank Account Info._SWIFT Code       (automatic input)</v>
      </c>
      <c r="E74" s="50" t="str">
        <f>'Application Merchant'!F30</f>
        <v>BKCHHKHHXXX</v>
      </c>
    </row>
    <row r="75" spans="1:5" ht="14.5" customHeight="1">
      <c r="A75" s="361" t="s">
        <v>1506</v>
      </c>
      <c r="B75" s="66" t="s">
        <v>774</v>
      </c>
      <c r="C75" t="str">
        <f>'Application Merchant'!I9</f>
        <v>ICL / Tap&amp;GO MCC        (automatic input)</v>
      </c>
      <c r="D75" s="318" t="str">
        <f t="shared" si="2"/>
        <v>Application Merchant_MCC_ICL / Tap&amp;GO MCC        (automatic input)</v>
      </c>
      <c r="E75" s="50">
        <f>'Application Merchant'!J9</f>
        <v>5814</v>
      </c>
    </row>
    <row r="76" spans="1:5" ht="14.5" customHeight="1">
      <c r="A76" s="361" t="s">
        <v>1506</v>
      </c>
      <c r="B76" s="66" t="s">
        <v>774</v>
      </c>
      <c r="C76" t="str">
        <f>'Application Merchant'!I10</f>
        <v>FD MCC                          (automatic input)</v>
      </c>
      <c r="D76" s="318" t="str">
        <f t="shared" si="2"/>
        <v>Application Merchant_MCC_FD MCC                          (automatic input)</v>
      </c>
      <c r="E76" s="50">
        <f>'Application Merchant'!J10</f>
        <v>5814</v>
      </c>
    </row>
    <row r="77" spans="1:5" ht="14.5" customHeight="1">
      <c r="A77" s="361" t="s">
        <v>1506</v>
      </c>
      <c r="B77" s="66" t="s">
        <v>774</v>
      </c>
      <c r="C77" t="str">
        <f>'Application Merchant'!I11</f>
        <v>EASYLINK MCC             (automatic input)</v>
      </c>
      <c r="D77" s="318" t="str">
        <f t="shared" si="2"/>
        <v>Application Merchant_MCC_EASYLINK MCC             (automatic input)</v>
      </c>
      <c r="E77" s="50">
        <f>'Application Merchant'!J11</f>
        <v>5814</v>
      </c>
    </row>
    <row r="78" spans="1:5" ht="14.5" customHeight="1">
      <c r="A78" s="361" t="s">
        <v>1506</v>
      </c>
      <c r="B78" s="66" t="s">
        <v>794</v>
      </c>
      <c r="C78" t="str">
        <f>'Application Merchant'!I15</f>
        <v>Avg Ticket Size</v>
      </c>
      <c r="D78" s="318" t="str">
        <f t="shared" si="2"/>
        <v>Application Merchant_Merchant Sales Volumn_Avg Ticket Size</v>
      </c>
      <c r="E78" s="319">
        <f>'Application Merchant'!J15</f>
        <v>50</v>
      </c>
    </row>
    <row r="79" spans="1:5" ht="14.5" customHeight="1">
      <c r="A79" s="361" t="s">
        <v>1506</v>
      </c>
      <c r="B79" s="66" t="s">
        <v>794</v>
      </c>
      <c r="C79" t="str">
        <f>'Application Merchant'!I16</f>
        <v>FPS Cap (Not in use)</v>
      </c>
      <c r="D79" s="318" t="str">
        <f t="shared" si="2"/>
        <v>Application Merchant_Merchant Sales Volumn_FPS Cap (Not in use)</v>
      </c>
      <c r="E79" s="319" t="str">
        <f>'Application Merchant'!J16</f>
        <v>≤HKD 8000</v>
      </c>
    </row>
    <row r="80" spans="1:5" ht="14.5" customHeight="1">
      <c r="A80" s="361" t="s">
        <v>1506</v>
      </c>
      <c r="B80" s="66" t="s">
        <v>794</v>
      </c>
      <c r="C80" t="str">
        <f>'Application Merchant'!I17</f>
        <v>Annual TurnOver</v>
      </c>
      <c r="D80" s="318" t="str">
        <f t="shared" si="2"/>
        <v>Application Merchant_Merchant Sales Volumn_Annual TurnOver</v>
      </c>
      <c r="E80" s="319">
        <f>'Application Merchant'!J17</f>
        <v>0</v>
      </c>
    </row>
    <row r="81" spans="1:5" ht="14.5" customHeight="1">
      <c r="A81" s="361" t="s">
        <v>1506</v>
      </c>
      <c r="B81" s="66" t="s">
        <v>794</v>
      </c>
      <c r="C81" t="str">
        <f>'Application Merchant'!I18</f>
        <v>Annual VM TurnOver</v>
      </c>
      <c r="D81" s="318" t="str">
        <f t="shared" si="2"/>
        <v>Application Merchant_Merchant Sales Volumn_Annual VM TurnOver</v>
      </c>
      <c r="E81" s="319">
        <f>'Application Merchant'!J18</f>
        <v>0</v>
      </c>
    </row>
    <row r="82" spans="1:5" ht="14.5" customHeight="1">
      <c r="A82" s="361" t="s">
        <v>1506</v>
      </c>
      <c r="B82" s="66" t="s">
        <v>794</v>
      </c>
      <c r="C82" t="str">
        <f>'Application Merchant'!I19</f>
        <v>Annual Online TurnOver</v>
      </c>
      <c r="D82" s="318" t="str">
        <f t="shared" si="2"/>
        <v>Application Merchant_Merchant Sales Volumn_Annual Online TurnOver</v>
      </c>
      <c r="E82" s="319">
        <f>'Application Merchant'!J19</f>
        <v>0</v>
      </c>
    </row>
    <row r="83" spans="1:5" ht="14.5" customHeight="1">
      <c r="A83" s="361" t="s">
        <v>1506</v>
      </c>
      <c r="B83" s="66" t="s">
        <v>794</v>
      </c>
      <c r="C83" t="str">
        <f>'Application Merchant'!I20</f>
        <v>Annual FPS,T&amp;G Turnover</v>
      </c>
      <c r="D83" s="318" t="str">
        <f t="shared" si="2"/>
        <v>Application Merchant_Merchant Sales Volumn_Annual FPS,T&amp;G Turnover</v>
      </c>
      <c r="E83" s="319">
        <f>'Application Merchant'!J20</f>
        <v>30000</v>
      </c>
    </row>
    <row r="84" spans="1:5" ht="14.5" customHeight="1">
      <c r="A84" s="361" t="s">
        <v>1506</v>
      </c>
      <c r="B84" s="66" t="s">
        <v>794</v>
      </c>
      <c r="C84" t="str">
        <f>'Application Merchant'!I21</f>
        <v>Annual Ali/WeC Turnover</v>
      </c>
      <c r="D84" s="318" t="str">
        <f t="shared" si="2"/>
        <v>Application Merchant_Merchant Sales Volumn_Annual Ali/WeC Turnover</v>
      </c>
      <c r="E84" s="319">
        <f>'Application Merchant'!J21</f>
        <v>480000</v>
      </c>
    </row>
    <row r="85" spans="1:5" ht="14.5" customHeight="1">
      <c r="A85" s="361" t="s">
        <v>1506</v>
      </c>
      <c r="B85" s="66" t="s">
        <v>794</v>
      </c>
      <c r="C85" t="str">
        <f>'Application Merchant'!I22</f>
        <v>Aturnover_VM</v>
      </c>
      <c r="D85" s="318" t="str">
        <f t="shared" si="2"/>
        <v>Application Merchant_Merchant Sales Volumn_Aturnover_VM</v>
      </c>
      <c r="E85" s="319">
        <f>'Application Merchant'!J22</f>
        <v>0</v>
      </c>
    </row>
    <row r="86" spans="1:5" ht="14.5" customHeight="1">
      <c r="A86" s="361" t="s">
        <v>1506</v>
      </c>
      <c r="B86" s="66" t="s">
        <v>794</v>
      </c>
      <c r="C86" t="str">
        <f>'Application Merchant'!I23</f>
        <v>Aturnover_OCL</v>
      </c>
      <c r="D86" s="318" t="str">
        <f t="shared" si="2"/>
        <v>Application Merchant_Merchant Sales Volumn_Aturnover_OCL</v>
      </c>
      <c r="E86" s="319">
        <f>'Application Merchant'!J23</f>
        <v>720000</v>
      </c>
    </row>
    <row r="87" spans="1:5" ht="14.5" customHeight="1">
      <c r="A87" s="361" t="s">
        <v>1506</v>
      </c>
      <c r="B87" s="66" t="s">
        <v>794</v>
      </c>
      <c r="C87" t="str">
        <f>'Application Merchant'!I24</f>
        <v>Expected % share on Alipay &amp; WeChat Pay</v>
      </c>
      <c r="D87" s="318" t="str">
        <f t="shared" si="2"/>
        <v>Application Merchant_Merchant Sales Volumn_Expected % share on Alipay &amp; WeChat Pay</v>
      </c>
      <c r="E87" s="319">
        <f>'Application Merchant'!J24</f>
        <v>0</v>
      </c>
    </row>
    <row r="88" spans="1:5" ht="14.5" customHeight="1">
      <c r="A88" s="361" t="s">
        <v>1506</v>
      </c>
      <c r="B88" s="66" t="s">
        <v>794</v>
      </c>
      <c r="C88" t="str">
        <f>'Application Merchant'!I25</f>
        <v>Fiserv SMB (only)                        q</v>
      </c>
      <c r="D88" s="318" t="str">
        <f t="shared" si="2"/>
        <v>Application Merchant_Merchant Sales Volumn_Fiserv SMB (only)                        q</v>
      </c>
      <c r="E88" s="319">
        <f>'Application Merchant'!J25</f>
        <v>0</v>
      </c>
    </row>
    <row r="89" spans="1:5" ht="14.5" customHeight="1">
      <c r="A89" s="361" t="s">
        <v>1506</v>
      </c>
      <c r="B89" s="66" t="s">
        <v>794</v>
      </c>
      <c r="C89" t="str">
        <f>'Application Merchant'!I26</f>
        <v>Expected % Annual Octopus txn</v>
      </c>
      <c r="D89" s="318" t="str">
        <f t="shared" si="2"/>
        <v>Application Merchant_Merchant Sales Volumn_Expected % Annual Octopus txn</v>
      </c>
      <c r="E89" s="319">
        <f>'Application Merchant'!J26</f>
        <v>0.2</v>
      </c>
    </row>
    <row r="90" spans="1:5" ht="14.5" customHeight="1">
      <c r="A90" s="361" t="s">
        <v>1506</v>
      </c>
      <c r="B90" s="66" t="s">
        <v>775</v>
      </c>
      <c r="C90" t="str">
        <f>'Application Merchant'!M9</f>
        <v>Tap&amp;Go Remark   </v>
      </c>
      <c r="D90" s="318" t="str">
        <f t="shared" si="2"/>
        <v>Application Merchant_Remark_Tap&amp;Go Remark   </v>
      </c>
      <c r="E90" s="50">
        <f>'Application Merchant'!N9</f>
        <v>0</v>
      </c>
    </row>
    <row r="91" spans="1:5" ht="14.5" customHeight="1">
      <c r="A91" s="361" t="s">
        <v>1506</v>
      </c>
      <c r="B91" s="66" t="s">
        <v>775</v>
      </c>
      <c r="C91" t="str">
        <f>'Application Merchant'!M10</f>
        <v>Tap&amp;Go PromoCode  </v>
      </c>
      <c r="D91" s="318" t="str">
        <f t="shared" si="2"/>
        <v>Application Merchant_Remark_Tap&amp;Go PromoCode  </v>
      </c>
      <c r="E91" s="50" t="str">
        <f>'Application Merchant'!N10</f>
        <v>HKTSME</v>
      </c>
    </row>
    <row r="92" spans="1:5" ht="14.5" customHeight="1">
      <c r="A92" s="361" t="s">
        <v>1506</v>
      </c>
      <c r="B92" s="66" t="s">
        <v>4126</v>
      </c>
      <c r="C92" t="str">
        <f>'Application Merchant'!M15</f>
        <v>Rental Fee Amount</v>
      </c>
      <c r="D92" s="318" t="str">
        <f t="shared" si="2"/>
        <v>Application Merchant_Rental Fee (Smart POS)_Rental Fee Amount</v>
      </c>
      <c r="E92" s="50" t="str">
        <f>'Application Merchant'!N15</f>
        <v>$88</v>
      </c>
    </row>
    <row r="93" spans="1:5" ht="14.5" customHeight="1">
      <c r="A93" s="361" t="s">
        <v>1506</v>
      </c>
      <c r="B93" s="66" t="s">
        <v>4126</v>
      </c>
      <c r="C93" t="str">
        <f>'Application Merchant'!M16</f>
        <v>Code</v>
      </c>
      <c r="D93" s="318" t="str">
        <f t="shared" si="2"/>
        <v>Application Merchant_Rental Fee (Smart POS)_Code</v>
      </c>
      <c r="E93" s="50" t="str">
        <f>'Application Merchant'!N16</f>
        <v xml:space="preserve">24 months  
(codes: WMER2YDE-program, IBSCCX0060/1159958 - Merchant Service $298 ($210 discount), IBSCCX0067/1167103-A920 terminal by HKT) </v>
      </c>
    </row>
    <row r="94" spans="1:5" ht="14.5" customHeight="1">
      <c r="A94" s="361" t="s">
        <v>1506</v>
      </c>
      <c r="B94" s="66" t="s">
        <v>4128</v>
      </c>
      <c r="C94" t="str">
        <f>'Application Merchant'!M19</f>
        <v>Rental Fee Amount</v>
      </c>
      <c r="D94" s="318" t="str">
        <f t="shared" si="2"/>
        <v>Application Merchant_Rental Fee (Soft POS)_Rental Fee Amount</v>
      </c>
      <c r="E94" s="50">
        <f>'Application Merchant'!N19</f>
        <v>108</v>
      </c>
    </row>
    <row r="95" spans="1:5" ht="14.5" customHeight="1">
      <c r="A95" s="361" t="s">
        <v>1506</v>
      </c>
      <c r="B95" s="66" t="s">
        <v>4128</v>
      </c>
      <c r="C95" t="str">
        <f>'Application Merchant'!M20</f>
        <v>Code</v>
      </c>
      <c r="D95" s="318" t="str">
        <f t="shared" si="2"/>
        <v>Application Merchant_Rental Fee (Soft POS)_Code</v>
      </c>
      <c r="E95" s="50" t="str">
        <f>'Application Merchant'!N20</f>
        <v>24 months 
(code: WMER2YDE-program, IBSCCX0137/1734346 - HKT POS $108)</v>
      </c>
    </row>
    <row r="96" spans="1:5" ht="14.5" customHeight="1">
      <c r="A96" s="361" t="s">
        <v>1506</v>
      </c>
      <c r="B96" s="66" t="s">
        <v>4160</v>
      </c>
      <c r="C96" t="str">
        <f>'Application Merchant'!M24</f>
        <v>New Setup</v>
      </c>
      <c r="D96" s="318" t="str">
        <f t="shared" si="2"/>
        <v>Application Merchant_Application Type_New Setup</v>
      </c>
      <c r="E96" s="50" t="str">
        <f>IF(ISBLANK('Application Merchant'!N24), "", 'Application Merchant'!N24)</f>
        <v/>
      </c>
    </row>
    <row r="97" spans="1:5" ht="14.5" customHeight="1">
      <c r="A97" s="361" t="s">
        <v>1506</v>
      </c>
      <c r="B97" s="66" t="s">
        <v>4160</v>
      </c>
      <c r="C97" t="str">
        <f>'Application Merchant'!M25</f>
        <v>Migration</v>
      </c>
      <c r="D97" s="318" t="str">
        <f t="shared" si="2"/>
        <v>Application Merchant_Application Type_Migration</v>
      </c>
      <c r="E97" s="50" t="str">
        <f>IF(ISBLANK('Application Merchant'!N25), "", 'Application Merchant'!N25)</f>
        <v/>
      </c>
    </row>
    <row r="98" spans="1:5" ht="14.5" customHeight="1">
      <c r="A98" s="361" t="s">
        <v>1506</v>
      </c>
      <c r="B98" s="66" t="s">
        <v>4160</v>
      </c>
      <c r="C98" t="str">
        <f>'Application Merchant'!M26</f>
        <v>Contract Renewal</v>
      </c>
      <c r="D98" s="318" t="str">
        <f t="shared" si="2"/>
        <v>Application Merchant_Application Type_Contract Renewal</v>
      </c>
      <c r="E98" s="50" t="str">
        <f>IF(ISBLANK('Application Merchant'!N26), "", 'Application Merchant'!N26)</f>
        <v/>
      </c>
    </row>
    <row r="99" spans="1:5" ht="14.5" customHeight="1">
      <c r="A99" s="361" t="s">
        <v>1506</v>
      </c>
      <c r="B99" s="66" t="s">
        <v>4160</v>
      </c>
      <c r="C99" t="str">
        <f>'Application Merchant'!M27</f>
        <v>Additional Terminal/ Outlet</v>
      </c>
      <c r="D99" s="318" t="str">
        <f t="shared" si="2"/>
        <v>Application Merchant_Application Type_Additional Terminal/ Outlet</v>
      </c>
      <c r="E99" s="50" t="str">
        <f>IF(ISBLANK('Application Merchant'!N27), "", 'Application Merchant'!N27)</f>
        <v>x</v>
      </c>
    </row>
    <row r="100" spans="1:5" ht="14.5" customHeight="1">
      <c r="A100" s="361" t="s">
        <v>1506</v>
      </c>
      <c r="B100" s="66" t="s">
        <v>4160</v>
      </c>
      <c r="C100" t="str">
        <f>'Application Merchant'!M28</f>
        <v>Service Reconnection</v>
      </c>
      <c r="D100" s="318" t="str">
        <f t="shared" si="2"/>
        <v>Application Merchant_Application Type_Service Reconnection</v>
      </c>
      <c r="E100" s="50" t="str">
        <f>IF(ISBLANK('Application Merchant'!N28), "", 'Application Merchant'!N28)</f>
        <v/>
      </c>
    </row>
    <row r="101" spans="1:5" ht="14.5" customHeight="1">
      <c r="A101" s="361" t="s">
        <v>1506</v>
      </c>
      <c r="B101" s="66" t="s">
        <v>4160</v>
      </c>
      <c r="C101" t="str">
        <f>'Application Merchant'!M29</f>
        <v>Service Reconfiguration</v>
      </c>
      <c r="D101" s="318" t="str">
        <f t="shared" si="2"/>
        <v>Application Merchant_Application Type_Service Reconfiguration</v>
      </c>
      <c r="E101" s="50" t="str">
        <f>IF(ISBLANK('Application Merchant'!N29), "", 'Application Merchant'!N29)</f>
        <v/>
      </c>
    </row>
    <row r="102" spans="1:5" ht="14.5" customHeight="1">
      <c r="A102" s="361" t="s">
        <v>1506</v>
      </c>
      <c r="B102" s="66" t="s">
        <v>4223</v>
      </c>
      <c r="C102" t="str">
        <f>'Application Merchant'!M32</f>
        <v>Refund PIN</v>
      </c>
      <c r="D102" s="318" t="str">
        <f t="shared" si="2"/>
        <v>Application Merchant_Specail Request_Refund PIN</v>
      </c>
      <c r="E102" s="50">
        <f>'Application Merchant'!N32</f>
        <v>123456</v>
      </c>
    </row>
    <row r="103" spans="1:5" ht="14.5" customHeight="1">
      <c r="A103" s="361" t="s">
        <v>1506</v>
      </c>
      <c r="B103" s="66" t="s">
        <v>4516</v>
      </c>
      <c r="C103" s="323" t="str">
        <f>'Application Merchant'!M37</f>
        <v>Registered Name of Parent Company</v>
      </c>
      <c r="D103" s="318" t="str">
        <f t="shared" si="2"/>
        <v>Application Merchant_Parent Company Details_Registered Name of Parent Company</v>
      </c>
      <c r="E103" s="50" t="str">
        <f>'Application Merchant'!N37</f>
        <v>ABC Limited</v>
      </c>
    </row>
    <row r="104" spans="1:5" ht="14.5" customHeight="1">
      <c r="A104" s="361" t="s">
        <v>1506</v>
      </c>
      <c r="B104" s="66" t="s">
        <v>4516</v>
      </c>
      <c r="C104" s="323" t="str">
        <f>'Application Merchant'!M38</f>
        <v>Registered Name of Parent Company (CN)</v>
      </c>
      <c r="D104" s="318" t="str">
        <f t="shared" si="2"/>
        <v>Application Merchant_Parent Company Details_Registered Name of Parent Company (CN)</v>
      </c>
      <c r="E104" s="50" t="str">
        <f>'Application Merchant'!N38</f>
        <v>ABC公司</v>
      </c>
    </row>
    <row r="105" spans="1:5" ht="14.5" customHeight="1">
      <c r="A105" s="361" t="s">
        <v>1506</v>
      </c>
      <c r="B105" s="66" t="s">
        <v>4516</v>
      </c>
      <c r="C105" s="323" t="str">
        <f>'Application Merchant'!M39</f>
        <v>Nature of Ownership to the Merchant        q</v>
      </c>
      <c r="D105" s="318" t="str">
        <f t="shared" si="2"/>
        <v>Application Merchant_Parent Company Details_Nature of Ownership to the Merchant        q</v>
      </c>
      <c r="E105" s="50" t="str">
        <f>'Application Merchant'!N39</f>
        <v>Direct Ownership</v>
      </c>
    </row>
    <row r="106" spans="1:5" ht="14.5" customHeight="1">
      <c r="A106" s="361" t="s">
        <v>1506</v>
      </c>
      <c r="B106" s="66" t="s">
        <v>4516</v>
      </c>
      <c r="C106" s="323" t="str">
        <f>'Application Merchant'!M40</f>
        <v>Name of Stock Exchange</v>
      </c>
      <c r="D106" s="318" t="str">
        <f t="shared" si="2"/>
        <v>Application Merchant_Parent Company Details_Name of Stock Exchange</v>
      </c>
      <c r="E106" s="50" t="str">
        <f>'Application Merchant'!N40</f>
        <v>Nasdaq</v>
      </c>
    </row>
    <row r="107" spans="1:5">
      <c r="A107" s="359" t="s">
        <v>3963</v>
      </c>
      <c r="B107" s="147" t="s">
        <v>8</v>
      </c>
      <c r="C107" t="str">
        <f>'Payment Channels'!A2</f>
        <v>SmartPOS </v>
      </c>
      <c r="D107" s="318" t="str">
        <f t="shared" si="2"/>
        <v>Payment Channels_SmartPOS_SmartPOS </v>
      </c>
      <c r="E107" s="50" t="str">
        <f>IF(ISBLANK('Payment Channels'!B2), "", 'Payment Channels'!B2)</f>
        <v>X</v>
      </c>
    </row>
    <row r="108" spans="1:5">
      <c r="A108" s="359" t="s">
        <v>3963</v>
      </c>
      <c r="B108" s="147" t="s">
        <v>8</v>
      </c>
      <c r="C108" t="str">
        <f>'Payment Channels'!A3</f>
        <v>SmartPOSPlan </v>
      </c>
      <c r="D108" s="318" t="str">
        <f t="shared" si="2"/>
        <v>Payment Channels_SmartPOS_SmartPOSPlan </v>
      </c>
      <c r="E108" s="50" t="str">
        <f>'Payment Channels'!B3</f>
        <v>24 Months</v>
      </c>
    </row>
    <row r="109" spans="1:5">
      <c r="A109" s="359" t="s">
        <v>3963</v>
      </c>
      <c r="B109" s="147" t="s">
        <v>8</v>
      </c>
      <c r="C109" t="str">
        <f>'Payment Channels'!A4</f>
        <v>No. of POS</v>
      </c>
      <c r="D109" s="318" t="str">
        <f t="shared" si="2"/>
        <v>Payment Channels_SmartPOS_No. of POS</v>
      </c>
      <c r="E109" s="50">
        <f>'Payment Channels'!B4</f>
        <v>1</v>
      </c>
    </row>
    <row r="110" spans="1:5">
      <c r="A110" s="359" t="s">
        <v>3963</v>
      </c>
      <c r="B110" s="147" t="s">
        <v>8</v>
      </c>
      <c r="C110" t="str">
        <f>'Payment Channels'!A5</f>
        <v>No. of MID</v>
      </c>
      <c r="D110" s="318" t="str">
        <f t="shared" si="2"/>
        <v>Payment Channels_SmartPOS_No. of MID</v>
      </c>
      <c r="E110" s="50">
        <f>'Payment Channels'!B5</f>
        <v>1</v>
      </c>
    </row>
    <row r="111" spans="1:5">
      <c r="A111" s="359" t="s">
        <v>3963</v>
      </c>
      <c r="B111" s="147" t="s">
        <v>8</v>
      </c>
      <c r="C111" t="str">
        <f>'Payment Channels'!A6</f>
        <v>Effective Date</v>
      </c>
      <c r="D111" s="318" t="str">
        <f t="shared" si="2"/>
        <v>Payment Channels_SmartPOS_Effective Date</v>
      </c>
      <c r="E111" s="368">
        <f>'Payment Channels'!B6</f>
        <v>45555</v>
      </c>
    </row>
    <row r="112" spans="1:5">
      <c r="A112" s="359" t="s">
        <v>3963</v>
      </c>
      <c r="B112" s="147" t="s">
        <v>8</v>
      </c>
      <c r="C112" t="str">
        <f>'Payment Channels'!A7</f>
        <v>No. of Outlet</v>
      </c>
      <c r="D112" s="318" t="str">
        <f t="shared" si="2"/>
        <v>Payment Channels_SmartPOS_No. of Outlet</v>
      </c>
      <c r="E112" s="50">
        <f>'Payment Channels'!B7</f>
        <v>1</v>
      </c>
    </row>
    <row r="113" spans="1:5">
      <c r="A113" s="359" t="s">
        <v>3963</v>
      </c>
      <c r="B113" s="147" t="s">
        <v>8</v>
      </c>
      <c r="C113" t="str">
        <f>'Payment Channels'!A8</f>
        <v>No Location</v>
      </c>
      <c r="D113" s="318" t="str">
        <f t="shared" si="2"/>
        <v>Payment Channels_SmartPOS_No Location</v>
      </c>
      <c r="E113" s="50">
        <f>'Payment Channels'!B8</f>
        <v>1</v>
      </c>
    </row>
    <row r="114" spans="1:5">
      <c r="A114" s="359" t="s">
        <v>3963</v>
      </c>
      <c r="B114" s="147" t="s">
        <v>8</v>
      </c>
      <c r="C114" t="str">
        <f>'Payment Channels'!A9</f>
        <v>T&amp;G </v>
      </c>
      <c r="D114" s="318" t="str">
        <f t="shared" si="2"/>
        <v>Payment Channels_SmartPOS_T&amp;G </v>
      </c>
      <c r="E114" s="50" t="str">
        <f>'Payment Channels'!B9</f>
        <v>X</v>
      </c>
    </row>
    <row r="115" spans="1:5">
      <c r="A115" s="359" t="s">
        <v>3963</v>
      </c>
      <c r="B115" s="147" t="s">
        <v>8</v>
      </c>
      <c r="C115" t="str">
        <f>'Payment Channels'!A10</f>
        <v>T&amp;G MDR</v>
      </c>
      <c r="D115" s="318" t="str">
        <f t="shared" si="2"/>
        <v>Payment Channels_SmartPOS_T&amp;G MDR</v>
      </c>
      <c r="E115" s="367">
        <f>'Payment Channels'!B10</f>
        <v>0.01</v>
      </c>
    </row>
    <row r="116" spans="1:5">
      <c r="A116" s="359" t="s">
        <v>3963</v>
      </c>
      <c r="B116" s="147" t="s">
        <v>8</v>
      </c>
      <c r="C116" t="str">
        <f>'Payment Channels'!A11</f>
        <v>FPS </v>
      </c>
      <c r="D116" s="318" t="str">
        <f t="shared" si="2"/>
        <v>Payment Channels_SmartPOS_FPS </v>
      </c>
      <c r="E116" s="367" t="str">
        <f>'Payment Channels'!B11</f>
        <v>X</v>
      </c>
    </row>
    <row r="117" spans="1:5">
      <c r="A117" s="359" t="s">
        <v>3963</v>
      </c>
      <c r="B117" s="147" t="s">
        <v>8</v>
      </c>
      <c r="C117" t="str">
        <f>'Payment Channels'!A12</f>
        <v>FPS MDR</v>
      </c>
      <c r="D117" s="318" t="str">
        <f t="shared" si="2"/>
        <v>Payment Channels_SmartPOS_FPS MDR</v>
      </c>
      <c r="E117" s="367">
        <f>'Payment Channels'!B12</f>
        <v>0.01</v>
      </c>
    </row>
    <row r="118" spans="1:5">
      <c r="A118" s="359" t="s">
        <v>3963</v>
      </c>
      <c r="B118" s="147" t="s">
        <v>8</v>
      </c>
      <c r="C118" t="str">
        <f>'Payment Channels'!A13</f>
        <v>VM</v>
      </c>
      <c r="D118" s="318" t="str">
        <f t="shared" si="2"/>
        <v>Payment Channels_SmartPOS_VM</v>
      </c>
      <c r="E118" s="50">
        <f>'Payment Channels'!B13</f>
        <v>0</v>
      </c>
    </row>
    <row r="119" spans="1:5">
      <c r="A119" s="359" t="s">
        <v>3963</v>
      </c>
      <c r="B119" s="147" t="s">
        <v>8</v>
      </c>
      <c r="C119" t="str">
        <f>'Payment Channels'!A14</f>
        <v>VM MDR (Local)</v>
      </c>
      <c r="D119" s="318" t="str">
        <f t="shared" si="2"/>
        <v>Payment Channels_SmartPOS_VM MDR (Local)</v>
      </c>
      <c r="E119" s="50">
        <f>'Payment Channels'!B14</f>
        <v>0</v>
      </c>
    </row>
    <row r="120" spans="1:5">
      <c r="A120" s="359" t="s">
        <v>3963</v>
      </c>
      <c r="B120" s="147" t="s">
        <v>8</v>
      </c>
      <c r="C120" t="str">
        <f>'Payment Channels'!A15</f>
        <v>VM MDR (Oversea)</v>
      </c>
      <c r="D120" s="318" t="str">
        <f t="shared" si="2"/>
        <v>Payment Channels_SmartPOS_VM MDR (Oversea)</v>
      </c>
      <c r="E120" s="50">
        <f>'Payment Channels'!B15</f>
        <v>0</v>
      </c>
    </row>
    <row r="121" spans="1:5">
      <c r="A121" s="359" t="s">
        <v>3963</v>
      </c>
      <c r="B121" s="147" t="s">
        <v>8</v>
      </c>
      <c r="C121" t="str">
        <f>'Payment Channels'!A16</f>
        <v>CUP </v>
      </c>
      <c r="D121" s="318" t="str">
        <f t="shared" si="2"/>
        <v>Payment Channels_SmartPOS_CUP </v>
      </c>
      <c r="E121" s="50">
        <f>'Payment Channels'!B16</f>
        <v>0</v>
      </c>
    </row>
    <row r="122" spans="1:5">
      <c r="A122" s="359" t="s">
        <v>3963</v>
      </c>
      <c r="B122" s="147" t="s">
        <v>8</v>
      </c>
      <c r="C122" t="str">
        <f>'Payment Channels'!A17</f>
        <v>CUP QR</v>
      </c>
      <c r="D122" s="318" t="str">
        <f t="shared" si="2"/>
        <v>Payment Channels_SmartPOS_CUP QR</v>
      </c>
      <c r="E122" s="50">
        <f>'Payment Channels'!B17</f>
        <v>0</v>
      </c>
    </row>
    <row r="123" spans="1:5">
      <c r="A123" s="359" t="s">
        <v>3963</v>
      </c>
      <c r="B123" s="147" t="s">
        <v>8</v>
      </c>
      <c r="C123" t="str">
        <f>'Payment Channels'!A18</f>
        <v>CUPHK MDR</v>
      </c>
      <c r="D123" s="318" t="str">
        <f t="shared" si="2"/>
        <v>Payment Channels_SmartPOS_CUPHK MDR</v>
      </c>
      <c r="E123" s="50">
        <f>'Payment Channels'!B18</f>
        <v>0</v>
      </c>
    </row>
    <row r="124" spans="1:5">
      <c r="A124" s="359" t="s">
        <v>3963</v>
      </c>
      <c r="B124" s="147" t="s">
        <v>8</v>
      </c>
      <c r="C124" t="str">
        <f>'Payment Channels'!A19</f>
        <v>CUPCN MDR</v>
      </c>
      <c r="D124" s="318" t="str">
        <f t="shared" si="2"/>
        <v>Payment Channels_SmartPOS_CUPCN MDR</v>
      </c>
      <c r="E124" s="50">
        <f>'Payment Channels'!B19</f>
        <v>0</v>
      </c>
    </row>
    <row r="125" spans="1:5">
      <c r="A125" s="359" t="s">
        <v>3963</v>
      </c>
      <c r="B125" s="147" t="s">
        <v>8</v>
      </c>
      <c r="C125" t="str">
        <f>'Payment Channels'!A20</f>
        <v>THE CLUB </v>
      </c>
      <c r="D125" s="318" t="str">
        <f t="shared" si="2"/>
        <v>Payment Channels_SmartPOS_THE CLUB </v>
      </c>
      <c r="E125" s="50">
        <f>'Payment Channels'!B20</f>
        <v>0</v>
      </c>
    </row>
    <row r="126" spans="1:5">
      <c r="A126" s="359" t="s">
        <v>3963</v>
      </c>
      <c r="B126" s="147" t="s">
        <v>8</v>
      </c>
      <c r="C126" t="str">
        <f>'Payment Channels'!A21</f>
        <v>CLUB MDR</v>
      </c>
      <c r="D126" s="318" t="str">
        <f t="shared" si="2"/>
        <v>Payment Channels_SmartPOS_CLUB MDR</v>
      </c>
      <c r="E126" s="50">
        <f>'Payment Channels'!B21</f>
        <v>0</v>
      </c>
    </row>
    <row r="127" spans="1:5">
      <c r="A127" s="359" t="s">
        <v>3963</v>
      </c>
      <c r="B127" s="147" t="s">
        <v>8</v>
      </c>
      <c r="C127" t="str">
        <f>'Payment Channels'!A22</f>
        <v>CLUB FEE</v>
      </c>
      <c r="D127" s="318" t="str">
        <f t="shared" si="2"/>
        <v>Payment Channels_SmartPOS_CLUB FEE</v>
      </c>
      <c r="E127" s="50">
        <f>'Payment Channels'!B22</f>
        <v>0</v>
      </c>
    </row>
    <row r="128" spans="1:5">
      <c r="A128" s="359" t="s">
        <v>3963</v>
      </c>
      <c r="B128" s="147" t="s">
        <v>8</v>
      </c>
      <c r="C128" t="str">
        <f>'Payment Channels'!A23</f>
        <v>OCL </v>
      </c>
      <c r="D128" s="318" t="str">
        <f t="shared" si="2"/>
        <v>Payment Channels_SmartPOS_OCL </v>
      </c>
      <c r="E128" s="50" t="str">
        <f>'Payment Channels'!B23</f>
        <v>X</v>
      </c>
    </row>
    <row r="129" spans="1:5">
      <c r="A129" s="359" t="s">
        <v>3963</v>
      </c>
      <c r="B129" s="147" t="s">
        <v>8</v>
      </c>
      <c r="C129" t="str">
        <f>'Payment Channels'!A24</f>
        <v>OCL MDR</v>
      </c>
      <c r="D129" s="318" t="str">
        <f t="shared" si="2"/>
        <v>Payment Channels_SmartPOS_OCL MDR</v>
      </c>
      <c r="E129" s="367">
        <f>'Payment Channels'!B24</f>
        <v>1.4500000000000001E-2</v>
      </c>
    </row>
    <row r="130" spans="1:5">
      <c r="A130" s="359" t="s">
        <v>3963</v>
      </c>
      <c r="B130" s="147" t="s">
        <v>8</v>
      </c>
      <c r="C130" t="str">
        <f>'Payment Channels'!A25</f>
        <v>ALIPAY </v>
      </c>
      <c r="D130" s="318" t="str">
        <f t="shared" si="2"/>
        <v>Payment Channels_SmartPOS_ALIPAY </v>
      </c>
      <c r="E130" s="367" t="str">
        <f>'Payment Channels'!B25</f>
        <v>X</v>
      </c>
    </row>
    <row r="131" spans="1:5">
      <c r="A131" s="359" t="s">
        <v>3963</v>
      </c>
      <c r="B131" s="147" t="s">
        <v>8</v>
      </c>
      <c r="C131" t="str">
        <f>'Payment Channels'!A26</f>
        <v>ALIPAY MDR</v>
      </c>
      <c r="D131" s="318" t="str">
        <f t="shared" si="2"/>
        <v>Payment Channels_SmartPOS_ALIPAY MDR</v>
      </c>
      <c r="E131" s="367">
        <f>'Payment Channels'!B26</f>
        <v>1.2E-2</v>
      </c>
    </row>
    <row r="132" spans="1:5">
      <c r="A132" s="359" t="s">
        <v>3963</v>
      </c>
      <c r="B132" s="147" t="s">
        <v>8</v>
      </c>
      <c r="C132" t="str">
        <f>'Payment Channels'!A27</f>
        <v>WECHAT </v>
      </c>
      <c r="D132" s="318" t="str">
        <f t="shared" si="2"/>
        <v>Payment Channels_SmartPOS_WECHAT </v>
      </c>
      <c r="E132" s="367" t="str">
        <f>'Payment Channels'!B27</f>
        <v>X</v>
      </c>
    </row>
    <row r="133" spans="1:5">
      <c r="A133" s="359" t="s">
        <v>3963</v>
      </c>
      <c r="B133" s="147" t="s">
        <v>8</v>
      </c>
      <c r="C133" t="str">
        <f>'Payment Channels'!A28</f>
        <v>WECHAT MDR</v>
      </c>
      <c r="D133" s="318" t="str">
        <f t="shared" si="2"/>
        <v>Payment Channels_SmartPOS_WECHAT MDR</v>
      </c>
      <c r="E133" s="367">
        <f>'Payment Channels'!B28</f>
        <v>1.2E-2</v>
      </c>
    </row>
    <row r="134" spans="1:5">
      <c r="A134" s="359" t="s">
        <v>3963</v>
      </c>
      <c r="B134" s="149" t="s">
        <v>920</v>
      </c>
      <c r="C134" t="str">
        <f>'Payment Channels'!E2</f>
        <v>FPS Suite </v>
      </c>
      <c r="D134" s="318" t="str">
        <f t="shared" si="2"/>
        <v>Payment Channels_FPS Suite_FPS Suite </v>
      </c>
      <c r="E134" s="367" t="str">
        <f>'Payment Channels'!F2</f>
        <v>X</v>
      </c>
    </row>
    <row r="135" spans="1:5">
      <c r="A135" s="359" t="s">
        <v>3963</v>
      </c>
      <c r="B135" s="149" t="s">
        <v>920</v>
      </c>
      <c r="C135" t="str">
        <f>'Payment Channels'!E3</f>
        <v>FPS MDR</v>
      </c>
      <c r="D135" s="318" t="str">
        <f t="shared" si="2"/>
        <v>Payment Channels_FPS Suite_FPS MDR</v>
      </c>
      <c r="E135" s="367">
        <f>'Payment Channels'!F3</f>
        <v>0.01</v>
      </c>
    </row>
    <row r="136" spans="1:5">
      <c r="A136" s="359" t="s">
        <v>3963</v>
      </c>
      <c r="B136" s="149" t="s">
        <v>920</v>
      </c>
      <c r="C136" t="str">
        <f>'Payment Channels'!E4</f>
        <v>FPS QR MDR</v>
      </c>
      <c r="D136" s="318" t="str">
        <f t="shared" si="2"/>
        <v>Payment Channels_FPS Suite_FPS QR MDR</v>
      </c>
      <c r="E136" s="367">
        <f>'Payment Channels'!F4</f>
        <v>0.01</v>
      </c>
    </row>
    <row r="137" spans="1:5">
      <c r="A137" s="359" t="s">
        <v>3963</v>
      </c>
      <c r="B137" s="149" t="s">
        <v>920</v>
      </c>
      <c r="C137" t="str">
        <f>'Payment Channels'!E5</f>
        <v>FPS POS APP MDR</v>
      </c>
      <c r="D137" s="318" t="str">
        <f t="shared" si="2"/>
        <v>Payment Channels_FPS Suite_FPS POS APP MDR</v>
      </c>
      <c r="E137" s="367">
        <f>'Payment Channels'!F5</f>
        <v>0.01</v>
      </c>
    </row>
    <row r="138" spans="1:5">
      <c r="A138" s="359" t="s">
        <v>3963</v>
      </c>
      <c r="B138" s="149" t="s">
        <v>920</v>
      </c>
      <c r="C138" t="str">
        <f>'Payment Channels'!E6</f>
        <v>FPS Bill MDR</v>
      </c>
      <c r="D138" s="318" t="str">
        <f t="shared" si="2"/>
        <v>Payment Channels_FPS Suite_FPS Bill MDR</v>
      </c>
      <c r="E138" s="367">
        <f>'Payment Channels'!F6</f>
        <v>0.01</v>
      </c>
    </row>
    <row r="139" spans="1:5" ht="14.5">
      <c r="A139" s="359" t="s">
        <v>3963</v>
      </c>
      <c r="B139" s="280" t="s">
        <v>974</v>
      </c>
      <c r="C139" t="str">
        <f>'Payment Channels'!E10</f>
        <v>Direct Marketing </v>
      </c>
      <c r="D139" s="318" t="str">
        <f t="shared" si="2"/>
        <v>Payment Channels_Opt out_Direct Marketing </v>
      </c>
      <c r="E139" s="50" t="str">
        <f>'Payment Channels'!F10</f>
        <v>X</v>
      </c>
    </row>
    <row r="140" spans="1:5">
      <c r="A140" s="359" t="s">
        <v>3963</v>
      </c>
      <c r="B140" s="151" t="s">
        <v>921</v>
      </c>
      <c r="C140" s="158" t="s">
        <v>4038</v>
      </c>
      <c r="D140" s="318" t="str">
        <f t="shared" si="2"/>
        <v>Payment Channels_HKT POS Mobile App_HKT POS Mobile </v>
      </c>
      <c r="E140" s="50" t="str">
        <f>'Payment Channels'!J2</f>
        <v>X</v>
      </c>
    </row>
    <row r="141" spans="1:5">
      <c r="A141" s="359" t="s">
        <v>3963</v>
      </c>
      <c r="B141" s="151" t="s">
        <v>921</v>
      </c>
      <c r="C141" t="str">
        <f>'Payment Channels'!I3</f>
        <v>HKT POS Plan </v>
      </c>
      <c r="D141" s="318" t="str">
        <f t="shared" si="2"/>
        <v>Payment Channels_HKT POS Mobile App_HKT POS Plan </v>
      </c>
      <c r="E141" s="50" t="str">
        <f>IF(ISBLANK('Payment Channels'!J3)," ",'Payment Channels'!J3)</f>
        <v xml:space="preserve"> </v>
      </c>
    </row>
    <row r="142" spans="1:5">
      <c r="A142" s="359" t="s">
        <v>3963</v>
      </c>
      <c r="B142" s="151" t="s">
        <v>921</v>
      </c>
      <c r="C142" t="str">
        <f>'Payment Channels'!I4</f>
        <v>No. of License</v>
      </c>
      <c r="D142" s="318" t="str">
        <f t="shared" si="2"/>
        <v>Payment Channels_HKT POS Mobile App_No. of License</v>
      </c>
      <c r="E142" s="50" t="str">
        <f>IF(ISBLANK('Payment Channels'!J4)," ",'Payment Channels'!J4)</f>
        <v xml:space="preserve"> </v>
      </c>
    </row>
    <row r="143" spans="1:5">
      <c r="A143" s="359" t="s">
        <v>3963</v>
      </c>
      <c r="B143" s="151" t="s">
        <v>921</v>
      </c>
      <c r="C143" t="str">
        <f>'Payment Channels'!I5</f>
        <v>Effective Date</v>
      </c>
      <c r="D143" s="318" t="str">
        <f t="shared" si="2"/>
        <v>Payment Channels_HKT POS Mobile App_Effective Date</v>
      </c>
      <c r="E143" s="50" t="str">
        <f>IF(ISBLANK('Payment Channels'!J5)," ",'Payment Channels'!J5)</f>
        <v xml:space="preserve"> </v>
      </c>
    </row>
    <row r="144" spans="1:5">
      <c r="A144" s="359" t="s">
        <v>3963</v>
      </c>
      <c r="B144" s="151" t="s">
        <v>921</v>
      </c>
      <c r="C144" t="str">
        <f>'Payment Channels'!I6</f>
        <v>T&amp;G </v>
      </c>
      <c r="D144" s="318" t="str">
        <f t="shared" si="2"/>
        <v>Payment Channels_HKT POS Mobile App_T&amp;G </v>
      </c>
      <c r="E144" s="367" t="str">
        <f>IF(ISBLANK('Payment Channels'!J6)," ",'Payment Channels'!J6)</f>
        <v xml:space="preserve"> </v>
      </c>
    </row>
    <row r="145" spans="1:5">
      <c r="A145" s="359" t="s">
        <v>3963</v>
      </c>
      <c r="B145" s="151" t="s">
        <v>921</v>
      </c>
      <c r="C145" t="str">
        <f>'Payment Channels'!I7</f>
        <v>T&amp;G MDR</v>
      </c>
      <c r="D145" s="318" t="str">
        <f t="shared" si="2"/>
        <v>Payment Channels_HKT POS Mobile App_T&amp;G MDR</v>
      </c>
      <c r="E145" s="367">
        <f>IF(ISBLANK('Payment Channels'!J7)," ",'Payment Channels'!J7)</f>
        <v>0.01</v>
      </c>
    </row>
    <row r="146" spans="1:5">
      <c r="A146" s="359" t="s">
        <v>3963</v>
      </c>
      <c r="B146" s="151" t="s">
        <v>921</v>
      </c>
      <c r="C146" t="str">
        <f>'Payment Channels'!I8</f>
        <v>FPS </v>
      </c>
      <c r="D146" s="318" t="str">
        <f t="shared" ref="D146:D207" si="3">A146&amp;"_"&amp;B146&amp;"_"&amp;C146</f>
        <v>Payment Channels_HKT POS Mobile App_FPS </v>
      </c>
      <c r="E146" s="367" t="str">
        <f>IF(ISBLANK('Payment Channels'!J8)," ",'Payment Channels'!J8)</f>
        <v xml:space="preserve"> </v>
      </c>
    </row>
    <row r="147" spans="1:5">
      <c r="A147" s="359" t="s">
        <v>3963</v>
      </c>
      <c r="B147" s="151" t="s">
        <v>921</v>
      </c>
      <c r="C147" t="str">
        <f>'Payment Channels'!I9</f>
        <v>FPS MDR</v>
      </c>
      <c r="D147" s="318" t="str">
        <f t="shared" si="3"/>
        <v>Payment Channels_HKT POS Mobile App_FPS MDR</v>
      </c>
      <c r="E147" s="367">
        <f>IF(ISBLANK('Payment Channels'!J9)," ",'Payment Channels'!J9)</f>
        <v>0.01</v>
      </c>
    </row>
    <row r="148" spans="1:5">
      <c r="A148" s="359" t="s">
        <v>3963</v>
      </c>
      <c r="B148" s="151" t="s">
        <v>921</v>
      </c>
      <c r="C148" t="str">
        <f>'Payment Channels'!I10</f>
        <v>WLB VM </v>
      </c>
      <c r="D148" s="318" t="str">
        <f t="shared" si="3"/>
        <v>Payment Channels_HKT POS Mobile App_WLB VM </v>
      </c>
      <c r="E148" s="367" t="str">
        <f>IF(ISBLANK('Payment Channels'!J10)," ",'Payment Channels'!J10)</f>
        <v xml:space="preserve"> </v>
      </c>
    </row>
    <row r="149" spans="1:5">
      <c r="A149" s="359" t="s">
        <v>3963</v>
      </c>
      <c r="B149" s="151" t="s">
        <v>921</v>
      </c>
      <c r="C149" t="str">
        <f>'Payment Channels'!I11</f>
        <v>WLB VM MDR (Local)</v>
      </c>
      <c r="D149" s="318" t="str">
        <f t="shared" si="3"/>
        <v>Payment Channels_HKT POS Mobile App_WLB VM MDR (Local)</v>
      </c>
      <c r="E149" s="367" t="str">
        <f>IF(ISBLANK('Payment Channels'!J11)," ",'Payment Channels'!J11)</f>
        <v xml:space="preserve"> </v>
      </c>
    </row>
    <row r="150" spans="1:5">
      <c r="A150" s="359" t="s">
        <v>3963</v>
      </c>
      <c r="B150" s="151" t="s">
        <v>921</v>
      </c>
      <c r="C150" t="str">
        <f>'Payment Channels'!I12</f>
        <v>WLB VM MDR (Oversea)</v>
      </c>
      <c r="D150" s="318" t="str">
        <f t="shared" si="3"/>
        <v>Payment Channels_HKT POS Mobile App_WLB VM MDR (Oversea)</v>
      </c>
      <c r="E150" s="367" t="str">
        <f>IF(ISBLANK('Payment Channels'!J12)," ",'Payment Channels'!J12)</f>
        <v xml:space="preserve"> </v>
      </c>
    </row>
    <row r="151" spans="1:5">
      <c r="A151" s="359" t="s">
        <v>3963</v>
      </c>
      <c r="B151" s="149" t="s">
        <v>28</v>
      </c>
      <c r="C151" t="str">
        <f>'Payment Channels'!M2</f>
        <v>OPG </v>
      </c>
      <c r="D151" s="318" t="str">
        <f t="shared" si="3"/>
        <v>Payment Channels_OPG_OPG </v>
      </c>
      <c r="E151" s="50" t="str">
        <f>'Payment Channels'!N2</f>
        <v>X</v>
      </c>
    </row>
    <row r="152" spans="1:5">
      <c r="A152" s="359" t="s">
        <v>3963</v>
      </c>
      <c r="B152" s="149" t="s">
        <v>28</v>
      </c>
      <c r="C152" t="str">
        <f>'Payment Channels'!M3</f>
        <v>O2OF&amp;B </v>
      </c>
      <c r="D152" s="318" t="str">
        <f t="shared" si="3"/>
        <v>Payment Channels_OPG_O2OF&amp;B </v>
      </c>
      <c r="E152" s="50">
        <f>'Payment Channels'!N3</f>
        <v>0</v>
      </c>
    </row>
    <row r="153" spans="1:5">
      <c r="A153" s="359" t="s">
        <v>3963</v>
      </c>
      <c r="B153" s="149" t="s">
        <v>28</v>
      </c>
      <c r="C153" t="str">
        <f>'Payment Channels'!M4</f>
        <v>O2OPM </v>
      </c>
      <c r="D153" s="318" t="str">
        <f t="shared" si="3"/>
        <v>Payment Channels_OPG_O2OPM </v>
      </c>
      <c r="E153" s="50">
        <f>'Payment Channels'!N4</f>
        <v>0</v>
      </c>
    </row>
    <row r="154" spans="1:5">
      <c r="A154" s="359" t="s">
        <v>3963</v>
      </c>
      <c r="B154" s="149" t="s">
        <v>28</v>
      </c>
      <c r="C154" t="str">
        <f>'Payment Channels'!M5</f>
        <v>O2OSB </v>
      </c>
      <c r="D154" s="318" t="str">
        <f t="shared" si="3"/>
        <v>Payment Channels_OPG_O2OSB </v>
      </c>
      <c r="E154" s="50">
        <f>'Payment Channels'!N5</f>
        <v>0</v>
      </c>
    </row>
    <row r="155" spans="1:5">
      <c r="A155" s="359" t="s">
        <v>3963</v>
      </c>
      <c r="B155" s="149" t="s">
        <v>28</v>
      </c>
      <c r="C155" t="str">
        <f>'Payment Channels'!M6</f>
        <v>O2OCater </v>
      </c>
      <c r="D155" s="318" t="str">
        <f t="shared" si="3"/>
        <v>Payment Channels_OPG_O2OCater </v>
      </c>
      <c r="E155" s="50">
        <f>'Payment Channels'!N6</f>
        <v>0</v>
      </c>
    </row>
    <row r="156" spans="1:5">
      <c r="A156" s="359" t="s">
        <v>3963</v>
      </c>
      <c r="B156" s="149" t="s">
        <v>28</v>
      </c>
      <c r="C156" t="str">
        <f>'Payment Channels'!M7</f>
        <v>O2OSmartSch </v>
      </c>
      <c r="D156" s="318" t="str">
        <f t="shared" si="3"/>
        <v>Payment Channels_OPG_O2OSmartSch </v>
      </c>
      <c r="E156" s="50">
        <f>'Payment Channels'!N7</f>
        <v>0</v>
      </c>
    </row>
    <row r="157" spans="1:5">
      <c r="A157" s="359" t="s">
        <v>3963</v>
      </c>
      <c r="B157" s="149" t="s">
        <v>28</v>
      </c>
      <c r="C157" t="str">
        <f>'Payment Channels'!M8</f>
        <v>FPS MDR</v>
      </c>
      <c r="D157" s="318" t="str">
        <f t="shared" si="3"/>
        <v>Payment Channels_OPG_FPS MDR</v>
      </c>
      <c r="E157" s="50">
        <f>'Payment Channels'!N8</f>
        <v>0</v>
      </c>
    </row>
    <row r="158" spans="1:5">
      <c r="A158" s="359" t="s">
        <v>3963</v>
      </c>
      <c r="B158" s="149" t="s">
        <v>28</v>
      </c>
      <c r="C158" t="str">
        <f>'Payment Channels'!M9</f>
        <v>T&amp;G MDR</v>
      </c>
      <c r="D158" s="318" t="str">
        <f t="shared" si="3"/>
        <v>Payment Channels_OPG_T&amp;G MDR</v>
      </c>
      <c r="E158" s="50">
        <f>'Payment Channels'!N9</f>
        <v>0</v>
      </c>
    </row>
    <row r="159" spans="1:5">
      <c r="A159" s="359" t="s">
        <v>3963</v>
      </c>
      <c r="B159" s="149" t="s">
        <v>28</v>
      </c>
      <c r="C159" t="str">
        <f>'Payment Channels'!M10</f>
        <v>VM MDR</v>
      </c>
      <c r="D159" s="318" t="str">
        <f t="shared" si="3"/>
        <v>Payment Channels_OPG_VM MDR</v>
      </c>
      <c r="E159" s="50">
        <f>'Payment Channels'!N10</f>
        <v>0</v>
      </c>
    </row>
    <row r="160" spans="1:5">
      <c r="A160" s="359" t="s">
        <v>3963</v>
      </c>
      <c r="B160" s="149" t="s">
        <v>28</v>
      </c>
      <c r="C160" t="str">
        <f>'Payment Channels'!M11</f>
        <v>VMFC MDR</v>
      </c>
      <c r="D160" s="318" t="str">
        <f t="shared" si="3"/>
        <v>Payment Channels_OPG_VMFC MDR</v>
      </c>
      <c r="E160" s="50">
        <f>'Payment Channels'!N11</f>
        <v>0</v>
      </c>
    </row>
    <row r="161" spans="1:5">
      <c r="A161" s="359" t="s">
        <v>3963</v>
      </c>
      <c r="B161" s="149" t="s">
        <v>28</v>
      </c>
      <c r="C161" t="str">
        <f>'Payment Channels'!M12</f>
        <v>Alipay</v>
      </c>
      <c r="D161" s="318" t="str">
        <f t="shared" si="3"/>
        <v>Payment Channels_OPG_Alipay</v>
      </c>
      <c r="E161" s="50">
        <f>'Payment Channels'!N12</f>
        <v>0</v>
      </c>
    </row>
    <row r="162" spans="1:5">
      <c r="A162" s="359" t="s">
        <v>3963</v>
      </c>
      <c r="B162" s="149" t="s">
        <v>28</v>
      </c>
      <c r="C162" t="str">
        <f>'Payment Channels'!M13</f>
        <v>Wechat</v>
      </c>
      <c r="D162" s="318" t="str">
        <f t="shared" si="3"/>
        <v>Payment Channels_OPG_Wechat</v>
      </c>
      <c r="E162" s="50">
        <f>'Payment Channels'!N13</f>
        <v>0</v>
      </c>
    </row>
    <row r="163" spans="1:5">
      <c r="A163" s="359" t="s">
        <v>3963</v>
      </c>
      <c r="B163" s="149" t="s">
        <v>28</v>
      </c>
      <c r="C163" t="str">
        <f>'Payment Channels'!M14</f>
        <v>CUP MDR</v>
      </c>
      <c r="D163" s="318" t="str">
        <f t="shared" si="3"/>
        <v>Payment Channels_OPG_CUP MDR</v>
      </c>
      <c r="E163" s="50">
        <f>'Payment Channels'!N14</f>
        <v>0</v>
      </c>
    </row>
    <row r="164" spans="1:5">
      <c r="A164" s="359" t="s">
        <v>3963</v>
      </c>
      <c r="B164" s="149" t="s">
        <v>28</v>
      </c>
      <c r="C164" t="str">
        <f>'Payment Channels'!M15</f>
        <v>CUPCN MDR</v>
      </c>
      <c r="D164" s="318" t="str">
        <f t="shared" si="3"/>
        <v>Payment Channels_OPG_CUPCN MDR</v>
      </c>
      <c r="E164" s="50" t="str">
        <f>'Payment Channels'!N15</f>
        <v/>
      </c>
    </row>
    <row r="165" spans="1:5">
      <c r="A165" s="359" t="s">
        <v>3963</v>
      </c>
      <c r="B165" s="149" t="s">
        <v>28</v>
      </c>
      <c r="C165" t="str">
        <f>'Payment Channels'!M16</f>
        <v>T&amp;G DIY  MDR</v>
      </c>
      <c r="D165" s="318" t="str">
        <f t="shared" si="3"/>
        <v>Payment Channels_OPG_T&amp;G DIY  MDR</v>
      </c>
      <c r="E165" s="50">
        <f>'Payment Channels'!N16</f>
        <v>0</v>
      </c>
    </row>
    <row r="166" spans="1:5">
      <c r="A166" s="359" t="s">
        <v>3963</v>
      </c>
      <c r="B166" s="149" t="s">
        <v>28</v>
      </c>
      <c r="C166" t="str">
        <f>'Payment Channels'!M17</f>
        <v>VM DIY  MDR</v>
      </c>
      <c r="D166" s="318" t="str">
        <f t="shared" si="3"/>
        <v>Payment Channels_OPG_VM DIY  MDR</v>
      </c>
      <c r="E166" s="50">
        <f>'Payment Channels'!N17</f>
        <v>0</v>
      </c>
    </row>
    <row r="167" spans="1:5">
      <c r="A167" s="359" t="s">
        <v>3963</v>
      </c>
      <c r="B167" s="149" t="s">
        <v>28</v>
      </c>
      <c r="C167" t="str">
        <f>'Payment Channels'!M18</f>
        <v>AMEX DIY  MDR</v>
      </c>
      <c r="D167" s="318" t="str">
        <f t="shared" si="3"/>
        <v>Payment Channels_OPG_AMEX DIY  MDR</v>
      </c>
      <c r="E167" s="50">
        <f>'Payment Channels'!N18</f>
        <v>0</v>
      </c>
    </row>
    <row r="168" spans="1:5">
      <c r="A168" s="359" t="s">
        <v>3963</v>
      </c>
      <c r="B168" s="149" t="s">
        <v>28</v>
      </c>
      <c r="C168" t="str">
        <f>'Payment Channels'!M19</f>
        <v>Alipay DIY  MDR</v>
      </c>
      <c r="D168" s="318" t="str">
        <f t="shared" si="3"/>
        <v>Payment Channels_OPG_Alipay DIY  MDR</v>
      </c>
      <c r="E168" s="50">
        <f>'Payment Channels'!N19</f>
        <v>0</v>
      </c>
    </row>
    <row r="169" spans="1:5">
      <c r="A169" s="359" t="s">
        <v>3963</v>
      </c>
      <c r="B169" s="149" t="s">
        <v>28</v>
      </c>
      <c r="C169" t="str">
        <f>'Payment Channels'!M20</f>
        <v>WeChat DIY  MDR</v>
      </c>
      <c r="D169" s="318" t="str">
        <f t="shared" si="3"/>
        <v>Payment Channels_OPG_WeChat DIY  MDR</v>
      </c>
      <c r="E169" s="50">
        <f>'Payment Channels'!N20</f>
        <v>0</v>
      </c>
    </row>
    <row r="170" spans="1:5">
      <c r="A170" s="359" t="s">
        <v>3963</v>
      </c>
      <c r="B170" s="149" t="s">
        <v>28</v>
      </c>
      <c r="C170" t="str">
        <f>'Payment Channels'!M21</f>
        <v>PM FPS MDR</v>
      </c>
      <c r="D170" s="318" t="str">
        <f t="shared" si="3"/>
        <v>Payment Channels_OPG_PM FPS MDR</v>
      </c>
      <c r="E170" s="50" t="str">
        <f>'Payment Channels'!N21</f>
        <v/>
      </c>
    </row>
    <row r="171" spans="1:5">
      <c r="A171" s="359" t="s">
        <v>3963</v>
      </c>
      <c r="B171" s="149" t="s">
        <v>28</v>
      </c>
      <c r="C171" t="str">
        <f>'Payment Channels'!M22</f>
        <v>PM T&amp;G MDR</v>
      </c>
      <c r="D171" s="318" t="str">
        <f t="shared" si="3"/>
        <v>Payment Channels_OPG_PM T&amp;G MDR</v>
      </c>
      <c r="E171" s="50" t="str">
        <f>'Payment Channels'!N22</f>
        <v/>
      </c>
    </row>
    <row r="172" spans="1:5">
      <c r="A172" s="359" t="s">
        <v>3963</v>
      </c>
      <c r="B172" s="149" t="s">
        <v>28</v>
      </c>
      <c r="C172" t="str">
        <f>'Payment Channels'!M23</f>
        <v>PM VM MDR</v>
      </c>
      <c r="D172" s="318" t="str">
        <f t="shared" si="3"/>
        <v>Payment Channels_OPG_PM VM MDR</v>
      </c>
      <c r="E172" s="50" t="str">
        <f>'Payment Channels'!N23</f>
        <v/>
      </c>
    </row>
    <row r="173" spans="1:5">
      <c r="A173" s="359" t="s">
        <v>3963</v>
      </c>
      <c r="B173" s="149" t="s">
        <v>28</v>
      </c>
      <c r="C173" t="str">
        <f>'Payment Channels'!M24</f>
        <v>F&amp;B T&amp;G MDR</v>
      </c>
      <c r="D173" s="318" t="str">
        <f t="shared" si="3"/>
        <v>Payment Channels_OPG_F&amp;B T&amp;G MDR</v>
      </c>
      <c r="E173" s="50" t="str">
        <f>'Payment Channels'!N24</f>
        <v/>
      </c>
    </row>
    <row r="174" spans="1:5">
      <c r="A174" s="359" t="s">
        <v>3963</v>
      </c>
      <c r="B174" s="149" t="s">
        <v>28</v>
      </c>
      <c r="C174" t="str">
        <f>'Payment Channels'!M25</f>
        <v>F&amp;B VM MDR</v>
      </c>
      <c r="D174" s="318" t="str">
        <f t="shared" si="3"/>
        <v>Payment Channels_OPG_F&amp;B VM MDR</v>
      </c>
      <c r="E174" s="50" t="str">
        <f>'Payment Channels'!N25</f>
        <v/>
      </c>
    </row>
    <row r="175" spans="1:5">
      <c r="A175" s="359" t="s">
        <v>3963</v>
      </c>
      <c r="B175" s="149" t="s">
        <v>28</v>
      </c>
      <c r="C175" t="str">
        <f>'Payment Channels'!M26</f>
        <v>SB T&amp;G MDR</v>
      </c>
      <c r="D175" s="318" t="str">
        <f t="shared" si="3"/>
        <v>Payment Channels_OPG_SB T&amp;G MDR</v>
      </c>
      <c r="E175" s="50" t="str">
        <f>'Payment Channels'!N26</f>
        <v/>
      </c>
    </row>
    <row r="176" spans="1:5">
      <c r="A176" s="359" t="s">
        <v>3963</v>
      </c>
      <c r="B176" s="149" t="s">
        <v>28</v>
      </c>
      <c r="C176" t="str">
        <f>'Payment Channels'!M27</f>
        <v>SB VM MDR</v>
      </c>
      <c r="D176" s="318" t="str">
        <f t="shared" si="3"/>
        <v>Payment Channels_OPG_SB VM MDR</v>
      </c>
      <c r="E176" s="50" t="str">
        <f>'Payment Channels'!N27</f>
        <v/>
      </c>
    </row>
    <row r="177" spans="1:5">
      <c r="A177" s="359" t="s">
        <v>3963</v>
      </c>
      <c r="B177" s="149" t="s">
        <v>28</v>
      </c>
      <c r="C177" t="str">
        <f>'Payment Channels'!M28</f>
        <v>Cater T&amp;G MDR</v>
      </c>
      <c r="D177" s="318" t="str">
        <f t="shared" si="3"/>
        <v>Payment Channels_OPG_Cater T&amp;G MDR</v>
      </c>
      <c r="E177" s="50" t="str">
        <f>'Payment Channels'!N28</f>
        <v/>
      </c>
    </row>
    <row r="178" spans="1:5">
      <c r="A178" s="359" t="s">
        <v>3963</v>
      </c>
      <c r="B178" s="149" t="s">
        <v>28</v>
      </c>
      <c r="C178" t="str">
        <f>'Payment Channels'!M29</f>
        <v>Cater VM MDR</v>
      </c>
      <c r="D178" s="318" t="str">
        <f t="shared" si="3"/>
        <v>Payment Channels_OPG_Cater VM MDR</v>
      </c>
      <c r="E178" s="50" t="str">
        <f>'Payment Channels'!N29</f>
        <v/>
      </c>
    </row>
    <row r="179" spans="1:5">
      <c r="A179" s="359" t="s">
        <v>3963</v>
      </c>
      <c r="B179" s="149" t="s">
        <v>28</v>
      </c>
      <c r="C179" t="str">
        <f>'Payment Channels'!M30</f>
        <v>SmartSch T&amp;G MDR</v>
      </c>
      <c r="D179" s="318" t="str">
        <f t="shared" si="3"/>
        <v>Payment Channels_OPG_SmartSch T&amp;G MDR</v>
      </c>
      <c r="E179" s="50" t="str">
        <f>'Payment Channels'!N30</f>
        <v/>
      </c>
    </row>
    <row r="180" spans="1:5">
      <c r="A180" s="359" t="s">
        <v>3963</v>
      </c>
      <c r="B180" s="149" t="s">
        <v>28</v>
      </c>
      <c r="C180" t="str">
        <f>'Payment Channels'!M33</f>
        <v>O2OMDR_VM</v>
      </c>
      <c r="D180" s="318" t="str">
        <f t="shared" si="3"/>
        <v>Payment Channels_OPG_O2OMDR_VM</v>
      </c>
      <c r="E180" s="50">
        <f>'Payment Channels'!N33</f>
        <v>0</v>
      </c>
    </row>
    <row r="181" spans="1:5">
      <c r="A181" s="359" t="s">
        <v>3963</v>
      </c>
      <c r="B181" s="149" t="s">
        <v>28</v>
      </c>
      <c r="C181" t="str">
        <f>'Payment Channels'!M34</f>
        <v>O2OPMMDR_FPS</v>
      </c>
      <c r="D181" s="318" t="str">
        <f t="shared" si="3"/>
        <v>Payment Channels_OPG_O2OPMMDR_FPS</v>
      </c>
      <c r="E181" s="50">
        <f>'Payment Channels'!N34</f>
        <v>0</v>
      </c>
    </row>
    <row r="182" spans="1:5">
      <c r="A182" s="359" t="s">
        <v>3963</v>
      </c>
      <c r="B182" s="149" t="s">
        <v>28</v>
      </c>
      <c r="C182" t="str">
        <f>'Payment Channels'!M35</f>
        <v>O2OPMMDR_T&amp;G</v>
      </c>
      <c r="D182" s="318" t="str">
        <f t="shared" si="3"/>
        <v>Payment Channels_OPG_O2OPMMDR_T&amp;G</v>
      </c>
      <c r="E182" s="50">
        <f>'Payment Channels'!N35</f>
        <v>0</v>
      </c>
    </row>
    <row r="183" spans="1:5">
      <c r="A183" s="359" t="s">
        <v>3963</v>
      </c>
      <c r="B183" s="149" t="s">
        <v>28</v>
      </c>
      <c r="C183" t="str">
        <f>'Payment Channels'!M36</f>
        <v>O2OPMMDR_VM</v>
      </c>
      <c r="D183" s="318" t="str">
        <f t="shared" si="3"/>
        <v>Payment Channels_OPG_O2OPMMDR_VM</v>
      </c>
      <c r="E183" s="50">
        <f>'Payment Channels'!N36</f>
        <v>0</v>
      </c>
    </row>
    <row r="184" spans="1:5">
      <c r="A184" s="359" t="s">
        <v>3963</v>
      </c>
      <c r="B184" s="149" t="s">
        <v>28</v>
      </c>
      <c r="C184" t="str">
        <f>'Payment Channels'!M37</f>
        <v>O2OF&amp;BMDR_T&amp;G</v>
      </c>
      <c r="D184" s="318" t="str">
        <f t="shared" si="3"/>
        <v>Payment Channels_OPG_O2OF&amp;BMDR_T&amp;G</v>
      </c>
      <c r="E184" s="50">
        <f>'Payment Channels'!N37</f>
        <v>0</v>
      </c>
    </row>
    <row r="185" spans="1:5">
      <c r="A185" s="359" t="s">
        <v>3963</v>
      </c>
      <c r="B185" s="149" t="s">
        <v>28</v>
      </c>
      <c r="C185" t="str">
        <f>'Payment Channels'!M38</f>
        <v>O2OF&amp;BMDR_VM</v>
      </c>
      <c r="D185" s="318" t="str">
        <f t="shared" si="3"/>
        <v>Payment Channels_OPG_O2OF&amp;BMDR_VM</v>
      </c>
      <c r="E185" s="50">
        <f>'Payment Channels'!N38</f>
        <v>0</v>
      </c>
    </row>
    <row r="186" spans="1:5">
      <c r="A186" s="359" t="s">
        <v>3963</v>
      </c>
      <c r="B186" s="149" t="s">
        <v>28</v>
      </c>
      <c r="C186" t="str">
        <f>'Payment Channels'!M39</f>
        <v>O2OSBMDR_T&amp;G</v>
      </c>
      <c r="D186" s="318" t="str">
        <f t="shared" si="3"/>
        <v>Payment Channels_OPG_O2OSBMDR_T&amp;G</v>
      </c>
      <c r="E186" s="50">
        <f>'Payment Channels'!N39</f>
        <v>0</v>
      </c>
    </row>
    <row r="187" spans="1:5">
      <c r="A187" s="359" t="s">
        <v>3963</v>
      </c>
      <c r="B187" s="149" t="s">
        <v>28</v>
      </c>
      <c r="C187" t="str">
        <f>'Payment Channels'!M40</f>
        <v>O2OSBMDR_VM</v>
      </c>
      <c r="D187" s="318" t="str">
        <f t="shared" si="3"/>
        <v>Payment Channels_OPG_O2OSBMDR_VM</v>
      </c>
      <c r="E187" s="50">
        <f>'Payment Channels'!N40</f>
        <v>0</v>
      </c>
    </row>
    <row r="188" spans="1:5">
      <c r="A188" s="359" t="s">
        <v>3963</v>
      </c>
      <c r="B188" s="149" t="s">
        <v>28</v>
      </c>
      <c r="C188" t="str">
        <f>'Payment Channels'!M41</f>
        <v>O2OCaterMDR_T&amp;G</v>
      </c>
      <c r="D188" s="318" t="str">
        <f t="shared" si="3"/>
        <v>Payment Channels_OPG_O2OCaterMDR_T&amp;G</v>
      </c>
      <c r="E188" s="50">
        <f>'Payment Channels'!N41</f>
        <v>0</v>
      </c>
    </row>
    <row r="189" spans="1:5">
      <c r="A189" s="359" t="s">
        <v>3963</v>
      </c>
      <c r="B189" s="149" t="s">
        <v>28</v>
      </c>
      <c r="C189" t="str">
        <f>'Payment Channels'!M42</f>
        <v>O2OCaterMDR_VM</v>
      </c>
      <c r="D189" s="318" t="str">
        <f t="shared" si="3"/>
        <v>Payment Channels_OPG_O2OCaterMDR_VM</v>
      </c>
      <c r="E189" s="50">
        <f>'Payment Channels'!N42</f>
        <v>0</v>
      </c>
    </row>
    <row r="190" spans="1:5">
      <c r="A190" s="359" t="s">
        <v>3963</v>
      </c>
      <c r="B190" s="149" t="s">
        <v>28</v>
      </c>
      <c r="C190" t="str">
        <f>'Payment Channels'!M43</f>
        <v>O2OSmartSchMDR_T&amp;G</v>
      </c>
      <c r="D190" s="318" t="str">
        <f t="shared" si="3"/>
        <v>Payment Channels_OPG_O2OSmartSchMDR_T&amp;G</v>
      </c>
      <c r="E190" s="50">
        <f>'Payment Channels'!N43</f>
        <v>0</v>
      </c>
    </row>
    <row r="191" spans="1:5">
      <c r="A191" s="359" t="s">
        <v>3963</v>
      </c>
      <c r="B191" s="149" t="s">
        <v>28</v>
      </c>
      <c r="C191" t="str">
        <f>'Payment Channels'!M45</f>
        <v>VM Approval</v>
      </c>
      <c r="D191" s="318" t="str">
        <f t="shared" si="3"/>
        <v>Payment Channels_OPG_VM Approval</v>
      </c>
      <c r="E191" s="50">
        <f>'Payment Channels'!N45</f>
        <v>0</v>
      </c>
    </row>
    <row r="192" spans="1:5">
      <c r="A192" s="359" t="s">
        <v>3963</v>
      </c>
      <c r="B192" s="149" t="s">
        <v>28</v>
      </c>
      <c r="C192" t="str">
        <f>'Payment Channels'!M46</f>
        <v>AMEX Approval</v>
      </c>
      <c r="D192" s="318" t="str">
        <f t="shared" si="3"/>
        <v>Payment Channels_OPG_AMEX Approval</v>
      </c>
      <c r="E192" s="50">
        <f>'Payment Channels'!N46</f>
        <v>0</v>
      </c>
    </row>
    <row r="193" spans="1:5">
      <c r="A193" s="359" t="s">
        <v>3963</v>
      </c>
      <c r="B193" s="149" t="s">
        <v>28</v>
      </c>
      <c r="C193" t="str">
        <f>'Payment Channels'!M47</f>
        <v>CUP Approval</v>
      </c>
      <c r="D193" s="318" t="str">
        <f t="shared" si="3"/>
        <v>Payment Channels_OPG_CUP Approval</v>
      </c>
      <c r="E193" s="50">
        <f>'Payment Channels'!N47</f>
        <v>0</v>
      </c>
    </row>
    <row r="194" spans="1:5">
      <c r="A194" s="359" t="s">
        <v>3963</v>
      </c>
      <c r="B194" s="321" t="s">
        <v>922</v>
      </c>
      <c r="C194" t="str">
        <f>'Payment Channels'!Q2</f>
        <v>Business Type (OCL)</v>
      </c>
      <c r="D194" s="318" t="str">
        <f t="shared" si="3"/>
        <v>Payment Channels_SmartPOS**_Business Type (OCL)</v>
      </c>
      <c r="E194" s="50" t="str">
        <f>'Payment Channels'!S2</f>
        <v>mPOS - Retail</v>
      </c>
    </row>
    <row r="195" spans="1:5">
      <c r="A195" s="359" t="s">
        <v>3963</v>
      </c>
      <c r="B195" s="321" t="s">
        <v>922</v>
      </c>
      <c r="C195" t="str">
        <f>'Payment Channels'!Q3</f>
        <v>Businees Sub-Type </v>
      </c>
      <c r="D195" s="318" t="str">
        <f t="shared" si="3"/>
        <v>Payment Channels_SmartPOS**_Businees Sub-Type </v>
      </c>
      <c r="E195" s="50" t="str">
        <f>'Payment Channels'!S3</f>
        <v>Fast Food</v>
      </c>
    </row>
    <row r="196" spans="1:5">
      <c r="A196" s="359" t="s">
        <v>3963</v>
      </c>
      <c r="B196" s="321" t="s">
        <v>922</v>
      </c>
      <c r="C196" t="str">
        <f>'Payment Channels'!Q4</f>
        <v>Detail Business Nature</v>
      </c>
      <c r="D196" s="318" t="str">
        <f t="shared" si="3"/>
        <v>Payment Channels_SmartPOS**_Detail Business Nature</v>
      </c>
      <c r="E196" s="50" t="str">
        <f>'Payment Channels'!S4</f>
        <v>FAST FOOD</v>
      </c>
    </row>
    <row r="197" spans="1:5">
      <c r="A197" s="359" t="s">
        <v>3963</v>
      </c>
      <c r="B197" s="321" t="s">
        <v>922</v>
      </c>
      <c r="C197" t="str">
        <f>'Payment Channels'!Q5</f>
        <v>Due Diligence Category </v>
      </c>
      <c r="D197" s="318" t="str">
        <f t="shared" si="3"/>
        <v>Payment Channels_SmartPOS**_Due Diligence Category </v>
      </c>
      <c r="E197" s="50" t="str">
        <f>'Payment Channels'!S5</f>
        <v>Full</v>
      </c>
    </row>
    <row r="198" spans="1:5">
      <c r="A198" s="359" t="s">
        <v>3963</v>
      </c>
      <c r="B198" s="321" t="s">
        <v>922</v>
      </c>
      <c r="C198" t="str">
        <f>'Payment Channels'!Q6</f>
        <v>Change Type</v>
      </c>
      <c r="D198" s="318" t="str">
        <f t="shared" si="3"/>
        <v>Payment Channels_SmartPOS**_Change Type</v>
      </c>
      <c r="E198" s="50" t="str">
        <f>'Payment Channels'!S6</f>
        <v>New SP Setup</v>
      </c>
    </row>
    <row r="199" spans="1:5">
      <c r="A199" s="359" t="s">
        <v>3963</v>
      </c>
      <c r="B199" s="321" t="s">
        <v>922</v>
      </c>
      <c r="C199" t="str">
        <f>'Payment Channels'!Q7</f>
        <v>Acquirer</v>
      </c>
      <c r="D199" s="318" t="str">
        <f t="shared" si="3"/>
        <v>Payment Channels_SmartPOS**_Acquirer</v>
      </c>
      <c r="E199" s="50" t="str">
        <f>'Payment Channels'!S7</f>
        <v>HKT</v>
      </c>
    </row>
    <row r="200" spans="1:5">
      <c r="A200" s="359" t="s">
        <v>3963</v>
      </c>
      <c r="B200" s="321" t="s">
        <v>922</v>
      </c>
      <c r="C200" t="str">
        <f>'Payment Channels'!Q8</f>
        <v>Payment Gateway</v>
      </c>
      <c r="D200" s="318" t="str">
        <f t="shared" si="3"/>
        <v>Payment Channels_SmartPOS**_Payment Gateway</v>
      </c>
      <c r="E200" s="50" t="str">
        <f>'Payment Channels'!S8</f>
        <v>HKT</v>
      </c>
    </row>
    <row r="201" spans="1:5">
      <c r="A201" s="359" t="s">
        <v>3963</v>
      </c>
      <c r="B201" s="321" t="s">
        <v>922</v>
      </c>
      <c r="C201" t="str">
        <f>'Payment Channels'!Q9</f>
        <v>Cheque_No</v>
      </c>
      <c r="D201" s="318" t="str">
        <f t="shared" si="3"/>
        <v>Payment Channels_SmartPOS**_Cheque_No</v>
      </c>
      <c r="E201" s="50">
        <f>'Payment Channels'!S9</f>
        <v>100577</v>
      </c>
    </row>
    <row r="202" spans="1:5">
      <c r="A202" s="359" t="s">
        <v>3963</v>
      </c>
      <c r="B202" s="321" t="s">
        <v>922</v>
      </c>
      <c r="C202" t="str">
        <f>'Payment Channels'!Q10</f>
        <v>Cheque_bank</v>
      </c>
      <c r="D202" s="318" t="str">
        <f t="shared" si="3"/>
        <v>Payment Channels_SmartPOS**_Cheque_bank</v>
      </c>
      <c r="E202" s="50" t="str">
        <f>'Payment Channels'!S10</f>
        <v>BANK OF CHINA (HONG KONG) LIMITED</v>
      </c>
    </row>
    <row r="203" spans="1:5">
      <c r="A203" s="359" t="s">
        <v>3963</v>
      </c>
      <c r="B203" s="321" t="s">
        <v>922</v>
      </c>
      <c r="C203" t="str">
        <f>'Payment Channels'!Q11</f>
        <v xml:space="preserve">Email for Octopus Report Delivery </v>
      </c>
      <c r="D203" s="318" t="str">
        <f t="shared" si="3"/>
        <v xml:space="preserve">Payment Channels_SmartPOS**_Email for Octopus Report Delivery </v>
      </c>
      <c r="E203" s="50" t="str">
        <f>'Payment Channels'!S11</f>
        <v>kailam0126@hotmail.com</v>
      </c>
    </row>
    <row r="204" spans="1:5">
      <c r="A204" s="359" t="s">
        <v>3963</v>
      </c>
      <c r="B204" s="321" t="s">
        <v>922</v>
      </c>
      <c r="C204" t="str">
        <f>'Payment Channels'!Q12</f>
        <v>SmartPOS Display Language - CHI </v>
      </c>
      <c r="D204" s="318" t="str">
        <f t="shared" si="3"/>
        <v>Payment Channels_SmartPOS**_SmartPOS Display Language - CHI </v>
      </c>
      <c r="E204" s="50" t="str">
        <f>IF(ISBLANK('Payment Channels'!S12), " ", 'Payment Channels'!S12)</f>
        <v>X</v>
      </c>
    </row>
    <row r="205" spans="1:5">
      <c r="A205" s="359" t="s">
        <v>3963</v>
      </c>
      <c r="B205" s="321" t="s">
        <v>922</v>
      </c>
      <c r="C205" t="str">
        <f>'Payment Channels'!Q13</f>
        <v>SmartPOS Display Language -  ENG</v>
      </c>
      <c r="D205" s="318" t="str">
        <f t="shared" si="3"/>
        <v>Payment Channels_SmartPOS**_SmartPOS Display Language -  ENG</v>
      </c>
      <c r="E205" s="50" t="str">
        <f>IF(ISBLANK('Payment Channels'!S13), " ", 'Payment Channels'!S13)</f>
        <v xml:space="preserve"> </v>
      </c>
    </row>
    <row r="206" spans="1:5">
      <c r="A206" s="359" t="s">
        <v>3963</v>
      </c>
      <c r="B206" s="321" t="s">
        <v>922</v>
      </c>
      <c r="C206" t="str">
        <f>'Payment Channels'!Q14</f>
        <v>**SmartPOS Monthly Plan Offer</v>
      </c>
      <c r="D206" s="318" t="str">
        <f t="shared" si="3"/>
        <v>Payment Channels_SmartPOS**_**SmartPOS Monthly Plan Offer</v>
      </c>
      <c r="E206" s="50" t="str">
        <f>IF(ISBLANK('Payment Channels'!S14), " ", 'Payment Channels'!S14)</f>
        <v>$88</v>
      </c>
    </row>
    <row r="207" spans="1:5">
      <c r="A207" s="359" t="s">
        <v>3963</v>
      </c>
      <c r="B207" s="321" t="s">
        <v>922</v>
      </c>
      <c r="C207" t="str">
        <f>'Payment Channels'!Q15</f>
        <v>THECLUB </v>
      </c>
      <c r="D207" s="318" t="str">
        <f t="shared" si="3"/>
        <v>Payment Channels_SmartPOS**_THECLUB </v>
      </c>
      <c r="E207" s="50" t="str">
        <f>IF(ISBLANK('Payment Channels'!S15), " ", 'Payment Channels'!S15)</f>
        <v xml:space="preserve"> </v>
      </c>
    </row>
    <row r="208" spans="1:5">
      <c r="A208" s="359" t="s">
        <v>3963</v>
      </c>
      <c r="B208" s="321" t="s">
        <v>922</v>
      </c>
      <c r="C208" t="str">
        <f>'Payment Channels'!Q16</f>
        <v>K-Dollar </v>
      </c>
      <c r="D208" s="318" t="str">
        <f t="shared" ref="D208:D278" si="4">A208&amp;"_"&amp;B208&amp;"_"&amp;C208</f>
        <v>Payment Channels_SmartPOS**_K-Dollar </v>
      </c>
      <c r="E208" s="50" t="str">
        <f>IF(ISBLANK('Payment Channels'!S16), " ", 'Payment Channels'!S16)</f>
        <v xml:space="preserve"> </v>
      </c>
    </row>
    <row r="209" spans="1:5">
      <c r="A209" s="359" t="s">
        <v>3963</v>
      </c>
      <c r="B209" s="321" t="s">
        <v>922</v>
      </c>
      <c r="C209" t="str">
        <f>'Payment Channels'!Q17</f>
        <v>Mobile Card </v>
      </c>
      <c r="D209" s="318" t="str">
        <f t="shared" si="4"/>
        <v>Payment Channels_SmartPOS**_Mobile Card </v>
      </c>
      <c r="E209" s="50" t="str">
        <f>IF(ISBLANK('Payment Channels'!S17), " ", 'Payment Channels'!S17)</f>
        <v xml:space="preserve"> </v>
      </c>
    </row>
    <row r="210" spans="1:5">
      <c r="A210" s="359" t="s">
        <v>3963</v>
      </c>
      <c r="B210" s="321" t="s">
        <v>922</v>
      </c>
      <c r="C210" t="str">
        <f>'Payment Channels'!Q18</f>
        <v>Mira Point [Coming Soon]</v>
      </c>
      <c r="D210" s="318" t="str">
        <f t="shared" si="4"/>
        <v>Payment Channels_SmartPOS**_Mira Point [Coming Soon]</v>
      </c>
      <c r="E210" s="50" t="str">
        <f>IF(ISBLANK('Payment Channels'!S18), " ", 'Payment Channels'!S18)</f>
        <v xml:space="preserve"> </v>
      </c>
    </row>
    <row r="211" spans="1:5">
      <c r="A211" s="359" t="s">
        <v>3963</v>
      </c>
      <c r="B211" s="321" t="s">
        <v>922</v>
      </c>
      <c r="C211" t="str">
        <f>'Payment Channels'!Q20</f>
        <v>EFT- Alipay </v>
      </c>
      <c r="D211" s="318" t="str">
        <f t="shared" si="4"/>
        <v>Payment Channels_SmartPOS**_EFT- Alipay </v>
      </c>
      <c r="E211" s="50" t="str">
        <f>IF(ISBLANK('Payment Channels'!S20), " ", 'Payment Channels'!S20)</f>
        <v>X</v>
      </c>
    </row>
    <row r="212" spans="1:5">
      <c r="A212" s="359" t="s">
        <v>3963</v>
      </c>
      <c r="B212" s="321" t="s">
        <v>922</v>
      </c>
      <c r="C212" t="str">
        <f>'Payment Channels'!Q21</f>
        <v>EFT- WeChatPay </v>
      </c>
      <c r="D212" s="318" t="str">
        <f t="shared" si="4"/>
        <v>Payment Channels_SmartPOS**_EFT- WeChatPay </v>
      </c>
      <c r="E212" s="50" t="str">
        <f>IF(ISBLANK('Payment Channels'!S21), " ", 'Payment Channels'!S21)</f>
        <v>X</v>
      </c>
    </row>
    <row r="213" spans="1:5">
      <c r="A213" s="359" t="s">
        <v>3963</v>
      </c>
      <c r="B213" s="321" t="s">
        <v>922</v>
      </c>
      <c r="C213" t="str">
        <f>'Payment Channels'!Q22</f>
        <v>Paymentasia- Alipay [Coming Soon]</v>
      </c>
      <c r="D213" s="318" t="str">
        <f t="shared" si="4"/>
        <v>Payment Channels_SmartPOS**_Paymentasia- Alipay [Coming Soon]</v>
      </c>
      <c r="E213" s="50" t="str">
        <f>IF(ISBLANK('Payment Channels'!S22), " ", 'Payment Channels'!S22)</f>
        <v xml:space="preserve"> </v>
      </c>
    </row>
    <row r="214" spans="1:5">
      <c r="A214" s="359" t="s">
        <v>3963</v>
      </c>
      <c r="B214" s="321" t="s">
        <v>922</v>
      </c>
      <c r="C214" t="str">
        <f>'Payment Channels'!Q23</f>
        <v>Paymentasia- WeChatPay [Coming Soon]</v>
      </c>
      <c r="D214" s="318" t="str">
        <f t="shared" si="4"/>
        <v>Payment Channels_SmartPOS**_Paymentasia- WeChatPay [Coming Soon]</v>
      </c>
      <c r="E214" s="50" t="str">
        <f>IF(ISBLANK('Payment Channels'!S23), " ", 'Payment Channels'!S23)</f>
        <v xml:space="preserve"> </v>
      </c>
    </row>
    <row r="215" spans="1:5">
      <c r="A215" s="359" t="s">
        <v>3963</v>
      </c>
      <c r="B215" s="321" t="s">
        <v>922</v>
      </c>
      <c r="C215" t="str">
        <f>'Payment Channels'!Q24</f>
        <v>VM (Fiserv) </v>
      </c>
      <c r="D215" s="318" t="str">
        <f t="shared" si="4"/>
        <v>Payment Channels_SmartPOS**_VM (Fiserv) </v>
      </c>
      <c r="E215" s="50" t="str">
        <f>IF(ISBLANK('Payment Channels'!S24), " ", 'Payment Channels'!S24)</f>
        <v xml:space="preserve"> </v>
      </c>
    </row>
    <row r="216" spans="1:5">
      <c r="A216" s="359" t="s">
        <v>3963</v>
      </c>
      <c r="B216" s="321" t="s">
        <v>922</v>
      </c>
      <c r="C216" t="str">
        <f>'Payment Channels'!Q25</f>
        <v>VM (WLB) </v>
      </c>
      <c r="D216" s="318" t="str">
        <f t="shared" si="4"/>
        <v>Payment Channels_SmartPOS**_VM (WLB) </v>
      </c>
      <c r="E216" s="50" t="str">
        <f>IF(ISBLANK('Payment Channels'!S25), " ", 'Payment Channels'!S25)</f>
        <v xml:space="preserve"> </v>
      </c>
    </row>
    <row r="217" spans="1:5">
      <c r="A217" s="359" t="s">
        <v>3963</v>
      </c>
      <c r="B217" s="321" t="s">
        <v>922</v>
      </c>
      <c r="C217" t="str">
        <f>'Payment Channels'!Q26</f>
        <v>VM (Paymentasia)[Coming Soon]</v>
      </c>
      <c r="D217" s="318" t="str">
        <f t="shared" si="4"/>
        <v>Payment Channels_SmartPOS**_VM (Paymentasia)[Coming Soon]</v>
      </c>
      <c r="E217" s="50" t="str">
        <f>IF(ISBLANK('Payment Channels'!S26), " ", 'Payment Channels'!S26)</f>
        <v xml:space="preserve"> </v>
      </c>
    </row>
    <row r="218" spans="1:5">
      <c r="A218" s="359" t="s">
        <v>3963</v>
      </c>
      <c r="B218" s="321" t="s">
        <v>922</v>
      </c>
      <c r="C218" t="str">
        <f>'Payment Channels'!Q27</f>
        <v>Octopus </v>
      </c>
      <c r="D218" s="318" t="str">
        <f t="shared" si="4"/>
        <v>Payment Channels_SmartPOS**_Octopus </v>
      </c>
      <c r="E218" s="50" t="str">
        <f>IF(ISBLANK('Payment Channels'!S27), " ", 'Payment Channels'!S27)</f>
        <v>X</v>
      </c>
    </row>
    <row r="219" spans="1:5">
      <c r="A219" s="359" t="s">
        <v>3963</v>
      </c>
      <c r="B219" s="321" t="s">
        <v>922</v>
      </c>
      <c r="C219" t="str">
        <f>'Payment Channels'!Q28</f>
        <v>UnionPay (Easylink) </v>
      </c>
      <c r="D219" s="318" t="str">
        <f t="shared" si="4"/>
        <v>Payment Channels_SmartPOS**_UnionPay (Easylink) </v>
      </c>
      <c r="E219" s="50" t="str">
        <f>IF(ISBLANK('Payment Channels'!S28), " ", 'Payment Channels'!S28)</f>
        <v xml:space="preserve"> </v>
      </c>
    </row>
    <row r="220" spans="1:5">
      <c r="A220" s="359" t="s">
        <v>3963</v>
      </c>
      <c r="B220" s="321" t="s">
        <v>922</v>
      </c>
      <c r="C220" t="str">
        <f>'Payment Channels'!Q31</f>
        <v>POSSYTEM_Yes</v>
      </c>
      <c r="D220" s="318" t="str">
        <f t="shared" si="4"/>
        <v>Payment Channels_SmartPOS**_POSSYTEM_Yes</v>
      </c>
      <c r="E220" s="50" t="str">
        <f>IF(ISBLANK('Payment Channels'!S29), " ", 'Payment Channels'!S29)</f>
        <v xml:space="preserve"> </v>
      </c>
    </row>
    <row r="221" spans="1:5">
      <c r="A221" s="359" t="s">
        <v>3963</v>
      </c>
      <c r="B221" s="321" t="s">
        <v>922</v>
      </c>
      <c r="C221" t="str">
        <f>'Payment Channels'!Q32</f>
        <v>POSSYTEM_No </v>
      </c>
      <c r="D221" s="318" t="str">
        <f t="shared" si="4"/>
        <v>Payment Channels_SmartPOS**_POSSYTEM_No </v>
      </c>
      <c r="E221" s="50" t="str">
        <f>IF(ISBLANK('Payment Channels'!S30), " ", 'Payment Channels'!S30)</f>
        <v xml:space="preserve"> </v>
      </c>
    </row>
    <row r="222" spans="1:5">
      <c r="A222" s="359" t="s">
        <v>3963</v>
      </c>
      <c r="B222" s="321" t="s">
        <v>922</v>
      </c>
      <c r="C222" t="str">
        <f>'Payment Channels'!Q33</f>
        <v>SI Name (IF Yes) </v>
      </c>
      <c r="D222" s="318" t="str">
        <f t="shared" si="4"/>
        <v>Payment Channels_SmartPOS**_SI Name (IF Yes) </v>
      </c>
      <c r="E222" s="50" t="str">
        <f>IF(ISBLANK('Payment Channels'!S31), " ", 'Payment Channels'!S31)</f>
        <v>X</v>
      </c>
    </row>
    <row r="223" spans="1:5">
      <c r="A223" s="359" t="s">
        <v>3963</v>
      </c>
      <c r="B223" s="321" t="s">
        <v>922</v>
      </c>
      <c r="C223" t="str">
        <f>'Payment Channels'!Q34</f>
        <v>Other_SI </v>
      </c>
      <c r="D223" s="318" t="str">
        <f t="shared" si="4"/>
        <v>Payment Channels_SmartPOS**_Other_SI </v>
      </c>
      <c r="E223" s="50" t="str">
        <f>IF(ISBLANK('Payment Channels'!S32), " ", 'Payment Channels'!S32)</f>
        <v xml:space="preserve"> </v>
      </c>
    </row>
    <row r="224" spans="1:5">
      <c r="A224" s="359" t="s">
        <v>3963</v>
      </c>
      <c r="B224" s="321" t="s">
        <v>922</v>
      </c>
      <c r="C224" t="str">
        <f>'Payment Channels'!Q35</f>
        <v>Other_SI NAME</v>
      </c>
      <c r="D224" s="318" t="str">
        <f t="shared" si="4"/>
        <v>Payment Channels_SmartPOS**_Other_SI NAME</v>
      </c>
      <c r="E224" s="50" t="str">
        <f>IF(ISBLANK('Payment Channels'!S33), " ", 'Payment Channels'!S33)</f>
        <v xml:space="preserve"> </v>
      </c>
    </row>
    <row r="225" spans="1:5">
      <c r="A225" s="359" t="s">
        <v>3963</v>
      </c>
      <c r="B225" s="321" t="s">
        <v>922</v>
      </c>
      <c r="C225" t="str">
        <f>'Payment Channels'!Q38</f>
        <v>Apply SmartPOS +HKT POS </v>
      </c>
      <c r="D225" s="318" t="str">
        <f t="shared" si="4"/>
        <v>Payment Channels_SmartPOS**_Apply SmartPOS +HKT POS </v>
      </c>
      <c r="E225" s="50" t="str">
        <f>IF(ISBLANK('Payment Channels'!S34), " ", 'Payment Channels'!S34)</f>
        <v xml:space="preserve"> </v>
      </c>
    </row>
    <row r="226" spans="1:5">
      <c r="A226" s="359" t="s">
        <v>3963</v>
      </c>
      <c r="B226" s="321" t="s">
        <v>922</v>
      </c>
      <c r="C226" t="str">
        <f>'Payment Channels'!Q39</f>
        <v>ONLY Apply SmartPOS</v>
      </c>
      <c r="D226" s="318" t="str">
        <f t="shared" si="4"/>
        <v>Payment Channels_SmartPOS**_ONLY Apply SmartPOS</v>
      </c>
      <c r="E226" s="50" t="str">
        <f>IF(ISBLANK('Payment Channels'!S35), " ", 'Payment Channels'!S35)</f>
        <v xml:space="preserve"> </v>
      </c>
    </row>
    <row r="227" spans="1:5">
      <c r="A227" s="359" t="s">
        <v>3963</v>
      </c>
      <c r="B227" s="321" t="s">
        <v>922</v>
      </c>
      <c r="C227" t="str">
        <f>'Payment Channels'!Q40</f>
        <v>ONLY Apply HKTPOS</v>
      </c>
      <c r="D227" s="318" t="str">
        <f t="shared" si="4"/>
        <v>Payment Channels_SmartPOS**_ONLY Apply HKTPOS</v>
      </c>
      <c r="E227" s="50" t="str">
        <f>IF(ISBLANK('Payment Channels'!S36), " ", 'Payment Channels'!S36)</f>
        <v xml:space="preserve"> </v>
      </c>
    </row>
    <row r="228" spans="1:5">
      <c r="A228" s="359" t="s">
        <v>3963</v>
      </c>
      <c r="B228" s="321" t="s">
        <v>922</v>
      </c>
      <c r="C228" t="str">
        <f>'Payment Channels'!V30</f>
        <v>ERN</v>
      </c>
      <c r="D228" s="318" t="str">
        <f t="shared" si="4"/>
        <v>Payment Channels_SmartPOS**_ERN</v>
      </c>
      <c r="E228" s="50" t="str">
        <f>IF(ISBLANK('Payment Channels'!X30), " ", 'Payment Channels'!X30)</f>
        <v xml:space="preserve"> </v>
      </c>
    </row>
    <row r="229" spans="1:5">
      <c r="A229" s="359" t="s">
        <v>3963</v>
      </c>
      <c r="B229" s="321" t="s">
        <v>922</v>
      </c>
      <c r="C229" t="str">
        <f>'Payment Channels'!V31</f>
        <v>EveryWare</v>
      </c>
      <c r="D229" s="318" t="str">
        <f t="shared" si="4"/>
        <v>Payment Channels_SmartPOS**_EveryWare</v>
      </c>
      <c r="E229" s="50" t="str">
        <f>IF(ISBLANK('Payment Channels'!X31), " ", 'Payment Channels'!X31)</f>
        <v xml:space="preserve"> </v>
      </c>
    </row>
    <row r="230" spans="1:5">
      <c r="A230" s="359" t="s">
        <v>3963</v>
      </c>
      <c r="B230" s="321" t="s">
        <v>922</v>
      </c>
      <c r="C230" t="str">
        <f>'Payment Channels'!V32</f>
        <v>IBS</v>
      </c>
      <c r="D230" s="318" t="str">
        <f t="shared" si="4"/>
        <v>Payment Channels_SmartPOS**_IBS</v>
      </c>
      <c r="E230" s="50" t="str">
        <f>IF(ISBLANK('Payment Channels'!X32), " ", 'Payment Channels'!X32)</f>
        <v>X</v>
      </c>
    </row>
    <row r="231" spans="1:5">
      <c r="A231" s="359" t="s">
        <v>3963</v>
      </c>
      <c r="B231" s="321" t="s">
        <v>922</v>
      </c>
      <c r="C231" t="str">
        <f>'Payment Channels'!V33</f>
        <v>Posify</v>
      </c>
      <c r="D231" s="318" t="str">
        <f t="shared" si="4"/>
        <v>Payment Channels_SmartPOS**_Posify</v>
      </c>
      <c r="E231" s="50" t="str">
        <f>IF(ISBLANK('Payment Channels'!X33), " ", 'Payment Channels'!X33)</f>
        <v xml:space="preserve"> </v>
      </c>
    </row>
    <row r="232" spans="1:5">
      <c r="A232" s="359" t="s">
        <v>3963</v>
      </c>
      <c r="B232" s="321" t="s">
        <v>922</v>
      </c>
      <c r="C232" t="str">
        <f>'Payment Channels'!V34</f>
        <v>Gingersoft</v>
      </c>
      <c r="D232" s="318" t="str">
        <f t="shared" si="4"/>
        <v>Payment Channels_SmartPOS**_Gingersoft</v>
      </c>
      <c r="E232" s="50" t="str">
        <f>IF(ISBLANK('Payment Channels'!X34), " ", 'Payment Channels'!X34)</f>
        <v>X</v>
      </c>
    </row>
    <row r="233" spans="1:5">
      <c r="A233" s="359" t="s">
        <v>3963</v>
      </c>
      <c r="B233" s="321" t="s">
        <v>922</v>
      </c>
      <c r="C233" t="str">
        <f>'Payment Channels'!V35</f>
        <v>PinMe</v>
      </c>
      <c r="D233" s="318" t="str">
        <f t="shared" si="4"/>
        <v>Payment Channels_SmartPOS**_PinMe</v>
      </c>
      <c r="E233" s="50" t="str">
        <f>IF(ISBLANK('Payment Channels'!X35), " ", 'Payment Channels'!X35)</f>
        <v xml:space="preserve"> </v>
      </c>
    </row>
    <row r="234" spans="1:5">
      <c r="A234" s="359" t="s">
        <v>3963</v>
      </c>
      <c r="B234" s="321" t="s">
        <v>922</v>
      </c>
      <c r="C234" t="str">
        <f>'Payment Channels'!V36</f>
        <v>MeterSquare</v>
      </c>
      <c r="D234" s="318" t="str">
        <f t="shared" si="4"/>
        <v>Payment Channels_SmartPOS**_MeterSquare</v>
      </c>
      <c r="E234" s="50" t="str">
        <f>IF(ISBLANK('Payment Channels'!X36), " ", 'Payment Channels'!X36)</f>
        <v xml:space="preserve"> </v>
      </c>
    </row>
    <row r="235" spans="1:5">
      <c r="A235" s="359" t="s">
        <v>3963</v>
      </c>
      <c r="B235" s="321" t="s">
        <v>922</v>
      </c>
      <c r="C235" t="str">
        <f>'Payment Channels'!V37</f>
        <v>Other</v>
      </c>
      <c r="D235" s="318" t="str">
        <f t="shared" si="4"/>
        <v>Payment Channels_SmartPOS**_Other</v>
      </c>
      <c r="E235" s="50" t="str">
        <f>IF(ISBLANK('Payment Channels'!X37), " ", 'Payment Channels'!X37)</f>
        <v xml:space="preserve"> </v>
      </c>
    </row>
    <row r="236" spans="1:5">
      <c r="A236" s="359" t="s">
        <v>3963</v>
      </c>
      <c r="B236" t="s">
        <v>921</v>
      </c>
      <c r="C236" t="str">
        <f>'Payment Channels'!V2</f>
        <v>**HKTPOS Monthly Plan Offer </v>
      </c>
      <c r="D236" s="318" t="str">
        <f t="shared" si="4"/>
        <v>Payment Channels_HKT POS Mobile App_**HKTPOS Monthly Plan Offer </v>
      </c>
      <c r="E236" s="50" t="str">
        <f>IF(ISBLANK('Payment Channels'!X2)," ",'Payment Channels'!X2)</f>
        <v xml:space="preserve"> </v>
      </c>
    </row>
    <row r="237" spans="1:5">
      <c r="A237" s="359" t="s">
        <v>3963</v>
      </c>
      <c r="B237" t="s">
        <v>921</v>
      </c>
      <c r="C237" t="str">
        <f>'Payment Channels'!V3</f>
        <v>VM (WLB) </v>
      </c>
      <c r="D237" s="318" t="str">
        <f t="shared" si="4"/>
        <v>Payment Channels_HKT POS Mobile App_VM (WLB) </v>
      </c>
      <c r="E237" s="50" t="str">
        <f>IF(ISBLANK('Payment Channels'!X3)," ",'Payment Channels'!X3)</f>
        <v>X</v>
      </c>
    </row>
    <row r="238" spans="1:5">
      <c r="A238" s="359" t="s">
        <v>3963</v>
      </c>
      <c r="B238" t="s">
        <v>921</v>
      </c>
      <c r="C238" t="str">
        <f>'Payment Channels'!V4</f>
        <v>Octopus </v>
      </c>
      <c r="D238" s="318" t="str">
        <f t="shared" si="4"/>
        <v>Payment Channels_HKT POS Mobile App_Octopus </v>
      </c>
      <c r="E238" s="50" t="str">
        <f>IF(ISBLANK('Payment Channels'!X4)," ",'Payment Channels'!X4)</f>
        <v>X</v>
      </c>
    </row>
    <row r="239" spans="1:5">
      <c r="A239" s="359" t="s">
        <v>3963</v>
      </c>
      <c r="B239" t="s">
        <v>921</v>
      </c>
      <c r="C239" t="str">
        <f>'Payment Channels'!V5</f>
        <v>Paymentasia- Alipay</v>
      </c>
      <c r="D239" s="318" t="str">
        <f t="shared" si="4"/>
        <v>Payment Channels_HKT POS Mobile App_Paymentasia- Alipay</v>
      </c>
      <c r="E239" s="50" t="str">
        <f>IF(ISBLANK('Payment Channels'!X5)," ",'Payment Channels'!X5)</f>
        <v>X</v>
      </c>
    </row>
    <row r="240" spans="1:5">
      <c r="A240" s="359" t="s">
        <v>3963</v>
      </c>
      <c r="B240" t="s">
        <v>921</v>
      </c>
      <c r="C240" t="str">
        <f>'Payment Channels'!V6</f>
        <v>Paymentasia- WeChatPay </v>
      </c>
      <c r="D240" s="318" t="str">
        <f t="shared" si="4"/>
        <v>Payment Channels_HKT POS Mobile App_Paymentasia- WeChatPay </v>
      </c>
      <c r="E240" s="50" t="str">
        <f>IF(ISBLANK('Payment Channels'!X6)," ",'Payment Channels'!X6)</f>
        <v xml:space="preserve"> </v>
      </c>
    </row>
    <row r="241" spans="1:5">
      <c r="A241" s="359" t="s">
        <v>3963</v>
      </c>
      <c r="B241" t="s">
        <v>921</v>
      </c>
      <c r="C241" t="str">
        <f>'Payment Channels'!V7</f>
        <v>UnionPay </v>
      </c>
      <c r="D241" s="318" t="str">
        <f t="shared" si="4"/>
        <v>Payment Channels_HKT POS Mobile App_UnionPay </v>
      </c>
      <c r="E241" s="50" t="str">
        <f>IF(ISBLANK('Payment Channels'!X7)," ",'Payment Channels'!X7)</f>
        <v xml:space="preserve"> </v>
      </c>
    </row>
    <row r="242" spans="1:5" ht="14.5">
      <c r="A242" s="360" t="s">
        <v>3964</v>
      </c>
      <c r="B242" s="66" t="s">
        <v>1094</v>
      </c>
      <c r="C242" t="str">
        <f>Contacts!A2</f>
        <v>Courtesy                  q</v>
      </c>
      <c r="D242" s="318" t="str">
        <f t="shared" si="4"/>
        <v>Contacts_Contacts 1_Courtesy                  q</v>
      </c>
      <c r="E242" s="50" t="str">
        <f>Contacts!B2</f>
        <v>Ms</v>
      </c>
    </row>
    <row r="243" spans="1:5" ht="14.5">
      <c r="A243" s="360" t="s">
        <v>3964</v>
      </c>
      <c r="B243" s="66" t="s">
        <v>1094</v>
      </c>
      <c r="C243" t="str">
        <f>Contacts!A3</f>
        <v>Family / Last Name 姓</v>
      </c>
      <c r="D243" s="318" t="str">
        <f t="shared" si="4"/>
        <v>Contacts_Contacts 1_Family / Last Name 姓</v>
      </c>
      <c r="E243" s="50" t="str">
        <f>Contacts!B3</f>
        <v>CHEN</v>
      </c>
    </row>
    <row r="244" spans="1:5" ht="14.5">
      <c r="A244" s="360" t="s">
        <v>3964</v>
      </c>
      <c r="B244" s="66" t="s">
        <v>1094</v>
      </c>
      <c r="C244" t="str">
        <f>Contacts!A4</f>
        <v>Given / First Name 名</v>
      </c>
      <c r="D244" s="318" t="str">
        <f t="shared" si="4"/>
        <v>Contacts_Contacts 1_Given / First Name 名</v>
      </c>
      <c r="E244" s="50" t="str">
        <f>Contacts!B4</f>
        <v>HANDE</v>
      </c>
    </row>
    <row r="245" spans="1:5" ht="14.5">
      <c r="A245" s="360" t="s">
        <v>3964</v>
      </c>
      <c r="B245" s="66" t="s">
        <v>1094</v>
      </c>
      <c r="C245" t="str">
        <f>Contacts!A6</f>
        <v>Chinese Name</v>
      </c>
      <c r="D245" s="318" t="str">
        <f t="shared" si="4"/>
        <v>Contacts_Contacts 1_Chinese Name</v>
      </c>
      <c r="E245" s="50" t="str">
        <f>Contacts!B6</f>
        <v>陳</v>
      </c>
    </row>
    <row r="246" spans="1:5" ht="14.5">
      <c r="A246" s="360" t="s">
        <v>3964</v>
      </c>
      <c r="B246" s="66" t="s">
        <v>1094</v>
      </c>
      <c r="C246" t="str">
        <f>Contacts!A7</f>
        <v>Title</v>
      </c>
      <c r="D246" s="318" t="str">
        <f t="shared" si="4"/>
        <v>Contacts_Contacts 1_Title</v>
      </c>
      <c r="E246" s="50" t="str">
        <f>Contacts!B7</f>
        <v>Sole Proprietor</v>
      </c>
    </row>
    <row r="247" spans="1:5" ht="14.5">
      <c r="A247" s="360" t="s">
        <v>3964</v>
      </c>
      <c r="B247" s="66" t="s">
        <v>1094</v>
      </c>
      <c r="C247" t="str">
        <f>Contacts!A8</f>
        <v>Tel</v>
      </c>
      <c r="D247" s="318" t="str">
        <f t="shared" si="4"/>
        <v>Contacts_Contacts 1_Tel</v>
      </c>
      <c r="E247" s="50" t="str">
        <f>Contacts!B8</f>
        <v>5401 9126</v>
      </c>
    </row>
    <row r="248" spans="1:5" ht="14.5">
      <c r="A248" s="360" t="s">
        <v>3964</v>
      </c>
      <c r="B248" s="66" t="s">
        <v>1094</v>
      </c>
      <c r="C248" t="str">
        <f>Contacts!A9</f>
        <v>Email</v>
      </c>
      <c r="D248" s="318" t="str">
        <f t="shared" si="4"/>
        <v>Contacts_Contacts 1_Email</v>
      </c>
      <c r="E248" s="50" t="str">
        <f>Contacts!B9</f>
        <v>kailam0126@hotmail.com</v>
      </c>
    </row>
    <row r="249" spans="1:5" ht="14.5">
      <c r="A249" s="360" t="s">
        <v>3964</v>
      </c>
      <c r="B249" s="66" t="s">
        <v>1136</v>
      </c>
      <c r="C249" t="str">
        <f>Contacts!A16</f>
        <v>Courtesy                  q</v>
      </c>
      <c r="D249" s="318" t="str">
        <f t="shared" si="4"/>
        <v>Contacts_Director 1_Courtesy                  q</v>
      </c>
      <c r="E249" s="50" t="str">
        <f>Contacts!B16</f>
        <v>Mr</v>
      </c>
    </row>
    <row r="250" spans="1:5" ht="14.5">
      <c r="A250" s="360" t="s">
        <v>3964</v>
      </c>
      <c r="B250" s="66" t="s">
        <v>1136</v>
      </c>
      <c r="C250" t="str">
        <f>Contacts!A17</f>
        <v>Family / Last Name 姓</v>
      </c>
      <c r="D250" s="318" t="str">
        <f t="shared" si="4"/>
        <v>Contacts_Director 1_Family / Last Name 姓</v>
      </c>
      <c r="E250" s="50" t="str">
        <f>Contacts!B17</f>
        <v>CHEN</v>
      </c>
    </row>
    <row r="251" spans="1:5" ht="14.5">
      <c r="A251" s="360" t="s">
        <v>3964</v>
      </c>
      <c r="B251" s="66" t="s">
        <v>1136</v>
      </c>
      <c r="C251" t="str">
        <f>Contacts!A18</f>
        <v>Given / First Name 名</v>
      </c>
      <c r="D251" s="318" t="str">
        <f t="shared" si="4"/>
        <v>Contacts_Director 1_Given / First Name 名</v>
      </c>
      <c r="E251" s="50" t="str">
        <f>Contacts!B18</f>
        <v>HANDE</v>
      </c>
    </row>
    <row r="252" spans="1:5" ht="14.5">
      <c r="A252" s="360" t="s">
        <v>3964</v>
      </c>
      <c r="B252" s="66" t="s">
        <v>1136</v>
      </c>
      <c r="C252" t="str">
        <f>Contacts!A19</f>
        <v>Title                         q</v>
      </c>
      <c r="D252" s="318" t="str">
        <f t="shared" si="4"/>
        <v>Contacts_Director 1_Title                         q</v>
      </c>
      <c r="E252" s="50" t="str">
        <f>Contacts!B19</f>
        <v>Director</v>
      </c>
    </row>
    <row r="253" spans="1:5" ht="14.5">
      <c r="A253" s="360" t="s">
        <v>3964</v>
      </c>
      <c r="B253" s="66" t="s">
        <v>1136</v>
      </c>
      <c r="C253" t="str">
        <f>Contacts!A20</f>
        <v>Tel</v>
      </c>
      <c r="D253" s="318" t="str">
        <f t="shared" si="4"/>
        <v>Contacts_Director 1_Tel</v>
      </c>
      <c r="E253" s="50" t="str">
        <f>Contacts!B20</f>
        <v>5401 9126</v>
      </c>
    </row>
    <row r="254" spans="1:5" ht="14.5">
      <c r="A254" s="360" t="s">
        <v>3964</v>
      </c>
      <c r="B254" s="66" t="s">
        <v>1136</v>
      </c>
      <c r="C254" t="str">
        <f>Contacts!A21</f>
        <v>Chi. Family Name</v>
      </c>
      <c r="D254" s="318" t="str">
        <f t="shared" si="4"/>
        <v>Contacts_Director 1_Chi. Family Name</v>
      </c>
      <c r="E254" s="50" t="str">
        <f>Contacts!B21</f>
        <v>陳</v>
      </c>
    </row>
    <row r="255" spans="1:5" ht="14.5">
      <c r="A255" s="360" t="s">
        <v>3964</v>
      </c>
      <c r="B255" s="66" t="s">
        <v>1136</v>
      </c>
      <c r="C255" t="str">
        <f>Contacts!A22</f>
        <v>Chi. Given Name</v>
      </c>
      <c r="D255" s="318" t="str">
        <f t="shared" si="4"/>
        <v>Contacts_Director 1_Chi. Given Name</v>
      </c>
      <c r="E255" s="50" t="str">
        <f>Contacts!B22</f>
        <v>漢得</v>
      </c>
    </row>
    <row r="256" spans="1:5" ht="14.5">
      <c r="A256" s="360" t="s">
        <v>3964</v>
      </c>
      <c r="B256" s="66" t="s">
        <v>1136</v>
      </c>
      <c r="C256" t="str">
        <f>Contacts!A23</f>
        <v>ID Type                  q</v>
      </c>
      <c r="D256" s="318" t="str">
        <f t="shared" si="4"/>
        <v>Contacts_Director 1_ID Type                  q</v>
      </c>
      <c r="E256" s="50" t="str">
        <f>Contacts!B23</f>
        <v>HKID</v>
      </c>
    </row>
    <row r="257" spans="1:5" ht="14.5">
      <c r="A257" s="360" t="s">
        <v>3964</v>
      </c>
      <c r="B257" s="66" t="s">
        <v>1136</v>
      </c>
      <c r="C257" t="str">
        <f>Contacts!A24</f>
        <v>ID Number</v>
      </c>
      <c r="D257" s="318" t="str">
        <f t="shared" si="4"/>
        <v>Contacts_Director 1_ID Number</v>
      </c>
      <c r="E257" s="50" t="str">
        <f>Contacts!B24</f>
        <v>R526008(5)</v>
      </c>
    </row>
    <row r="258" spans="1:5" ht="14.5">
      <c r="A258" s="360" t="s">
        <v>3964</v>
      </c>
      <c r="B258" s="66" t="s">
        <v>1136</v>
      </c>
      <c r="C258" t="str">
        <f>Contacts!A25</f>
        <v>Date of Birth</v>
      </c>
      <c r="D258" s="318" t="str">
        <f t="shared" si="4"/>
        <v>Contacts_Director 1_Date of Birth</v>
      </c>
      <c r="E258" s="379">
        <f>Contacts!B25</f>
        <v>24961</v>
      </c>
    </row>
    <row r="259" spans="1:5" ht="14.5">
      <c r="A259" s="360" t="s">
        <v>3964</v>
      </c>
      <c r="B259" s="66" t="s">
        <v>1136</v>
      </c>
      <c r="C259" t="str">
        <f>Contacts!A26</f>
        <v>Nationality              q</v>
      </c>
      <c r="D259" s="318" t="str">
        <f t="shared" si="4"/>
        <v>Contacts_Director 1_Nationality              q</v>
      </c>
      <c r="E259" s="50" t="str">
        <f>Contacts!B26</f>
        <v>Georgia</v>
      </c>
    </row>
    <row r="260" spans="1:5" ht="14.5">
      <c r="A260" s="360" t="s">
        <v>3964</v>
      </c>
      <c r="B260" s="66" t="s">
        <v>1136</v>
      </c>
      <c r="C260" t="str">
        <f>Contacts!A27</f>
        <v>Capacity                  q</v>
      </c>
      <c r="D260" s="318" t="str">
        <f t="shared" si="4"/>
        <v>Contacts_Director 1_Capacity                  q</v>
      </c>
      <c r="E260" s="50" t="str">
        <f>Contacts!B27</f>
        <v>Director</v>
      </c>
    </row>
    <row r="261" spans="1:5" ht="14.5">
      <c r="A261" s="360" t="s">
        <v>3964</v>
      </c>
      <c r="B261" s="66" t="s">
        <v>1136</v>
      </c>
      <c r="C261" t="str">
        <f>Contacts!A28</f>
        <v>Address Room</v>
      </c>
      <c r="D261" s="318" t="str">
        <f t="shared" si="4"/>
        <v>Contacts_Director 1_Address Room</v>
      </c>
      <c r="E261" s="50" t="str">
        <f>Contacts!B28</f>
        <v>FLAT 1</v>
      </c>
    </row>
    <row r="262" spans="1:5" ht="14.5">
      <c r="A262" s="360" t="s">
        <v>3964</v>
      </c>
      <c r="B262" s="66" t="s">
        <v>1136</v>
      </c>
      <c r="C262" t="str">
        <f>Contacts!A29</f>
        <v>Res. Add. Floor</v>
      </c>
      <c r="D262" s="318" t="str">
        <f t="shared" si="4"/>
        <v>Contacts_Director 1_Res. Add. Floor</v>
      </c>
      <c r="E262" s="50" t="str">
        <f>Contacts!B29</f>
        <v>17/F</v>
      </c>
    </row>
    <row r="263" spans="1:5" ht="14.5">
      <c r="A263" s="360" t="s">
        <v>3964</v>
      </c>
      <c r="B263" s="66" t="s">
        <v>1136</v>
      </c>
      <c r="C263" t="str">
        <f>Contacts!A30</f>
        <v>Res. Add. Blk/Bldg</v>
      </c>
      <c r="D263" s="318" t="str">
        <f t="shared" si="4"/>
        <v>Contacts_Director 1_Res. Add. Blk/Bldg</v>
      </c>
      <c r="E263" s="50" t="str">
        <f>Contacts!B30</f>
        <v>BLOCK C,</v>
      </c>
    </row>
    <row r="264" spans="1:5" ht="14.5">
      <c r="A264" s="360" t="s">
        <v>3964</v>
      </c>
      <c r="B264" s="66" t="s">
        <v>1136</v>
      </c>
      <c r="C264" t="str">
        <f>Contacts!A31</f>
        <v>Res. Add. Estate</v>
      </c>
      <c r="D264" s="318" t="str">
        <f t="shared" si="4"/>
        <v>Contacts_Director 1_Res. Add. Estate</v>
      </c>
      <c r="E264" s="50" t="str">
        <f>Contacts!B31</f>
        <v>YU MOON HOUSE, PHASE 1, YU CHUI COURT</v>
      </c>
    </row>
    <row r="265" spans="1:5" ht="14.5">
      <c r="A265" s="360" t="s">
        <v>3964</v>
      </c>
      <c r="B265" s="66" t="s">
        <v>1136</v>
      </c>
      <c r="C265" t="str">
        <f>Contacts!A32</f>
        <v>Res. Add. Street</v>
      </c>
      <c r="D265" s="318" t="str">
        <f t="shared" si="4"/>
        <v>Contacts_Director 1_Res. Add. Street</v>
      </c>
      <c r="E265" s="50" t="str">
        <f>Contacts!B32</f>
        <v>6 NGAU PEI SHA STREET, YUEN CHAU KOK</v>
      </c>
    </row>
    <row r="266" spans="1:5" ht="14.5">
      <c r="A266" s="360" t="s">
        <v>3964</v>
      </c>
      <c r="B266" s="66" t="s">
        <v>1136</v>
      </c>
      <c r="C266" t="str">
        <f>Contacts!A33</f>
        <v>Res. Add. District    q</v>
      </c>
      <c r="D266" s="318" t="str">
        <f t="shared" si="4"/>
        <v>Contacts_Director 1_Res. Add. District    q</v>
      </c>
      <c r="E266" s="50" t="str">
        <f>Contacts!B33</f>
        <v>San Tin</v>
      </c>
    </row>
    <row r="267" spans="1:5" ht="14.5">
      <c r="A267" s="360" t="s">
        <v>3964</v>
      </c>
      <c r="B267" s="66" t="s">
        <v>1136</v>
      </c>
      <c r="C267" t="str">
        <f>Contacts!A34</f>
        <v>Res. Add. Region    q</v>
      </c>
      <c r="D267" s="318" t="str">
        <f t="shared" si="4"/>
        <v>Contacts_Director 1_Res. Add. Region    q</v>
      </c>
      <c r="E267" s="50" t="str">
        <f>Contacts!B34</f>
        <v>New Territories</v>
      </c>
    </row>
    <row r="268" spans="1:5" ht="14.5">
      <c r="A268" s="360" t="s">
        <v>3964</v>
      </c>
      <c r="B268" s="66" t="s">
        <v>1136</v>
      </c>
      <c r="C268" t="str">
        <f>Contacts!A35</f>
        <v>Own Res. Add. (Property owner?)</v>
      </c>
      <c r="D268" s="318" t="str">
        <f t="shared" si="4"/>
        <v>Contacts_Director 1_Own Res. Add. (Property owner?)</v>
      </c>
      <c r="E268" s="50" t="str">
        <f>Contacts!B35</f>
        <v>N</v>
      </c>
    </row>
    <row r="269" spans="1:5" ht="14.5">
      <c r="A269" s="360" t="s">
        <v>3964</v>
      </c>
      <c r="B269" s="66" t="s">
        <v>1136</v>
      </c>
      <c r="C269" t="str">
        <f>Contacts!A36</f>
        <v>YY at Res. Add. (FD)</v>
      </c>
      <c r="D269" s="318" t="str">
        <f t="shared" si="4"/>
        <v>Contacts_Director 1_YY at Res. Add. (FD)</v>
      </c>
      <c r="E269" s="50">
        <f>Contacts!B36</f>
        <v>5</v>
      </c>
    </row>
    <row r="270" spans="1:5" ht="14.5">
      <c r="A270" s="360" t="s">
        <v>3964</v>
      </c>
      <c r="B270" s="66" t="s">
        <v>1136</v>
      </c>
      <c r="C270" t="str">
        <f>Contacts!A37</f>
        <v>MM at Res. Add. (FD)</v>
      </c>
      <c r="D270" s="318" t="str">
        <f t="shared" si="4"/>
        <v>Contacts_Director 1_MM at Res. Add. (FD)</v>
      </c>
      <c r="E270" s="50">
        <f>Contacts!B37</f>
        <v>3</v>
      </c>
    </row>
    <row r="271" spans="1:5" ht="14.5">
      <c r="A271" s="360" t="s">
        <v>3964</v>
      </c>
      <c r="B271" s="66" t="s">
        <v>1136</v>
      </c>
      <c r="C271" t="str">
        <f>Contacts!A38</f>
        <v>% of Share Hold</v>
      </c>
      <c r="D271" s="318" t="str">
        <f t="shared" si="4"/>
        <v>Contacts_Director 1_% of Share Hold</v>
      </c>
      <c r="E271" s="358">
        <f>Contacts!B38</f>
        <v>1</v>
      </c>
    </row>
    <row r="272" spans="1:5" ht="14.5">
      <c r="A272" s="360" t="s">
        <v>3964</v>
      </c>
      <c r="B272" s="75" t="s">
        <v>1261</v>
      </c>
      <c r="C272" t="str">
        <f>Contacts!A42</f>
        <v>Courtesy</v>
      </c>
      <c r="D272" s="318" t="str">
        <f t="shared" si="4"/>
        <v>Contacts_Owner1_Courtesy</v>
      </c>
      <c r="E272" s="50" t="str">
        <f>Contacts!B42</f>
        <v>Mr</v>
      </c>
    </row>
    <row r="273" spans="1:5" ht="14.5">
      <c r="A273" s="360" t="s">
        <v>3964</v>
      </c>
      <c r="B273" s="75" t="s">
        <v>1261</v>
      </c>
      <c r="C273" t="str">
        <f>Contacts!A43</f>
        <v>Family / Last Name 姓</v>
      </c>
      <c r="D273" s="318" t="str">
        <f t="shared" si="4"/>
        <v>Contacts_Owner1_Family / Last Name 姓</v>
      </c>
      <c r="E273" s="50" t="str">
        <f>Contacts!B43</f>
        <v>CHEN</v>
      </c>
    </row>
    <row r="274" spans="1:5" ht="14.5">
      <c r="A274" s="360" t="s">
        <v>3964</v>
      </c>
      <c r="B274" s="75" t="s">
        <v>1261</v>
      </c>
      <c r="C274" t="str">
        <f>Contacts!A44</f>
        <v>Given / First Name 名</v>
      </c>
      <c r="D274" s="318" t="str">
        <f t="shared" si="4"/>
        <v>Contacts_Owner1_Given / First Name 名</v>
      </c>
      <c r="E274" s="50" t="str">
        <f>Contacts!B44</f>
        <v>HANDE</v>
      </c>
    </row>
    <row r="275" spans="1:5" ht="14.5">
      <c r="A275" s="360" t="s">
        <v>3964</v>
      </c>
      <c r="B275" s="75" t="s">
        <v>1261</v>
      </c>
      <c r="C275" t="str">
        <f>Contacts!A45</f>
        <v>Title          [ ≠B26 ]</v>
      </c>
      <c r="D275" s="318" t="str">
        <f t="shared" si="4"/>
        <v>Contacts_Owner1_Title          [ ≠B26 ]</v>
      </c>
      <c r="E275" s="50" t="str">
        <f>Contacts!B45</f>
        <v>SHAREHOLDER</v>
      </c>
    </row>
    <row r="276" spans="1:5" ht="14.5">
      <c r="A276" s="360" t="s">
        <v>3964</v>
      </c>
      <c r="B276" s="75" t="s">
        <v>1261</v>
      </c>
      <c r="C276" t="str">
        <f>Contacts!A46</f>
        <v>Chi. Family Name</v>
      </c>
      <c r="D276" s="318" t="str">
        <f t="shared" si="4"/>
        <v>Contacts_Owner1_Chi. Family Name</v>
      </c>
      <c r="E276" s="50" t="str">
        <f>Contacts!B46</f>
        <v>陳</v>
      </c>
    </row>
    <row r="277" spans="1:5" ht="14.5">
      <c r="A277" s="360" t="s">
        <v>3964</v>
      </c>
      <c r="B277" s="75" t="s">
        <v>1261</v>
      </c>
      <c r="C277" t="str">
        <f>Contacts!A47</f>
        <v>Chi. Given Name</v>
      </c>
      <c r="D277" s="318" t="str">
        <f t="shared" si="4"/>
        <v>Contacts_Owner1_Chi. Given Name</v>
      </c>
      <c r="E277" s="50" t="str">
        <f>Contacts!B47</f>
        <v>漢得</v>
      </c>
    </row>
    <row r="278" spans="1:5" ht="14.5">
      <c r="A278" s="360" t="s">
        <v>3964</v>
      </c>
      <c r="B278" s="75" t="s">
        <v>1261</v>
      </c>
      <c r="C278" t="str">
        <f>Contacts!A48</f>
        <v>ID Type</v>
      </c>
      <c r="D278" s="318" t="str">
        <f t="shared" si="4"/>
        <v>Contacts_Owner1_ID Type</v>
      </c>
      <c r="E278" s="50" t="str">
        <f>Contacts!B48</f>
        <v>HKID</v>
      </c>
    </row>
    <row r="279" spans="1:5" ht="14.5">
      <c r="A279" s="360" t="s">
        <v>3964</v>
      </c>
      <c r="B279" s="75" t="s">
        <v>1261</v>
      </c>
      <c r="C279" t="str">
        <f>Contacts!A49</f>
        <v>ID Number</v>
      </c>
      <c r="D279" s="318" t="str">
        <f t="shared" ref="D279:D342" si="5">A279&amp;"_"&amp;B279&amp;"_"&amp;C279</f>
        <v>Contacts_Owner1_ID Number</v>
      </c>
      <c r="E279" s="50" t="str">
        <f>Contacts!B49</f>
        <v>R526008(5)</v>
      </c>
    </row>
    <row r="280" spans="1:5" ht="14.5">
      <c r="A280" s="360" t="s">
        <v>3964</v>
      </c>
      <c r="B280" s="75" t="s">
        <v>1261</v>
      </c>
      <c r="C280" t="str">
        <f>Contacts!A50</f>
        <v>Date of Birth</v>
      </c>
      <c r="D280" s="318" t="str">
        <f t="shared" si="5"/>
        <v>Contacts_Owner1_Date of Birth</v>
      </c>
      <c r="E280" s="50">
        <f>Contacts!B50</f>
        <v>24961</v>
      </c>
    </row>
    <row r="281" spans="1:5" ht="14.5">
      <c r="A281" s="360" t="s">
        <v>3964</v>
      </c>
      <c r="B281" s="75" t="s">
        <v>1261</v>
      </c>
      <c r="C281" t="str">
        <f>Contacts!A51</f>
        <v>Nationality</v>
      </c>
      <c r="D281" s="318" t="str">
        <f t="shared" si="5"/>
        <v>Contacts_Owner1_Nationality</v>
      </c>
      <c r="E281" s="50" t="str">
        <f>Contacts!B51</f>
        <v>Georgia</v>
      </c>
    </row>
    <row r="282" spans="1:5" ht="14.5">
      <c r="A282" s="360" t="s">
        <v>3964</v>
      </c>
      <c r="B282" s="75" t="s">
        <v>1261</v>
      </c>
      <c r="C282" t="str">
        <f>Contacts!A52</f>
        <v>Address Room    "",B27)</v>
      </c>
      <c r="D282" s="318" t="str">
        <f t="shared" si="5"/>
        <v>Contacts_Owner1_Address Room    "",B27)</v>
      </c>
      <c r="E282" s="50" t="str">
        <f>Contacts!B52</f>
        <v>FLAT 1</v>
      </c>
    </row>
    <row r="283" spans="1:5" ht="14.5">
      <c r="A283" s="360" t="s">
        <v>3964</v>
      </c>
      <c r="B283" s="75" t="s">
        <v>1261</v>
      </c>
      <c r="C283" t="str">
        <f>Contacts!A53</f>
        <v>Res. Add. Floor</v>
      </c>
      <c r="D283" s="318" t="str">
        <f t="shared" si="5"/>
        <v>Contacts_Owner1_Res. Add. Floor</v>
      </c>
      <c r="E283" s="50" t="str">
        <f>Contacts!B53</f>
        <v>17/F</v>
      </c>
    </row>
    <row r="284" spans="1:5" ht="14.5">
      <c r="A284" s="360" t="s">
        <v>3964</v>
      </c>
      <c r="B284" s="75" t="s">
        <v>1261</v>
      </c>
      <c r="C284" t="str">
        <f>Contacts!A54</f>
        <v>Res. Add. Blk/Bldg</v>
      </c>
      <c r="D284" s="318" t="str">
        <f t="shared" si="5"/>
        <v>Contacts_Owner1_Res. Add. Blk/Bldg</v>
      </c>
      <c r="E284" s="50" t="str">
        <f>Contacts!B54</f>
        <v>BLOCK C,</v>
      </c>
    </row>
    <row r="285" spans="1:5" ht="14.5">
      <c r="A285" s="360" t="s">
        <v>3964</v>
      </c>
      <c r="B285" s="75" t="s">
        <v>1261</v>
      </c>
      <c r="C285" t="str">
        <f>Contacts!A55</f>
        <v>Res. Add. Estate</v>
      </c>
      <c r="D285" s="318" t="str">
        <f t="shared" si="5"/>
        <v>Contacts_Owner1_Res. Add. Estate</v>
      </c>
      <c r="E285" s="50" t="str">
        <f>Contacts!B55</f>
        <v>YU MOON HOUSE, PHASE 1, YU CHUI COURT</v>
      </c>
    </row>
    <row r="286" spans="1:5" ht="14.5">
      <c r="A286" s="360" t="s">
        <v>3964</v>
      </c>
      <c r="B286" s="75" t="s">
        <v>1261</v>
      </c>
      <c r="C286" t="str">
        <f>Contacts!A56</f>
        <v>Res. Add. Street</v>
      </c>
      <c r="D286" s="318" t="str">
        <f t="shared" si="5"/>
        <v>Contacts_Owner1_Res. Add. Street</v>
      </c>
      <c r="E286" s="50" t="str">
        <f>Contacts!B56</f>
        <v>6 NGAU PEI SHA STREET, YUEN CHAU KOK</v>
      </c>
    </row>
    <row r="287" spans="1:5" ht="14.5">
      <c r="A287" s="360" t="s">
        <v>3964</v>
      </c>
      <c r="B287" s="75" t="s">
        <v>1261</v>
      </c>
      <c r="C287" t="str">
        <f>Contacts!A57</f>
        <v>Res. Add. District</v>
      </c>
      <c r="D287" s="318" t="str">
        <f t="shared" si="5"/>
        <v>Contacts_Owner1_Res. Add. District</v>
      </c>
      <c r="E287" s="50" t="str">
        <f>Contacts!B57</f>
        <v>San Tin</v>
      </c>
    </row>
    <row r="288" spans="1:5" ht="14.5">
      <c r="A288" s="360" t="s">
        <v>3964</v>
      </c>
      <c r="B288" s="66" t="s">
        <v>1095</v>
      </c>
      <c r="C288" t="str">
        <f>Contacts!E2</f>
        <v>Courtesy                  q</v>
      </c>
      <c r="D288" s="318" t="str">
        <f t="shared" si="5"/>
        <v>Contacts_Contacts 2_Courtesy                  q</v>
      </c>
      <c r="E288" s="50" t="str">
        <f>Contacts!F2</f>
        <v>Miss</v>
      </c>
    </row>
    <row r="289" spans="1:5" ht="14.5">
      <c r="A289" s="360" t="s">
        <v>3964</v>
      </c>
      <c r="B289" s="66" t="s">
        <v>1095</v>
      </c>
      <c r="C289" t="str">
        <f>Contacts!E3</f>
        <v>Family Name</v>
      </c>
      <c r="D289" s="318" t="str">
        <f t="shared" si="5"/>
        <v>Contacts_Contacts 2_Family Name</v>
      </c>
      <c r="E289" s="50" t="str">
        <f>Contacts!F3</f>
        <v>CHEN</v>
      </c>
    </row>
    <row r="290" spans="1:5" ht="14.5">
      <c r="A290" s="360" t="s">
        <v>3964</v>
      </c>
      <c r="B290" s="66" t="s">
        <v>1095</v>
      </c>
      <c r="C290" t="str">
        <f>Contacts!E4</f>
        <v>Given Name</v>
      </c>
      <c r="D290" s="318" t="str">
        <f t="shared" si="5"/>
        <v>Contacts_Contacts 2_Given Name</v>
      </c>
      <c r="E290" s="50" t="str">
        <f>Contacts!F4</f>
        <v>HANDE</v>
      </c>
    </row>
    <row r="291" spans="1:5" ht="14.5">
      <c r="A291" s="360" t="s">
        <v>3964</v>
      </c>
      <c r="B291" s="66" t="s">
        <v>1095</v>
      </c>
      <c r="C291" t="str">
        <f>Contacts!E6</f>
        <v>Chinese Name</v>
      </c>
      <c r="D291" s="318" t="str">
        <f t="shared" si="5"/>
        <v>Contacts_Contacts 2_Chinese Name</v>
      </c>
      <c r="E291" s="50" t="str">
        <f>Contacts!F6</f>
        <v>陳</v>
      </c>
    </row>
    <row r="292" spans="1:5" ht="14.5">
      <c r="A292" s="360" t="s">
        <v>3964</v>
      </c>
      <c r="B292" s="66" t="s">
        <v>1095</v>
      </c>
      <c r="C292" t="str">
        <f>Contacts!E7</f>
        <v>Title</v>
      </c>
      <c r="D292" s="318" t="str">
        <f t="shared" si="5"/>
        <v>Contacts_Contacts 2_Title</v>
      </c>
      <c r="E292" s="50" t="str">
        <f>Contacts!F7</f>
        <v>Director</v>
      </c>
    </row>
    <row r="293" spans="1:5" ht="14.5">
      <c r="A293" s="360" t="s">
        <v>3964</v>
      </c>
      <c r="B293" s="66" t="s">
        <v>1095</v>
      </c>
      <c r="C293" t="str">
        <f>Contacts!E8</f>
        <v>Tel</v>
      </c>
      <c r="D293" s="318" t="str">
        <f t="shared" si="5"/>
        <v>Contacts_Contacts 2_Tel</v>
      </c>
      <c r="E293" s="50" t="str">
        <f>Contacts!F8</f>
        <v>5401 9126</v>
      </c>
    </row>
    <row r="294" spans="1:5" ht="14.5">
      <c r="A294" s="360" t="s">
        <v>3964</v>
      </c>
      <c r="B294" s="66" t="s">
        <v>1095</v>
      </c>
      <c r="C294" t="str">
        <f>Contacts!E9</f>
        <v>Email</v>
      </c>
      <c r="D294" s="318" t="str">
        <f t="shared" si="5"/>
        <v>Contacts_Contacts 2_Email</v>
      </c>
      <c r="E294" s="50" t="str">
        <f>Contacts!F9</f>
        <v>kailam0126@hotmail.com</v>
      </c>
    </row>
    <row r="295" spans="1:5" ht="14.5">
      <c r="A295" s="360" t="s">
        <v>3964</v>
      </c>
      <c r="B295" s="66" t="s">
        <v>1137</v>
      </c>
      <c r="C295" t="str">
        <f>Contacts!E16</f>
        <v>Courtesy                  q</v>
      </c>
      <c r="D295" s="318" t="str">
        <f t="shared" si="5"/>
        <v>Contacts_Director 2_Courtesy                  q</v>
      </c>
      <c r="E295" s="50" t="str">
        <f>Contacts!F16</f>
        <v>Mr</v>
      </c>
    </row>
    <row r="296" spans="1:5" ht="14.5">
      <c r="A296" s="360" t="s">
        <v>3964</v>
      </c>
      <c r="B296" s="66" t="s">
        <v>1137</v>
      </c>
      <c r="C296" t="str">
        <f>Contacts!E17</f>
        <v>Family Name</v>
      </c>
      <c r="D296" s="318" t="str">
        <f t="shared" si="5"/>
        <v>Contacts_Director 2_Family Name</v>
      </c>
      <c r="E296" s="50" t="str">
        <f>Contacts!F17</f>
        <v>CHEN</v>
      </c>
    </row>
    <row r="297" spans="1:5" ht="14.5">
      <c r="A297" s="360" t="s">
        <v>3964</v>
      </c>
      <c r="B297" s="66" t="s">
        <v>1137</v>
      </c>
      <c r="C297" t="str">
        <f>Contacts!E18</f>
        <v>Given Name</v>
      </c>
      <c r="D297" s="318" t="str">
        <f t="shared" si="5"/>
        <v>Contacts_Director 2_Given Name</v>
      </c>
      <c r="E297" s="50" t="str">
        <f>Contacts!F18</f>
        <v>HANDE</v>
      </c>
    </row>
    <row r="298" spans="1:5" ht="14.5">
      <c r="A298" s="360" t="s">
        <v>3964</v>
      </c>
      <c r="B298" s="66" t="s">
        <v>1137</v>
      </c>
      <c r="C298" t="str">
        <f>Contacts!E19</f>
        <v>Title                         q</v>
      </c>
      <c r="D298" s="318" t="str">
        <f t="shared" si="5"/>
        <v>Contacts_Director 2_Title                         q</v>
      </c>
      <c r="E298" s="50" t="str">
        <f>Contacts!F19</f>
        <v>Director</v>
      </c>
    </row>
    <row r="299" spans="1:5" ht="14.5">
      <c r="A299" s="360" t="s">
        <v>3964</v>
      </c>
      <c r="B299" s="66" t="s">
        <v>1137</v>
      </c>
      <c r="C299" t="str">
        <f>Contacts!E20</f>
        <v>Tel</v>
      </c>
      <c r="D299" s="318" t="str">
        <f t="shared" si="5"/>
        <v>Contacts_Director 2_Tel</v>
      </c>
      <c r="E299" s="50" t="str">
        <f>Contacts!F20</f>
        <v>5401 9126</v>
      </c>
    </row>
    <row r="300" spans="1:5" ht="14.5">
      <c r="A300" s="360" t="s">
        <v>3964</v>
      </c>
      <c r="B300" s="66" t="s">
        <v>1137</v>
      </c>
      <c r="C300" t="str">
        <f>Contacts!E21</f>
        <v>Chi. Family Name</v>
      </c>
      <c r="D300" s="318" t="str">
        <f t="shared" si="5"/>
        <v>Contacts_Director 2_Chi. Family Name</v>
      </c>
      <c r="E300" s="50" t="str">
        <f>Contacts!F21</f>
        <v>陳</v>
      </c>
    </row>
    <row r="301" spans="1:5" ht="14.5">
      <c r="A301" s="360" t="s">
        <v>3964</v>
      </c>
      <c r="B301" s="66" t="s">
        <v>1137</v>
      </c>
      <c r="C301" t="str">
        <f>Contacts!E22</f>
        <v>Chi. Given Name</v>
      </c>
      <c r="D301" s="318" t="str">
        <f t="shared" si="5"/>
        <v>Contacts_Director 2_Chi. Given Name</v>
      </c>
      <c r="E301" s="50" t="str">
        <f>Contacts!F22</f>
        <v>漢得</v>
      </c>
    </row>
    <row r="302" spans="1:5" ht="14.5">
      <c r="A302" s="360" t="s">
        <v>3964</v>
      </c>
      <c r="B302" s="66" t="s">
        <v>1137</v>
      </c>
      <c r="C302" t="str">
        <f>Contacts!E23</f>
        <v>ID Type                  q</v>
      </c>
      <c r="D302" s="318" t="str">
        <f t="shared" si="5"/>
        <v>Contacts_Director 2_ID Type                  q</v>
      </c>
      <c r="E302" s="50" t="str">
        <f>Contacts!F23</f>
        <v>Passport</v>
      </c>
    </row>
    <row r="303" spans="1:5" ht="14.5">
      <c r="A303" s="360" t="s">
        <v>3964</v>
      </c>
      <c r="B303" s="66" t="s">
        <v>1137</v>
      </c>
      <c r="C303" t="str">
        <f>Contacts!E24</f>
        <v>ID Number</v>
      </c>
      <c r="D303" s="318" t="str">
        <f t="shared" si="5"/>
        <v>Contacts_Director 2_ID Number</v>
      </c>
      <c r="E303" s="50" t="str">
        <f>Contacts!F24</f>
        <v>R526008(5)</v>
      </c>
    </row>
    <row r="304" spans="1:5" ht="14.5">
      <c r="A304" s="360" t="s">
        <v>3964</v>
      </c>
      <c r="B304" s="66" t="s">
        <v>1137</v>
      </c>
      <c r="C304" t="str">
        <f>Contacts!E25</f>
        <v>Date of Birth</v>
      </c>
      <c r="D304" s="318" t="str">
        <f t="shared" si="5"/>
        <v>Contacts_Director 2_Date of Birth</v>
      </c>
      <c r="E304" s="50">
        <f>Contacts!F25</f>
        <v>24961</v>
      </c>
    </row>
    <row r="305" spans="1:5" ht="14.5">
      <c r="A305" s="360" t="s">
        <v>3964</v>
      </c>
      <c r="B305" s="66" t="s">
        <v>1137</v>
      </c>
      <c r="C305" t="str">
        <f>Contacts!E26</f>
        <v>Nationality              q</v>
      </c>
      <c r="D305" s="318" t="str">
        <f t="shared" si="5"/>
        <v>Contacts_Director 2_Nationality              q</v>
      </c>
      <c r="E305" s="50" t="str">
        <f>Contacts!F26</f>
        <v>China</v>
      </c>
    </row>
    <row r="306" spans="1:5" ht="14.5">
      <c r="A306" s="360" t="s">
        <v>3964</v>
      </c>
      <c r="B306" s="66" t="s">
        <v>1137</v>
      </c>
      <c r="C306" t="str">
        <f>Contacts!E27</f>
        <v>Capacity                  q</v>
      </c>
      <c r="D306" s="318" t="str">
        <f t="shared" si="5"/>
        <v>Contacts_Director 2_Capacity                  q</v>
      </c>
      <c r="E306" s="50" t="str">
        <f>Contacts!F27</f>
        <v>Director</v>
      </c>
    </row>
    <row r="307" spans="1:5" ht="14.5">
      <c r="A307" s="360" t="s">
        <v>3964</v>
      </c>
      <c r="B307" s="66" t="s">
        <v>1137</v>
      </c>
      <c r="C307" t="str">
        <f>Contacts!E28</f>
        <v>Address Room</v>
      </c>
      <c r="D307" s="318" t="str">
        <f t="shared" si="5"/>
        <v>Contacts_Director 2_Address Room</v>
      </c>
      <c r="E307" s="50" t="str">
        <f>Contacts!F28</f>
        <v>FLAT 1</v>
      </c>
    </row>
    <row r="308" spans="1:5" ht="14.5">
      <c r="A308" s="360" t="s">
        <v>3964</v>
      </c>
      <c r="B308" s="66" t="s">
        <v>1137</v>
      </c>
      <c r="C308" t="str">
        <f>Contacts!E29</f>
        <v>Res. Add. Floor</v>
      </c>
      <c r="D308" s="318" t="str">
        <f t="shared" si="5"/>
        <v>Contacts_Director 2_Res. Add. Floor</v>
      </c>
      <c r="E308" s="50" t="str">
        <f>Contacts!F29</f>
        <v>17/F</v>
      </c>
    </row>
    <row r="309" spans="1:5" ht="14.5">
      <c r="A309" s="360" t="s">
        <v>3964</v>
      </c>
      <c r="B309" s="66" t="s">
        <v>1137</v>
      </c>
      <c r="C309" t="str">
        <f>Contacts!E30</f>
        <v>Res. Add. Blk/Bldg</v>
      </c>
      <c r="D309" s="318" t="str">
        <f t="shared" si="5"/>
        <v>Contacts_Director 2_Res. Add. Blk/Bldg</v>
      </c>
      <c r="E309" s="50" t="str">
        <f>Contacts!F30</f>
        <v>BLOCK C,</v>
      </c>
    </row>
    <row r="310" spans="1:5" ht="14.5">
      <c r="A310" s="360" t="s">
        <v>3964</v>
      </c>
      <c r="B310" s="66" t="s">
        <v>1137</v>
      </c>
      <c r="C310" t="str">
        <f>Contacts!E31</f>
        <v>Res. Add. Estate</v>
      </c>
      <c r="D310" s="318" t="str">
        <f t="shared" si="5"/>
        <v>Contacts_Director 2_Res. Add. Estate</v>
      </c>
      <c r="E310" s="50" t="str">
        <f>Contacts!F31</f>
        <v>YU MOON HOUSE, PHASE 1, YU CHUI COURT</v>
      </c>
    </row>
    <row r="311" spans="1:5" ht="14.5">
      <c r="A311" s="360" t="s">
        <v>3964</v>
      </c>
      <c r="B311" s="66" t="s">
        <v>1137</v>
      </c>
      <c r="C311" t="str">
        <f>Contacts!E32</f>
        <v>Res. Add. Street</v>
      </c>
      <c r="D311" s="318" t="str">
        <f t="shared" si="5"/>
        <v>Contacts_Director 2_Res. Add. Street</v>
      </c>
      <c r="E311" s="50" t="str">
        <f>Contacts!F32</f>
        <v>6 NGAU PEI SHA STREET, YUEN CHAU KOK</v>
      </c>
    </row>
    <row r="312" spans="1:5" ht="14.5">
      <c r="A312" s="360" t="s">
        <v>3964</v>
      </c>
      <c r="B312" s="66" t="s">
        <v>1137</v>
      </c>
      <c r="C312" t="str">
        <f>Contacts!E33</f>
        <v>Res. Add. District    q</v>
      </c>
      <c r="D312" s="318" t="str">
        <f t="shared" si="5"/>
        <v>Contacts_Director 2_Res. Add. District    q</v>
      </c>
      <c r="E312" s="50" t="str">
        <f>Contacts!F33</f>
        <v>San Tin</v>
      </c>
    </row>
    <row r="313" spans="1:5" ht="14.5">
      <c r="A313" s="360" t="s">
        <v>3964</v>
      </c>
      <c r="B313" s="66" t="s">
        <v>1137</v>
      </c>
      <c r="C313" t="str">
        <f>Contacts!E34</f>
        <v>Res. Add. Region    q</v>
      </c>
      <c r="D313" s="318" t="str">
        <f t="shared" si="5"/>
        <v>Contacts_Director 2_Res. Add. Region    q</v>
      </c>
      <c r="E313" s="50" t="str">
        <f>Contacts!F34</f>
        <v>New Territories</v>
      </c>
    </row>
    <row r="314" spans="1:5" ht="14.5">
      <c r="A314" s="360" t="s">
        <v>3964</v>
      </c>
      <c r="B314" s="66" t="s">
        <v>1137</v>
      </c>
      <c r="C314" t="str">
        <f>Contacts!E35</f>
        <v>Own Res. Add.       q</v>
      </c>
      <c r="D314" s="318" t="str">
        <f t="shared" si="5"/>
        <v>Contacts_Director 2_Own Res. Add.       q</v>
      </c>
      <c r="E314" s="50" t="str">
        <f>Contacts!F35</f>
        <v>N</v>
      </c>
    </row>
    <row r="315" spans="1:5" ht="14.5">
      <c r="A315" s="360" t="s">
        <v>3964</v>
      </c>
      <c r="B315" s="66" t="s">
        <v>1137</v>
      </c>
      <c r="C315" t="str">
        <f>Contacts!E36</f>
        <v>YY on Res. Add.</v>
      </c>
      <c r="D315" s="318" t="str">
        <f t="shared" si="5"/>
        <v>Contacts_Director 2_YY on Res. Add.</v>
      </c>
      <c r="E315" s="50">
        <f>Contacts!F36</f>
        <v>5</v>
      </c>
    </row>
    <row r="316" spans="1:5" ht="14.5">
      <c r="A316" s="360" t="s">
        <v>3964</v>
      </c>
      <c r="B316" s="66" t="s">
        <v>1137</v>
      </c>
      <c r="C316" t="str">
        <f>Contacts!E37</f>
        <v>MM on Res. Add.</v>
      </c>
      <c r="D316" s="318" t="str">
        <f t="shared" si="5"/>
        <v>Contacts_Director 2_MM on Res. Add.</v>
      </c>
      <c r="E316" s="50">
        <f>Contacts!F37</f>
        <v>3</v>
      </c>
    </row>
    <row r="317" spans="1:5" ht="14.5">
      <c r="A317" s="360" t="s">
        <v>3964</v>
      </c>
      <c r="B317" s="66" t="s">
        <v>1137</v>
      </c>
      <c r="C317" t="str">
        <f>Contacts!E38</f>
        <v>% of Share Hold</v>
      </c>
      <c r="D317" s="318" t="str">
        <f t="shared" si="5"/>
        <v>Contacts_Director 2_% of Share Hold</v>
      </c>
      <c r="E317" s="358">
        <f>Contacts!F38</f>
        <v>1</v>
      </c>
    </row>
    <row r="318" spans="1:5" ht="14.5">
      <c r="A318" s="360" t="s">
        <v>3964</v>
      </c>
      <c r="B318" s="75" t="s">
        <v>1262</v>
      </c>
      <c r="C318" t="str">
        <f>Contacts!E42</f>
        <v>Courtesy</v>
      </c>
      <c r="D318" s="318" t="str">
        <f t="shared" si="5"/>
        <v>Contacts_Owner2_Courtesy</v>
      </c>
      <c r="E318" s="50" t="str">
        <f>Contacts!F42</f>
        <v>Mr</v>
      </c>
    </row>
    <row r="319" spans="1:5" ht="14.5">
      <c r="A319" s="360" t="s">
        <v>3964</v>
      </c>
      <c r="B319" s="75" t="s">
        <v>1262</v>
      </c>
      <c r="C319" t="str">
        <f>Contacts!E43</f>
        <v>Family Name</v>
      </c>
      <c r="D319" s="318" t="str">
        <f t="shared" si="5"/>
        <v>Contacts_Owner2_Family Name</v>
      </c>
      <c r="E319" s="50" t="str">
        <f>Contacts!F43</f>
        <v>CHEN</v>
      </c>
    </row>
    <row r="320" spans="1:5" ht="14.5">
      <c r="A320" s="360" t="s">
        <v>3964</v>
      </c>
      <c r="B320" s="75" t="s">
        <v>1262</v>
      </c>
      <c r="C320" t="str">
        <f>Contacts!E44</f>
        <v>Given Name</v>
      </c>
      <c r="D320" s="318" t="str">
        <f t="shared" si="5"/>
        <v>Contacts_Owner2_Given Name</v>
      </c>
      <c r="E320" s="50" t="str">
        <f>Contacts!F44</f>
        <v>HANDE</v>
      </c>
    </row>
    <row r="321" spans="1:5" ht="14.5">
      <c r="A321" s="360" t="s">
        <v>3964</v>
      </c>
      <c r="B321" s="75" t="s">
        <v>1262</v>
      </c>
      <c r="C321" t="str">
        <f>Contacts!E45</f>
        <v>Title          [ ≠F26 ]</v>
      </c>
      <c r="D321" s="318" t="str">
        <f t="shared" si="5"/>
        <v>Contacts_Owner2_Title          [ ≠F26 ]</v>
      </c>
      <c r="E321" s="50">
        <f>Contacts!F45</f>
        <v>0</v>
      </c>
    </row>
    <row r="322" spans="1:5" ht="14.5">
      <c r="A322" s="360" t="s">
        <v>3964</v>
      </c>
      <c r="B322" s="75" t="s">
        <v>1262</v>
      </c>
      <c r="C322" t="str">
        <f>Contacts!E46</f>
        <v>Chi. Family Name</v>
      </c>
      <c r="D322" s="318" t="str">
        <f t="shared" si="5"/>
        <v>Contacts_Owner2_Chi. Family Name</v>
      </c>
      <c r="E322" s="50" t="str">
        <f>Contacts!F46</f>
        <v>陳</v>
      </c>
    </row>
    <row r="323" spans="1:5" ht="14.5">
      <c r="A323" s="360" t="s">
        <v>3964</v>
      </c>
      <c r="B323" s="75" t="s">
        <v>1262</v>
      </c>
      <c r="C323" t="str">
        <f>Contacts!E47</f>
        <v>Chi. Given Name</v>
      </c>
      <c r="D323" s="318" t="str">
        <f t="shared" si="5"/>
        <v>Contacts_Owner2_Chi. Given Name</v>
      </c>
      <c r="E323" s="50" t="str">
        <f>Contacts!F47</f>
        <v>漢得</v>
      </c>
    </row>
    <row r="324" spans="1:5" ht="14.5">
      <c r="A324" s="360" t="s">
        <v>3964</v>
      </c>
      <c r="B324" s="75" t="s">
        <v>1262</v>
      </c>
      <c r="C324" t="str">
        <f>Contacts!E48</f>
        <v>ID Type</v>
      </c>
      <c r="D324" s="318" t="str">
        <f t="shared" si="5"/>
        <v>Contacts_Owner2_ID Type</v>
      </c>
      <c r="E324" s="50" t="str">
        <f>Contacts!F48</f>
        <v>Passport</v>
      </c>
    </row>
    <row r="325" spans="1:5" ht="14.5">
      <c r="A325" s="360" t="s">
        <v>3964</v>
      </c>
      <c r="B325" s="75" t="s">
        <v>1262</v>
      </c>
      <c r="C325" t="str">
        <f>Contacts!E49</f>
        <v>ID Number</v>
      </c>
      <c r="D325" s="318" t="str">
        <f t="shared" si="5"/>
        <v>Contacts_Owner2_ID Number</v>
      </c>
      <c r="E325" s="50" t="str">
        <f>Contacts!F49</f>
        <v>R526008(5)</v>
      </c>
    </row>
    <row r="326" spans="1:5" ht="14.5">
      <c r="A326" s="360" t="s">
        <v>3964</v>
      </c>
      <c r="B326" s="75" t="s">
        <v>1262</v>
      </c>
      <c r="C326" t="str">
        <f>Contacts!E50</f>
        <v>Date of Birth</v>
      </c>
      <c r="D326" s="318" t="str">
        <f t="shared" si="5"/>
        <v>Contacts_Owner2_Date of Birth</v>
      </c>
      <c r="E326" s="50">
        <f>Contacts!F50</f>
        <v>24961</v>
      </c>
    </row>
    <row r="327" spans="1:5" ht="14.5">
      <c r="A327" s="360" t="s">
        <v>3964</v>
      </c>
      <c r="B327" s="75" t="s">
        <v>1262</v>
      </c>
      <c r="C327" t="str">
        <f>Contacts!E51</f>
        <v>Nationality</v>
      </c>
      <c r="D327" s="318" t="str">
        <f t="shared" si="5"/>
        <v>Contacts_Owner2_Nationality</v>
      </c>
      <c r="E327" s="50" t="str">
        <f>Contacts!F51</f>
        <v>China</v>
      </c>
    </row>
    <row r="328" spans="1:5" ht="14.5">
      <c r="A328" s="360" t="s">
        <v>3964</v>
      </c>
      <c r="B328" s="75" t="s">
        <v>1262</v>
      </c>
      <c r="C328" t="str">
        <f>Contacts!E52</f>
        <v>Address Room</v>
      </c>
      <c r="D328" s="318" t="str">
        <f t="shared" si="5"/>
        <v>Contacts_Owner2_Address Room</v>
      </c>
      <c r="E328" s="50" t="str">
        <f>Contacts!F52</f>
        <v>FLAT 1</v>
      </c>
    </row>
    <row r="329" spans="1:5" ht="14.5">
      <c r="A329" s="360" t="s">
        <v>3964</v>
      </c>
      <c r="B329" s="75" t="s">
        <v>1262</v>
      </c>
      <c r="C329" t="str">
        <f>Contacts!E53</f>
        <v>Res. Add. Floor</v>
      </c>
      <c r="D329" s="318" t="str">
        <f t="shared" si="5"/>
        <v>Contacts_Owner2_Res. Add. Floor</v>
      </c>
      <c r="E329" s="50" t="str">
        <f>Contacts!F53</f>
        <v>17/F</v>
      </c>
    </row>
    <row r="330" spans="1:5" ht="14.5">
      <c r="A330" s="360" t="s">
        <v>3964</v>
      </c>
      <c r="B330" s="75" t="s">
        <v>1262</v>
      </c>
      <c r="C330" t="str">
        <f>Contacts!E54</f>
        <v>Res. Add. Blk/Bldg</v>
      </c>
      <c r="D330" s="318" t="str">
        <f t="shared" si="5"/>
        <v>Contacts_Owner2_Res. Add. Blk/Bldg</v>
      </c>
      <c r="E330" s="50" t="str">
        <f>Contacts!F54</f>
        <v>BLOCK C,</v>
      </c>
    </row>
    <row r="331" spans="1:5" ht="14.5">
      <c r="A331" s="360" t="s">
        <v>3964</v>
      </c>
      <c r="B331" s="75" t="s">
        <v>1262</v>
      </c>
      <c r="C331" t="str">
        <f>Contacts!E55</f>
        <v>Res. Add. Estate</v>
      </c>
      <c r="D331" s="318" t="str">
        <f t="shared" si="5"/>
        <v>Contacts_Owner2_Res. Add. Estate</v>
      </c>
      <c r="E331" s="50" t="str">
        <f>Contacts!F55</f>
        <v>YU MOON HOUSE, PHASE 1, YU CHUI COURT</v>
      </c>
    </row>
    <row r="332" spans="1:5" ht="14.5">
      <c r="A332" s="360" t="s">
        <v>3964</v>
      </c>
      <c r="B332" s="75" t="s">
        <v>1262</v>
      </c>
      <c r="C332" t="str">
        <f>Contacts!E56</f>
        <v>Res. Add. Street</v>
      </c>
      <c r="D332" s="318" t="str">
        <f t="shared" si="5"/>
        <v>Contacts_Owner2_Res. Add. Street</v>
      </c>
      <c r="E332" s="50" t="str">
        <f>Contacts!F56</f>
        <v>6 NGAU PEI SHA STREET, YUEN CHAU KOK</v>
      </c>
    </row>
    <row r="333" spans="1:5" ht="14.5">
      <c r="A333" s="360" t="s">
        <v>3964</v>
      </c>
      <c r="B333" s="75" t="s">
        <v>1262</v>
      </c>
      <c r="C333" t="str">
        <f>Contacts!E57</f>
        <v>Res. Add. District</v>
      </c>
      <c r="D333" s="318" t="str">
        <f t="shared" si="5"/>
        <v>Contacts_Owner2_Res. Add. District</v>
      </c>
      <c r="E333" s="50" t="str">
        <f>Contacts!F57</f>
        <v>San Tin</v>
      </c>
    </row>
    <row r="334" spans="1:5" ht="14.5">
      <c r="A334" s="360" t="s">
        <v>3964</v>
      </c>
      <c r="B334" s="66" t="s">
        <v>1099</v>
      </c>
      <c r="C334" t="str">
        <f>Contacts!Q2</f>
        <v>Courtesy                  q</v>
      </c>
      <c r="D334" s="318" t="str">
        <f t="shared" si="5"/>
        <v>Contacts_Auth Signer_Courtesy                  q</v>
      </c>
      <c r="E334" s="50" t="str">
        <f>Contacts!R2</f>
        <v>Mr</v>
      </c>
    </row>
    <row r="335" spans="1:5" ht="14.5">
      <c r="A335" s="360" t="s">
        <v>3964</v>
      </c>
      <c r="B335" s="66" t="s">
        <v>1099</v>
      </c>
      <c r="C335" t="str">
        <f>Contacts!Q3</f>
        <v>Family Name</v>
      </c>
      <c r="D335" s="318" t="str">
        <f t="shared" si="5"/>
        <v>Contacts_Auth Signer_Family Name</v>
      </c>
      <c r="E335" s="50" t="str">
        <f>Contacts!R3</f>
        <v>CHEN</v>
      </c>
    </row>
    <row r="336" spans="1:5" ht="14.5">
      <c r="A336" s="360" t="s">
        <v>3964</v>
      </c>
      <c r="B336" s="66" t="s">
        <v>1099</v>
      </c>
      <c r="C336" t="str">
        <f>Contacts!Q4</f>
        <v>Given Name</v>
      </c>
      <c r="D336" s="318" t="str">
        <f t="shared" si="5"/>
        <v>Contacts_Auth Signer_Given Name</v>
      </c>
      <c r="E336" s="50" t="str">
        <f>Contacts!R4</f>
        <v>HANDE</v>
      </c>
    </row>
    <row r="337" spans="1:5" ht="14.5">
      <c r="A337" s="360" t="s">
        <v>3964</v>
      </c>
      <c r="B337" s="66" t="s">
        <v>1099</v>
      </c>
      <c r="C337" t="str">
        <f>Contacts!Q6</f>
        <v>Chinese Name</v>
      </c>
      <c r="D337" s="318" t="str">
        <f t="shared" si="5"/>
        <v>Contacts_Auth Signer_Chinese Name</v>
      </c>
      <c r="E337" s="50" t="str">
        <f>Contacts!R6</f>
        <v>陳漢得</v>
      </c>
    </row>
    <row r="338" spans="1:5" ht="14.5">
      <c r="A338" s="360" t="s">
        <v>3964</v>
      </c>
      <c r="B338" s="66" t="s">
        <v>1099</v>
      </c>
      <c r="C338" t="str">
        <f>Contacts!Q7</f>
        <v>Title</v>
      </c>
      <c r="D338" s="318" t="str">
        <f t="shared" si="5"/>
        <v>Contacts_Auth Signer_Title</v>
      </c>
      <c r="E338" s="50" t="str">
        <f>Contacts!R7</f>
        <v>Director</v>
      </c>
    </row>
    <row r="339" spans="1:5" ht="14.5">
      <c r="A339" s="360" t="s">
        <v>3964</v>
      </c>
      <c r="B339" s="66" t="s">
        <v>1099</v>
      </c>
      <c r="C339" t="str">
        <f>Contacts!Q8</f>
        <v>Tel</v>
      </c>
      <c r="D339" s="318" t="str">
        <f t="shared" si="5"/>
        <v>Contacts_Auth Signer_Tel</v>
      </c>
      <c r="E339" s="50" t="str">
        <f>Contacts!R8</f>
        <v>5401 9126</v>
      </c>
    </row>
    <row r="340" spans="1:5" ht="14.5">
      <c r="A340" s="360" t="s">
        <v>3964</v>
      </c>
      <c r="B340" s="66" t="s">
        <v>1099</v>
      </c>
      <c r="C340" t="str">
        <f>Contacts!Q9</f>
        <v>ID Type</v>
      </c>
      <c r="D340" s="318" t="str">
        <f t="shared" si="5"/>
        <v>Contacts_Auth Signer_ID Type</v>
      </c>
      <c r="E340" s="50" t="str">
        <f>Contacts!R9</f>
        <v>HKID</v>
      </c>
    </row>
    <row r="341" spans="1:5" ht="14.5">
      <c r="A341" s="360" t="s">
        <v>3964</v>
      </c>
      <c r="B341" s="66" t="s">
        <v>1099</v>
      </c>
      <c r="C341" t="str">
        <f>Contacts!Q10</f>
        <v>ID Number</v>
      </c>
      <c r="D341" s="318" t="str">
        <f t="shared" si="5"/>
        <v>Contacts_Auth Signer_ID Number</v>
      </c>
      <c r="E341" s="50" t="str">
        <f>Contacts!R10</f>
        <v>R526008(5)</v>
      </c>
    </row>
    <row r="342" spans="1:5" ht="14.5">
      <c r="A342" s="360" t="s">
        <v>3964</v>
      </c>
      <c r="B342" s="66" t="s">
        <v>1099</v>
      </c>
      <c r="C342" t="str">
        <f>Contacts!Q11</f>
        <v>Date of Birth</v>
      </c>
      <c r="D342" s="318" t="str">
        <f t="shared" si="5"/>
        <v>Contacts_Auth Signer_Date of Birth</v>
      </c>
      <c r="E342" s="50">
        <f>Contacts!R11</f>
        <v>24961</v>
      </c>
    </row>
    <row r="343" spans="1:5" ht="14.5">
      <c r="A343" s="360" t="s">
        <v>3964</v>
      </c>
      <c r="B343" s="66" t="s">
        <v>1099</v>
      </c>
      <c r="C343" t="str">
        <f>Contacts!Q12</f>
        <v>Nationality</v>
      </c>
      <c r="D343" s="318" t="str">
        <f t="shared" ref="D343:D366" si="6">A343&amp;"_"&amp;B343&amp;"_"&amp;C343</f>
        <v>Contacts_Auth Signer_Nationality</v>
      </c>
      <c r="E343" s="50" t="str">
        <f>Contacts!R12</f>
        <v>Georgia</v>
      </c>
    </row>
    <row r="344" spans="1:5" ht="14.5">
      <c r="A344" s="360" t="s">
        <v>3964</v>
      </c>
      <c r="B344" s="66" t="str">
        <f>Contacts!Q16</f>
        <v>Courtesy</v>
      </c>
      <c r="C344" t="str">
        <f>Contacts!Q16</f>
        <v>Courtesy</v>
      </c>
      <c r="D344" s="318" t="str">
        <f t="shared" si="6"/>
        <v>Contacts_Courtesy_Courtesy</v>
      </c>
      <c r="E344" s="50" t="str">
        <f>Contacts!R16</f>
        <v>Mr</v>
      </c>
    </row>
    <row r="345" spans="1:5" ht="14.5">
      <c r="A345" s="360" t="s">
        <v>3964</v>
      </c>
      <c r="B345" s="66" t="str">
        <f>Contacts!Q17</f>
        <v>Family Name</v>
      </c>
      <c r="C345" t="str">
        <f>Contacts!Q17</f>
        <v>Family Name</v>
      </c>
      <c r="D345" s="318" t="str">
        <f t="shared" si="6"/>
        <v>Contacts_Family Name_Family Name</v>
      </c>
      <c r="E345" s="50" t="str">
        <f>Contacts!R17</f>
        <v>CHEN</v>
      </c>
    </row>
    <row r="346" spans="1:5" ht="14.5">
      <c r="A346" s="360" t="s">
        <v>3964</v>
      </c>
      <c r="B346" s="66" t="str">
        <f>Contacts!Q18</f>
        <v>Given Name</v>
      </c>
      <c r="C346" t="str">
        <f>Contacts!Q18</f>
        <v>Given Name</v>
      </c>
      <c r="D346" s="318" t="str">
        <f t="shared" si="6"/>
        <v>Contacts_Given Name_Given Name</v>
      </c>
      <c r="E346" s="50" t="str">
        <f>Contacts!R18</f>
        <v>HANDE</v>
      </c>
    </row>
    <row r="347" spans="1:5" ht="14.5">
      <c r="A347" s="360" t="s">
        <v>3964</v>
      </c>
      <c r="B347" s="66" t="str">
        <f>Contacts!Q19</f>
        <v>Title</v>
      </c>
      <c r="C347" t="str">
        <f>Contacts!Q19</f>
        <v>Title</v>
      </c>
      <c r="D347" s="318" t="str">
        <f t="shared" si="6"/>
        <v>Contacts_Title_Title</v>
      </c>
      <c r="E347" s="50" t="str">
        <f>Contacts!R19</f>
        <v>Director</v>
      </c>
    </row>
    <row r="348" spans="1:5" ht="14.5">
      <c r="A348" s="360" t="s">
        <v>3964</v>
      </c>
      <c r="B348" s="66" t="str">
        <f>Contacts!Q20</f>
        <v>Tel</v>
      </c>
      <c r="C348" t="str">
        <f>Contacts!Q20</f>
        <v>Tel</v>
      </c>
      <c r="D348" s="318" t="str">
        <f t="shared" si="6"/>
        <v>Contacts_Tel_Tel</v>
      </c>
      <c r="E348" s="50" t="str">
        <f>Contacts!R20</f>
        <v>5401 9126</v>
      </c>
    </row>
    <row r="349" spans="1:5" ht="14.5">
      <c r="A349" s="360" t="s">
        <v>3964</v>
      </c>
      <c r="B349" s="66" t="str">
        <f>Contacts!Q21</f>
        <v>Chi. Family Name</v>
      </c>
      <c r="C349" t="str">
        <f>Contacts!Q21</f>
        <v>Chi. Family Name</v>
      </c>
      <c r="D349" s="318" t="str">
        <f t="shared" si="6"/>
        <v>Contacts_Chi. Family Name_Chi. Family Name</v>
      </c>
      <c r="E349" s="50" t="str">
        <f>Contacts!R21</f>
        <v>陳</v>
      </c>
    </row>
    <row r="350" spans="1:5" ht="14.5">
      <c r="A350" s="360" t="s">
        <v>3964</v>
      </c>
      <c r="B350" s="66" t="str">
        <f>Contacts!Q22</f>
        <v>Chi. Given Name</v>
      </c>
      <c r="C350" t="str">
        <f>Contacts!Q22</f>
        <v>Chi. Given Name</v>
      </c>
      <c r="D350" s="318" t="str">
        <f t="shared" si="6"/>
        <v>Contacts_Chi. Given Name_Chi. Given Name</v>
      </c>
      <c r="E350" s="50" t="str">
        <f>Contacts!R22</f>
        <v>漢得</v>
      </c>
    </row>
    <row r="351" spans="1:5" ht="14.5">
      <c r="A351" s="360" t="s">
        <v>3964</v>
      </c>
      <c r="B351" s="66" t="str">
        <f>Contacts!Q23</f>
        <v>ID Type</v>
      </c>
      <c r="C351" t="str">
        <f>Contacts!Q23</f>
        <v>ID Type</v>
      </c>
      <c r="D351" s="318" t="str">
        <f t="shared" si="6"/>
        <v>Contacts_ID Type_ID Type</v>
      </c>
      <c r="E351" s="50" t="str">
        <f>Contacts!R23</f>
        <v>HKID</v>
      </c>
    </row>
    <row r="352" spans="1:5" ht="14.5">
      <c r="A352" s="360" t="s">
        <v>3964</v>
      </c>
      <c r="B352" s="66" t="str">
        <f>Contacts!Q24</f>
        <v>ID Number</v>
      </c>
      <c r="C352" t="str">
        <f>Contacts!Q24</f>
        <v>ID Number</v>
      </c>
      <c r="D352" s="318" t="str">
        <f t="shared" si="6"/>
        <v>Contacts_ID Number_ID Number</v>
      </c>
      <c r="E352" s="50" t="str">
        <f>Contacts!R24</f>
        <v>R526008(5)</v>
      </c>
    </row>
    <row r="353" spans="1:5" ht="14.5">
      <c r="A353" s="360" t="s">
        <v>3964</v>
      </c>
      <c r="B353" s="66" t="str">
        <f>Contacts!Q25</f>
        <v>Date of Birth</v>
      </c>
      <c r="C353" t="str">
        <f>Contacts!Q25</f>
        <v>Date of Birth</v>
      </c>
      <c r="D353" s="318" t="str">
        <f t="shared" si="6"/>
        <v>Contacts_Date of Birth_Date of Birth</v>
      </c>
      <c r="E353" s="50">
        <f>Contacts!R25</f>
        <v>24961</v>
      </c>
    </row>
    <row r="354" spans="1:5" ht="14.5">
      <c r="A354" s="360" t="s">
        <v>3964</v>
      </c>
      <c r="B354" s="66" t="str">
        <f>Contacts!Q26</f>
        <v>Nationality</v>
      </c>
      <c r="C354" t="str">
        <f>Contacts!Q26</f>
        <v>Nationality</v>
      </c>
      <c r="D354" s="318" t="str">
        <f t="shared" si="6"/>
        <v>Contacts_Nationality_Nationality</v>
      </c>
      <c r="E354" s="50" t="str">
        <f>Contacts!R26</f>
        <v>Georgia</v>
      </c>
    </row>
    <row r="355" spans="1:5" ht="14.5">
      <c r="A355" s="360" t="s">
        <v>3964</v>
      </c>
      <c r="B355" s="66" t="str">
        <f>Contacts!Q27</f>
        <v>Capacity</v>
      </c>
      <c r="C355" t="str">
        <f>Contacts!Q27</f>
        <v>Capacity</v>
      </c>
      <c r="D355" s="318" t="str">
        <f t="shared" si="6"/>
        <v>Contacts_Capacity_Capacity</v>
      </c>
      <c r="E355" s="50" t="str">
        <f>Contacts!R27</f>
        <v>Director</v>
      </c>
    </row>
    <row r="356" spans="1:5" ht="14.5">
      <c r="A356" s="360" t="s">
        <v>3964</v>
      </c>
      <c r="B356" s="66" t="str">
        <f>Contacts!Q28</f>
        <v>Address Room</v>
      </c>
      <c r="C356" t="str">
        <f>Contacts!Q28</f>
        <v>Address Room</v>
      </c>
      <c r="D356" s="318" t="str">
        <f t="shared" si="6"/>
        <v>Contacts_Address Room_Address Room</v>
      </c>
      <c r="E356" s="50" t="str">
        <f>Contacts!R28</f>
        <v>FLAT 1</v>
      </c>
    </row>
    <row r="357" spans="1:5" ht="14.5">
      <c r="A357" s="360" t="s">
        <v>3964</v>
      </c>
      <c r="B357" s="66" t="str">
        <f>Contacts!Q29</f>
        <v>Res. Add. Floor</v>
      </c>
      <c r="C357" t="str">
        <f>Contacts!Q29</f>
        <v>Res. Add. Floor</v>
      </c>
      <c r="D357" s="318" t="str">
        <f t="shared" si="6"/>
        <v>Contacts_Res. Add. Floor_Res. Add. Floor</v>
      </c>
      <c r="E357" s="50" t="str">
        <f>Contacts!R29</f>
        <v>17/F</v>
      </c>
    </row>
    <row r="358" spans="1:5" ht="14.5">
      <c r="A358" s="360" t="s">
        <v>3964</v>
      </c>
      <c r="B358" s="66" t="str">
        <f>Contacts!Q30</f>
        <v>Res. Add. Blk/Bldg</v>
      </c>
      <c r="C358" t="str">
        <f>Contacts!Q30</f>
        <v>Res. Add. Blk/Bldg</v>
      </c>
      <c r="D358" s="318" t="str">
        <f t="shared" si="6"/>
        <v>Contacts_Res. Add. Blk/Bldg_Res. Add. Blk/Bldg</v>
      </c>
      <c r="E358" s="50" t="str">
        <f>Contacts!R30</f>
        <v>BLOCK C,</v>
      </c>
    </row>
    <row r="359" spans="1:5" ht="14.5">
      <c r="A359" s="360" t="s">
        <v>3964</v>
      </c>
      <c r="B359" s="66" t="str">
        <f>Contacts!Q31</f>
        <v>Res. Add. Estate</v>
      </c>
      <c r="C359" t="str">
        <f>Contacts!Q31</f>
        <v>Res. Add. Estate</v>
      </c>
      <c r="D359" s="318" t="str">
        <f t="shared" si="6"/>
        <v>Contacts_Res. Add. Estate_Res. Add. Estate</v>
      </c>
      <c r="E359" s="50" t="str">
        <f>Contacts!R31</f>
        <v>YU MOON HOUSE, PHASE 1, YU CHUI COURT</v>
      </c>
    </row>
    <row r="360" spans="1:5" ht="14.5">
      <c r="A360" s="360" t="s">
        <v>3964</v>
      </c>
      <c r="B360" s="66" t="str">
        <f>Contacts!Q32</f>
        <v>Res. Add. Street</v>
      </c>
      <c r="C360" t="str">
        <f>Contacts!Q32</f>
        <v>Res. Add. Street</v>
      </c>
      <c r="D360" s="318" t="str">
        <f t="shared" si="6"/>
        <v>Contacts_Res. Add. Street_Res. Add. Street</v>
      </c>
      <c r="E360" s="50" t="str">
        <f>Contacts!R32</f>
        <v>6 NGAU PEI SHA STREET, YUEN CHAU KOK</v>
      </c>
    </row>
    <row r="361" spans="1:5" ht="14.5">
      <c r="A361" s="360" t="s">
        <v>3964</v>
      </c>
      <c r="B361" s="66" t="str">
        <f>Contacts!Q33</f>
        <v>Res. Add. District</v>
      </c>
      <c r="C361" t="str">
        <f>Contacts!Q33</f>
        <v>Res. Add. District</v>
      </c>
      <c r="D361" s="318" t="str">
        <f t="shared" si="6"/>
        <v>Contacts_Res. Add. District_Res. Add. District</v>
      </c>
      <c r="E361" s="50" t="str">
        <f>Contacts!R33</f>
        <v>San Tin</v>
      </c>
    </row>
    <row r="362" spans="1:5" ht="14.5">
      <c r="A362" s="360" t="s">
        <v>3964</v>
      </c>
      <c r="B362" s="66" t="str">
        <f>Contacts!Q34</f>
        <v>Res. Add. Region</v>
      </c>
      <c r="C362" t="str">
        <f>Contacts!Q34</f>
        <v>Res. Add. Region</v>
      </c>
      <c r="D362" s="318" t="str">
        <f t="shared" si="6"/>
        <v>Contacts_Res. Add. Region_Res. Add. Region</v>
      </c>
      <c r="E362" s="50" t="str">
        <f>Contacts!R34</f>
        <v>New Territories</v>
      </c>
    </row>
    <row r="363" spans="1:5" ht="14.5">
      <c r="A363" s="360" t="s">
        <v>3964</v>
      </c>
      <c r="B363" s="66" t="s">
        <v>1094</v>
      </c>
      <c r="C363" t="s">
        <v>4142</v>
      </c>
      <c r="D363" s="318" t="str">
        <f t="shared" si="6"/>
        <v>Contacts_Contacts 1_Full Name</v>
      </c>
      <c r="E363" s="50" t="str">
        <f>Contacts!B5</f>
        <v>HANDE CHEN</v>
      </c>
    </row>
    <row r="364" spans="1:5" ht="14.5">
      <c r="A364" s="360" t="s">
        <v>3964</v>
      </c>
      <c r="B364" s="66" t="s">
        <v>1095</v>
      </c>
      <c r="C364" t="s">
        <v>4142</v>
      </c>
      <c r="D364" s="318" t="str">
        <f t="shared" si="6"/>
        <v>Contacts_Contacts 2_Full Name</v>
      </c>
      <c r="E364" s="50" t="str">
        <f>Contacts!F5</f>
        <v>HANDE CHEN</v>
      </c>
    </row>
    <row r="365" spans="1:5" ht="14.5">
      <c r="A365" s="360" t="s">
        <v>3964</v>
      </c>
      <c r="B365" s="66" t="s">
        <v>1096</v>
      </c>
      <c r="C365" t="s">
        <v>4142</v>
      </c>
      <c r="D365" s="318" t="str">
        <f t="shared" si="6"/>
        <v>Contacts_Contacts 3_Full Name</v>
      </c>
      <c r="E365" s="50" t="str">
        <f>Contacts!J5</f>
        <v>HANDE CHEN</v>
      </c>
    </row>
    <row r="366" spans="1:5" ht="14.5">
      <c r="A366" s="360" t="s">
        <v>3964</v>
      </c>
      <c r="B366" s="66" t="s">
        <v>1098</v>
      </c>
      <c r="C366" t="s">
        <v>4142</v>
      </c>
      <c r="D366" s="318" t="str">
        <f t="shared" si="6"/>
        <v>Contacts_Contacts 4_Full Name</v>
      </c>
      <c r="E366" s="50" t="str">
        <f>Contacts!N5</f>
        <v>HANDE CHEN</v>
      </c>
    </row>
    <row r="367" spans="1:5" ht="14.5">
      <c r="A367" s="360" t="s">
        <v>3964</v>
      </c>
      <c r="B367" s="66" t="s">
        <v>1099</v>
      </c>
      <c r="C367" t="s">
        <v>4142</v>
      </c>
      <c r="D367" s="318" t="str">
        <f>A367&amp;"_"&amp;B367&amp;"_"&amp;C367</f>
        <v>Contacts_Auth Signer_Full Name</v>
      </c>
      <c r="E367" s="50" t="str">
        <f>Contacts!R5</f>
        <v>HANDE CHEN</v>
      </c>
    </row>
  </sheetData>
  <autoFilter ref="A1:E367" xr:uid="{00000000-0001-0000-0500-000000000000}"/>
  <phoneticPr fontId="89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6600FF"/>
  </sheetPr>
  <dimension ref="A1:O62"/>
  <sheetViews>
    <sheetView zoomScale="75" zoomScaleNormal="75" workbookViewId="0">
      <selection activeCell="F28" sqref="F28"/>
    </sheetView>
  </sheetViews>
  <sheetFormatPr defaultColWidth="8.75" defaultRowHeight="14.5"/>
  <cols>
    <col min="1" max="1" width="30.25" style="327" customWidth="1"/>
    <col min="2" max="2" width="28.75" style="322" customWidth="1"/>
    <col min="3" max="3" width="9.58203125" style="322" customWidth="1"/>
    <col min="4" max="4" width="4" style="327" customWidth="1"/>
    <col min="5" max="5" width="26.5" style="327" customWidth="1"/>
    <col min="6" max="6" width="22.08203125" style="322" customWidth="1"/>
    <col min="7" max="8" width="4" style="327" customWidth="1"/>
    <col min="9" max="9" width="34.08203125" style="327" customWidth="1"/>
    <col min="10" max="10" width="11" style="322" customWidth="1"/>
    <col min="11" max="12" width="4.08203125" style="327" customWidth="1"/>
    <col min="13" max="13" width="34.25" style="327" bestFit="1" customWidth="1"/>
    <col min="14" max="16384" width="8.75" style="327"/>
  </cols>
  <sheetData>
    <row r="1" spans="1:15" ht="15.75" customHeight="1">
      <c r="A1" s="323" t="s">
        <v>766</v>
      </c>
      <c r="B1" s="324">
        <f ca="1">TODAY()</f>
        <v>45547</v>
      </c>
      <c r="C1" s="325" t="s">
        <v>767</v>
      </c>
      <c r="D1" s="326"/>
    </row>
    <row r="2" spans="1:15" ht="15.75" customHeight="1">
      <c r="A2" s="323" t="s">
        <v>34</v>
      </c>
      <c r="B2" s="328" t="s">
        <v>3965</v>
      </c>
      <c r="C2" s="322" t="s">
        <v>768</v>
      </c>
      <c r="D2" s="329"/>
    </row>
    <row r="3" spans="1:15" ht="15.75" customHeight="1">
      <c r="A3" s="330" t="s">
        <v>3966</v>
      </c>
      <c r="B3" s="331" t="s">
        <v>2869</v>
      </c>
      <c r="D3" s="329"/>
    </row>
    <row r="4" spans="1:15" ht="15.75" customHeight="1">
      <c r="A4" s="330" t="s">
        <v>3967</v>
      </c>
      <c r="B4" s="331" t="str">
        <f>VLOOKUP(B3,Sales_Table,2,FALSE)</f>
        <v>BD29</v>
      </c>
      <c r="D4" s="329"/>
    </row>
    <row r="5" spans="1:15" ht="15.75" customHeight="1">
      <c r="A5" s="330" t="s">
        <v>770</v>
      </c>
      <c r="B5" s="331" t="s">
        <v>3968</v>
      </c>
      <c r="D5" s="329"/>
    </row>
    <row r="6" spans="1:15" ht="15.75" customHeight="1">
      <c r="A6" s="330" t="s">
        <v>771</v>
      </c>
      <c r="B6" s="331" t="s">
        <v>3969</v>
      </c>
      <c r="D6" s="329"/>
    </row>
    <row r="7" spans="1:15" ht="15.75" customHeight="1"/>
    <row r="8" spans="1:15" ht="15.75" customHeight="1">
      <c r="A8" s="66" t="s">
        <v>772</v>
      </c>
      <c r="E8" s="66" t="s">
        <v>773</v>
      </c>
      <c r="I8" s="66" t="s">
        <v>774</v>
      </c>
      <c r="M8" s="66" t="s">
        <v>775</v>
      </c>
    </row>
    <row r="9" spans="1:15" ht="15.75" customHeight="1">
      <c r="A9" s="323" t="s">
        <v>3970</v>
      </c>
      <c r="B9" s="328" t="s">
        <v>2785</v>
      </c>
      <c r="C9" s="322" t="s">
        <v>776</v>
      </c>
      <c r="E9" s="323" t="s">
        <v>777</v>
      </c>
      <c r="F9" s="328" t="s">
        <v>3971</v>
      </c>
      <c r="G9" s="327" t="s">
        <v>778</v>
      </c>
      <c r="H9" s="72"/>
      <c r="I9" s="323" t="s">
        <v>3972</v>
      </c>
      <c r="J9" s="332">
        <f>VLOOKUP(B24,[1]MCC_Booklet!C:E,3,FALSE)</f>
        <v>5814</v>
      </c>
      <c r="K9" s="327" t="s">
        <v>779</v>
      </c>
      <c r="M9" s="119" t="s">
        <v>3973</v>
      </c>
      <c r="N9" s="328"/>
      <c r="O9" s="327" t="s">
        <v>780</v>
      </c>
    </row>
    <row r="10" spans="1:15" ht="15.75" customHeight="1">
      <c r="A10" s="323" t="s">
        <v>781</v>
      </c>
      <c r="B10" s="328">
        <v>3224327</v>
      </c>
      <c r="C10" s="322" t="s">
        <v>782</v>
      </c>
      <c r="E10" s="323" t="s">
        <v>783</v>
      </c>
      <c r="F10" s="333" t="s">
        <v>3974</v>
      </c>
      <c r="G10" s="327" t="s">
        <v>784</v>
      </c>
      <c r="H10" s="322"/>
      <c r="I10" s="323" t="s">
        <v>3975</v>
      </c>
      <c r="J10" s="332">
        <f>VLOOKUP(B24,[1]MCC_Booklet!C:E,3,FALSE)</f>
        <v>5814</v>
      </c>
      <c r="K10" s="327" t="s">
        <v>785</v>
      </c>
      <c r="M10" s="84" t="s">
        <v>3976</v>
      </c>
      <c r="N10" s="328" t="s">
        <v>2750</v>
      </c>
      <c r="O10" s="327" t="s">
        <v>786</v>
      </c>
    </row>
    <row r="11" spans="1:15" ht="15.75" customHeight="1">
      <c r="A11" s="323" t="s">
        <v>787</v>
      </c>
      <c r="B11" s="334">
        <v>44937</v>
      </c>
      <c r="C11" s="322" t="s">
        <v>788</v>
      </c>
      <c r="E11" s="323" t="s">
        <v>789</v>
      </c>
      <c r="F11" s="328">
        <v>1</v>
      </c>
      <c r="G11" s="322" t="s">
        <v>790</v>
      </c>
      <c r="I11" s="323" t="s">
        <v>3977</v>
      </c>
      <c r="J11" s="332">
        <f>VLOOKUP(B24,[1]MCC_Booklet!C:E,3,FALSE)</f>
        <v>5814</v>
      </c>
      <c r="K11" s="327" t="s">
        <v>791</v>
      </c>
    </row>
    <row r="12" spans="1:15" ht="15.75" customHeight="1">
      <c r="L12" s="362"/>
      <c r="M12" s="362"/>
      <c r="N12" s="362"/>
      <c r="O12" s="362"/>
    </row>
    <row r="13" spans="1:15" ht="15.75" customHeight="1">
      <c r="L13" s="362"/>
      <c r="M13" s="364" t="s">
        <v>4129</v>
      </c>
      <c r="O13" s="362"/>
    </row>
    <row r="14" spans="1:15" ht="15.75" customHeight="1">
      <c r="A14" s="66" t="s">
        <v>792</v>
      </c>
      <c r="E14" s="66" t="s">
        <v>793</v>
      </c>
      <c r="F14" s="335" t="s">
        <v>3978</v>
      </c>
      <c r="I14" s="66" t="s">
        <v>794</v>
      </c>
      <c r="L14" s="362"/>
      <c r="M14" s="66" t="s">
        <v>4126</v>
      </c>
      <c r="O14" s="362"/>
    </row>
    <row r="15" spans="1:15" ht="15.75" customHeight="1">
      <c r="A15" s="69" t="s">
        <v>795</v>
      </c>
      <c r="B15" s="328" t="s">
        <v>3979</v>
      </c>
      <c r="C15" s="322" t="s">
        <v>796</v>
      </c>
      <c r="D15" s="329"/>
      <c r="E15" s="323" t="s">
        <v>797</v>
      </c>
      <c r="F15" s="332" t="str">
        <f t="shared" ref="F15:F20" si="0">IF(B25=0,"",B25)</f>
        <v>S8A</v>
      </c>
      <c r="G15" t="s">
        <v>798</v>
      </c>
      <c r="I15" s="323" t="s">
        <v>799</v>
      </c>
      <c r="J15" s="336">
        <v>50</v>
      </c>
      <c r="K15" s="327" t="s">
        <v>800</v>
      </c>
      <c r="L15" s="362"/>
      <c r="M15" s="323" t="s">
        <v>4127</v>
      </c>
      <c r="N15" s="328" t="s">
        <v>3230</v>
      </c>
      <c r="O15" s="362"/>
    </row>
    <row r="16" spans="1:15" ht="15.75" customHeight="1">
      <c r="A16" s="69" t="s">
        <v>801</v>
      </c>
      <c r="B16" s="328" t="s">
        <v>3980</v>
      </c>
      <c r="C16" s="322" t="s">
        <v>802</v>
      </c>
      <c r="D16" s="329"/>
      <c r="E16" s="323" t="s">
        <v>803</v>
      </c>
      <c r="F16" s="332" t="str">
        <f t="shared" si="0"/>
        <v>G/F</v>
      </c>
      <c r="G16" t="s">
        <v>804</v>
      </c>
      <c r="I16" s="337" t="s">
        <v>3981</v>
      </c>
      <c r="J16" s="338" t="s">
        <v>3982</v>
      </c>
      <c r="K16" s="327" t="s">
        <v>805</v>
      </c>
      <c r="L16" s="362"/>
      <c r="M16" s="323" t="s">
        <v>3221</v>
      </c>
      <c r="N16" s="332" t="str">
        <f>_xlfn.XLOOKUP(N15,'Rental Code'!F3:F9,'Rental Code'!G3:G9)</f>
        <v xml:space="preserve">24 months  
(codes: WMER2YDE-program, IBSCCX0060/1159958 - Merchant Service $298 ($210 discount), IBSCCX0067/1167103-A920 terminal by HKT) </v>
      </c>
      <c r="O16" s="362"/>
    </row>
    <row r="17" spans="1:15" ht="15.75" customHeight="1">
      <c r="A17" s="69" t="s">
        <v>806</v>
      </c>
      <c r="B17" s="332" t="str">
        <f>IF(B16=0,"",B16)</f>
        <v>潼灝餐飲有限公司~Test 1</v>
      </c>
      <c r="D17" s="329"/>
      <c r="E17" s="323" t="s">
        <v>807</v>
      </c>
      <c r="F17" s="332" t="str">
        <f>IF(B27=0,"",B27)</f>
        <v>BAUHINIA GARDEN</v>
      </c>
      <c r="G17" t="s">
        <v>808</v>
      </c>
      <c r="I17" s="323" t="s">
        <v>809</v>
      </c>
      <c r="J17" s="336"/>
      <c r="K17" s="327" t="s">
        <v>810</v>
      </c>
      <c r="L17" s="362"/>
      <c r="O17" s="362"/>
    </row>
    <row r="18" spans="1:15" ht="15.75" customHeight="1">
      <c r="A18" s="69" t="s">
        <v>811</v>
      </c>
      <c r="B18" s="328" t="s">
        <v>3983</v>
      </c>
      <c r="D18" s="329"/>
      <c r="E18" s="323" t="s">
        <v>812</v>
      </c>
      <c r="F18" s="332" t="str">
        <f t="shared" si="0"/>
        <v>11 TONG CHUN ST</v>
      </c>
      <c r="G18" t="s">
        <v>813</v>
      </c>
      <c r="I18" s="323" t="s">
        <v>814</v>
      </c>
      <c r="J18" s="336"/>
      <c r="K18" s="327" t="s">
        <v>815</v>
      </c>
      <c r="L18" s="362"/>
      <c r="M18" s="66" t="s">
        <v>4128</v>
      </c>
      <c r="O18" s="362"/>
    </row>
    <row r="19" spans="1:15" ht="15.75" customHeight="1">
      <c r="A19" s="69" t="s">
        <v>816</v>
      </c>
      <c r="B19" s="328" t="s">
        <v>3984</v>
      </c>
      <c r="D19" s="329"/>
      <c r="E19" s="323" t="s">
        <v>817</v>
      </c>
      <c r="F19" s="332" t="str">
        <f t="shared" si="0"/>
        <v>Tseung Kwan O</v>
      </c>
      <c r="G19" t="s">
        <v>818</v>
      </c>
      <c r="I19" s="323" t="s">
        <v>819</v>
      </c>
      <c r="J19" s="336"/>
      <c r="K19" s="327" t="s">
        <v>820</v>
      </c>
      <c r="L19" s="362"/>
      <c r="M19" s="323" t="s">
        <v>4127</v>
      </c>
      <c r="N19" s="328">
        <v>108</v>
      </c>
      <c r="O19" s="362"/>
    </row>
    <row r="20" spans="1:15" ht="15.75" customHeight="1">
      <c r="A20" s="323" t="s">
        <v>3985</v>
      </c>
      <c r="B20" s="377" t="s">
        <v>2390</v>
      </c>
      <c r="C20" s="322" t="s">
        <v>821</v>
      </c>
      <c r="D20" s="329"/>
      <c r="E20" s="323" t="s">
        <v>822</v>
      </c>
      <c r="F20" s="332" t="str">
        <f t="shared" si="0"/>
        <v>New Territories</v>
      </c>
      <c r="G20" t="s">
        <v>823</v>
      </c>
      <c r="I20" s="323" t="s">
        <v>824</v>
      </c>
      <c r="J20" s="336">
        <v>30000</v>
      </c>
      <c r="K20" s="327" t="s">
        <v>825</v>
      </c>
      <c r="L20" s="362"/>
      <c r="M20" s="323" t="s">
        <v>3221</v>
      </c>
      <c r="N20" s="332" t="str">
        <f>_xlfn.XLOOKUP(N19,'Rental Code'!A3:A6,'Rental Code'!B3:B6)</f>
        <v>24 months 
(code: WMER2YDE-program, IBSCCX0137/1734346 - HKT POS $108)</v>
      </c>
      <c r="O20" s="362"/>
    </row>
    <row r="21" spans="1:15" ht="15.75" customHeight="1">
      <c r="A21" s="323" t="s">
        <v>826</v>
      </c>
      <c r="B21" s="328" t="s">
        <v>3986</v>
      </c>
      <c r="C21" t="s">
        <v>827</v>
      </c>
      <c r="D21" s="329"/>
      <c r="I21" s="323" t="s">
        <v>828</v>
      </c>
      <c r="J21" s="336">
        <v>480000</v>
      </c>
      <c r="K21" s="327" t="s">
        <v>829</v>
      </c>
      <c r="L21" s="362"/>
      <c r="O21" s="362"/>
    </row>
    <row r="22" spans="1:15" ht="15.75" customHeight="1">
      <c r="A22" s="323" t="s">
        <v>276</v>
      </c>
      <c r="B22" s="334">
        <v>45302</v>
      </c>
      <c r="C22" s="322" t="s">
        <v>830</v>
      </c>
      <c r="D22" s="329"/>
      <c r="I22" s="323" t="s">
        <v>160</v>
      </c>
      <c r="J22" s="328"/>
      <c r="K22" s="327" t="s">
        <v>831</v>
      </c>
      <c r="L22" s="362"/>
      <c r="O22" s="362"/>
    </row>
    <row r="23" spans="1:15" ht="15.75" customHeight="1">
      <c r="A23" s="323" t="s">
        <v>832</v>
      </c>
      <c r="B23" s="334">
        <v>45667</v>
      </c>
      <c r="C23" s="339" t="s">
        <v>833</v>
      </c>
      <c r="D23" s="340"/>
      <c r="E23" s="66" t="s">
        <v>834</v>
      </c>
      <c r="I23" s="323" t="s">
        <v>161</v>
      </c>
      <c r="J23" s="328">
        <v>720000</v>
      </c>
      <c r="K23" s="327" t="s">
        <v>835</v>
      </c>
      <c r="L23" s="362"/>
      <c r="M23" s="66" t="s">
        <v>4160</v>
      </c>
      <c r="O23" s="362"/>
    </row>
    <row r="24" spans="1:15" ht="15.75" customHeight="1">
      <c r="A24" s="323" t="s">
        <v>3987</v>
      </c>
      <c r="B24" s="328" t="s">
        <v>1549</v>
      </c>
      <c r="C24" s="295" t="s">
        <v>836</v>
      </c>
      <c r="D24" s="341"/>
      <c r="E24" s="323" t="s">
        <v>837</v>
      </c>
      <c r="F24" s="328" t="s">
        <v>3988</v>
      </c>
      <c r="G24" s="327" t="s">
        <v>838</v>
      </c>
      <c r="I24" s="323" t="s">
        <v>839</v>
      </c>
      <c r="J24" s="342"/>
      <c r="K24" s="327" t="s">
        <v>840</v>
      </c>
      <c r="L24" s="362"/>
      <c r="M24" s="323" t="s">
        <v>4162</v>
      </c>
      <c r="N24" s="85"/>
      <c r="O24" s="362"/>
    </row>
    <row r="25" spans="1:15" ht="15.75" customHeight="1">
      <c r="A25" s="323" t="s">
        <v>841</v>
      </c>
      <c r="B25" s="328" t="s">
        <v>3989</v>
      </c>
      <c r="C25" t="s">
        <v>842</v>
      </c>
      <c r="D25" s="329"/>
      <c r="E25" s="323" t="s">
        <v>3990</v>
      </c>
      <c r="F25" s="328" t="s">
        <v>1910</v>
      </c>
      <c r="G25" s="327" t="s">
        <v>843</v>
      </c>
      <c r="I25" s="84" t="s">
        <v>3991</v>
      </c>
      <c r="J25" s="85"/>
      <c r="K25" s="327" t="s">
        <v>844</v>
      </c>
      <c r="L25" s="362"/>
      <c r="M25" s="323" t="s">
        <v>2775</v>
      </c>
      <c r="N25" s="85"/>
      <c r="O25" s="362"/>
    </row>
    <row r="26" spans="1:15" ht="15.75" customHeight="1">
      <c r="A26" s="323" t="s">
        <v>845</v>
      </c>
      <c r="B26" s="328" t="s">
        <v>3992</v>
      </c>
      <c r="C26" t="s">
        <v>846</v>
      </c>
      <c r="E26" s="323" t="s">
        <v>847</v>
      </c>
      <c r="F26" s="343" t="s">
        <v>3993</v>
      </c>
      <c r="G26" s="296" t="s">
        <v>848</v>
      </c>
      <c r="I26" s="323" t="s">
        <v>849</v>
      </c>
      <c r="J26" s="344">
        <v>0.2</v>
      </c>
      <c r="K26" s="327" t="s">
        <v>850</v>
      </c>
      <c r="L26" s="362"/>
      <c r="M26" s="323" t="s">
        <v>4161</v>
      </c>
      <c r="N26" s="85"/>
      <c r="O26" s="362"/>
    </row>
    <row r="27" spans="1:15" s="70" customFormat="1" ht="15.75" customHeight="1">
      <c r="A27" s="323" t="s">
        <v>851</v>
      </c>
      <c r="B27" s="328" t="s">
        <v>3994</v>
      </c>
      <c r="C27" t="s">
        <v>852</v>
      </c>
      <c r="E27" s="323" t="s">
        <v>853</v>
      </c>
      <c r="F27" s="86" t="s">
        <v>3995</v>
      </c>
      <c r="G27" t="s">
        <v>854</v>
      </c>
      <c r="J27" s="71"/>
      <c r="L27" s="362"/>
      <c r="M27" s="323" t="s">
        <v>4163</v>
      </c>
      <c r="N27" s="85" t="s">
        <v>4166</v>
      </c>
      <c r="O27" s="362"/>
    </row>
    <row r="28" spans="1:15" s="70" customFormat="1" ht="15.75" customHeight="1">
      <c r="A28" s="323" t="s">
        <v>855</v>
      </c>
      <c r="B28" s="328" t="s">
        <v>3996</v>
      </c>
      <c r="C28" t="s">
        <v>856</v>
      </c>
      <c r="E28" s="323" t="s">
        <v>857</v>
      </c>
      <c r="F28" s="328" t="s">
        <v>3997</v>
      </c>
      <c r="G28" s="70" t="s">
        <v>858</v>
      </c>
      <c r="J28" s="71"/>
      <c r="L28" s="362"/>
      <c r="M28" s="323" t="s">
        <v>4164</v>
      </c>
      <c r="N28" s="85"/>
      <c r="O28" s="362"/>
    </row>
    <row r="29" spans="1:15" s="70" customFormat="1" ht="15.75" customHeight="1">
      <c r="A29" s="323" t="s">
        <v>3998</v>
      </c>
      <c r="B29" s="328" t="s">
        <v>2654</v>
      </c>
      <c r="C29" t="s">
        <v>859</v>
      </c>
      <c r="E29" s="323" t="s">
        <v>3999</v>
      </c>
      <c r="F29" s="332" t="str">
        <f>VLOOKUP(F25,[1]BankCodes!A2:B216,2,0)</f>
        <v>BANK OF CHINA (HONG KONG) LIMITED</v>
      </c>
      <c r="G29" s="327" t="s">
        <v>860</v>
      </c>
      <c r="J29" s="71"/>
      <c r="L29" s="362"/>
      <c r="M29" s="323" t="s">
        <v>4165</v>
      </c>
      <c r="N29" s="85"/>
      <c r="O29" s="362"/>
    </row>
    <row r="30" spans="1:15" s="70" customFormat="1" ht="15.75" customHeight="1">
      <c r="A30" s="323" t="s">
        <v>4000</v>
      </c>
      <c r="B30" s="328" t="s">
        <v>49</v>
      </c>
      <c r="C30" t="s">
        <v>861</v>
      </c>
      <c r="E30" s="323" t="s">
        <v>4001</v>
      </c>
      <c r="F30" s="332" t="str">
        <f>IF((VLOOKUP(F25,[1]BankCodes!A2:C216,3,0))=0,"",VLOOKUP(F25,[1]BankCodes!A2:C216,3,0))</f>
        <v>BKCHHKHHXXX</v>
      </c>
      <c r="G30" s="327" t="s">
        <v>862</v>
      </c>
      <c r="J30" s="71"/>
      <c r="L30" s="362"/>
      <c r="O30" s="362"/>
    </row>
    <row r="31" spans="1:15" s="70" customFormat="1">
      <c r="A31" s="362" t="s">
        <v>1417</v>
      </c>
      <c r="B31" s="366" t="str">
        <f>B25&amp;" "&amp;B26&amp;" "&amp;B27&amp;" "&amp;B28&amp;" "&amp;B29&amp;" "&amp;B30</f>
        <v>S8A G/F BAUHINIA GARDEN 11 TONG CHUN ST Tseung Kwan O New Territories</v>
      </c>
      <c r="F31" s="50" t="s">
        <v>4002</v>
      </c>
      <c r="J31" s="71"/>
      <c r="L31" s="362"/>
      <c r="M31" s="66" t="s">
        <v>4223</v>
      </c>
      <c r="O31" s="362"/>
    </row>
    <row r="32" spans="1:15" s="70" customFormat="1" ht="15.75" customHeight="1">
      <c r="B32" s="67" t="s">
        <v>863</v>
      </c>
      <c r="C32" s="71"/>
      <c r="F32" s="50" t="s">
        <v>4003</v>
      </c>
      <c r="J32" s="71"/>
      <c r="L32" s="362"/>
      <c r="M32" s="323" t="s">
        <v>4224</v>
      </c>
      <c r="N32" s="85">
        <v>123456</v>
      </c>
      <c r="O32" s="362"/>
    </row>
    <row r="33" spans="1:15" s="70" customFormat="1" ht="15.75" customHeight="1">
      <c r="B33" s="345">
        <f>LEN(B34)</f>
        <v>15</v>
      </c>
      <c r="C33" s="71"/>
      <c r="F33" s="71"/>
      <c r="H33" s="327"/>
      <c r="L33" s="362"/>
      <c r="O33" s="362"/>
    </row>
    <row r="34" spans="1:15" s="70" customFormat="1" ht="15.75" customHeight="1">
      <c r="A34" s="323" t="s">
        <v>864</v>
      </c>
      <c r="B34" s="332" t="s">
        <v>3983</v>
      </c>
      <c r="C34" s="322" t="s">
        <v>865</v>
      </c>
      <c r="F34" s="71"/>
      <c r="L34" s="362"/>
      <c r="M34" s="327"/>
      <c r="N34" s="327"/>
      <c r="O34" s="362"/>
    </row>
    <row r="35" spans="1:15" s="70" customFormat="1" ht="15.75" customHeight="1">
      <c r="B35" s="322"/>
      <c r="C35" s="71"/>
      <c r="F35" s="71"/>
      <c r="L35" s="362"/>
      <c r="O35" s="362"/>
    </row>
    <row r="36" spans="1:15" ht="16.5" customHeight="1">
      <c r="A36" s="43" t="s">
        <v>866</v>
      </c>
      <c r="E36" s="112" t="s">
        <v>67</v>
      </c>
      <c r="F36" s="346"/>
      <c r="G36" s="347"/>
      <c r="H36" s="347"/>
      <c r="I36" s="347"/>
      <c r="L36" s="362"/>
      <c r="M36" s="66" t="s">
        <v>4516</v>
      </c>
      <c r="O36" s="362"/>
    </row>
    <row r="37" spans="1:15" ht="15.75" customHeight="1">
      <c r="A37" s="323" t="s">
        <v>867</v>
      </c>
      <c r="B37" s="332" t="s">
        <v>3983</v>
      </c>
      <c r="C37" s="322" t="s">
        <v>868</v>
      </c>
      <c r="D37" s="329"/>
      <c r="E37" s="347" t="s">
        <v>869</v>
      </c>
      <c r="F37" s="346"/>
      <c r="G37" s="347" t="s">
        <v>870</v>
      </c>
      <c r="H37" s="347"/>
      <c r="I37" s="113" t="s">
        <v>4004</v>
      </c>
      <c r="L37" s="362"/>
      <c r="M37" s="323" t="s">
        <v>4517</v>
      </c>
      <c r="N37" s="85" t="s">
        <v>4286</v>
      </c>
      <c r="O37" s="362"/>
    </row>
    <row r="38" spans="1:15" ht="15.75" customHeight="1">
      <c r="A38" s="323" t="s">
        <v>871</v>
      </c>
      <c r="B38" s="328" t="s">
        <v>4005</v>
      </c>
      <c r="C38" s="322" t="s">
        <v>872</v>
      </c>
      <c r="D38" s="329"/>
      <c r="E38" s="347" t="s">
        <v>873</v>
      </c>
      <c r="F38" s="346"/>
      <c r="G38" s="347" t="s">
        <v>874</v>
      </c>
      <c r="H38" s="347"/>
      <c r="I38" s="113" t="s">
        <v>4006</v>
      </c>
      <c r="L38" s="362"/>
      <c r="M38" s="323" t="s">
        <v>4518</v>
      </c>
      <c r="N38" s="85" t="s">
        <v>4521</v>
      </c>
      <c r="O38" s="362"/>
    </row>
    <row r="39" spans="1:15" ht="15.75" customHeight="1">
      <c r="A39" s="323" t="s">
        <v>875</v>
      </c>
      <c r="B39" s="328" t="s">
        <v>3984</v>
      </c>
      <c r="C39" s="322" t="s">
        <v>876</v>
      </c>
      <c r="D39" s="329"/>
      <c r="E39" s="347" t="s">
        <v>877</v>
      </c>
      <c r="F39" s="346"/>
      <c r="G39" s="347" t="s">
        <v>878</v>
      </c>
      <c r="H39" s="347"/>
      <c r="I39" s="113" t="s">
        <v>4007</v>
      </c>
      <c r="L39" s="362"/>
      <c r="M39" s="384" t="s">
        <v>4529</v>
      </c>
      <c r="N39" s="85" t="s">
        <v>4527</v>
      </c>
      <c r="O39" s="362"/>
    </row>
    <row r="40" spans="1:15" ht="15.75" customHeight="1">
      <c r="A40" s="323" t="s">
        <v>797</v>
      </c>
      <c r="B40" s="332" t="str">
        <f t="shared" ref="B40:B45" si="1">IF(B25=0,"",B25)</f>
        <v>S8A</v>
      </c>
      <c r="C40" t="s">
        <v>879</v>
      </c>
      <c r="D40" s="329"/>
      <c r="E40" s="347" t="s">
        <v>880</v>
      </c>
      <c r="F40" s="346"/>
      <c r="G40" s="114" t="s">
        <v>881</v>
      </c>
      <c r="H40" s="347"/>
      <c r="I40" s="113" t="s">
        <v>4008</v>
      </c>
      <c r="L40" s="362"/>
      <c r="M40" s="323" t="s">
        <v>4520</v>
      </c>
      <c r="N40" s="85" t="s">
        <v>4522</v>
      </c>
      <c r="O40" s="362"/>
    </row>
    <row r="41" spans="1:15" ht="15.75" customHeight="1">
      <c r="A41" s="323" t="s">
        <v>803</v>
      </c>
      <c r="B41" s="332" t="str">
        <f>IF(B26=0,"",B26)</f>
        <v>G/F</v>
      </c>
      <c r="C41" t="s">
        <v>882</v>
      </c>
      <c r="D41" s="329"/>
      <c r="E41" s="347" t="s">
        <v>883</v>
      </c>
      <c r="F41" s="346"/>
      <c r="G41" s="114" t="s">
        <v>884</v>
      </c>
      <c r="H41" s="347"/>
      <c r="I41" s="113" t="s">
        <v>4009</v>
      </c>
      <c r="L41" s="362"/>
      <c r="O41" s="362"/>
    </row>
    <row r="42" spans="1:15" ht="15.75" customHeight="1">
      <c r="A42" s="323" t="s">
        <v>807</v>
      </c>
      <c r="B42" s="332" t="str">
        <f t="shared" si="1"/>
        <v>BAUHINIA GARDEN</v>
      </c>
      <c r="C42" t="s">
        <v>885</v>
      </c>
      <c r="D42" s="329"/>
      <c r="E42" s="347" t="s">
        <v>886</v>
      </c>
      <c r="F42" s="346"/>
      <c r="G42" s="114" t="s">
        <v>887</v>
      </c>
      <c r="H42" s="347"/>
      <c r="I42" s="113" t="s">
        <v>4010</v>
      </c>
      <c r="L42" s="362"/>
      <c r="O42" s="362"/>
    </row>
    <row r="43" spans="1:15" ht="15.75" customHeight="1">
      <c r="A43" s="323" t="s">
        <v>812</v>
      </c>
      <c r="B43" s="332" t="str">
        <f t="shared" si="1"/>
        <v>11 TONG CHUN ST</v>
      </c>
      <c r="C43" t="s">
        <v>888</v>
      </c>
      <c r="D43" s="329"/>
      <c r="E43" s="347" t="s">
        <v>889</v>
      </c>
      <c r="F43" s="346"/>
      <c r="G43" s="114" t="s">
        <v>890</v>
      </c>
      <c r="H43" s="347"/>
      <c r="I43" s="113" t="s">
        <v>4011</v>
      </c>
      <c r="L43" s="362"/>
      <c r="M43" s="362"/>
      <c r="N43" s="362"/>
      <c r="O43" s="362"/>
    </row>
    <row r="44" spans="1:15" ht="15.75" customHeight="1">
      <c r="A44" s="323" t="s">
        <v>817</v>
      </c>
      <c r="B44" s="332" t="str">
        <f t="shared" si="1"/>
        <v>Tseung Kwan O</v>
      </c>
      <c r="C44" t="s">
        <v>891</v>
      </c>
      <c r="D44" s="329"/>
      <c r="E44" s="347" t="s">
        <v>892</v>
      </c>
      <c r="F44" s="346"/>
      <c r="G44" s="114" t="s">
        <v>893</v>
      </c>
      <c r="H44" s="347"/>
      <c r="I44" s="113" t="s">
        <v>4012</v>
      </c>
    </row>
    <row r="45" spans="1:15" ht="15.75" customHeight="1">
      <c r="A45" s="323" t="s">
        <v>822</v>
      </c>
      <c r="B45" s="332" t="str">
        <f t="shared" si="1"/>
        <v>New Territories</v>
      </c>
      <c r="C45" t="s">
        <v>894</v>
      </c>
      <c r="D45" s="329"/>
      <c r="E45" s="347" t="s">
        <v>895</v>
      </c>
      <c r="F45" s="346"/>
      <c r="G45" s="114" t="s">
        <v>896</v>
      </c>
      <c r="H45" s="347"/>
      <c r="I45" s="113" t="s">
        <v>4013</v>
      </c>
    </row>
    <row r="46" spans="1:15" ht="15.75" customHeight="1">
      <c r="A46" s="323" t="s">
        <v>897</v>
      </c>
      <c r="B46" s="328" t="s">
        <v>4014</v>
      </c>
      <c r="C46" s="322" t="s">
        <v>898</v>
      </c>
      <c r="D46" s="329"/>
      <c r="E46" s="347" t="s">
        <v>4015</v>
      </c>
      <c r="F46" s="346"/>
      <c r="G46" s="347" t="s">
        <v>274</v>
      </c>
      <c r="H46" s="347"/>
      <c r="I46" s="113" t="s">
        <v>4016</v>
      </c>
    </row>
    <row r="47" spans="1:15" ht="15.75" customHeight="1">
      <c r="A47" s="323" t="s">
        <v>275</v>
      </c>
      <c r="B47" s="332" t="str">
        <f>IF(B21=0,"",B21)</f>
        <v>74765840-000-01-24-5</v>
      </c>
      <c r="C47" s="322" t="s">
        <v>899</v>
      </c>
      <c r="D47" s="329"/>
      <c r="E47" s="347" t="s">
        <v>275</v>
      </c>
      <c r="F47" s="346"/>
      <c r="G47" s="347" t="s">
        <v>900</v>
      </c>
      <c r="H47" s="347"/>
      <c r="I47" s="113" t="s">
        <v>4017</v>
      </c>
    </row>
    <row r="48" spans="1:15" ht="15.75" customHeight="1">
      <c r="A48" s="323" t="s">
        <v>4018</v>
      </c>
      <c r="B48" s="328">
        <v>1</v>
      </c>
      <c r="C48" s="322" t="s">
        <v>901</v>
      </c>
      <c r="D48" s="329"/>
      <c r="E48" s="347" t="s">
        <v>4019</v>
      </c>
      <c r="F48" s="346"/>
      <c r="G48" s="347" t="s">
        <v>4020</v>
      </c>
      <c r="H48" s="347"/>
      <c r="I48" s="113" t="s">
        <v>4021</v>
      </c>
    </row>
    <row r="49" spans="1:3" ht="66.75" customHeight="1">
      <c r="A49" s="348" t="s">
        <v>4022</v>
      </c>
      <c r="B49" s="349" t="str">
        <f>B40&amp;" "&amp;" "&amp;B41&amp;" "&amp;" "&amp;B42&amp;" "&amp;" "&amp;B43&amp;" "&amp;" "&amp;B44&amp;" "&amp;" "&amp;B45</f>
        <v>S8A  G/F  BAUHINIA GARDEN  11 TONG CHUN ST  Tseung Kwan O  New Territories</v>
      </c>
      <c r="C49" s="294" t="s">
        <v>902</v>
      </c>
    </row>
    <row r="50" spans="1:3" ht="57.75" customHeight="1">
      <c r="A50" s="348" t="s">
        <v>4023</v>
      </c>
      <c r="B50" s="349" t="str">
        <f>B40&amp;" "&amp;" "&amp;B41&amp;" "&amp;" "&amp;B42&amp;" "&amp;" "&amp;B43&amp;" "&amp;" "&amp;B44&amp;" "&amp;" "&amp;B45</f>
        <v>S8A  G/F  BAUHINIA GARDEN  11 TONG CHUN ST  Tseung Kwan O  New Territories</v>
      </c>
      <c r="C50" s="294" t="s">
        <v>903</v>
      </c>
    </row>
    <row r="51" spans="1:3" ht="76.150000000000006" customHeight="1">
      <c r="A51" s="348" t="s">
        <v>904</v>
      </c>
      <c r="B51" s="373" t="s">
        <v>4286</v>
      </c>
      <c r="C51" s="350" t="s">
        <v>905</v>
      </c>
    </row>
    <row r="52" spans="1:3" ht="42.65" customHeight="1">
      <c r="A52" s="351" t="s">
        <v>4024</v>
      </c>
      <c r="B52" s="352" t="s">
        <v>4025</v>
      </c>
      <c r="C52" s="322" t="s">
        <v>906</v>
      </c>
    </row>
    <row r="53" spans="1:3" ht="27" customHeight="1">
      <c r="A53" s="351" t="s">
        <v>4026</v>
      </c>
      <c r="B53" s="352" t="s">
        <v>4027</v>
      </c>
      <c r="C53" s="322" t="s">
        <v>907</v>
      </c>
    </row>
    <row r="54" spans="1:3" ht="29.5" customHeight="1">
      <c r="A54" s="351" t="s">
        <v>4028</v>
      </c>
      <c r="B54" s="352" t="s">
        <v>3971</v>
      </c>
      <c r="C54" s="322" t="s">
        <v>908</v>
      </c>
    </row>
    <row r="55" spans="1:3" ht="38.5" customHeight="1">
      <c r="A55" s="351" t="s">
        <v>4029</v>
      </c>
      <c r="B55" s="284" t="s">
        <v>3974</v>
      </c>
      <c r="C55" s="322" t="s">
        <v>909</v>
      </c>
    </row>
    <row r="56" spans="1:3" ht="29">
      <c r="A56" s="351" t="s">
        <v>4030</v>
      </c>
      <c r="B56" s="353" t="s">
        <v>4014</v>
      </c>
      <c r="C56" s="322" t="s">
        <v>910</v>
      </c>
    </row>
    <row r="57" spans="1:3" ht="29">
      <c r="A57" s="351" t="s">
        <v>4031</v>
      </c>
      <c r="B57" s="353" t="s">
        <v>4014</v>
      </c>
      <c r="C57" s="322" t="s">
        <v>911</v>
      </c>
    </row>
    <row r="58" spans="1:3" ht="29">
      <c r="A58" s="351" t="s">
        <v>4032</v>
      </c>
      <c r="B58" s="353" t="s">
        <v>4014</v>
      </c>
      <c r="C58" s="322" t="s">
        <v>912</v>
      </c>
    </row>
    <row r="59" spans="1:3" ht="29">
      <c r="A59" s="351" t="s">
        <v>4033</v>
      </c>
      <c r="B59" s="354"/>
      <c r="C59" s="322" t="s">
        <v>913</v>
      </c>
    </row>
    <row r="60" spans="1:3" ht="22.9" customHeight="1">
      <c r="A60" s="389" t="s">
        <v>914</v>
      </c>
      <c r="B60" s="389"/>
    </row>
    <row r="61" spans="1:3" ht="42.65" customHeight="1">
      <c r="A61" s="355" t="s">
        <v>915</v>
      </c>
      <c r="B61" s="356" t="s">
        <v>4034</v>
      </c>
      <c r="C61" s="322" t="s">
        <v>916</v>
      </c>
    </row>
    <row r="62" spans="1:3" ht="64.150000000000006" customHeight="1">
      <c r="A62" s="355" t="s">
        <v>917</v>
      </c>
      <c r="B62" s="356" t="s">
        <v>4035</v>
      </c>
      <c r="C62" s="322" t="s">
        <v>918</v>
      </c>
    </row>
  </sheetData>
  <mergeCells count="1">
    <mergeCell ref="A60:B60"/>
  </mergeCells>
  <dataValidations count="1">
    <dataValidation type="list" allowBlank="1" showInputMessage="1" showErrorMessage="1" sqref="J16" xr:uid="{DCE05831-9F64-4B57-9E83-B883A0BB8DA4}">
      <formula1>"≤HKD 8000,&gt;HKD 8000"</formula1>
    </dataValidation>
  </dataValidations>
  <hyperlinks>
    <hyperlink ref="B55" r:id="rId1" xr:uid="{3736E61B-2F42-4740-BEF2-2C9CBC0BCB80}"/>
    <hyperlink ref="F10" r:id="rId2" xr:uid="{DFAE501B-7C7A-4E03-BB8F-07277AF9C165}"/>
  </hyperlinks>
  <pageMargins left="0.7" right="0.7" top="0.75" bottom="0.75" header="0.3" footer="0.3"/>
  <pageSetup orientation="portrait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1E61C59-F573-410C-B205-5B2D5C48B17C}">
          <x14:formula1>
            <xm:f>Droplist!$AT$2:$AT$8</xm:f>
          </x14:formula1>
          <xm:sqref>N15</xm:sqref>
        </x14:dataValidation>
        <x14:dataValidation type="list" allowBlank="1" showInputMessage="1" showErrorMessage="1" xr:uid="{DFBB0CCF-48CE-4E03-9A04-B035778A9ECE}">
          <x14:formula1>
            <xm:f>Droplist!$AS$2:$AS$5</xm:f>
          </x14:formula1>
          <xm:sqref>N19</xm:sqref>
        </x14:dataValidation>
        <x14:dataValidation type="list" allowBlank="1" showInputMessage="1" showErrorMessage="1" xr:uid="{5A5DA1D5-B779-4D42-AAA2-518266422225}">
          <x14:formula1>
            <xm:f>Droplist!$X$2:$X$7</xm:f>
          </x14:formula1>
          <xm:sqref>B20</xm:sqref>
        </x14:dataValidation>
        <x14:dataValidation type="list" allowBlank="1" showInputMessage="1" showErrorMessage="1" xr:uid="{1D327490-50A5-4946-8F2D-87D1522AFD9D}">
          <x14:formula1>
            <xm:f>Droplist!$AC$2:$AC$246</xm:f>
          </x14:formula1>
          <xm:sqref>B9</xm:sqref>
        </x14:dataValidation>
        <x14:dataValidation type="list" allowBlank="1" showInputMessage="1" showErrorMessage="1" xr:uid="{8F8B6DAB-DFC5-40D8-A612-3C628AF3C52B}">
          <x14:formula1>
            <xm:f>MCC_Booklet!$C$4:$C$91</xm:f>
          </x14:formula1>
          <xm:sqref>B24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00FF"/>
  </sheetPr>
  <dimension ref="A1:VPY47"/>
  <sheetViews>
    <sheetView tabSelected="1" zoomScale="90" zoomScaleNormal="90" workbookViewId="0">
      <selection activeCell="J19" sqref="J19"/>
    </sheetView>
  </sheetViews>
  <sheetFormatPr defaultColWidth="0" defaultRowHeight="14"/>
  <cols>
    <col min="1" max="1" width="16.75" customWidth="1"/>
    <col min="2" max="2" width="10.83203125" bestFit="1" customWidth="1"/>
    <col min="3" max="4" width="4.25" customWidth="1"/>
    <col min="5" max="5" width="15.5" customWidth="1"/>
    <col min="6" max="6" width="7.33203125" customWidth="1"/>
    <col min="7" max="7" width="4.25" style="299" customWidth="1"/>
    <col min="8" max="8" width="4.25" customWidth="1"/>
    <col min="9" max="9" width="18.75" customWidth="1"/>
    <col min="10" max="10" width="10.25" customWidth="1"/>
    <col min="11" max="11" width="4.25" customWidth="1"/>
    <col min="12" max="12" width="2.83203125" customWidth="1"/>
    <col min="13" max="13" width="15.83203125" customWidth="1"/>
    <col min="14" max="14" width="10.5" style="50" customWidth="1"/>
    <col min="15" max="15" width="4.25" customWidth="1"/>
    <col min="16" max="16" width="2.58203125" customWidth="1"/>
    <col min="17" max="17" width="27.33203125" customWidth="1"/>
    <col min="18" max="18" width="12.25" customWidth="1"/>
    <col min="19" max="19" width="15.33203125" customWidth="1"/>
    <col min="20" max="20" width="4.75" customWidth="1"/>
    <col min="21" max="21" width="4.83203125" customWidth="1"/>
    <col min="22" max="22" width="24.08203125" customWidth="1"/>
    <col min="23" max="23" width="12.25" customWidth="1"/>
    <col min="24" max="24" width="8.75" customWidth="1"/>
    <col min="25" max="25" width="5" customWidth="1"/>
    <col min="26" max="27" width="8.75" customWidth="1"/>
    <col min="28" max="15199" width="8.75" hidden="1"/>
    <col min="15200" max="15200" width="6.58203125" hidden="1"/>
    <col min="15201" max="15232" width="8.75" hidden="1"/>
    <col min="15275" max="15275" width="8.75" hidden="1"/>
    <col min="15276" max="15276" width="6.08203125" hidden="1"/>
    <col min="15277" max="15307" width="8.75" hidden="1"/>
    <col min="15308" max="15308" width="8.203125E-2" hidden="1"/>
    <col min="15309" max="15313" width="8.75" hidden="1"/>
  </cols>
  <sheetData>
    <row r="1" spans="1:25">
      <c r="A1" s="147" t="s">
        <v>8</v>
      </c>
      <c r="B1" s="148" t="s">
        <v>919</v>
      </c>
      <c r="E1" s="149" t="s">
        <v>920</v>
      </c>
      <c r="F1" s="150" t="s">
        <v>919</v>
      </c>
      <c r="I1" s="151" t="s">
        <v>921</v>
      </c>
      <c r="J1" s="152" t="s">
        <v>919</v>
      </c>
      <c r="M1" s="149" t="s">
        <v>28</v>
      </c>
      <c r="N1" s="150" t="s">
        <v>919</v>
      </c>
      <c r="Q1" s="391" t="s">
        <v>922</v>
      </c>
      <c r="R1" s="391"/>
      <c r="S1" s="391"/>
      <c r="V1" s="395" t="s">
        <v>921</v>
      </c>
      <c r="W1" s="396"/>
      <c r="X1" s="396"/>
    </row>
    <row r="2" spans="1:25" ht="14.5">
      <c r="A2" s="158" t="s">
        <v>4036</v>
      </c>
      <c r="B2" s="85" t="s">
        <v>23</v>
      </c>
      <c r="C2" t="s">
        <v>923</v>
      </c>
      <c r="E2" s="158" t="s">
        <v>4037</v>
      </c>
      <c r="F2" s="85" t="s">
        <v>23</v>
      </c>
      <c r="G2" s="299" t="s">
        <v>924</v>
      </c>
      <c r="I2" s="158" t="s">
        <v>4038</v>
      </c>
      <c r="J2" s="318" t="s">
        <v>23</v>
      </c>
      <c r="K2" s="49" t="s">
        <v>925</v>
      </c>
      <c r="M2" s="158" t="s">
        <v>4039</v>
      </c>
      <c r="N2" s="86" t="s">
        <v>23</v>
      </c>
      <c r="O2" t="s">
        <v>926</v>
      </c>
      <c r="Q2" s="140" t="s">
        <v>711</v>
      </c>
      <c r="R2" s="136" t="s">
        <v>927</v>
      </c>
      <c r="S2" s="137" t="s">
        <v>712</v>
      </c>
      <c r="T2" t="s">
        <v>928</v>
      </c>
      <c r="V2" s="142" t="s">
        <v>4040</v>
      </c>
      <c r="W2" s="317" t="s">
        <v>927</v>
      </c>
      <c r="X2" s="137"/>
      <c r="Y2" s="300" t="s">
        <v>929</v>
      </c>
    </row>
    <row r="3" spans="1:25" ht="14.5">
      <c r="A3" s="158" t="s">
        <v>4041</v>
      </c>
      <c r="B3" s="86" t="s">
        <v>2363</v>
      </c>
      <c r="C3" t="s">
        <v>930</v>
      </c>
      <c r="E3" s="158" t="s">
        <v>931</v>
      </c>
      <c r="F3" s="93">
        <f>$B$12</f>
        <v>0.01</v>
      </c>
      <c r="G3" s="299" t="s">
        <v>932</v>
      </c>
      <c r="I3" s="158" t="s">
        <v>4042</v>
      </c>
      <c r="J3" s="88"/>
      <c r="K3" t="s">
        <v>933</v>
      </c>
      <c r="M3" s="158" t="s">
        <v>4043</v>
      </c>
      <c r="N3" s="86"/>
      <c r="O3" t="s">
        <v>934</v>
      </c>
      <c r="Q3" s="140" t="s">
        <v>4044</v>
      </c>
      <c r="R3" s="136" t="s">
        <v>927</v>
      </c>
      <c r="S3" s="137" t="s">
        <v>3213</v>
      </c>
      <c r="T3" t="s">
        <v>935</v>
      </c>
      <c r="V3" s="156" t="s">
        <v>4045</v>
      </c>
      <c r="W3" s="139" t="s">
        <v>936</v>
      </c>
      <c r="X3" s="137" t="s">
        <v>23</v>
      </c>
      <c r="Y3" t="s">
        <v>937</v>
      </c>
    </row>
    <row r="4" spans="1:25" ht="14.5">
      <c r="A4" s="158" t="s">
        <v>938</v>
      </c>
      <c r="B4" s="86">
        <v>1</v>
      </c>
      <c r="C4" t="s">
        <v>939</v>
      </c>
      <c r="E4" s="158" t="s">
        <v>940</v>
      </c>
      <c r="F4" s="93">
        <f t="shared" ref="F4:F6" si="0">$B$12</f>
        <v>0.01</v>
      </c>
      <c r="G4" s="299" t="s">
        <v>941</v>
      </c>
      <c r="I4" s="158" t="s">
        <v>942</v>
      </c>
      <c r="J4" s="86"/>
      <c r="K4" t="s">
        <v>140</v>
      </c>
      <c r="M4" s="158" t="s">
        <v>4046</v>
      </c>
      <c r="N4" s="86"/>
      <c r="O4" t="s">
        <v>943</v>
      </c>
      <c r="Q4" s="140" t="s">
        <v>714</v>
      </c>
      <c r="R4" s="136" t="s">
        <v>927</v>
      </c>
      <c r="S4" s="137" t="s">
        <v>4047</v>
      </c>
      <c r="T4" t="s">
        <v>944</v>
      </c>
      <c r="V4" s="157" t="s">
        <v>4048</v>
      </c>
      <c r="W4" s="139" t="s">
        <v>936</v>
      </c>
      <c r="X4" s="137" t="s">
        <v>23</v>
      </c>
      <c r="Y4" t="s">
        <v>945</v>
      </c>
    </row>
    <row r="5" spans="1:25" ht="14.5">
      <c r="A5" s="158" t="s">
        <v>946</v>
      </c>
      <c r="B5" s="86">
        <v>1</v>
      </c>
      <c r="C5" t="s">
        <v>947</v>
      </c>
      <c r="E5" s="158" t="s">
        <v>948</v>
      </c>
      <c r="F5" s="93">
        <f t="shared" si="0"/>
        <v>0.01</v>
      </c>
      <c r="G5" s="299" t="s">
        <v>949</v>
      </c>
      <c r="I5" s="158" t="s">
        <v>950</v>
      </c>
      <c r="J5" s="277"/>
      <c r="K5" t="s">
        <v>951</v>
      </c>
      <c r="M5" s="158" t="s">
        <v>4049</v>
      </c>
      <c r="N5" s="86"/>
      <c r="O5" t="s">
        <v>952</v>
      </c>
      <c r="Q5" s="140" t="s">
        <v>4050</v>
      </c>
      <c r="R5" s="136" t="s">
        <v>927</v>
      </c>
      <c r="S5" s="137" t="s">
        <v>3191</v>
      </c>
      <c r="T5" t="s">
        <v>953</v>
      </c>
      <c r="V5" s="157" t="s">
        <v>4051</v>
      </c>
      <c r="W5" s="139" t="s">
        <v>936</v>
      </c>
      <c r="X5" s="137" t="s">
        <v>23</v>
      </c>
      <c r="Y5" t="s">
        <v>954</v>
      </c>
    </row>
    <row r="6" spans="1:25" ht="14.5">
      <c r="A6" s="158" t="s">
        <v>950</v>
      </c>
      <c r="B6" s="277">
        <v>45555</v>
      </c>
      <c r="C6" t="s">
        <v>955</v>
      </c>
      <c r="E6" s="158" t="s">
        <v>956</v>
      </c>
      <c r="F6" s="93">
        <f t="shared" si="0"/>
        <v>0.01</v>
      </c>
      <c r="G6" s="299" t="s">
        <v>957</v>
      </c>
      <c r="I6" s="158" t="s">
        <v>4052</v>
      </c>
      <c r="J6" s="85"/>
      <c r="K6" t="s">
        <v>958</v>
      </c>
      <c r="M6" s="158" t="s">
        <v>4053</v>
      </c>
      <c r="N6" s="86"/>
      <c r="O6" t="s">
        <v>959</v>
      </c>
      <c r="Q6" s="140" t="s">
        <v>716</v>
      </c>
      <c r="R6" s="136" t="s">
        <v>927</v>
      </c>
      <c r="S6" s="137" t="s">
        <v>717</v>
      </c>
      <c r="T6" t="s">
        <v>960</v>
      </c>
      <c r="V6" s="157" t="s">
        <v>4054</v>
      </c>
      <c r="W6" s="139" t="s">
        <v>936</v>
      </c>
      <c r="X6" s="137"/>
      <c r="Y6" t="s">
        <v>961</v>
      </c>
    </row>
    <row r="7" spans="1:25" ht="14.5">
      <c r="A7" s="158" t="s">
        <v>4055</v>
      </c>
      <c r="B7" s="86">
        <v>1</v>
      </c>
      <c r="C7" t="s">
        <v>962</v>
      </c>
      <c r="I7" s="158" t="s">
        <v>963</v>
      </c>
      <c r="J7" s="285">
        <f>B10</f>
        <v>0.01</v>
      </c>
      <c r="K7" t="s">
        <v>964</v>
      </c>
      <c r="M7" s="158" t="s">
        <v>4056</v>
      </c>
      <c r="N7" s="86"/>
      <c r="O7" t="s">
        <v>965</v>
      </c>
      <c r="Q7" s="140" t="s">
        <v>718</v>
      </c>
      <c r="R7" s="136" t="s">
        <v>927</v>
      </c>
      <c r="S7" s="137" t="s">
        <v>719</v>
      </c>
      <c r="T7" t="s">
        <v>966</v>
      </c>
      <c r="V7" s="157" t="s">
        <v>4057</v>
      </c>
      <c r="W7" s="139" t="s">
        <v>936</v>
      </c>
      <c r="X7" s="137"/>
      <c r="Y7" t="s">
        <v>967</v>
      </c>
    </row>
    <row r="8" spans="1:25" ht="14.5">
      <c r="A8" s="158" t="s">
        <v>968</v>
      </c>
      <c r="B8" s="86">
        <v>1</v>
      </c>
      <c r="C8" t="s">
        <v>969</v>
      </c>
      <c r="I8" s="158" t="s">
        <v>4058</v>
      </c>
      <c r="J8" s="85"/>
      <c r="K8" t="s">
        <v>970</v>
      </c>
      <c r="M8" s="158" t="s">
        <v>931</v>
      </c>
      <c r="N8" s="94"/>
      <c r="O8" t="s">
        <v>971</v>
      </c>
      <c r="Q8" s="140" t="s">
        <v>720</v>
      </c>
      <c r="R8" s="136" t="s">
        <v>927</v>
      </c>
      <c r="S8" s="137" t="s">
        <v>719</v>
      </c>
      <c r="T8" t="s">
        <v>972</v>
      </c>
    </row>
    <row r="9" spans="1:25" ht="14.5">
      <c r="A9" s="158" t="s">
        <v>4052</v>
      </c>
      <c r="B9" s="85" t="s">
        <v>23</v>
      </c>
      <c r="C9" t="s">
        <v>973</v>
      </c>
      <c r="E9" s="280" t="s">
        <v>974</v>
      </c>
      <c r="F9" s="280" t="s">
        <v>919</v>
      </c>
      <c r="I9" s="158" t="s">
        <v>931</v>
      </c>
      <c r="J9" s="285">
        <f>B12</f>
        <v>0.01</v>
      </c>
      <c r="K9" t="s">
        <v>975</v>
      </c>
      <c r="M9" s="158" t="s">
        <v>963</v>
      </c>
      <c r="N9" s="94"/>
      <c r="O9" t="s">
        <v>976</v>
      </c>
      <c r="Q9" s="153" t="s">
        <v>752</v>
      </c>
      <c r="R9" s="136" t="s">
        <v>977</v>
      </c>
      <c r="S9" s="137">
        <v>100577</v>
      </c>
      <c r="T9" t="s">
        <v>978</v>
      </c>
    </row>
    <row r="10" spans="1:25" ht="14.5">
      <c r="A10" s="158" t="s">
        <v>963</v>
      </c>
      <c r="B10" s="88">
        <v>0.01</v>
      </c>
      <c r="C10" t="s">
        <v>979</v>
      </c>
      <c r="E10" s="158" t="s">
        <v>4059</v>
      </c>
      <c r="F10" s="86" t="s">
        <v>23</v>
      </c>
      <c r="G10" s="299" t="s">
        <v>980</v>
      </c>
      <c r="I10" s="158" t="s">
        <v>4060</v>
      </c>
      <c r="J10" s="85"/>
      <c r="K10" t="s">
        <v>981</v>
      </c>
      <c r="M10" s="158" t="s">
        <v>982</v>
      </c>
      <c r="N10" s="94"/>
      <c r="O10" t="s">
        <v>983</v>
      </c>
      <c r="Q10" s="153" t="s">
        <v>753</v>
      </c>
      <c r="R10" s="136" t="s">
        <v>977</v>
      </c>
      <c r="S10" s="137" t="s">
        <v>4061</v>
      </c>
      <c r="T10" t="s">
        <v>984</v>
      </c>
    </row>
    <row r="11" spans="1:25" ht="14.5">
      <c r="A11" s="158" t="s">
        <v>4058</v>
      </c>
      <c r="B11" s="85" t="s">
        <v>23</v>
      </c>
      <c r="C11" t="s">
        <v>985</v>
      </c>
      <c r="I11" s="158" t="s">
        <v>986</v>
      </c>
      <c r="J11" s="285"/>
      <c r="K11" t="s">
        <v>987</v>
      </c>
      <c r="M11" s="158" t="s">
        <v>988</v>
      </c>
      <c r="N11" s="94"/>
      <c r="O11" t="s">
        <v>989</v>
      </c>
      <c r="Q11" s="140" t="s">
        <v>725</v>
      </c>
      <c r="R11" s="136" t="s">
        <v>927</v>
      </c>
      <c r="S11" s="284" t="s">
        <v>3974</v>
      </c>
      <c r="T11" t="s">
        <v>990</v>
      </c>
    </row>
    <row r="12" spans="1:25" ht="14.5">
      <c r="A12" s="158" t="s">
        <v>931</v>
      </c>
      <c r="B12" s="87">
        <v>0.01</v>
      </c>
      <c r="C12" t="s">
        <v>991</v>
      </c>
      <c r="I12" s="158" t="s">
        <v>992</v>
      </c>
      <c r="J12" s="285"/>
      <c r="K12" t="s">
        <v>993</v>
      </c>
      <c r="M12" s="158" t="s">
        <v>994</v>
      </c>
      <c r="N12" s="94"/>
      <c r="O12" t="s">
        <v>995</v>
      </c>
      <c r="Q12" s="315" t="s">
        <v>4062</v>
      </c>
      <c r="R12" s="397" t="s">
        <v>996</v>
      </c>
      <c r="S12" s="306" t="s">
        <v>23</v>
      </c>
      <c r="T12" t="s">
        <v>997</v>
      </c>
    </row>
    <row r="13" spans="1:25" ht="14.5">
      <c r="A13" s="158" t="s">
        <v>4063</v>
      </c>
      <c r="B13" s="85"/>
      <c r="C13" t="s">
        <v>998</v>
      </c>
      <c r="E13" s="143"/>
      <c r="F13" s="144"/>
      <c r="I13" s="158"/>
      <c r="J13" s="88"/>
      <c r="M13" s="158" t="s">
        <v>999</v>
      </c>
      <c r="N13" s="94"/>
      <c r="O13" t="s">
        <v>1000</v>
      </c>
      <c r="Q13" s="316" t="s">
        <v>4064</v>
      </c>
      <c r="R13" s="394"/>
      <c r="S13" s="310"/>
      <c r="T13" t="s">
        <v>1001</v>
      </c>
    </row>
    <row r="14" spans="1:25" ht="14.5">
      <c r="A14" s="158" t="s">
        <v>1002</v>
      </c>
      <c r="B14" s="87"/>
      <c r="C14" t="s">
        <v>1003</v>
      </c>
      <c r="E14" s="145"/>
      <c r="F14" s="146"/>
      <c r="I14" s="158"/>
      <c r="J14" s="88"/>
      <c r="M14" s="158" t="s">
        <v>1004</v>
      </c>
      <c r="N14" s="94"/>
      <c r="O14" t="s">
        <v>1005</v>
      </c>
      <c r="Q14" s="278" t="s">
        <v>4065</v>
      </c>
      <c r="R14" s="317" t="s">
        <v>927</v>
      </c>
      <c r="S14" s="137" t="s">
        <v>3230</v>
      </c>
      <c r="T14" s="300" t="s">
        <v>1006</v>
      </c>
    </row>
    <row r="15" spans="1:25" ht="14.5">
      <c r="A15" s="158" t="s">
        <v>1007</v>
      </c>
      <c r="B15" s="87"/>
      <c r="C15" t="s">
        <v>1008</v>
      </c>
      <c r="I15" s="158"/>
      <c r="J15" s="88"/>
      <c r="M15" s="158" t="s">
        <v>1009</v>
      </c>
      <c r="N15" s="94" t="str">
        <f t="shared" ref="N15" si="1">IF(N7="X", "2.8%+$0.9","")</f>
        <v/>
      </c>
      <c r="O15" t="s">
        <v>1010</v>
      </c>
      <c r="Q15" s="154" t="s">
        <v>4066</v>
      </c>
      <c r="R15" s="139" t="s">
        <v>1011</v>
      </c>
      <c r="S15" s="138"/>
      <c r="T15" t="s">
        <v>1012</v>
      </c>
    </row>
    <row r="16" spans="1:25" ht="14.5">
      <c r="A16" s="158" t="s">
        <v>4067</v>
      </c>
      <c r="B16" s="85"/>
      <c r="C16" t="s">
        <v>1013</v>
      </c>
      <c r="I16" s="158"/>
      <c r="J16" s="88"/>
      <c r="M16" s="158" t="s">
        <v>1014</v>
      </c>
      <c r="N16" s="88"/>
      <c r="O16" t="s">
        <v>1015</v>
      </c>
      <c r="Q16" s="154" t="s">
        <v>4068</v>
      </c>
      <c r="R16" s="139" t="s">
        <v>1011</v>
      </c>
      <c r="S16" s="138"/>
      <c r="T16" t="s">
        <v>1016</v>
      </c>
    </row>
    <row r="17" spans="1:24" ht="14.5">
      <c r="A17" s="158" t="s">
        <v>4069</v>
      </c>
      <c r="B17" s="85"/>
      <c r="C17" t="s">
        <v>1017</v>
      </c>
      <c r="I17" s="158"/>
      <c r="J17" s="88"/>
      <c r="M17" s="158" t="s">
        <v>1018</v>
      </c>
      <c r="N17" s="88"/>
      <c r="O17" t="s">
        <v>1019</v>
      </c>
      <c r="Q17" s="154" t="s">
        <v>4070</v>
      </c>
      <c r="R17" s="139" t="s">
        <v>1011</v>
      </c>
      <c r="S17" s="138"/>
      <c r="T17" t="s">
        <v>1020</v>
      </c>
    </row>
    <row r="18" spans="1:24" ht="14.5">
      <c r="A18" s="158" t="s">
        <v>1021</v>
      </c>
      <c r="B18" s="87"/>
      <c r="C18" t="s">
        <v>1022</v>
      </c>
      <c r="M18" s="158" t="s">
        <v>1023</v>
      </c>
      <c r="N18" s="88"/>
      <c r="O18" t="s">
        <v>1024</v>
      </c>
      <c r="Q18" s="155" t="s">
        <v>4071</v>
      </c>
      <c r="R18" s="139" t="s">
        <v>1011</v>
      </c>
      <c r="S18" s="138"/>
      <c r="T18" t="s">
        <v>1025</v>
      </c>
    </row>
    <row r="19" spans="1:24" ht="14.5">
      <c r="A19" s="158" t="s">
        <v>1009</v>
      </c>
      <c r="B19" s="87"/>
      <c r="C19" t="s">
        <v>1026</v>
      </c>
      <c r="M19" s="158" t="s">
        <v>1027</v>
      </c>
      <c r="N19" s="88"/>
      <c r="O19" t="s">
        <v>1028</v>
      </c>
      <c r="Q19" s="110"/>
      <c r="R19" s="139"/>
      <c r="S19" s="138"/>
    </row>
    <row r="20" spans="1:24" ht="14.5">
      <c r="A20" s="158" t="s">
        <v>4072</v>
      </c>
      <c r="B20" s="85"/>
      <c r="C20" t="s">
        <v>1029</v>
      </c>
      <c r="M20" s="158" t="s">
        <v>1030</v>
      </c>
      <c r="N20" s="88"/>
      <c r="O20" t="s">
        <v>1031</v>
      </c>
      <c r="Q20" s="140" t="s">
        <v>4073</v>
      </c>
      <c r="R20" s="139" t="s">
        <v>936</v>
      </c>
      <c r="S20" s="137" t="s">
        <v>23</v>
      </c>
      <c r="T20" t="s">
        <v>1032</v>
      </c>
    </row>
    <row r="21" spans="1:24" ht="14.5">
      <c r="A21" s="158" t="s">
        <v>1033</v>
      </c>
      <c r="B21" s="88"/>
      <c r="C21" t="s">
        <v>1034</v>
      </c>
      <c r="M21" s="158" t="s">
        <v>1035</v>
      </c>
      <c r="N21" s="93" t="str">
        <f>IF(N4="X", 1%,"")</f>
        <v/>
      </c>
      <c r="Q21" s="140" t="s">
        <v>4074</v>
      </c>
      <c r="R21" s="139" t="s">
        <v>936</v>
      </c>
      <c r="S21" s="137" t="s">
        <v>23</v>
      </c>
      <c r="T21" t="s">
        <v>1036</v>
      </c>
    </row>
    <row r="22" spans="1:24" ht="14.5">
      <c r="A22" s="158" t="s">
        <v>1037</v>
      </c>
      <c r="B22" s="270"/>
      <c r="C22" t="s">
        <v>1038</v>
      </c>
      <c r="M22" s="158" t="s">
        <v>1039</v>
      </c>
      <c r="N22" s="93" t="str">
        <f>IF(N4="X", 1%,"")</f>
        <v/>
      </c>
      <c r="Q22" s="155" t="s">
        <v>1040</v>
      </c>
      <c r="R22" s="139" t="s">
        <v>936</v>
      </c>
      <c r="S22" s="137"/>
      <c r="T22" t="s">
        <v>1041</v>
      </c>
    </row>
    <row r="23" spans="1:24" ht="14.5">
      <c r="A23" s="158" t="s">
        <v>4075</v>
      </c>
      <c r="B23" s="85" t="s">
        <v>23</v>
      </c>
      <c r="C23" t="s">
        <v>1042</v>
      </c>
      <c r="M23" s="158" t="s">
        <v>1043</v>
      </c>
      <c r="N23" s="93" t="str">
        <f>IF(N4="X", "2.8%+$0.9","")</f>
        <v/>
      </c>
      <c r="Q23" s="155" t="s">
        <v>1044</v>
      </c>
      <c r="R23" s="139" t="s">
        <v>936</v>
      </c>
      <c r="S23" s="137"/>
      <c r="T23" t="s">
        <v>1045</v>
      </c>
    </row>
    <row r="24" spans="1:24" ht="14.5">
      <c r="A24" s="158" t="s">
        <v>1046</v>
      </c>
      <c r="B24" s="88">
        <v>1.4500000000000001E-2</v>
      </c>
      <c r="C24" t="s">
        <v>1047</v>
      </c>
      <c r="M24" s="158" t="s">
        <v>1048</v>
      </c>
      <c r="N24" s="94" t="str">
        <f>IF(N3="X", 1%,"")</f>
        <v/>
      </c>
      <c r="Q24" s="140" t="s">
        <v>4076</v>
      </c>
      <c r="R24" s="139" t="s">
        <v>936</v>
      </c>
      <c r="S24" s="137"/>
      <c r="T24" t="s">
        <v>1049</v>
      </c>
    </row>
    <row r="25" spans="1:24" ht="14.5">
      <c r="A25" s="158" t="s">
        <v>4077</v>
      </c>
      <c r="B25" s="85" t="s">
        <v>23</v>
      </c>
      <c r="C25" t="s">
        <v>1050</v>
      </c>
      <c r="M25" s="158" t="s">
        <v>1051</v>
      </c>
      <c r="N25" s="95" t="str">
        <f>IF(N3="X", "2.8%+$0.9","")</f>
        <v/>
      </c>
      <c r="Q25" s="140" t="s">
        <v>4045</v>
      </c>
      <c r="R25" s="139" t="s">
        <v>936</v>
      </c>
      <c r="S25" s="137"/>
      <c r="T25" t="s">
        <v>1052</v>
      </c>
    </row>
    <row r="26" spans="1:24" ht="14.5">
      <c r="A26" s="158" t="s">
        <v>1053</v>
      </c>
      <c r="B26" s="88">
        <v>1.2E-2</v>
      </c>
      <c r="C26" t="s">
        <v>1054</v>
      </c>
      <c r="M26" s="158" t="s">
        <v>1055</v>
      </c>
      <c r="N26" s="94" t="str">
        <f>IF(N5="X", 1%,"")</f>
        <v/>
      </c>
      <c r="Q26" s="155" t="s">
        <v>1056</v>
      </c>
      <c r="R26" s="139" t="s">
        <v>936</v>
      </c>
      <c r="S26" s="137"/>
      <c r="T26" t="s">
        <v>1057</v>
      </c>
    </row>
    <row r="27" spans="1:24" ht="14.5">
      <c r="A27" s="158" t="s">
        <v>4078</v>
      </c>
      <c r="B27" s="85" t="s">
        <v>23</v>
      </c>
      <c r="C27" t="s">
        <v>1058</v>
      </c>
      <c r="M27" s="158" t="s">
        <v>1059</v>
      </c>
      <c r="N27" s="95" t="str">
        <f>IF(N5="X", "2.8%+$0.9","")</f>
        <v/>
      </c>
      <c r="Q27" s="140" t="s">
        <v>4048</v>
      </c>
      <c r="R27" s="139" t="s">
        <v>936</v>
      </c>
      <c r="S27" s="137" t="s">
        <v>23</v>
      </c>
      <c r="T27" t="s">
        <v>1060</v>
      </c>
    </row>
    <row r="28" spans="1:24" ht="14.5">
      <c r="A28" s="158" t="s">
        <v>1061</v>
      </c>
      <c r="B28" s="88">
        <v>1.2E-2</v>
      </c>
      <c r="C28" t="s">
        <v>1062</v>
      </c>
      <c r="M28" s="158" t="s">
        <v>1063</v>
      </c>
      <c r="N28" s="94" t="str">
        <f>IF(N6="X", 1%,"")</f>
        <v/>
      </c>
      <c r="Q28" s="140" t="s">
        <v>4079</v>
      </c>
      <c r="R28" s="139" t="s">
        <v>936</v>
      </c>
      <c r="S28" s="137"/>
      <c r="T28" t="s">
        <v>1064</v>
      </c>
      <c r="V28" s="370" t="s">
        <v>4213</v>
      </c>
    </row>
    <row r="29" spans="1:24" ht="14.5">
      <c r="A29" s="158"/>
      <c r="B29" s="85"/>
      <c r="M29" s="158" t="s">
        <v>1065</v>
      </c>
      <c r="N29" s="95" t="str">
        <f>IF(N6="X", "2.8%+$0.9","")</f>
        <v/>
      </c>
      <c r="Q29" s="140"/>
      <c r="R29" s="139"/>
      <c r="S29" s="137"/>
      <c r="V29" s="390" t="s">
        <v>1067</v>
      </c>
      <c r="W29" s="390"/>
      <c r="X29" s="390"/>
    </row>
    <row r="30" spans="1:24" ht="14.5">
      <c r="A30" s="158"/>
      <c r="B30" s="88"/>
      <c r="M30" s="158" t="s">
        <v>1066</v>
      </c>
      <c r="N30" s="94" t="str">
        <f>IF(N7="X", 1%,"")</f>
        <v/>
      </c>
      <c r="Q30" s="390" t="s">
        <v>1067</v>
      </c>
      <c r="R30" s="390"/>
      <c r="S30" s="390"/>
      <c r="V30" s="313" t="s">
        <v>4210</v>
      </c>
      <c r="W30" s="139" t="s">
        <v>1073</v>
      </c>
      <c r="X30" s="312"/>
    </row>
    <row r="31" spans="1:24">
      <c r="M31" s="159"/>
      <c r="Q31" s="311" t="s">
        <v>4080</v>
      </c>
      <c r="R31" s="397" t="s">
        <v>996</v>
      </c>
      <c r="S31" s="312" t="s">
        <v>23</v>
      </c>
      <c r="T31" t="s">
        <v>1068</v>
      </c>
      <c r="V31" s="313" t="s">
        <v>4211</v>
      </c>
      <c r="W31" s="139" t="s">
        <v>1073</v>
      </c>
      <c r="X31" s="312"/>
    </row>
    <row r="32" spans="1:24">
      <c r="M32" s="159"/>
      <c r="Q32" s="313" t="s">
        <v>4081</v>
      </c>
      <c r="R32" s="394"/>
      <c r="S32" s="314"/>
      <c r="T32" t="s">
        <v>1069</v>
      </c>
      <c r="V32" s="313" t="s">
        <v>4212</v>
      </c>
      <c r="W32" s="139" t="s">
        <v>1073</v>
      </c>
      <c r="X32" s="312" t="s">
        <v>23</v>
      </c>
    </row>
    <row r="33" spans="13:24" ht="14.5">
      <c r="M33" s="158" t="s">
        <v>227</v>
      </c>
      <c r="N33" s="92"/>
      <c r="O33" t="s">
        <v>1070</v>
      </c>
      <c r="Q33" s="111" t="s">
        <v>4082</v>
      </c>
      <c r="R33" s="136" t="s">
        <v>927</v>
      </c>
      <c r="S33" s="79"/>
      <c r="T33" t="s">
        <v>1071</v>
      </c>
      <c r="V33" s="313" t="s">
        <v>743</v>
      </c>
      <c r="W33" s="139" t="s">
        <v>1073</v>
      </c>
      <c r="X33" s="312"/>
    </row>
    <row r="34" spans="13:24">
      <c r="M34" s="158" t="s">
        <v>228</v>
      </c>
      <c r="N34" s="92"/>
      <c r="O34" t="s">
        <v>1072</v>
      </c>
      <c r="Q34" s="140" t="s">
        <v>4083</v>
      </c>
      <c r="R34" s="139" t="s">
        <v>1073</v>
      </c>
      <c r="S34" s="137"/>
      <c r="T34" t="s">
        <v>1074</v>
      </c>
      <c r="V34" s="313" t="s">
        <v>744</v>
      </c>
      <c r="W34" s="139" t="s">
        <v>1073</v>
      </c>
      <c r="X34" s="312" t="s">
        <v>23</v>
      </c>
    </row>
    <row r="35" spans="13:24" ht="14.5">
      <c r="M35" s="158" t="s">
        <v>229</v>
      </c>
      <c r="N35" s="92"/>
      <c r="O35" t="s">
        <v>1075</v>
      </c>
      <c r="Q35" s="140" t="s">
        <v>1076</v>
      </c>
      <c r="R35" s="139" t="s">
        <v>1073</v>
      </c>
      <c r="S35" s="79"/>
      <c r="T35" t="s">
        <v>1077</v>
      </c>
      <c r="V35" s="313" t="s">
        <v>745</v>
      </c>
      <c r="W35" s="139" t="s">
        <v>1073</v>
      </c>
      <c r="X35" s="312"/>
    </row>
    <row r="36" spans="13:24">
      <c r="M36" s="158" t="s">
        <v>230</v>
      </c>
      <c r="N36" s="92"/>
      <c r="O36" t="s">
        <v>1078</v>
      </c>
      <c r="Q36" s="141"/>
      <c r="R36" s="139"/>
      <c r="S36" s="137"/>
      <c r="V36" s="313" t="s">
        <v>746</v>
      </c>
      <c r="W36" s="139" t="s">
        <v>1073</v>
      </c>
      <c r="X36" s="312"/>
    </row>
    <row r="37" spans="13:24">
      <c r="M37" s="158" t="s">
        <v>231</v>
      </c>
      <c r="N37" s="92"/>
      <c r="O37" t="s">
        <v>1079</v>
      </c>
      <c r="Q37" s="390" t="s">
        <v>1080</v>
      </c>
      <c r="R37" s="390"/>
      <c r="S37" s="390"/>
      <c r="V37" s="369" t="s">
        <v>2872</v>
      </c>
      <c r="W37" s="139" t="s">
        <v>1073</v>
      </c>
      <c r="X37" s="312"/>
    </row>
    <row r="38" spans="13:24" ht="14.5">
      <c r="M38" s="158" t="s">
        <v>232</v>
      </c>
      <c r="N38" s="92"/>
      <c r="O38" t="s">
        <v>1081</v>
      </c>
      <c r="Q38" s="305" t="s">
        <v>4084</v>
      </c>
      <c r="R38" s="392" t="s">
        <v>1082</v>
      </c>
      <c r="S38" s="306"/>
      <c r="T38" t="s">
        <v>1083</v>
      </c>
    </row>
    <row r="39" spans="13:24" ht="14.5">
      <c r="M39" s="158" t="s">
        <v>233</v>
      </c>
      <c r="N39" s="92"/>
      <c r="O39" t="s">
        <v>1084</v>
      </c>
      <c r="Q39" s="307" t="s">
        <v>4085</v>
      </c>
      <c r="R39" s="393"/>
      <c r="S39" s="308"/>
      <c r="T39" t="s">
        <v>1085</v>
      </c>
    </row>
    <row r="40" spans="13:24" ht="14.5">
      <c r="M40" s="158" t="s">
        <v>234</v>
      </c>
      <c r="N40" s="92"/>
      <c r="O40" t="s">
        <v>1086</v>
      </c>
      <c r="Q40" s="309" t="s">
        <v>4086</v>
      </c>
      <c r="R40" s="394"/>
      <c r="S40" s="310"/>
      <c r="T40" t="s">
        <v>1087</v>
      </c>
    </row>
    <row r="41" spans="13:24">
      <c r="M41" s="158" t="s">
        <v>235</v>
      </c>
      <c r="N41" s="92"/>
      <c r="O41" t="s">
        <v>1088</v>
      </c>
    </row>
    <row r="42" spans="13:24">
      <c r="M42" s="158" t="s">
        <v>236</v>
      </c>
      <c r="N42" s="92"/>
      <c r="O42" t="s">
        <v>1089</v>
      </c>
    </row>
    <row r="43" spans="13:24">
      <c r="M43" s="158" t="s">
        <v>237</v>
      </c>
      <c r="N43" s="92"/>
      <c r="O43" t="s">
        <v>1090</v>
      </c>
    </row>
    <row r="44" spans="13:24">
      <c r="M44" s="159"/>
    </row>
    <row r="45" spans="13:24">
      <c r="M45" s="158" t="s">
        <v>238</v>
      </c>
      <c r="N45" s="92"/>
      <c r="O45" t="s">
        <v>1091</v>
      </c>
    </row>
    <row r="46" spans="13:24">
      <c r="M46" s="158" t="s">
        <v>239</v>
      </c>
      <c r="N46" s="92"/>
      <c r="O46" t="s">
        <v>1092</v>
      </c>
    </row>
    <row r="47" spans="13:24">
      <c r="M47" s="158" t="s">
        <v>240</v>
      </c>
      <c r="N47" s="92"/>
      <c r="O47" t="s">
        <v>1093</v>
      </c>
    </row>
  </sheetData>
  <autoFilter ref="M1:N30" xr:uid="{00000000-0009-0000-0000-000002000000}"/>
  <mergeCells count="8">
    <mergeCell ref="V29:X29"/>
    <mergeCell ref="Q1:S1"/>
    <mergeCell ref="R38:R40"/>
    <mergeCell ref="V1:X1"/>
    <mergeCell ref="Q37:S37"/>
    <mergeCell ref="R12:R13"/>
    <mergeCell ref="R31:R32"/>
    <mergeCell ref="Q30:S30"/>
  </mergeCells>
  <conditionalFormatting sqref="B10">
    <cfRule type="expression" dxfId="24" priority="1">
      <formula>AND($B$9="X",$B$10="")</formula>
    </cfRule>
  </conditionalFormatting>
  <conditionalFormatting sqref="B12">
    <cfRule type="expression" dxfId="23" priority="9">
      <formula>AND($B$11="X", $B$12="")</formula>
    </cfRule>
  </conditionalFormatting>
  <conditionalFormatting sqref="B14">
    <cfRule type="expression" dxfId="22" priority="8">
      <formula>AND($B$13="X",$B$14="")</formula>
    </cfRule>
  </conditionalFormatting>
  <conditionalFormatting sqref="B15">
    <cfRule type="expression" dxfId="21" priority="7">
      <formula>AND($B$13="X",$B$15="")</formula>
    </cfRule>
  </conditionalFormatting>
  <conditionalFormatting sqref="B18:B19">
    <cfRule type="expression" dxfId="20" priority="6">
      <formula>AND(OR($B$16="X",$B$17="X"),OR($B$18="",$B$19=""))</formula>
    </cfRule>
  </conditionalFormatting>
  <conditionalFormatting sqref="B24">
    <cfRule type="expression" dxfId="19" priority="4">
      <formula>AND($B$23="X",$B$24="")</formula>
    </cfRule>
  </conditionalFormatting>
  <conditionalFormatting sqref="B26">
    <cfRule type="expression" dxfId="18" priority="3">
      <formula>AND($B$25="X",$B$26="")</formula>
    </cfRule>
  </conditionalFormatting>
  <conditionalFormatting sqref="B28">
    <cfRule type="expression" dxfId="17" priority="5">
      <formula>AND($B$27="X",$B$28="")</formula>
    </cfRule>
  </conditionalFormatting>
  <conditionalFormatting sqref="J3">
    <cfRule type="expression" dxfId="16" priority="2">
      <formula>AND($G$2="X",$G$3="")</formula>
    </cfRule>
  </conditionalFormatting>
  <dataValidations disablePrompts="1" count="1">
    <dataValidation allowBlank="1" showInputMessage="1" showErrorMessage="1" sqref="B29:B30" xr:uid="{91786BB4-6B93-43C8-B2E1-8278D90E4DE9}"/>
  </dataValidations>
  <hyperlinks>
    <hyperlink ref="S11" r:id="rId1" xr:uid="{D3EAE44C-2721-4502-8919-9F2DE1EF94B5}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>
    <tabColor rgb="FF6600FF"/>
  </sheetPr>
  <dimension ref="A1:S58"/>
  <sheetViews>
    <sheetView zoomScale="90" zoomScaleNormal="90" workbookViewId="0">
      <selection activeCell="F8" sqref="F8"/>
    </sheetView>
  </sheetViews>
  <sheetFormatPr defaultColWidth="9" defaultRowHeight="14.5"/>
  <cols>
    <col min="1" max="1" width="17.75" style="44" customWidth="1"/>
    <col min="2" max="2" width="16.25" style="73" customWidth="1"/>
    <col min="3" max="3" width="6.75" style="44" customWidth="1"/>
    <col min="4" max="4" width="5.58203125" style="44" customWidth="1"/>
    <col min="5" max="5" width="16.25" style="44" customWidth="1"/>
    <col min="6" max="6" width="16.25" style="73" customWidth="1"/>
    <col min="7" max="8" width="5.58203125" style="44" customWidth="1"/>
    <col min="9" max="9" width="16.25" style="44" customWidth="1"/>
    <col min="10" max="10" width="16.25" style="73" customWidth="1"/>
    <col min="11" max="12" width="5.58203125" style="44" customWidth="1"/>
    <col min="13" max="13" width="16.25" style="44" customWidth="1"/>
    <col min="14" max="14" width="16.25" style="73" customWidth="1"/>
    <col min="15" max="16" width="5.58203125" style="44" customWidth="1"/>
    <col min="17" max="17" width="16.25" style="44" customWidth="1"/>
    <col min="18" max="18" width="16.25" style="73" customWidth="1"/>
    <col min="19" max="16384" width="9" style="44"/>
  </cols>
  <sheetData>
    <row r="1" spans="1:19">
      <c r="A1" s="66" t="s">
        <v>1094</v>
      </c>
      <c r="E1" s="66" t="s">
        <v>1095</v>
      </c>
      <c r="I1" s="66" t="s">
        <v>1096</v>
      </c>
      <c r="J1" s="281" t="s">
        <v>1097</v>
      </c>
      <c r="M1" s="66" t="s">
        <v>1098</v>
      </c>
      <c r="N1" s="281" t="s">
        <v>1097</v>
      </c>
      <c r="Q1" s="66" t="s">
        <v>1099</v>
      </c>
      <c r="R1" s="74" t="s">
        <v>1100</v>
      </c>
    </row>
    <row r="2" spans="1:19">
      <c r="A2" s="323" t="s">
        <v>4087</v>
      </c>
      <c r="B2" s="79" t="s">
        <v>2370</v>
      </c>
      <c r="C2" s="44" t="s">
        <v>1101</v>
      </c>
      <c r="E2" s="323" t="s">
        <v>4087</v>
      </c>
      <c r="F2" s="79" t="s">
        <v>2375</v>
      </c>
      <c r="G2" s="44" t="s">
        <v>1102</v>
      </c>
      <c r="I2" s="323" t="s">
        <v>4087</v>
      </c>
      <c r="J2" s="79" t="s">
        <v>2356</v>
      </c>
      <c r="K2" s="44" t="s">
        <v>1103</v>
      </c>
      <c r="M2" s="323" t="s">
        <v>4087</v>
      </c>
      <c r="N2" s="79" t="s">
        <v>2356</v>
      </c>
      <c r="O2" s="44" t="s">
        <v>1104</v>
      </c>
      <c r="Q2" s="323" t="s">
        <v>4087</v>
      </c>
      <c r="R2" s="96" t="str">
        <f>R16</f>
        <v>Mr</v>
      </c>
      <c r="S2" s="44" t="s">
        <v>1105</v>
      </c>
    </row>
    <row r="3" spans="1:19">
      <c r="A3" s="323" t="s">
        <v>1106</v>
      </c>
      <c r="B3" s="79" t="s">
        <v>4088</v>
      </c>
      <c r="C3" s="44" t="s">
        <v>1107</v>
      </c>
      <c r="E3" s="323" t="s">
        <v>1108</v>
      </c>
      <c r="F3" s="79" t="s">
        <v>4088</v>
      </c>
      <c r="G3" s="44" t="s">
        <v>1109</v>
      </c>
      <c r="I3" s="323" t="s">
        <v>1108</v>
      </c>
      <c r="J3" s="79" t="s">
        <v>4088</v>
      </c>
      <c r="K3" s="44" t="s">
        <v>1110</v>
      </c>
      <c r="M3" s="323" t="s">
        <v>1108</v>
      </c>
      <c r="N3" s="79" t="s">
        <v>4088</v>
      </c>
      <c r="O3" s="44" t="s">
        <v>1111</v>
      </c>
      <c r="Q3" s="323" t="s">
        <v>1108</v>
      </c>
      <c r="R3" s="96" t="str">
        <f>R17</f>
        <v>CHEN</v>
      </c>
      <c r="S3" t="s">
        <v>4089</v>
      </c>
    </row>
    <row r="4" spans="1:19">
      <c r="A4" s="323" t="s">
        <v>4090</v>
      </c>
      <c r="B4" s="79" t="s">
        <v>4101</v>
      </c>
      <c r="C4" s="44" t="s">
        <v>1112</v>
      </c>
      <c r="E4" s="323" t="s">
        <v>1113</v>
      </c>
      <c r="F4" s="79" t="s">
        <v>4101</v>
      </c>
      <c r="G4" s="44" t="s">
        <v>1114</v>
      </c>
      <c r="I4" s="323" t="s">
        <v>1113</v>
      </c>
      <c r="J4" s="79" t="s">
        <v>4101</v>
      </c>
      <c r="K4" s="44" t="s">
        <v>1115</v>
      </c>
      <c r="M4" s="323" t="s">
        <v>1113</v>
      </c>
      <c r="N4" s="79" t="s">
        <v>4101</v>
      </c>
      <c r="O4" s="44" t="s">
        <v>1116</v>
      </c>
      <c r="Q4" s="323" t="s">
        <v>1113</v>
      </c>
      <c r="R4" s="96" t="str">
        <f>R18</f>
        <v>HANDE</v>
      </c>
      <c r="S4" t="s">
        <v>4091</v>
      </c>
    </row>
    <row r="5" spans="1:19">
      <c r="A5" s="363" t="s">
        <v>4142</v>
      </c>
      <c r="B5" s="371" t="str">
        <f>B4&amp;" "&amp;B3</f>
        <v>HANDE CHEN</v>
      </c>
      <c r="C5" s="372"/>
      <c r="D5" s="372"/>
      <c r="E5" s="363" t="s">
        <v>4142</v>
      </c>
      <c r="F5" s="371" t="str">
        <f t="shared" ref="F5:N5" si="0">F4&amp;" "&amp;F3</f>
        <v>HANDE CHEN</v>
      </c>
      <c r="G5" s="372"/>
      <c r="H5" s="372"/>
      <c r="I5" s="363" t="s">
        <v>4142</v>
      </c>
      <c r="J5" s="371" t="str">
        <f t="shared" si="0"/>
        <v>HANDE CHEN</v>
      </c>
      <c r="K5" s="372"/>
      <c r="L5" s="372"/>
      <c r="M5" s="363" t="s">
        <v>4142</v>
      </c>
      <c r="N5" s="371" t="str">
        <f t="shared" si="0"/>
        <v>HANDE CHEN</v>
      </c>
      <c r="Q5" s="363" t="s">
        <v>4142</v>
      </c>
      <c r="R5" s="96" t="str">
        <f>R4&amp;" "&amp;R3</f>
        <v>HANDE CHEN</v>
      </c>
      <c r="S5"/>
    </row>
    <row r="6" spans="1:19">
      <c r="A6" s="323" t="s">
        <v>1117</v>
      </c>
      <c r="B6" s="79" t="s">
        <v>4092</v>
      </c>
      <c r="C6" s="44" t="s">
        <v>1118</v>
      </c>
      <c r="E6" s="323" t="s">
        <v>1117</v>
      </c>
      <c r="F6" s="79" t="s">
        <v>4092</v>
      </c>
      <c r="I6" s="323" t="s">
        <v>1117</v>
      </c>
      <c r="J6" s="79" t="s">
        <v>4092</v>
      </c>
      <c r="M6" s="323" t="s">
        <v>1117</v>
      </c>
      <c r="N6" s="79" t="s">
        <v>4092</v>
      </c>
      <c r="Q6" s="323" t="s">
        <v>1117</v>
      </c>
      <c r="R6" s="96" t="str">
        <f>R21&amp;R22</f>
        <v>陳漢得</v>
      </c>
      <c r="S6" t="s">
        <v>4093</v>
      </c>
    </row>
    <row r="7" spans="1:19">
      <c r="A7" s="323" t="s">
        <v>1119</v>
      </c>
      <c r="B7" s="79" t="s">
        <v>1476</v>
      </c>
      <c r="C7" s="44" t="s">
        <v>1120</v>
      </c>
      <c r="E7" s="323" t="s">
        <v>1119</v>
      </c>
      <c r="F7" s="79" t="s">
        <v>1451</v>
      </c>
      <c r="G7" s="44" t="s">
        <v>1</v>
      </c>
      <c r="I7" s="323" t="s">
        <v>1119</v>
      </c>
      <c r="J7" s="79" t="s">
        <v>4027</v>
      </c>
      <c r="K7" s="44" t="s">
        <v>1121</v>
      </c>
      <c r="M7" s="323" t="s">
        <v>1119</v>
      </c>
      <c r="N7" s="79" t="s">
        <v>4027</v>
      </c>
      <c r="O7" s="44" t="s">
        <v>1122</v>
      </c>
      <c r="Q7" s="323" t="s">
        <v>1119</v>
      </c>
      <c r="R7" s="96" t="str">
        <f>R19</f>
        <v>Director</v>
      </c>
      <c r="S7" t="s">
        <v>4094</v>
      </c>
    </row>
    <row r="8" spans="1:19">
      <c r="A8" s="323" t="s">
        <v>897</v>
      </c>
      <c r="B8" s="79" t="s">
        <v>4095</v>
      </c>
      <c r="C8" s="44" t="s">
        <v>1123</v>
      </c>
      <c r="E8" s="323" t="s">
        <v>897</v>
      </c>
      <c r="F8" s="79" t="s">
        <v>4095</v>
      </c>
      <c r="G8" s="44" t="s">
        <v>1124</v>
      </c>
      <c r="I8" s="323" t="s">
        <v>897</v>
      </c>
      <c r="J8" s="79" t="s">
        <v>4095</v>
      </c>
      <c r="K8" s="44" t="s">
        <v>1125</v>
      </c>
      <c r="M8" s="323" t="s">
        <v>897</v>
      </c>
      <c r="N8" s="79" t="s">
        <v>4095</v>
      </c>
      <c r="O8" s="44" t="s">
        <v>1126</v>
      </c>
      <c r="Q8" s="323" t="s">
        <v>897</v>
      </c>
      <c r="R8" s="96" t="str">
        <f>R20</f>
        <v>5401 9126</v>
      </c>
      <c r="S8" s="298" t="s">
        <v>4096</v>
      </c>
    </row>
    <row r="9" spans="1:19">
      <c r="A9" s="323" t="s">
        <v>1127</v>
      </c>
      <c r="B9" s="284" t="s">
        <v>3974</v>
      </c>
      <c r="C9" s="44" t="s">
        <v>1128</v>
      </c>
      <c r="E9" s="323" t="s">
        <v>1127</v>
      </c>
      <c r="F9" s="284" t="s">
        <v>3974</v>
      </c>
      <c r="G9" s="44" t="s">
        <v>1129</v>
      </c>
      <c r="I9" s="323" t="s">
        <v>1127</v>
      </c>
      <c r="J9" s="284" t="s">
        <v>3974</v>
      </c>
      <c r="K9" s="44" t="s">
        <v>1130</v>
      </c>
      <c r="M9" s="323" t="s">
        <v>1127</v>
      </c>
      <c r="N9" s="284" t="s">
        <v>3974</v>
      </c>
      <c r="O9" s="44" t="s">
        <v>1131</v>
      </c>
      <c r="Q9" s="323" t="s">
        <v>1132</v>
      </c>
      <c r="R9" s="98" t="str">
        <f>R23</f>
        <v>HKID</v>
      </c>
      <c r="S9" t="s">
        <v>4097</v>
      </c>
    </row>
    <row r="10" spans="1:19">
      <c r="Q10" s="323" t="s">
        <v>1133</v>
      </c>
      <c r="R10" s="96" t="str">
        <f>R24</f>
        <v>R526008(5)</v>
      </c>
      <c r="S10" t="s">
        <v>4098</v>
      </c>
    </row>
    <row r="11" spans="1:19">
      <c r="Q11" s="323" t="s">
        <v>1134</v>
      </c>
      <c r="R11" s="99">
        <f>R25</f>
        <v>24961</v>
      </c>
      <c r="S11" t="s">
        <v>4099</v>
      </c>
    </row>
    <row r="12" spans="1:19">
      <c r="Q12" s="323" t="s">
        <v>1135</v>
      </c>
      <c r="R12" s="98" t="str">
        <f>R26</f>
        <v>Georgia</v>
      </c>
      <c r="S12" t="s">
        <v>4100</v>
      </c>
    </row>
    <row r="15" spans="1:19">
      <c r="A15" s="66" t="s">
        <v>1136</v>
      </c>
      <c r="E15" s="66" t="s">
        <v>1137</v>
      </c>
      <c r="I15" s="66" t="s">
        <v>1138</v>
      </c>
      <c r="M15" s="66" t="s">
        <v>1139</v>
      </c>
      <c r="Q15" s="66" t="s">
        <v>1140</v>
      </c>
      <c r="R15" s="102" t="s">
        <v>1141</v>
      </c>
    </row>
    <row r="16" spans="1:19">
      <c r="A16" s="323" t="s">
        <v>4087</v>
      </c>
      <c r="B16" s="79" t="s">
        <v>2356</v>
      </c>
      <c r="C16" s="297" t="s">
        <v>1142</v>
      </c>
      <c r="E16" s="323" t="s">
        <v>4087</v>
      </c>
      <c r="F16" s="79" t="s">
        <v>2356</v>
      </c>
      <c r="G16" s="44" t="s">
        <v>1143</v>
      </c>
      <c r="I16" s="323" t="s">
        <v>4087</v>
      </c>
      <c r="J16" s="79" t="s">
        <v>2356</v>
      </c>
      <c r="K16" s="44" t="s">
        <v>1144</v>
      </c>
      <c r="M16" s="323" t="s">
        <v>4087</v>
      </c>
      <c r="N16" s="79" t="s">
        <v>2356</v>
      </c>
      <c r="O16" s="44" t="s">
        <v>1145</v>
      </c>
      <c r="Q16" s="323" t="s">
        <v>1146</v>
      </c>
      <c r="R16" s="96" t="str">
        <f t="shared" ref="R16:R34" si="1">IF(B16=0,"",B16)</f>
        <v>Mr</v>
      </c>
      <c r="S16" s="44" t="s">
        <v>1147</v>
      </c>
    </row>
    <row r="17" spans="1:19">
      <c r="A17" s="323" t="s">
        <v>1106</v>
      </c>
      <c r="B17" s="79" t="s">
        <v>4088</v>
      </c>
      <c r="C17" s="44" t="s">
        <v>1148</v>
      </c>
      <c r="E17" s="323" t="s">
        <v>1108</v>
      </c>
      <c r="F17" s="79" t="s">
        <v>4088</v>
      </c>
      <c r="G17" s="44" t="s">
        <v>1149</v>
      </c>
      <c r="I17" s="323" t="s">
        <v>1108</v>
      </c>
      <c r="J17" s="79" t="s">
        <v>4088</v>
      </c>
      <c r="K17" s="44" t="s">
        <v>1150</v>
      </c>
      <c r="M17" s="323" t="s">
        <v>1108</v>
      </c>
      <c r="N17" s="79" t="s">
        <v>4088</v>
      </c>
      <c r="O17" s="44" t="s">
        <v>1151</v>
      </c>
      <c r="Q17" s="323" t="s">
        <v>1108</v>
      </c>
      <c r="R17" s="96" t="str">
        <f t="shared" si="1"/>
        <v>CHEN</v>
      </c>
      <c r="S17" s="44" t="s">
        <v>1152</v>
      </c>
    </row>
    <row r="18" spans="1:19">
      <c r="A18" s="323" t="s">
        <v>4090</v>
      </c>
      <c r="B18" s="79" t="s">
        <v>4101</v>
      </c>
      <c r="C18" s="44" t="s">
        <v>1153</v>
      </c>
      <c r="E18" s="323" t="s">
        <v>1113</v>
      </c>
      <c r="F18" s="79" t="s">
        <v>4101</v>
      </c>
      <c r="G18" s="44" t="s">
        <v>1154</v>
      </c>
      <c r="I18" s="323" t="s">
        <v>1113</v>
      </c>
      <c r="J18" s="79" t="s">
        <v>4101</v>
      </c>
      <c r="K18" s="44" t="s">
        <v>1155</v>
      </c>
      <c r="M18" s="323" t="s">
        <v>1113</v>
      </c>
      <c r="N18" s="79" t="s">
        <v>4101</v>
      </c>
      <c r="O18" s="44" t="s">
        <v>1156</v>
      </c>
      <c r="Q18" s="323" t="s">
        <v>1113</v>
      </c>
      <c r="R18" s="96" t="str">
        <f t="shared" si="1"/>
        <v>HANDE</v>
      </c>
      <c r="S18" s="44" t="s">
        <v>1157</v>
      </c>
    </row>
    <row r="19" spans="1:19">
      <c r="A19" s="323" t="s">
        <v>4102</v>
      </c>
      <c r="B19" s="79" t="s">
        <v>1451</v>
      </c>
      <c r="C19" s="44" t="s">
        <v>1158</v>
      </c>
      <c r="E19" s="323" t="s">
        <v>4102</v>
      </c>
      <c r="F19" s="79" t="s">
        <v>1451</v>
      </c>
      <c r="G19" s="44" t="s">
        <v>1159</v>
      </c>
      <c r="I19" s="323" t="s">
        <v>4102</v>
      </c>
      <c r="J19" s="79" t="s">
        <v>1451</v>
      </c>
      <c r="K19" s="44" t="s">
        <v>1160</v>
      </c>
      <c r="M19" s="323" t="s">
        <v>4102</v>
      </c>
      <c r="N19" s="79" t="s">
        <v>1451</v>
      </c>
      <c r="O19" s="44" t="s">
        <v>1161</v>
      </c>
      <c r="Q19" s="323" t="s">
        <v>1119</v>
      </c>
      <c r="R19" s="96" t="str">
        <f t="shared" si="1"/>
        <v>Director</v>
      </c>
      <c r="S19" s="44" t="s">
        <v>1162</v>
      </c>
    </row>
    <row r="20" spans="1:19">
      <c r="A20" s="323" t="s">
        <v>897</v>
      </c>
      <c r="B20" s="79" t="s">
        <v>4095</v>
      </c>
      <c r="C20" s="44" t="s">
        <v>1163</v>
      </c>
      <c r="E20" s="323" t="s">
        <v>897</v>
      </c>
      <c r="F20" s="79" t="s">
        <v>4095</v>
      </c>
      <c r="G20" s="44" t="s">
        <v>1164</v>
      </c>
      <c r="I20" s="323" t="s">
        <v>897</v>
      </c>
      <c r="J20" s="79" t="s">
        <v>4095</v>
      </c>
      <c r="M20" s="323" t="s">
        <v>897</v>
      </c>
      <c r="N20" s="79" t="s">
        <v>4095</v>
      </c>
      <c r="Q20" s="323" t="s">
        <v>897</v>
      </c>
      <c r="R20" s="96" t="str">
        <f t="shared" si="1"/>
        <v>5401 9126</v>
      </c>
      <c r="S20" s="44" t="s">
        <v>1165</v>
      </c>
    </row>
    <row r="21" spans="1:19">
      <c r="A21" s="323" t="s">
        <v>1166</v>
      </c>
      <c r="B21" s="79" t="s">
        <v>4092</v>
      </c>
      <c r="C21" s="44" t="s">
        <v>1167</v>
      </c>
      <c r="E21" s="323" t="s">
        <v>1166</v>
      </c>
      <c r="F21" s="79" t="s">
        <v>4092</v>
      </c>
      <c r="G21" s="44" t="s">
        <v>1168</v>
      </c>
      <c r="I21" s="323" t="s">
        <v>1166</v>
      </c>
      <c r="J21" s="79" t="s">
        <v>4092</v>
      </c>
      <c r="K21" s="44" t="s">
        <v>1169</v>
      </c>
      <c r="M21" s="323" t="s">
        <v>1166</v>
      </c>
      <c r="N21" s="79" t="s">
        <v>4092</v>
      </c>
      <c r="O21" s="44" t="s">
        <v>1170</v>
      </c>
      <c r="Q21" s="323" t="s">
        <v>1166</v>
      </c>
      <c r="R21" s="96" t="str">
        <f t="shared" si="1"/>
        <v>陳</v>
      </c>
      <c r="S21" s="44" t="s">
        <v>4</v>
      </c>
    </row>
    <row r="22" spans="1:19">
      <c r="A22" s="323" t="s">
        <v>1171</v>
      </c>
      <c r="B22" s="79" t="s">
        <v>4103</v>
      </c>
      <c r="C22" s="44" t="s">
        <v>1172</v>
      </c>
      <c r="E22" s="323" t="s">
        <v>1171</v>
      </c>
      <c r="F22" s="79" t="s">
        <v>4103</v>
      </c>
      <c r="G22" s="44" t="s">
        <v>1173</v>
      </c>
      <c r="I22" s="323" t="s">
        <v>1171</v>
      </c>
      <c r="J22" s="79" t="s">
        <v>4103</v>
      </c>
      <c r="K22" s="44" t="s">
        <v>1169</v>
      </c>
      <c r="M22" s="323" t="s">
        <v>1171</v>
      </c>
      <c r="N22" s="79" t="s">
        <v>4103</v>
      </c>
      <c r="O22" s="44" t="s">
        <v>1170</v>
      </c>
      <c r="Q22" s="323" t="s">
        <v>1171</v>
      </c>
      <c r="R22" s="96" t="str">
        <f t="shared" si="1"/>
        <v>漢得</v>
      </c>
      <c r="S22" s="44" t="s">
        <v>4</v>
      </c>
    </row>
    <row r="23" spans="1:19">
      <c r="A23" s="323" t="s">
        <v>4104</v>
      </c>
      <c r="B23" s="79" t="s">
        <v>2480</v>
      </c>
      <c r="C23" s="44" t="s">
        <v>1174</v>
      </c>
      <c r="E23" s="323" t="s">
        <v>4104</v>
      </c>
      <c r="F23" s="79" t="s">
        <v>2484</v>
      </c>
      <c r="G23" s="44" t="s">
        <v>1175</v>
      </c>
      <c r="I23" s="323" t="s">
        <v>4104</v>
      </c>
      <c r="J23" s="79" t="s">
        <v>2480</v>
      </c>
      <c r="K23" s="44" t="s">
        <v>1176</v>
      </c>
      <c r="M23" s="323" t="s">
        <v>4104</v>
      </c>
      <c r="N23" s="79" t="s">
        <v>2480</v>
      </c>
      <c r="O23" s="44" t="s">
        <v>1161</v>
      </c>
      <c r="Q23" s="323" t="s">
        <v>1132</v>
      </c>
      <c r="R23" s="96" t="str">
        <f t="shared" si="1"/>
        <v>HKID</v>
      </c>
      <c r="S23" s="44" t="s">
        <v>1177</v>
      </c>
    </row>
    <row r="24" spans="1:19">
      <c r="A24" s="323" t="s">
        <v>1133</v>
      </c>
      <c r="B24" s="79" t="s">
        <v>4105</v>
      </c>
      <c r="C24" s="44" t="s">
        <v>1178</v>
      </c>
      <c r="E24" s="323" t="s">
        <v>1133</v>
      </c>
      <c r="F24" s="79" t="s">
        <v>4105</v>
      </c>
      <c r="G24" s="44" t="s">
        <v>1179</v>
      </c>
      <c r="I24" s="323" t="s">
        <v>1133</v>
      </c>
      <c r="J24" s="79" t="s">
        <v>4105</v>
      </c>
      <c r="K24" s="44" t="s">
        <v>1180</v>
      </c>
      <c r="M24" s="323" t="s">
        <v>1133</v>
      </c>
      <c r="N24" s="79" t="s">
        <v>4105</v>
      </c>
      <c r="O24" s="44" t="s">
        <v>1181</v>
      </c>
      <c r="Q24" s="323" t="s">
        <v>1133</v>
      </c>
      <c r="R24" s="96" t="str">
        <f t="shared" si="1"/>
        <v>R526008(5)</v>
      </c>
      <c r="S24" s="44" t="s">
        <v>1182</v>
      </c>
    </row>
    <row r="25" spans="1:19">
      <c r="A25" s="323" t="s">
        <v>1134</v>
      </c>
      <c r="B25" s="89">
        <v>24961</v>
      </c>
      <c r="C25" s="44" t="s">
        <v>1183</v>
      </c>
      <c r="E25" s="323" t="s">
        <v>1134</v>
      </c>
      <c r="F25" s="89">
        <v>24961</v>
      </c>
      <c r="G25" s="44" t="s">
        <v>1184</v>
      </c>
      <c r="I25" s="323" t="s">
        <v>1134</v>
      </c>
      <c r="J25" s="89">
        <v>24961</v>
      </c>
      <c r="K25" s="44" t="s">
        <v>1185</v>
      </c>
      <c r="M25" s="323" t="s">
        <v>1134</v>
      </c>
      <c r="N25" s="89">
        <v>24961</v>
      </c>
      <c r="O25" s="44" t="s">
        <v>1186</v>
      </c>
      <c r="Q25" s="323" t="s">
        <v>1134</v>
      </c>
      <c r="R25" s="97">
        <f t="shared" si="1"/>
        <v>24961</v>
      </c>
      <c r="S25" s="44" t="s">
        <v>1187</v>
      </c>
    </row>
    <row r="26" spans="1:19">
      <c r="A26" s="323" t="s">
        <v>4106</v>
      </c>
      <c r="B26" s="90" t="s">
        <v>3000</v>
      </c>
      <c r="C26" s="44" t="s">
        <v>1188</v>
      </c>
      <c r="E26" s="323" t="s">
        <v>4106</v>
      </c>
      <c r="F26" s="90" t="s">
        <v>280</v>
      </c>
      <c r="G26" s="44" t="s">
        <v>1189</v>
      </c>
      <c r="I26" s="323" t="s">
        <v>4106</v>
      </c>
      <c r="J26" s="90" t="s">
        <v>1431</v>
      </c>
      <c r="K26" s="44" t="s">
        <v>1190</v>
      </c>
      <c r="M26" s="323" t="s">
        <v>4106</v>
      </c>
      <c r="N26" s="90" t="s">
        <v>1431</v>
      </c>
      <c r="O26" s="44" t="s">
        <v>1191</v>
      </c>
      <c r="Q26" s="323" t="s">
        <v>1135</v>
      </c>
      <c r="R26" s="96" t="str">
        <f t="shared" si="1"/>
        <v>Georgia</v>
      </c>
      <c r="S26" s="44" t="s">
        <v>1192</v>
      </c>
    </row>
    <row r="27" spans="1:19">
      <c r="A27" s="323" t="s">
        <v>4107</v>
      </c>
      <c r="B27" s="79" t="s">
        <v>1451</v>
      </c>
      <c r="C27" s="44" t="s">
        <v>1193</v>
      </c>
      <c r="E27" s="323" t="s">
        <v>4107</v>
      </c>
      <c r="F27" s="79" t="s">
        <v>1451</v>
      </c>
      <c r="G27" s="44" t="s">
        <v>1194</v>
      </c>
      <c r="I27" s="323" t="s">
        <v>4107</v>
      </c>
      <c r="J27" s="79" t="s">
        <v>1451</v>
      </c>
      <c r="K27" s="44" t="s">
        <v>1195</v>
      </c>
      <c r="M27" s="323" t="s">
        <v>4107</v>
      </c>
      <c r="N27" s="79" t="s">
        <v>1451</v>
      </c>
      <c r="O27" s="44" t="s">
        <v>1196</v>
      </c>
      <c r="Q27" s="323" t="s">
        <v>1197</v>
      </c>
      <c r="R27" s="96" t="str">
        <f t="shared" si="1"/>
        <v>Director</v>
      </c>
    </row>
    <row r="28" spans="1:19">
      <c r="A28" s="323" t="s">
        <v>1198</v>
      </c>
      <c r="B28" s="79" t="s">
        <v>4108</v>
      </c>
      <c r="C28" s="44" t="s">
        <v>1199</v>
      </c>
      <c r="E28" s="323" t="s">
        <v>1198</v>
      </c>
      <c r="F28" s="79" t="s">
        <v>4108</v>
      </c>
      <c r="G28" s="44" t="s">
        <v>1200</v>
      </c>
      <c r="I28" s="323" t="s">
        <v>1198</v>
      </c>
      <c r="J28" s="79" t="s">
        <v>4108</v>
      </c>
      <c r="K28" s="44" t="s">
        <v>1201</v>
      </c>
      <c r="M28" s="323" t="s">
        <v>1198</v>
      </c>
      <c r="N28" s="79" t="s">
        <v>4108</v>
      </c>
      <c r="O28" s="44" t="s">
        <v>1202</v>
      </c>
      <c r="Q28" s="323" t="s">
        <v>1198</v>
      </c>
      <c r="R28" s="96" t="str">
        <f t="shared" si="1"/>
        <v>FLAT 1</v>
      </c>
      <c r="S28" s="44" t="s">
        <v>1203</v>
      </c>
    </row>
    <row r="29" spans="1:19">
      <c r="A29" s="323" t="s">
        <v>1204</v>
      </c>
      <c r="B29" s="79" t="s">
        <v>4109</v>
      </c>
      <c r="C29" s="44" t="s">
        <v>1205</v>
      </c>
      <c r="E29" s="323" t="s">
        <v>1204</v>
      </c>
      <c r="F29" s="79" t="s">
        <v>4109</v>
      </c>
      <c r="G29" s="44" t="s">
        <v>1206</v>
      </c>
      <c r="I29" s="323" t="s">
        <v>1204</v>
      </c>
      <c r="J29" s="79" t="s">
        <v>4109</v>
      </c>
      <c r="K29" s="44" t="s">
        <v>1207</v>
      </c>
      <c r="M29" s="323" t="s">
        <v>1204</v>
      </c>
      <c r="N29" s="79" t="s">
        <v>4109</v>
      </c>
      <c r="O29" s="44" t="s">
        <v>1208</v>
      </c>
      <c r="Q29" s="323" t="s">
        <v>1204</v>
      </c>
      <c r="R29" s="96" t="str">
        <f t="shared" si="1"/>
        <v>17/F</v>
      </c>
      <c r="S29" s="44" t="s">
        <v>1209</v>
      </c>
    </row>
    <row r="30" spans="1:19">
      <c r="A30" s="323" t="s">
        <v>1210</v>
      </c>
      <c r="B30" s="79" t="s">
        <v>4110</v>
      </c>
      <c r="C30" s="44" t="s">
        <v>1211</v>
      </c>
      <c r="E30" s="323" t="s">
        <v>1210</v>
      </c>
      <c r="F30" s="79" t="s">
        <v>4110</v>
      </c>
      <c r="G30" s="44" t="s">
        <v>1212</v>
      </c>
      <c r="I30" s="323" t="s">
        <v>1210</v>
      </c>
      <c r="J30" s="79" t="s">
        <v>4110</v>
      </c>
      <c r="K30" s="44" t="s">
        <v>1213</v>
      </c>
      <c r="M30" s="323" t="s">
        <v>1210</v>
      </c>
      <c r="N30" s="79" t="s">
        <v>4110</v>
      </c>
      <c r="O30" s="44" t="s">
        <v>1214</v>
      </c>
      <c r="Q30" s="323" t="s">
        <v>1210</v>
      </c>
      <c r="R30" s="96" t="str">
        <f t="shared" si="1"/>
        <v>BLOCK C,</v>
      </c>
      <c r="S30" s="44" t="s">
        <v>1215</v>
      </c>
    </row>
    <row r="31" spans="1:19">
      <c r="A31" s="323" t="s">
        <v>1216</v>
      </c>
      <c r="B31" s="79" t="s">
        <v>4111</v>
      </c>
      <c r="C31" s="44" t="s">
        <v>1217</v>
      </c>
      <c r="E31" s="323" t="s">
        <v>1216</v>
      </c>
      <c r="F31" s="79" t="s">
        <v>4111</v>
      </c>
      <c r="G31" s="44" t="s">
        <v>1218</v>
      </c>
      <c r="I31" s="323" t="s">
        <v>1216</v>
      </c>
      <c r="J31" s="79" t="s">
        <v>4111</v>
      </c>
      <c r="K31" s="44" t="s">
        <v>1219</v>
      </c>
      <c r="M31" s="323" t="s">
        <v>1216</v>
      </c>
      <c r="N31" s="79" t="s">
        <v>4111</v>
      </c>
      <c r="O31" s="44" t="s">
        <v>1220</v>
      </c>
      <c r="Q31" s="323" t="s">
        <v>1216</v>
      </c>
      <c r="R31" s="96" t="str">
        <f t="shared" si="1"/>
        <v>YU MOON HOUSE, PHASE 1, YU CHUI COURT</v>
      </c>
      <c r="S31" s="44" t="s">
        <v>1221</v>
      </c>
    </row>
    <row r="32" spans="1:19">
      <c r="A32" s="323" t="s">
        <v>1222</v>
      </c>
      <c r="B32" s="79" t="s">
        <v>4112</v>
      </c>
      <c r="C32" s="44" t="s">
        <v>1223</v>
      </c>
      <c r="E32" s="323" t="s">
        <v>1222</v>
      </c>
      <c r="F32" s="79" t="s">
        <v>4112</v>
      </c>
      <c r="G32" s="44" t="s">
        <v>1224</v>
      </c>
      <c r="I32" s="323" t="s">
        <v>1222</v>
      </c>
      <c r="J32" s="79" t="s">
        <v>4112</v>
      </c>
      <c r="K32" s="44" t="s">
        <v>1225</v>
      </c>
      <c r="M32" s="323" t="s">
        <v>1222</v>
      </c>
      <c r="N32" s="79" t="s">
        <v>4112</v>
      </c>
      <c r="O32" s="44" t="s">
        <v>1226</v>
      </c>
      <c r="Q32" s="323" t="s">
        <v>1222</v>
      </c>
      <c r="R32" s="96" t="str">
        <f t="shared" si="1"/>
        <v>6 NGAU PEI SHA STREET, YUEN CHAU KOK</v>
      </c>
      <c r="S32" s="44" t="s">
        <v>1227</v>
      </c>
    </row>
    <row r="33" spans="1:19">
      <c r="A33" s="323" t="s">
        <v>4113</v>
      </c>
      <c r="B33" s="79" t="s">
        <v>2579</v>
      </c>
      <c r="C33" s="44" t="s">
        <v>1228</v>
      </c>
      <c r="E33" s="323" t="s">
        <v>4113</v>
      </c>
      <c r="F33" s="79" t="s">
        <v>2579</v>
      </c>
      <c r="G33" s="44" t="s">
        <v>1229</v>
      </c>
      <c r="I33" s="323" t="s">
        <v>4113</v>
      </c>
      <c r="J33" s="79" t="s">
        <v>2579</v>
      </c>
      <c r="K33" s="44" t="s">
        <v>1230</v>
      </c>
      <c r="M33" s="323" t="s">
        <v>4113</v>
      </c>
      <c r="N33" s="79" t="s">
        <v>2579</v>
      </c>
      <c r="O33" s="44" t="s">
        <v>1231</v>
      </c>
      <c r="Q33" s="323" t="s">
        <v>1232</v>
      </c>
      <c r="R33" s="96" t="str">
        <f t="shared" si="1"/>
        <v>San Tin</v>
      </c>
      <c r="S33" s="44" t="s">
        <v>1233</v>
      </c>
    </row>
    <row r="34" spans="1:19">
      <c r="A34" s="323" t="s">
        <v>4114</v>
      </c>
      <c r="B34" s="79" t="s">
        <v>49</v>
      </c>
      <c r="C34" s="44" t="s">
        <v>1234</v>
      </c>
      <c r="E34" s="323" t="s">
        <v>4114</v>
      </c>
      <c r="F34" s="79" t="s">
        <v>49</v>
      </c>
      <c r="G34" s="44" t="s">
        <v>1235</v>
      </c>
      <c r="I34" s="323" t="s">
        <v>4114</v>
      </c>
      <c r="J34" s="79" t="s">
        <v>49</v>
      </c>
      <c r="K34" s="44" t="s">
        <v>1236</v>
      </c>
      <c r="M34" s="323" t="s">
        <v>4114</v>
      </c>
      <c r="N34" s="79" t="s">
        <v>49</v>
      </c>
      <c r="O34" s="44" t="s">
        <v>1237</v>
      </c>
      <c r="Q34" s="323" t="s">
        <v>1238</v>
      </c>
      <c r="R34" s="96" t="str">
        <f t="shared" si="1"/>
        <v>New Territories</v>
      </c>
      <c r="S34" s="44" t="s">
        <v>1239</v>
      </c>
    </row>
    <row r="35" spans="1:19">
      <c r="A35" s="323" t="s">
        <v>4115</v>
      </c>
      <c r="B35" s="79" t="s">
        <v>939</v>
      </c>
      <c r="C35" t="s">
        <v>4116</v>
      </c>
      <c r="E35" s="323" t="s">
        <v>4117</v>
      </c>
      <c r="F35" s="79" t="s">
        <v>939</v>
      </c>
      <c r="G35" s="44" t="s">
        <v>1240</v>
      </c>
      <c r="I35" s="323" t="s">
        <v>4117</v>
      </c>
      <c r="J35" s="79" t="s">
        <v>939</v>
      </c>
      <c r="K35" s="44" t="s">
        <v>1241</v>
      </c>
      <c r="M35" s="323" t="s">
        <v>4117</v>
      </c>
      <c r="N35" s="79" t="s">
        <v>939</v>
      </c>
      <c r="O35" s="44" t="s">
        <v>1242</v>
      </c>
      <c r="Q35"/>
      <c r="R35"/>
      <c r="S35"/>
    </row>
    <row r="36" spans="1:19">
      <c r="A36" s="323" t="s">
        <v>1243</v>
      </c>
      <c r="B36" s="79">
        <v>5</v>
      </c>
      <c r="C36" s="44" t="s">
        <v>1244</v>
      </c>
      <c r="E36" s="323" t="s">
        <v>1245</v>
      </c>
      <c r="F36" s="79">
        <v>5</v>
      </c>
      <c r="G36" s="44" t="s">
        <v>1246</v>
      </c>
      <c r="I36" s="323" t="s">
        <v>1245</v>
      </c>
      <c r="J36" s="79">
        <v>5</v>
      </c>
      <c r="K36" s="44" t="s">
        <v>1247</v>
      </c>
      <c r="M36" s="323" t="s">
        <v>1245</v>
      </c>
      <c r="N36" s="79">
        <v>5</v>
      </c>
      <c r="O36" s="44" t="s">
        <v>1248</v>
      </c>
      <c r="Q36"/>
      <c r="R36"/>
      <c r="S36"/>
    </row>
    <row r="37" spans="1:19">
      <c r="A37" s="323" t="s">
        <v>1249</v>
      </c>
      <c r="B37" s="79">
        <v>3</v>
      </c>
      <c r="C37" s="44" t="s">
        <v>1250</v>
      </c>
      <c r="E37" s="323" t="s">
        <v>1251</v>
      </c>
      <c r="F37" s="79">
        <v>3</v>
      </c>
      <c r="G37" s="44" t="s">
        <v>1252</v>
      </c>
      <c r="I37" s="323" t="s">
        <v>1251</v>
      </c>
      <c r="J37" s="79">
        <v>3</v>
      </c>
      <c r="K37" s="44" t="s">
        <v>1253</v>
      </c>
      <c r="M37" s="323" t="s">
        <v>1251</v>
      </c>
      <c r="N37" s="79">
        <v>3</v>
      </c>
      <c r="O37" s="44" t="s">
        <v>1254</v>
      </c>
      <c r="Q37"/>
      <c r="R37"/>
      <c r="S37"/>
    </row>
    <row r="38" spans="1:19">
      <c r="A38" s="323" t="s">
        <v>1255</v>
      </c>
      <c r="B38" s="91">
        <v>1</v>
      </c>
      <c r="C38" s="44" t="s">
        <v>1256</v>
      </c>
      <c r="E38" s="323" t="s">
        <v>1255</v>
      </c>
      <c r="F38" s="91">
        <v>1</v>
      </c>
      <c r="G38" s="44" t="s">
        <v>1257</v>
      </c>
      <c r="I38" s="323" t="s">
        <v>1255</v>
      </c>
      <c r="J38" s="91">
        <v>1</v>
      </c>
      <c r="K38" s="44" t="s">
        <v>1258</v>
      </c>
      <c r="M38" s="323" t="s">
        <v>1255</v>
      </c>
      <c r="N38" s="91">
        <v>1</v>
      </c>
      <c r="O38" s="44" t="s">
        <v>1259</v>
      </c>
    </row>
    <row r="40" spans="1:19" ht="15.5">
      <c r="B40" s="101" t="s">
        <v>4118</v>
      </c>
      <c r="F40" s="101" t="s">
        <v>4118</v>
      </c>
      <c r="J40" s="101" t="s">
        <v>4118</v>
      </c>
      <c r="N40" s="101" t="s">
        <v>4118</v>
      </c>
    </row>
    <row r="41" spans="1:19">
      <c r="A41" s="75" t="s">
        <v>1261</v>
      </c>
      <c r="B41" s="357" t="s">
        <v>4119</v>
      </c>
      <c r="E41" s="66" t="s">
        <v>1262</v>
      </c>
      <c r="F41" s="357" t="s">
        <v>1263</v>
      </c>
      <c r="I41" s="66" t="s">
        <v>1264</v>
      </c>
      <c r="J41" s="357" t="s">
        <v>1265</v>
      </c>
      <c r="M41" s="66" t="s">
        <v>1266</v>
      </c>
      <c r="N41" s="357" t="s">
        <v>1267</v>
      </c>
      <c r="Q41" s="66" t="s">
        <v>1268</v>
      </c>
      <c r="R41"/>
    </row>
    <row r="42" spans="1:19">
      <c r="A42" s="323" t="s">
        <v>1146</v>
      </c>
      <c r="B42" s="96" t="str">
        <f>IF(B16=0,"",B16)</f>
        <v>Mr</v>
      </c>
      <c r="C42" s="44" t="s">
        <v>1269</v>
      </c>
      <c r="E42" s="323" t="s">
        <v>1146</v>
      </c>
      <c r="F42" s="96" t="str">
        <f>IF(F16=0,"",F16)</f>
        <v>Mr</v>
      </c>
      <c r="G42" s="44" t="s">
        <v>1270</v>
      </c>
      <c r="I42" s="323" t="s">
        <v>1146</v>
      </c>
      <c r="J42" s="96" t="str">
        <f>IF(J16=0,"",J16)</f>
        <v>Mr</v>
      </c>
      <c r="K42" s="44" t="s">
        <v>1271</v>
      </c>
      <c r="M42" s="323" t="s">
        <v>1146</v>
      </c>
      <c r="N42" s="96" t="str">
        <f>IF(N16=0,"",N16)</f>
        <v>Mr</v>
      </c>
      <c r="O42" s="44" t="s">
        <v>1272</v>
      </c>
      <c r="Q42" s="115" t="s">
        <v>1273</v>
      </c>
      <c r="R42" s="79"/>
    </row>
    <row r="43" spans="1:19">
      <c r="A43" s="323" t="s">
        <v>1106</v>
      </c>
      <c r="B43" s="96" t="str">
        <f>IF(B17=0,"",B17)</f>
        <v>CHEN</v>
      </c>
      <c r="C43" s="44" t="s">
        <v>1274</v>
      </c>
      <c r="E43" s="323" t="s">
        <v>1108</v>
      </c>
      <c r="F43" s="96" t="str">
        <f>IF(F17=0,"",F17)</f>
        <v>CHEN</v>
      </c>
      <c r="G43" s="44" t="s">
        <v>1275</v>
      </c>
      <c r="I43" s="323" t="s">
        <v>1108</v>
      </c>
      <c r="J43" s="96" t="str">
        <f>IF(J17=0,"",J17)</f>
        <v>CHEN</v>
      </c>
      <c r="K43" s="44" t="s">
        <v>1276</v>
      </c>
      <c r="M43" s="323" t="s">
        <v>1108</v>
      </c>
      <c r="N43" s="96" t="str">
        <f>IF(N17=0,"",N17)</f>
        <v>CHEN</v>
      </c>
      <c r="O43" s="44" t="s">
        <v>1277</v>
      </c>
      <c r="Q43" s="115" t="s">
        <v>1278</v>
      </c>
      <c r="R43" s="79"/>
    </row>
    <row r="44" spans="1:19">
      <c r="A44" s="323" t="s">
        <v>4090</v>
      </c>
      <c r="B44" s="96" t="str">
        <f>IF(B18=0,"",B18)</f>
        <v>HANDE</v>
      </c>
      <c r="C44" s="44" t="s">
        <v>1279</v>
      </c>
      <c r="E44" s="323" t="s">
        <v>1113</v>
      </c>
      <c r="F44" s="96" t="str">
        <f>IF(F18=0,"",F18)</f>
        <v>HANDE</v>
      </c>
      <c r="G44" s="44" t="s">
        <v>1280</v>
      </c>
      <c r="I44" s="323" t="s">
        <v>1113</v>
      </c>
      <c r="J44" s="96" t="str">
        <f>IF(J18=0,"",J18)</f>
        <v>HANDE</v>
      </c>
      <c r="K44" s="44" t="s">
        <v>1281</v>
      </c>
      <c r="M44" s="323" t="s">
        <v>1113</v>
      </c>
      <c r="N44" s="96" t="str">
        <f>IF(N18=0,"",N18)</f>
        <v>HANDE</v>
      </c>
      <c r="O44" s="44" t="s">
        <v>1282</v>
      </c>
      <c r="Q44" s="115" t="s">
        <v>1283</v>
      </c>
      <c r="R44" s="79"/>
    </row>
    <row r="45" spans="1:19" ht="15">
      <c r="A45" s="323" t="s">
        <v>4120</v>
      </c>
      <c r="B45" s="100" t="s">
        <v>4121</v>
      </c>
      <c r="C45" s="44" t="s">
        <v>1284</v>
      </c>
      <c r="E45" s="323" t="s">
        <v>4122</v>
      </c>
      <c r="F45" s="100"/>
      <c r="G45" s="44" t="s">
        <v>1285</v>
      </c>
      <c r="I45" s="323" t="s">
        <v>4123</v>
      </c>
      <c r="J45" s="100"/>
      <c r="K45" s="44" t="s">
        <v>1286</v>
      </c>
      <c r="M45" s="323" t="s">
        <v>4124</v>
      </c>
      <c r="N45" s="100"/>
      <c r="O45" s="44" t="s">
        <v>1287</v>
      </c>
    </row>
    <row r="46" spans="1:19">
      <c r="A46" s="323" t="s">
        <v>1166</v>
      </c>
      <c r="B46" s="96" t="str">
        <f t="shared" ref="B46:B51" si="2">IF(B21=0,"",B21)</f>
        <v>陳</v>
      </c>
      <c r="C46" s="44" t="s">
        <v>1288</v>
      </c>
      <c r="E46" s="323" t="s">
        <v>1166</v>
      </c>
      <c r="F46" s="96" t="str">
        <f t="shared" ref="F46:F51" si="3">IF(F21=0,"",F21)</f>
        <v>陳</v>
      </c>
      <c r="G46" s="44" t="s">
        <v>1289</v>
      </c>
      <c r="I46" s="323" t="s">
        <v>1166</v>
      </c>
      <c r="J46" s="96" t="str">
        <f t="shared" ref="J46:J51" si="4">IF(J21=0,"",J21)</f>
        <v>陳</v>
      </c>
      <c r="K46" s="44" t="s">
        <v>1290</v>
      </c>
      <c r="M46" s="323" t="s">
        <v>1166</v>
      </c>
      <c r="N46" s="96" t="str">
        <f t="shared" ref="N46:N51" si="5">IF(N21=0,"",N21)</f>
        <v>陳</v>
      </c>
      <c r="O46" s="44" t="s">
        <v>1291</v>
      </c>
    </row>
    <row r="47" spans="1:19">
      <c r="A47" s="323" t="s">
        <v>1171</v>
      </c>
      <c r="B47" s="96" t="str">
        <f t="shared" si="2"/>
        <v>漢得</v>
      </c>
      <c r="C47" s="44" t="s">
        <v>1288</v>
      </c>
      <c r="E47" s="323" t="s">
        <v>1171</v>
      </c>
      <c r="F47" s="96" t="str">
        <f t="shared" si="3"/>
        <v>漢得</v>
      </c>
      <c r="G47" s="44" t="s">
        <v>1289</v>
      </c>
      <c r="I47" s="323" t="s">
        <v>1171</v>
      </c>
      <c r="J47" s="96" t="str">
        <f t="shared" si="4"/>
        <v>漢得</v>
      </c>
      <c r="K47" s="44" t="s">
        <v>1290</v>
      </c>
      <c r="M47" s="323" t="s">
        <v>1171</v>
      </c>
      <c r="N47" s="96" t="str">
        <f t="shared" si="5"/>
        <v>漢得</v>
      </c>
      <c r="O47" s="44" t="s">
        <v>1291</v>
      </c>
    </row>
    <row r="48" spans="1:19">
      <c r="A48" s="323" t="s">
        <v>1132</v>
      </c>
      <c r="B48" s="96" t="str">
        <f t="shared" si="2"/>
        <v>HKID</v>
      </c>
      <c r="C48" s="44" t="s">
        <v>1292</v>
      </c>
      <c r="E48" s="323" t="s">
        <v>1132</v>
      </c>
      <c r="F48" s="96" t="str">
        <f t="shared" si="3"/>
        <v>Passport</v>
      </c>
      <c r="G48" s="44" t="s">
        <v>1293</v>
      </c>
      <c r="I48" s="323" t="s">
        <v>1132</v>
      </c>
      <c r="J48" s="96" t="str">
        <f t="shared" si="4"/>
        <v>HKID</v>
      </c>
      <c r="K48" s="44" t="s">
        <v>1294</v>
      </c>
      <c r="M48" s="323" t="s">
        <v>1132</v>
      </c>
      <c r="N48" s="96" t="str">
        <f t="shared" si="5"/>
        <v>HKID</v>
      </c>
      <c r="O48" s="44" t="s">
        <v>1295</v>
      </c>
    </row>
    <row r="49" spans="1:15">
      <c r="A49" s="323" t="s">
        <v>1133</v>
      </c>
      <c r="B49" s="96" t="str">
        <f t="shared" si="2"/>
        <v>R526008(5)</v>
      </c>
      <c r="C49" s="44" t="s">
        <v>1296</v>
      </c>
      <c r="E49" s="323" t="s">
        <v>1133</v>
      </c>
      <c r="F49" s="96" t="str">
        <f t="shared" si="3"/>
        <v>R526008(5)</v>
      </c>
      <c r="G49" s="44" t="s">
        <v>1297</v>
      </c>
      <c r="I49" s="323" t="s">
        <v>1133</v>
      </c>
      <c r="J49" s="96" t="str">
        <f t="shared" si="4"/>
        <v>R526008(5)</v>
      </c>
      <c r="K49" s="44" t="s">
        <v>1298</v>
      </c>
      <c r="M49" s="323" t="s">
        <v>1133</v>
      </c>
      <c r="N49" s="96" t="str">
        <f t="shared" si="5"/>
        <v>R526008(5)</v>
      </c>
      <c r="O49" s="44" t="s">
        <v>1299</v>
      </c>
    </row>
    <row r="50" spans="1:15">
      <c r="A50" s="323" t="s">
        <v>1134</v>
      </c>
      <c r="B50" s="97">
        <f t="shared" si="2"/>
        <v>24961</v>
      </c>
      <c r="C50" s="44" t="s">
        <v>1300</v>
      </c>
      <c r="E50" s="323" t="s">
        <v>1134</v>
      </c>
      <c r="F50" s="97">
        <f t="shared" si="3"/>
        <v>24961</v>
      </c>
      <c r="G50" s="44" t="s">
        <v>1301</v>
      </c>
      <c r="I50" s="323" t="s">
        <v>1134</v>
      </c>
      <c r="J50" s="97">
        <f t="shared" si="4"/>
        <v>24961</v>
      </c>
      <c r="K50" s="44" t="s">
        <v>1302</v>
      </c>
      <c r="M50" s="323" t="s">
        <v>1134</v>
      </c>
      <c r="N50" s="97">
        <f t="shared" si="5"/>
        <v>24961</v>
      </c>
      <c r="O50" s="44" t="s">
        <v>1303</v>
      </c>
    </row>
    <row r="51" spans="1:15">
      <c r="A51" s="323" t="s">
        <v>1135</v>
      </c>
      <c r="B51" s="96" t="str">
        <f t="shared" si="2"/>
        <v>Georgia</v>
      </c>
      <c r="C51" s="44" t="s">
        <v>1304</v>
      </c>
      <c r="E51" s="323" t="s">
        <v>1135</v>
      </c>
      <c r="F51" s="96" t="str">
        <f t="shared" si="3"/>
        <v>China</v>
      </c>
      <c r="G51" s="44" t="s">
        <v>1305</v>
      </c>
      <c r="I51" s="323" t="s">
        <v>1135</v>
      </c>
      <c r="J51" s="96" t="str">
        <f t="shared" si="4"/>
        <v>Hong Kong, China</v>
      </c>
      <c r="K51" s="44" t="s">
        <v>1306</v>
      </c>
      <c r="M51" s="323" t="s">
        <v>1135</v>
      </c>
      <c r="N51" s="96" t="str">
        <f t="shared" si="5"/>
        <v>Hong Kong, China</v>
      </c>
      <c r="O51" s="44" t="s">
        <v>1307</v>
      </c>
    </row>
    <row r="52" spans="1:15">
      <c r="A52" s="323" t="s">
        <v>4125</v>
      </c>
      <c r="B52" s="96" t="str">
        <f>IF(B28=0,"",B28)</f>
        <v>FLAT 1</v>
      </c>
      <c r="C52" s="44" t="s">
        <v>1308</v>
      </c>
      <c r="E52" s="323" t="s">
        <v>1198</v>
      </c>
      <c r="F52" s="96" t="str">
        <f t="shared" ref="F52:F58" si="6">IF(F28=0,"",F28)</f>
        <v>FLAT 1</v>
      </c>
      <c r="G52" s="44" t="s">
        <v>1309</v>
      </c>
      <c r="I52" s="323" t="s">
        <v>1198</v>
      </c>
      <c r="J52" s="96" t="str">
        <f t="shared" ref="J52:J58" si="7">IF(J28=0,"",J28)</f>
        <v>FLAT 1</v>
      </c>
      <c r="K52" s="44" t="s">
        <v>1310</v>
      </c>
      <c r="M52" s="323" t="s">
        <v>1198</v>
      </c>
      <c r="N52" s="96" t="str">
        <f t="shared" ref="N52:N58" si="8">IF(N28=0,"",N28)</f>
        <v>FLAT 1</v>
      </c>
      <c r="O52" s="44" t="s">
        <v>1311</v>
      </c>
    </row>
    <row r="53" spans="1:15">
      <c r="A53" s="323" t="s">
        <v>1204</v>
      </c>
      <c r="B53" s="96" t="str">
        <f t="shared" ref="B53:B58" si="9">IF(B29=0,"",B29)</f>
        <v>17/F</v>
      </c>
      <c r="C53" s="44" t="s">
        <v>1312</v>
      </c>
      <c r="E53" s="323" t="s">
        <v>1204</v>
      </c>
      <c r="F53" s="96" t="str">
        <f t="shared" si="6"/>
        <v>17/F</v>
      </c>
      <c r="G53" s="44" t="s">
        <v>1313</v>
      </c>
      <c r="I53" s="323" t="s">
        <v>1204</v>
      </c>
      <c r="J53" s="96" t="str">
        <f t="shared" si="7"/>
        <v>17/F</v>
      </c>
      <c r="K53" s="44" t="s">
        <v>1314</v>
      </c>
      <c r="M53" s="323" t="s">
        <v>1204</v>
      </c>
      <c r="N53" s="96" t="str">
        <f t="shared" si="8"/>
        <v>17/F</v>
      </c>
      <c r="O53" s="44" t="s">
        <v>1315</v>
      </c>
    </row>
    <row r="54" spans="1:15">
      <c r="A54" s="323" t="s">
        <v>1210</v>
      </c>
      <c r="B54" s="96" t="str">
        <f t="shared" si="9"/>
        <v>BLOCK C,</v>
      </c>
      <c r="C54" s="44" t="s">
        <v>1316</v>
      </c>
      <c r="E54" s="323" t="s">
        <v>1210</v>
      </c>
      <c r="F54" s="96" t="str">
        <f t="shared" si="6"/>
        <v>BLOCK C,</v>
      </c>
      <c r="G54" s="44" t="s">
        <v>1317</v>
      </c>
      <c r="I54" s="323" t="s">
        <v>1210</v>
      </c>
      <c r="J54" s="96" t="str">
        <f t="shared" si="7"/>
        <v>BLOCK C,</v>
      </c>
      <c r="K54" s="44" t="s">
        <v>1318</v>
      </c>
      <c r="M54" s="323" t="s">
        <v>1210</v>
      </c>
      <c r="N54" s="96" t="str">
        <f t="shared" si="8"/>
        <v>BLOCK C,</v>
      </c>
      <c r="O54" s="44" t="s">
        <v>1319</v>
      </c>
    </row>
    <row r="55" spans="1:15">
      <c r="A55" s="323" t="s">
        <v>1216</v>
      </c>
      <c r="B55" s="96" t="str">
        <f t="shared" si="9"/>
        <v>YU MOON HOUSE, PHASE 1, YU CHUI COURT</v>
      </c>
      <c r="C55" s="44" t="s">
        <v>1320</v>
      </c>
      <c r="E55" s="323" t="s">
        <v>1216</v>
      </c>
      <c r="F55" s="96" t="str">
        <f t="shared" si="6"/>
        <v>YU MOON HOUSE, PHASE 1, YU CHUI COURT</v>
      </c>
      <c r="G55" s="44" t="s">
        <v>1321</v>
      </c>
      <c r="I55" s="323" t="s">
        <v>1216</v>
      </c>
      <c r="J55" s="96" t="str">
        <f t="shared" si="7"/>
        <v>YU MOON HOUSE, PHASE 1, YU CHUI COURT</v>
      </c>
      <c r="K55" s="44" t="s">
        <v>1322</v>
      </c>
      <c r="M55" s="323" t="s">
        <v>1216</v>
      </c>
      <c r="N55" s="96" t="str">
        <f t="shared" si="8"/>
        <v>YU MOON HOUSE, PHASE 1, YU CHUI COURT</v>
      </c>
      <c r="O55" s="44" t="s">
        <v>1323</v>
      </c>
    </row>
    <row r="56" spans="1:15">
      <c r="A56" s="323" t="s">
        <v>1222</v>
      </c>
      <c r="B56" s="96" t="str">
        <f t="shared" si="9"/>
        <v>6 NGAU PEI SHA STREET, YUEN CHAU KOK</v>
      </c>
      <c r="C56" s="44" t="s">
        <v>1324</v>
      </c>
      <c r="E56" s="323" t="s">
        <v>1222</v>
      </c>
      <c r="F56" s="96" t="str">
        <f t="shared" si="6"/>
        <v>6 NGAU PEI SHA STREET, YUEN CHAU KOK</v>
      </c>
      <c r="G56" s="44" t="s">
        <v>1325</v>
      </c>
      <c r="I56" s="323" t="s">
        <v>1222</v>
      </c>
      <c r="J56" s="96" t="str">
        <f t="shared" si="7"/>
        <v>6 NGAU PEI SHA STREET, YUEN CHAU KOK</v>
      </c>
      <c r="K56" s="44" t="s">
        <v>1326</v>
      </c>
      <c r="M56" s="323" t="s">
        <v>1222</v>
      </c>
      <c r="N56" s="96" t="str">
        <f t="shared" si="8"/>
        <v>6 NGAU PEI SHA STREET, YUEN CHAU KOK</v>
      </c>
      <c r="O56" s="44" t="s">
        <v>1327</v>
      </c>
    </row>
    <row r="57" spans="1:15">
      <c r="A57" s="323" t="s">
        <v>1232</v>
      </c>
      <c r="B57" s="96" t="str">
        <f t="shared" si="9"/>
        <v>San Tin</v>
      </c>
      <c r="C57" s="44" t="s">
        <v>1328</v>
      </c>
      <c r="E57" s="323" t="s">
        <v>1232</v>
      </c>
      <c r="F57" s="96" t="str">
        <f t="shared" si="6"/>
        <v>San Tin</v>
      </c>
      <c r="G57" s="44" t="s">
        <v>1329</v>
      </c>
      <c r="I57" s="323" t="s">
        <v>1232</v>
      </c>
      <c r="J57" s="96" t="str">
        <f t="shared" si="7"/>
        <v>San Tin</v>
      </c>
      <c r="K57" s="44" t="s">
        <v>1330</v>
      </c>
      <c r="M57" s="323" t="s">
        <v>1232</v>
      </c>
      <c r="N57" s="96" t="str">
        <f t="shared" si="8"/>
        <v>San Tin</v>
      </c>
      <c r="O57" s="44" t="s">
        <v>1331</v>
      </c>
    </row>
    <row r="58" spans="1:15">
      <c r="A58" s="323" t="s">
        <v>1238</v>
      </c>
      <c r="B58" s="96" t="str">
        <f t="shared" si="9"/>
        <v>New Territories</v>
      </c>
      <c r="C58" s="44" t="s">
        <v>1332</v>
      </c>
      <c r="E58" s="323" t="s">
        <v>1238</v>
      </c>
      <c r="F58" s="96" t="str">
        <f t="shared" si="6"/>
        <v>New Territories</v>
      </c>
      <c r="G58" s="44" t="s">
        <v>1333</v>
      </c>
      <c r="I58" s="323" t="s">
        <v>1238</v>
      </c>
      <c r="J58" s="96" t="str">
        <f t="shared" si="7"/>
        <v>New Territories</v>
      </c>
      <c r="K58" s="44" t="s">
        <v>1334</v>
      </c>
      <c r="M58" s="323" t="s">
        <v>1238</v>
      </c>
      <c r="N58" s="96" t="str">
        <f t="shared" si="8"/>
        <v>New Territories</v>
      </c>
      <c r="O58" s="44" t="s">
        <v>1335</v>
      </c>
    </row>
  </sheetData>
  <hyperlinks>
    <hyperlink ref="B9" r:id="rId1" xr:uid="{7699B7BD-EE76-45A6-B03F-2654BC228F76}"/>
    <hyperlink ref="F9" r:id="rId2" xr:uid="{28FF5E06-938D-4914-AA01-79917A438E8C}"/>
    <hyperlink ref="J9" r:id="rId3" xr:uid="{861456F0-75C7-43C5-A6D2-F407AF8E42F4}"/>
    <hyperlink ref="N9" r:id="rId4" xr:uid="{B4DD3CE9-6A0F-4056-98C7-9F0B74F79842}"/>
  </hyperlink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6B22E7F-5D5B-4781-B72E-5D9D134FBA77}">
          <x14:formula1>
            <xm:f>Droplist!$B$2:$B$5</xm:f>
          </x14:formula1>
          <xm:sqref>B2 F2 J2 N2</xm:sqref>
        </x14:dataValidation>
        <x14:dataValidation type="list" allowBlank="1" showInputMessage="1" showErrorMessage="1" xr:uid="{F5563D1A-050F-4516-AC75-0DCB5AFA6DA0}">
          <x14:formula1>
            <xm:f>Droplist!$Y$2:$Y$7</xm:f>
          </x14:formula1>
          <xm:sqref>B7 F7</xm:sqref>
        </x14:dataValidation>
        <x14:dataValidation type="list" allowBlank="1" showInputMessage="1" showErrorMessage="1" xr:uid="{EED95170-FFA1-4A35-8AC0-C5CD0865D623}">
          <x14:formula1>
            <xm:f>Droplist!$Z$2:$Z$3</xm:f>
          </x14:formula1>
          <xm:sqref>B23 F23</xm:sqref>
        </x14:dataValidation>
        <x14:dataValidation type="list" allowBlank="1" showInputMessage="1" showErrorMessage="1" xr:uid="{8581CDEA-8002-4249-8C56-4DCE85D241C1}">
          <x14:formula1>
            <xm:f>Droplist!$AC$2:$AC$246</xm:f>
          </x14:formula1>
          <xm:sqref>B26 F26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BV25"/>
  <sheetViews>
    <sheetView topLeftCell="MG1" zoomScale="70" zoomScaleNormal="70" workbookViewId="0">
      <pane ySplit="1" topLeftCell="A2" activePane="bottomLeft" state="frozen"/>
      <selection activeCell="M41" sqref="M41"/>
      <selection pane="bottomLeft" activeCell="MQ33" sqref="ML33:MQ41"/>
    </sheetView>
  </sheetViews>
  <sheetFormatPr defaultColWidth="14" defaultRowHeight="15" customHeight="1"/>
  <cols>
    <col min="1" max="1" width="14" style="44" customWidth="1"/>
    <col min="2" max="2" width="14" style="45" customWidth="1"/>
    <col min="3" max="10" width="14" style="44" customWidth="1"/>
    <col min="11" max="12" width="14" style="276" customWidth="1"/>
    <col min="13" max="48" width="14" style="44" customWidth="1"/>
    <col min="49" max="49" width="34.5" style="44" customWidth="1"/>
    <col min="50" max="54" width="14" style="44" customWidth="1"/>
    <col min="55" max="62" width="20.6640625" style="44" customWidth="1"/>
    <col min="63" max="142" width="14" style="44" customWidth="1"/>
    <col min="143" max="144" width="14" style="47" customWidth="1"/>
    <col min="145" max="161" width="14" style="44" customWidth="1"/>
    <col min="162" max="162" width="14" style="46" customWidth="1"/>
    <col min="163" max="231" width="14" style="44" customWidth="1"/>
    <col min="232" max="234" width="0" style="44" hidden="1"/>
    <col min="235" max="260" width="14" style="44" customWidth="1"/>
    <col min="261" max="263" width="14" style="45" customWidth="1"/>
    <col min="264" max="268" width="14" style="44" customWidth="1"/>
    <col min="269" max="270" width="14" style="45" customWidth="1"/>
    <col min="271" max="282" width="14" style="44" customWidth="1"/>
    <col min="283" max="284" width="14" style="45" customWidth="1"/>
    <col min="285" max="308" width="14" style="44" customWidth="1"/>
    <col min="309" max="310" width="14" style="82" customWidth="1"/>
    <col min="311" max="313" width="14" style="44" customWidth="1"/>
    <col min="314" max="314" width="14" style="82" customWidth="1"/>
    <col min="315" max="447" width="14" style="44" customWidth="1"/>
    <col min="448" max="448" width="14" style="48" customWidth="1"/>
    <col min="449" max="494" width="14" style="44" customWidth="1"/>
    <col min="495" max="495" width="14" style="48" customWidth="1"/>
    <col min="496" max="705" width="14" style="44" customWidth="1"/>
    <col min="706" max="706" width="22.5" style="44" customWidth="1"/>
    <col min="707" max="708" width="46" style="44" customWidth="1"/>
    <col min="709" max="709" width="32" style="44" customWidth="1"/>
    <col min="710" max="716" width="14" style="44" customWidth="1"/>
    <col min="717" max="718" width="14" style="161" customWidth="1"/>
    <col min="719" max="720" width="14" style="44" customWidth="1"/>
    <col min="721" max="721" width="14" style="161" customWidth="1"/>
    <col min="722" max="722" width="14" style="44" customWidth="1"/>
    <col min="723" max="723" width="14" style="161" customWidth="1"/>
    <col min="724" max="724" width="14" style="44" customWidth="1"/>
    <col min="725" max="731" width="0" style="44" hidden="1"/>
    <col min="732" max="745" width="14" style="44" customWidth="1"/>
    <col min="746" max="746" width="17.08203125" style="44" customWidth="1"/>
    <col min="747" max="747" width="14" style="44" customWidth="1"/>
    <col min="748" max="16384" width="14" style="44"/>
  </cols>
  <sheetData>
    <row r="1" spans="1:750" s="124" customFormat="1" ht="51.65" customHeight="1">
      <c r="A1" s="120" t="s">
        <v>1</v>
      </c>
      <c r="B1" s="162" t="s">
        <v>2</v>
      </c>
      <c r="C1" s="120" t="s">
        <v>3</v>
      </c>
      <c r="D1" s="163" t="s">
        <v>4</v>
      </c>
      <c r="E1" s="164" t="s">
        <v>5</v>
      </c>
      <c r="F1" s="120" t="s">
        <v>6</v>
      </c>
      <c r="G1" s="120" t="s">
        <v>7</v>
      </c>
      <c r="H1" s="120" t="s">
        <v>8</v>
      </c>
      <c r="I1" s="120" t="s">
        <v>9</v>
      </c>
      <c r="J1" s="120" t="s">
        <v>10</v>
      </c>
      <c r="K1" s="189" t="s">
        <v>11</v>
      </c>
      <c r="L1" s="189" t="s">
        <v>12</v>
      </c>
      <c r="M1" s="120" t="s">
        <v>13</v>
      </c>
      <c r="N1" s="165" t="s">
        <v>14</v>
      </c>
      <c r="O1" s="166" t="s">
        <v>15</v>
      </c>
      <c r="P1" s="166" t="s">
        <v>16</v>
      </c>
      <c r="Q1" s="165" t="s">
        <v>17</v>
      </c>
      <c r="R1" s="167" t="s">
        <v>18</v>
      </c>
      <c r="S1" s="167" t="s">
        <v>19</v>
      </c>
      <c r="T1" s="168" t="s">
        <v>20</v>
      </c>
      <c r="U1" s="163" t="s">
        <v>21</v>
      </c>
      <c r="V1" s="163" t="s">
        <v>22</v>
      </c>
      <c r="W1" s="279" t="s">
        <v>24</v>
      </c>
      <c r="X1" s="163" t="s">
        <v>25</v>
      </c>
      <c r="Y1" s="163" t="s">
        <v>26</v>
      </c>
      <c r="Z1" s="163" t="s">
        <v>27</v>
      </c>
      <c r="AA1" s="120" t="s">
        <v>28</v>
      </c>
      <c r="AB1" s="163" t="s">
        <v>29</v>
      </c>
      <c r="AC1" s="163" t="s">
        <v>30</v>
      </c>
      <c r="AD1" s="163" t="s">
        <v>31</v>
      </c>
      <c r="AE1" s="163" t="s">
        <v>32</v>
      </c>
      <c r="AF1" s="169" t="s">
        <v>33</v>
      </c>
      <c r="AG1" s="166" t="s">
        <v>34</v>
      </c>
      <c r="AH1" s="166" t="s">
        <v>35</v>
      </c>
      <c r="AI1" s="166" t="s">
        <v>36</v>
      </c>
      <c r="AJ1" s="120" t="s">
        <v>37</v>
      </c>
      <c r="AK1" s="120" t="s">
        <v>38</v>
      </c>
      <c r="AL1" s="170" t="s">
        <v>39</v>
      </c>
      <c r="AM1" s="171" t="s">
        <v>40</v>
      </c>
      <c r="AN1" s="120" t="s">
        <v>41</v>
      </c>
      <c r="AO1" s="120" t="s">
        <v>42</v>
      </c>
      <c r="AP1" s="120" t="s">
        <v>43</v>
      </c>
      <c r="AQ1" s="120" t="s">
        <v>44</v>
      </c>
      <c r="AR1" s="120" t="s">
        <v>45</v>
      </c>
      <c r="AS1" s="120" t="s">
        <v>46</v>
      </c>
      <c r="AT1" s="120" t="s">
        <v>48</v>
      </c>
      <c r="AU1" s="120" t="s">
        <v>50</v>
      </c>
      <c r="AV1" s="120" t="s">
        <v>51</v>
      </c>
      <c r="AW1" s="120" t="s">
        <v>52</v>
      </c>
      <c r="AX1" s="120" t="s">
        <v>53</v>
      </c>
      <c r="AY1" s="120" t="s">
        <v>54</v>
      </c>
      <c r="AZ1" s="120" t="s">
        <v>55</v>
      </c>
      <c r="BA1" s="120" t="s">
        <v>56</v>
      </c>
      <c r="BB1" s="166" t="s">
        <v>58</v>
      </c>
      <c r="BC1" s="167" t="s">
        <v>59</v>
      </c>
      <c r="BD1" s="167" t="s">
        <v>60</v>
      </c>
      <c r="BE1" s="167" t="s">
        <v>61</v>
      </c>
      <c r="BF1" s="167" t="s">
        <v>62</v>
      </c>
      <c r="BG1" s="167" t="s">
        <v>63</v>
      </c>
      <c r="BH1" s="167" t="s">
        <v>64</v>
      </c>
      <c r="BI1" s="167" t="s">
        <v>65</v>
      </c>
      <c r="BJ1" s="167" t="s">
        <v>66</v>
      </c>
      <c r="BK1" s="121" t="s">
        <v>67</v>
      </c>
      <c r="BL1" s="120" t="s">
        <v>68</v>
      </c>
      <c r="BM1" s="120" t="s">
        <v>69</v>
      </c>
      <c r="BN1" s="120" t="s">
        <v>70</v>
      </c>
      <c r="BO1" s="120" t="s">
        <v>71</v>
      </c>
      <c r="BP1" s="120" t="s">
        <v>72</v>
      </c>
      <c r="BQ1" s="120" t="s">
        <v>73</v>
      </c>
      <c r="BR1" s="120" t="s">
        <v>74</v>
      </c>
      <c r="BS1" s="120" t="s">
        <v>75</v>
      </c>
      <c r="BT1" s="120" t="s">
        <v>76</v>
      </c>
      <c r="BU1" s="120" t="s">
        <v>77</v>
      </c>
      <c r="BV1" s="120" t="s">
        <v>78</v>
      </c>
      <c r="BW1" s="120" t="s">
        <v>79</v>
      </c>
      <c r="BX1" s="165" t="s">
        <v>80</v>
      </c>
      <c r="BY1" s="167" t="s">
        <v>81</v>
      </c>
      <c r="BZ1" s="120" t="s">
        <v>82</v>
      </c>
      <c r="CA1" s="120" t="s">
        <v>83</v>
      </c>
      <c r="CB1" s="165" t="s">
        <v>84</v>
      </c>
      <c r="CC1" s="167" t="s">
        <v>85</v>
      </c>
      <c r="CD1" s="120" t="s">
        <v>86</v>
      </c>
      <c r="CE1" s="120" t="s">
        <v>87</v>
      </c>
      <c r="CF1" s="165" t="s">
        <v>88</v>
      </c>
      <c r="CG1" s="121" t="s">
        <v>89</v>
      </c>
      <c r="CH1" s="120" t="s">
        <v>90</v>
      </c>
      <c r="CI1" s="120" t="s">
        <v>91</v>
      </c>
      <c r="CJ1" s="120" t="s">
        <v>92</v>
      </c>
      <c r="CK1" s="120" t="s">
        <v>93</v>
      </c>
      <c r="CL1" s="120" t="s">
        <v>94</v>
      </c>
      <c r="CM1" s="120" t="s">
        <v>95</v>
      </c>
      <c r="CN1" s="120" t="s">
        <v>96</v>
      </c>
      <c r="CO1" s="120" t="s">
        <v>97</v>
      </c>
      <c r="CP1" s="120" t="s">
        <v>98</v>
      </c>
      <c r="CQ1" s="120" t="s">
        <v>99</v>
      </c>
      <c r="CR1" s="120" t="s">
        <v>100</v>
      </c>
      <c r="CS1" s="120" t="s">
        <v>101</v>
      </c>
      <c r="CT1" s="120" t="s">
        <v>102</v>
      </c>
      <c r="CU1" s="166" t="s">
        <v>103</v>
      </c>
      <c r="CV1" s="121" t="s">
        <v>104</v>
      </c>
      <c r="CW1" s="120" t="s">
        <v>105</v>
      </c>
      <c r="CX1" s="120" t="s">
        <v>106</v>
      </c>
      <c r="CY1" s="120" t="s">
        <v>107</v>
      </c>
      <c r="CZ1" s="120" t="s">
        <v>108</v>
      </c>
      <c r="DA1" s="120" t="s">
        <v>109</v>
      </c>
      <c r="DB1" s="120" t="s">
        <v>110</v>
      </c>
      <c r="DC1" s="120" t="s">
        <v>111</v>
      </c>
      <c r="DD1" s="120" t="s">
        <v>112</v>
      </c>
      <c r="DE1" s="120" t="s">
        <v>113</v>
      </c>
      <c r="DF1" s="120" t="s">
        <v>114</v>
      </c>
      <c r="DG1" s="121" t="s">
        <v>115</v>
      </c>
      <c r="DH1" s="120" t="s">
        <v>116</v>
      </c>
      <c r="DI1" s="120" t="s">
        <v>117</v>
      </c>
      <c r="DJ1" s="120" t="s">
        <v>118</v>
      </c>
      <c r="DK1" s="120" t="s">
        <v>119</v>
      </c>
      <c r="DL1" s="120" t="s">
        <v>120</v>
      </c>
      <c r="DM1" s="120" t="s">
        <v>121</v>
      </c>
      <c r="DN1" s="120" t="s">
        <v>122</v>
      </c>
      <c r="DO1" s="120" t="s">
        <v>123</v>
      </c>
      <c r="DP1" s="120" t="s">
        <v>124</v>
      </c>
      <c r="DQ1" s="120" t="s">
        <v>125</v>
      </c>
      <c r="DR1" s="121" t="s">
        <v>126</v>
      </c>
      <c r="DS1" s="120" t="s">
        <v>127</v>
      </c>
      <c r="DT1" s="120" t="s">
        <v>128</v>
      </c>
      <c r="DU1" s="120" t="s">
        <v>129</v>
      </c>
      <c r="DV1" s="120" t="s">
        <v>130</v>
      </c>
      <c r="DW1" s="120" t="s">
        <v>131</v>
      </c>
      <c r="DX1" s="120" t="s">
        <v>132</v>
      </c>
      <c r="DY1" s="120" t="s">
        <v>133</v>
      </c>
      <c r="DZ1" s="120" t="s">
        <v>134</v>
      </c>
      <c r="EA1" s="120" t="s">
        <v>135</v>
      </c>
      <c r="EB1" s="120" t="s">
        <v>136</v>
      </c>
      <c r="EC1" s="172" t="s">
        <v>137</v>
      </c>
      <c r="ED1" s="122" t="s">
        <v>139</v>
      </c>
      <c r="EE1" s="172" t="s">
        <v>141</v>
      </c>
      <c r="EF1" s="172" t="s">
        <v>142</v>
      </c>
      <c r="EG1" s="172" t="s">
        <v>143</v>
      </c>
      <c r="EH1" s="172" t="s">
        <v>144</v>
      </c>
      <c r="EI1" s="282" t="s">
        <v>145</v>
      </c>
      <c r="EJ1" s="173" t="s">
        <v>146</v>
      </c>
      <c r="EK1" s="173" t="s">
        <v>147</v>
      </c>
      <c r="EL1" s="173" t="s">
        <v>148</v>
      </c>
      <c r="EM1" s="172" t="s">
        <v>149</v>
      </c>
      <c r="EN1" s="172" t="s">
        <v>150</v>
      </c>
      <c r="EO1" s="173" t="s">
        <v>151</v>
      </c>
      <c r="EP1" s="173" t="s">
        <v>152</v>
      </c>
      <c r="EQ1" s="173" t="s">
        <v>153</v>
      </c>
      <c r="ER1" s="173" t="s">
        <v>154</v>
      </c>
      <c r="ES1" s="173" t="s">
        <v>155</v>
      </c>
      <c r="ET1" s="174" t="s">
        <v>156</v>
      </c>
      <c r="EU1" s="174" t="s">
        <v>157</v>
      </c>
      <c r="EV1" s="120" t="s">
        <v>158</v>
      </c>
      <c r="EW1" s="175" t="s">
        <v>159</v>
      </c>
      <c r="EX1" s="175" t="s">
        <v>160</v>
      </c>
      <c r="EY1" s="175" t="s">
        <v>161</v>
      </c>
      <c r="EZ1" s="176" t="s">
        <v>162</v>
      </c>
      <c r="FA1" s="176" t="s">
        <v>163</v>
      </c>
      <c r="FB1" s="176" t="s">
        <v>164</v>
      </c>
      <c r="FC1" s="176" t="s">
        <v>165</v>
      </c>
      <c r="FD1" s="176" t="s">
        <v>166</v>
      </c>
      <c r="FE1" s="176" t="s">
        <v>167</v>
      </c>
      <c r="FF1" s="174" t="s">
        <v>168</v>
      </c>
      <c r="FG1" s="163" t="s">
        <v>169</v>
      </c>
      <c r="FH1" s="163" t="s">
        <v>170</v>
      </c>
      <c r="FI1" s="163" t="s">
        <v>171</v>
      </c>
      <c r="FJ1" s="163" t="s">
        <v>172</v>
      </c>
      <c r="FK1" s="272" t="s">
        <v>173</v>
      </c>
      <c r="FL1" s="272" t="s">
        <v>174</v>
      </c>
      <c r="FM1" s="272" t="s">
        <v>175</v>
      </c>
      <c r="FN1" s="272" t="s">
        <v>176</v>
      </c>
      <c r="FO1" s="177" t="s">
        <v>177</v>
      </c>
      <c r="FP1" s="177" t="s">
        <v>178</v>
      </c>
      <c r="FQ1" s="177" t="s">
        <v>179</v>
      </c>
      <c r="FR1" s="177" t="s">
        <v>180</v>
      </c>
      <c r="FS1" s="177" t="s">
        <v>181</v>
      </c>
      <c r="FT1" s="177" t="s">
        <v>182</v>
      </c>
      <c r="FU1" s="177" t="s">
        <v>183</v>
      </c>
      <c r="FV1" s="177" t="s">
        <v>184</v>
      </c>
      <c r="FW1" s="177" t="s">
        <v>185</v>
      </c>
      <c r="FX1" s="163" t="s">
        <v>186</v>
      </c>
      <c r="FY1" s="177" t="s">
        <v>187</v>
      </c>
      <c r="FZ1" s="177" t="s">
        <v>188</v>
      </c>
      <c r="GA1" s="177" t="s">
        <v>189</v>
      </c>
      <c r="GB1" s="177" t="s">
        <v>190</v>
      </c>
      <c r="GC1" s="177" t="s">
        <v>191</v>
      </c>
      <c r="GD1" s="177" t="s">
        <v>192</v>
      </c>
      <c r="GE1" s="177" t="s">
        <v>193</v>
      </c>
      <c r="GF1" s="177" t="s">
        <v>194</v>
      </c>
      <c r="GG1" s="178" t="s">
        <v>195</v>
      </c>
      <c r="GH1" s="179" t="s">
        <v>196</v>
      </c>
      <c r="GI1" s="177" t="s">
        <v>197</v>
      </c>
      <c r="GJ1" s="177" t="s">
        <v>198</v>
      </c>
      <c r="GK1" s="177" t="s">
        <v>199</v>
      </c>
      <c r="GL1" s="177" t="s">
        <v>200</v>
      </c>
      <c r="GM1" s="177" t="s">
        <v>201</v>
      </c>
      <c r="GN1" s="177" t="s">
        <v>202</v>
      </c>
      <c r="GO1" s="178" t="s">
        <v>203</v>
      </c>
      <c r="GP1" s="180" t="s">
        <v>204</v>
      </c>
      <c r="GQ1" s="180" t="s">
        <v>205</v>
      </c>
      <c r="GR1" s="180" t="s">
        <v>206</v>
      </c>
      <c r="GS1" s="180" t="s">
        <v>207</v>
      </c>
      <c r="GT1" s="180" t="s">
        <v>208</v>
      </c>
      <c r="GU1" s="180" t="s">
        <v>209</v>
      </c>
      <c r="GV1" s="180" t="s">
        <v>210</v>
      </c>
      <c r="GW1" s="181" t="s">
        <v>211</v>
      </c>
      <c r="GX1" s="180" t="s">
        <v>212</v>
      </c>
      <c r="GY1" s="181" t="s">
        <v>213</v>
      </c>
      <c r="GZ1" s="268" t="s">
        <v>214</v>
      </c>
      <c r="HA1" s="273" t="s">
        <v>215</v>
      </c>
      <c r="HB1" s="179" t="s">
        <v>216</v>
      </c>
      <c r="HC1" s="179" t="s">
        <v>217</v>
      </c>
      <c r="HD1" s="179" t="s">
        <v>218</v>
      </c>
      <c r="HE1" s="179" t="s">
        <v>219</v>
      </c>
      <c r="HF1" s="179" t="s">
        <v>220</v>
      </c>
      <c r="HG1" s="179" t="s">
        <v>221</v>
      </c>
      <c r="HH1" s="182" t="s">
        <v>222</v>
      </c>
      <c r="HI1" s="177" t="s">
        <v>223</v>
      </c>
      <c r="HJ1" s="177" t="s">
        <v>224</v>
      </c>
      <c r="HK1" s="177" t="s">
        <v>225</v>
      </c>
      <c r="HL1" s="178" t="s">
        <v>226</v>
      </c>
      <c r="HM1" s="183" t="s">
        <v>227</v>
      </c>
      <c r="HN1" s="182" t="s">
        <v>228</v>
      </c>
      <c r="HO1" s="177" t="s">
        <v>229</v>
      </c>
      <c r="HP1" s="177" t="s">
        <v>230</v>
      </c>
      <c r="HQ1" s="177" t="s">
        <v>231</v>
      </c>
      <c r="HR1" s="184" t="s">
        <v>232</v>
      </c>
      <c r="HS1" s="177" t="s">
        <v>233</v>
      </c>
      <c r="HT1" s="184" t="s">
        <v>234</v>
      </c>
      <c r="HU1" s="177" t="s">
        <v>235</v>
      </c>
      <c r="HV1" s="184" t="s">
        <v>236</v>
      </c>
      <c r="HW1" s="178" t="s">
        <v>237</v>
      </c>
      <c r="HX1" s="184" t="s">
        <v>238</v>
      </c>
      <c r="HY1" s="184" t="s">
        <v>239</v>
      </c>
      <c r="HZ1" s="184" t="s">
        <v>240</v>
      </c>
      <c r="IA1" s="120" t="s">
        <v>241</v>
      </c>
      <c r="IB1" s="120" t="s">
        <v>242</v>
      </c>
      <c r="IC1" s="120" t="s">
        <v>243</v>
      </c>
      <c r="ID1" s="120" t="s">
        <v>244</v>
      </c>
      <c r="IE1" s="120" t="s">
        <v>245</v>
      </c>
      <c r="IF1" s="120" t="s">
        <v>246</v>
      </c>
      <c r="IG1" s="120" t="s">
        <v>247</v>
      </c>
      <c r="IH1" s="166" t="s">
        <v>248</v>
      </c>
      <c r="II1" s="120" t="s">
        <v>249</v>
      </c>
      <c r="IJ1" s="171" t="s">
        <v>250</v>
      </c>
      <c r="IK1" s="120" t="s">
        <v>251</v>
      </c>
      <c r="IL1" s="120" t="s">
        <v>252</v>
      </c>
      <c r="IM1" s="120" t="s">
        <v>253</v>
      </c>
      <c r="IN1" s="120" t="s">
        <v>254</v>
      </c>
      <c r="IO1" s="120" t="s">
        <v>255</v>
      </c>
      <c r="IP1" s="165" t="s">
        <v>256</v>
      </c>
      <c r="IQ1" s="171" t="s">
        <v>257</v>
      </c>
      <c r="IR1" s="120" t="s">
        <v>258</v>
      </c>
      <c r="IS1" s="120" t="s">
        <v>259</v>
      </c>
      <c r="IT1" s="120" t="s">
        <v>260</v>
      </c>
      <c r="IU1" s="120" t="s">
        <v>261</v>
      </c>
      <c r="IV1" s="120" t="s">
        <v>262</v>
      </c>
      <c r="IW1" s="120" t="s">
        <v>263</v>
      </c>
      <c r="IX1" s="120" t="s">
        <v>264</v>
      </c>
      <c r="IY1" s="120" t="s">
        <v>265</v>
      </c>
      <c r="IZ1" s="120" t="s">
        <v>267</v>
      </c>
      <c r="JA1" s="162" t="s">
        <v>268</v>
      </c>
      <c r="JB1" s="162" t="s">
        <v>269</v>
      </c>
      <c r="JC1" s="162" t="s">
        <v>270</v>
      </c>
      <c r="JD1" s="162" t="s">
        <v>271</v>
      </c>
      <c r="JE1" s="120" t="s">
        <v>272</v>
      </c>
      <c r="JF1" s="120" t="s">
        <v>273</v>
      </c>
      <c r="JG1" s="120" t="s">
        <v>274</v>
      </c>
      <c r="JH1" s="120" t="s">
        <v>275</v>
      </c>
      <c r="JI1" s="162" t="s">
        <v>276</v>
      </c>
      <c r="JJ1" s="185" t="s">
        <v>277</v>
      </c>
      <c r="JK1" s="185" t="s">
        <v>278</v>
      </c>
      <c r="JL1" s="120" t="s">
        <v>279</v>
      </c>
      <c r="JM1" s="162" t="s">
        <v>281</v>
      </c>
      <c r="JN1" s="162" t="s">
        <v>282</v>
      </c>
      <c r="JO1" s="162" t="s">
        <v>283</v>
      </c>
      <c r="JP1" s="162" t="s">
        <v>284</v>
      </c>
      <c r="JQ1" s="162" t="s">
        <v>285</v>
      </c>
      <c r="JR1" s="120" t="s">
        <v>286</v>
      </c>
      <c r="JS1" s="120" t="s">
        <v>287</v>
      </c>
      <c r="JT1" s="120" t="s">
        <v>288</v>
      </c>
      <c r="JU1" s="120" t="s">
        <v>289</v>
      </c>
      <c r="JV1" s="166" t="s">
        <v>290</v>
      </c>
      <c r="JW1" s="186" t="s">
        <v>291</v>
      </c>
      <c r="JX1" s="186" t="s">
        <v>293</v>
      </c>
      <c r="JY1" s="166" t="s">
        <v>294</v>
      </c>
      <c r="JZ1" s="120" t="s">
        <v>296</v>
      </c>
      <c r="KA1" s="120" t="s">
        <v>297</v>
      </c>
      <c r="KB1" s="187" t="s">
        <v>298</v>
      </c>
      <c r="KC1" s="162" t="s">
        <v>299</v>
      </c>
      <c r="KD1" s="162" t="s">
        <v>300</v>
      </c>
      <c r="KE1" s="162" t="s">
        <v>301</v>
      </c>
      <c r="KF1" s="162" t="s">
        <v>302</v>
      </c>
      <c r="KG1" s="162" t="s">
        <v>303</v>
      </c>
      <c r="KH1" s="162" t="s">
        <v>304</v>
      </c>
      <c r="KI1" s="162" t="s">
        <v>305</v>
      </c>
      <c r="KJ1" s="162" t="s">
        <v>306</v>
      </c>
      <c r="KK1" s="162" t="s">
        <v>307</v>
      </c>
      <c r="KL1" s="162" t="s">
        <v>308</v>
      </c>
      <c r="KM1" s="162" t="s">
        <v>309</v>
      </c>
      <c r="KN1" s="162" t="s">
        <v>310</v>
      </c>
      <c r="KO1" s="162" t="s">
        <v>311</v>
      </c>
      <c r="KP1" s="162" t="s">
        <v>312</v>
      </c>
      <c r="KQ1" s="162" t="s">
        <v>313</v>
      </c>
      <c r="KR1" s="162" t="s">
        <v>314</v>
      </c>
      <c r="KS1" s="162" t="s">
        <v>315</v>
      </c>
      <c r="KT1" s="162" t="s">
        <v>316</v>
      </c>
      <c r="KU1" s="171" t="s">
        <v>317</v>
      </c>
      <c r="KV1" s="120" t="s">
        <v>318</v>
      </c>
      <c r="KW1" s="162" t="s">
        <v>320</v>
      </c>
      <c r="KX1" s="162" t="s">
        <v>322</v>
      </c>
      <c r="KY1" s="162" t="s">
        <v>323</v>
      </c>
      <c r="KZ1" s="162" t="s">
        <v>324</v>
      </c>
      <c r="LA1" s="120" t="s">
        <v>325</v>
      </c>
      <c r="LB1" s="120" t="s">
        <v>326</v>
      </c>
      <c r="LC1" s="120" t="s">
        <v>327</v>
      </c>
      <c r="LD1" s="120" t="s">
        <v>328</v>
      </c>
      <c r="LE1" s="120" t="s">
        <v>329</v>
      </c>
      <c r="LF1" s="120" t="s">
        <v>330</v>
      </c>
      <c r="LG1" s="120" t="s">
        <v>331</v>
      </c>
      <c r="LH1" s="120" t="s">
        <v>332</v>
      </c>
      <c r="LI1" s="120" t="s">
        <v>333</v>
      </c>
      <c r="LJ1" s="120" t="s">
        <v>334</v>
      </c>
      <c r="LK1" s="120" t="s">
        <v>335</v>
      </c>
      <c r="LL1" s="120" t="s">
        <v>336</v>
      </c>
      <c r="LM1" s="120" t="s">
        <v>337</v>
      </c>
      <c r="LN1" s="120" t="s">
        <v>338</v>
      </c>
      <c r="LO1" s="120" t="s">
        <v>339</v>
      </c>
      <c r="LP1" s="162" t="s">
        <v>340</v>
      </c>
      <c r="LQ1" s="162" t="s">
        <v>341</v>
      </c>
      <c r="LR1" s="120" t="s">
        <v>342</v>
      </c>
      <c r="LS1" s="120" t="s">
        <v>343</v>
      </c>
      <c r="LT1" s="120" t="s">
        <v>344</v>
      </c>
      <c r="LU1" s="120" t="s">
        <v>345</v>
      </c>
      <c r="LV1" s="163" t="s">
        <v>346</v>
      </c>
      <c r="LW1" s="163" t="s">
        <v>347</v>
      </c>
      <c r="LX1" s="163" t="s">
        <v>348</v>
      </c>
      <c r="LY1" s="120" t="s">
        <v>349</v>
      </c>
      <c r="LZ1" s="120" t="s">
        <v>350</v>
      </c>
      <c r="MA1" s="120" t="s">
        <v>351</v>
      </c>
      <c r="MB1" s="120" t="s">
        <v>352</v>
      </c>
      <c r="MC1" s="120" t="s">
        <v>353</v>
      </c>
      <c r="MD1" s="120" t="s">
        <v>354</v>
      </c>
      <c r="ME1" s="120" t="s">
        <v>355</v>
      </c>
      <c r="MF1" s="120" t="s">
        <v>356</v>
      </c>
      <c r="MG1" s="120" t="s">
        <v>357</v>
      </c>
      <c r="MH1" s="120" t="s">
        <v>358</v>
      </c>
      <c r="MI1" s="120" t="s">
        <v>359</v>
      </c>
      <c r="MJ1" s="120" t="s">
        <v>360</v>
      </c>
      <c r="MK1" s="120" t="s">
        <v>361</v>
      </c>
      <c r="ML1" s="120" t="s">
        <v>362</v>
      </c>
      <c r="MM1" s="120" t="s">
        <v>363</v>
      </c>
      <c r="MN1" s="120" t="s">
        <v>364</v>
      </c>
      <c r="MO1" s="120" t="s">
        <v>365</v>
      </c>
      <c r="MP1" s="120" t="s">
        <v>366</v>
      </c>
      <c r="MQ1" s="120" t="s">
        <v>367</v>
      </c>
      <c r="MR1" s="120" t="s">
        <v>368</v>
      </c>
      <c r="MS1" s="120" t="s">
        <v>369</v>
      </c>
      <c r="MT1" s="120" t="s">
        <v>370</v>
      </c>
      <c r="MU1" s="120" t="s">
        <v>371</v>
      </c>
      <c r="MV1" s="120" t="s">
        <v>372</v>
      </c>
      <c r="MW1" s="120" t="s">
        <v>373</v>
      </c>
      <c r="MX1" s="120" t="s">
        <v>374</v>
      </c>
      <c r="MY1" s="120" t="s">
        <v>375</v>
      </c>
      <c r="MZ1" s="120" t="s">
        <v>376</v>
      </c>
      <c r="NA1" s="120" t="s">
        <v>377</v>
      </c>
      <c r="NB1" s="120" t="s">
        <v>378</v>
      </c>
      <c r="NC1" s="162" t="s">
        <v>379</v>
      </c>
      <c r="ND1" s="162" t="s">
        <v>380</v>
      </c>
      <c r="NE1" s="120" t="s">
        <v>381</v>
      </c>
      <c r="NF1" s="120" t="s">
        <v>382</v>
      </c>
      <c r="NG1" s="120" t="s">
        <v>383</v>
      </c>
      <c r="NH1" s="120" t="s">
        <v>384</v>
      </c>
      <c r="NI1" s="120" t="s">
        <v>385</v>
      </c>
      <c r="NJ1" s="120" t="s">
        <v>386</v>
      </c>
      <c r="NK1" s="120" t="s">
        <v>387</v>
      </c>
      <c r="NL1" s="120" t="s">
        <v>388</v>
      </c>
      <c r="NM1" s="120" t="s">
        <v>389</v>
      </c>
      <c r="NN1" s="120" t="s">
        <v>390</v>
      </c>
      <c r="NO1" s="120" t="s">
        <v>391</v>
      </c>
      <c r="NP1" s="120" t="s">
        <v>392</v>
      </c>
      <c r="NQ1" s="120" t="s">
        <v>393</v>
      </c>
      <c r="NR1" s="120" t="s">
        <v>394</v>
      </c>
      <c r="NS1" s="120" t="s">
        <v>395</v>
      </c>
      <c r="NT1" s="120" t="s">
        <v>396</v>
      </c>
      <c r="NU1" s="120" t="s">
        <v>397</v>
      </c>
      <c r="NV1" s="120" t="s">
        <v>398</v>
      </c>
      <c r="NW1" s="120" t="s">
        <v>399</v>
      </c>
      <c r="NX1" s="120" t="s">
        <v>400</v>
      </c>
      <c r="NY1" s="120" t="s">
        <v>401</v>
      </c>
      <c r="NZ1" s="120" t="s">
        <v>402</v>
      </c>
      <c r="OA1" s="166" t="s">
        <v>403</v>
      </c>
      <c r="OB1" s="188" t="s">
        <v>404</v>
      </c>
      <c r="OC1" s="121" t="s">
        <v>405</v>
      </c>
      <c r="OD1" s="120" t="s">
        <v>406</v>
      </c>
      <c r="OE1" s="120" t="s">
        <v>407</v>
      </c>
      <c r="OF1" s="120" t="s">
        <v>408</v>
      </c>
      <c r="OG1" s="120" t="s">
        <v>409</v>
      </c>
      <c r="OH1" s="120" t="s">
        <v>410</v>
      </c>
      <c r="OI1" s="120" t="s">
        <v>411</v>
      </c>
      <c r="OJ1" s="120" t="s">
        <v>412</v>
      </c>
      <c r="OK1" s="120" t="s">
        <v>413</v>
      </c>
      <c r="OL1" s="120" t="s">
        <v>414</v>
      </c>
      <c r="OM1" s="120" t="s">
        <v>415</v>
      </c>
      <c r="ON1" s="120" t="s">
        <v>416</v>
      </c>
      <c r="OO1" s="120" t="s">
        <v>417</v>
      </c>
      <c r="OP1" s="120" t="s">
        <v>418</v>
      </c>
      <c r="OQ1" s="120" t="s">
        <v>419</v>
      </c>
      <c r="OR1" s="120" t="s">
        <v>420</v>
      </c>
      <c r="OS1" s="120" t="s">
        <v>421</v>
      </c>
      <c r="OT1" s="120" t="s">
        <v>422</v>
      </c>
      <c r="OU1" s="120" t="s">
        <v>423</v>
      </c>
      <c r="OV1" s="120" t="s">
        <v>424</v>
      </c>
      <c r="OW1" s="120" t="s">
        <v>425</v>
      </c>
      <c r="OX1" s="120" t="s">
        <v>426</v>
      </c>
      <c r="OY1" s="120" t="s">
        <v>427</v>
      </c>
      <c r="OZ1" s="120" t="s">
        <v>428</v>
      </c>
      <c r="PA1" s="120" t="s">
        <v>429</v>
      </c>
      <c r="PB1" s="120" t="s">
        <v>430</v>
      </c>
      <c r="PC1" s="120" t="s">
        <v>431</v>
      </c>
      <c r="PD1" s="120" t="s">
        <v>432</v>
      </c>
      <c r="PE1" s="120" t="s">
        <v>433</v>
      </c>
      <c r="PF1" s="120" t="s">
        <v>434</v>
      </c>
      <c r="PG1" s="162" t="s">
        <v>435</v>
      </c>
      <c r="PH1" s="162" t="s">
        <v>436</v>
      </c>
      <c r="PI1" s="120" t="s">
        <v>437</v>
      </c>
      <c r="PJ1" s="120" t="s">
        <v>438</v>
      </c>
      <c r="PK1" s="189" t="s">
        <v>439</v>
      </c>
      <c r="PL1" s="189" t="s">
        <v>440</v>
      </c>
      <c r="PM1" s="120" t="s">
        <v>441</v>
      </c>
      <c r="PN1" s="120" t="s">
        <v>442</v>
      </c>
      <c r="PO1" s="120" t="s">
        <v>443</v>
      </c>
      <c r="PP1" s="120" t="s">
        <v>444</v>
      </c>
      <c r="PQ1" s="120" t="s">
        <v>445</v>
      </c>
      <c r="PR1" s="120" t="s">
        <v>446</v>
      </c>
      <c r="PS1" s="120" t="s">
        <v>447</v>
      </c>
      <c r="PT1" s="120" t="s">
        <v>448</v>
      </c>
      <c r="PU1" s="120" t="s">
        <v>449</v>
      </c>
      <c r="PV1" s="120" t="s">
        <v>450</v>
      </c>
      <c r="PW1" s="120" t="s">
        <v>451</v>
      </c>
      <c r="PX1" s="120" t="s">
        <v>452</v>
      </c>
      <c r="PY1" s="120" t="s">
        <v>453</v>
      </c>
      <c r="PZ1" s="120" t="s">
        <v>454</v>
      </c>
      <c r="QA1" s="120" t="s">
        <v>455</v>
      </c>
      <c r="QB1" s="120" t="s">
        <v>456</v>
      </c>
      <c r="QC1" s="120" t="s">
        <v>457</v>
      </c>
      <c r="QD1" s="120" t="s">
        <v>458</v>
      </c>
      <c r="QE1" s="166" t="s">
        <v>459</v>
      </c>
      <c r="QF1" s="190" t="s">
        <v>460</v>
      </c>
      <c r="QG1" s="191" t="s">
        <v>461</v>
      </c>
      <c r="QH1" s="163" t="s">
        <v>462</v>
      </c>
      <c r="QI1" s="163" t="s">
        <v>463</v>
      </c>
      <c r="QJ1" s="163" t="s">
        <v>464</v>
      </c>
      <c r="QK1" s="163" t="s">
        <v>465</v>
      </c>
      <c r="QL1" s="163" t="s">
        <v>466</v>
      </c>
      <c r="QM1" s="163" t="s">
        <v>467</v>
      </c>
      <c r="QN1" s="163" t="s">
        <v>468</v>
      </c>
      <c r="QO1" s="163" t="s">
        <v>469</v>
      </c>
      <c r="QP1" s="163" t="s">
        <v>470</v>
      </c>
      <c r="QQ1" s="163" t="s">
        <v>471</v>
      </c>
      <c r="QR1" s="163" t="s">
        <v>472</v>
      </c>
      <c r="QS1" s="163" t="s">
        <v>473</v>
      </c>
      <c r="QT1" s="163" t="s">
        <v>474</v>
      </c>
      <c r="QU1" s="163" t="s">
        <v>475</v>
      </c>
      <c r="QV1" s="163" t="s">
        <v>476</v>
      </c>
      <c r="QW1" s="163" t="s">
        <v>477</v>
      </c>
      <c r="QX1" s="163" t="s">
        <v>478</v>
      </c>
      <c r="QY1" s="163" t="s">
        <v>479</v>
      </c>
      <c r="QZ1" s="163" t="s">
        <v>480</v>
      </c>
      <c r="RA1" s="163" t="s">
        <v>481</v>
      </c>
      <c r="RB1" s="163" t="s">
        <v>482</v>
      </c>
      <c r="RC1" s="184" t="s">
        <v>483</v>
      </c>
      <c r="RD1" s="184" t="s">
        <v>484</v>
      </c>
      <c r="RE1" s="163" t="s">
        <v>485</v>
      </c>
      <c r="RF1" s="163" t="s">
        <v>486</v>
      </c>
      <c r="RG1" s="164" t="s">
        <v>487</v>
      </c>
      <c r="RH1" s="163" t="s">
        <v>488</v>
      </c>
      <c r="RI1" s="163" t="s">
        <v>489</v>
      </c>
      <c r="RJ1" s="163" t="s">
        <v>490</v>
      </c>
      <c r="RK1" s="163" t="s">
        <v>491</v>
      </c>
      <c r="RL1" s="163" t="s">
        <v>492</v>
      </c>
      <c r="RM1" s="163" t="s">
        <v>493</v>
      </c>
      <c r="RN1" s="163" t="s">
        <v>494</v>
      </c>
      <c r="RO1" s="163" t="s">
        <v>495</v>
      </c>
      <c r="RP1" s="163" t="s">
        <v>496</v>
      </c>
      <c r="RQ1" s="163" t="s">
        <v>497</v>
      </c>
      <c r="RR1" s="163" t="s">
        <v>498</v>
      </c>
      <c r="RS1" s="163" t="s">
        <v>499</v>
      </c>
      <c r="RT1" s="163" t="s">
        <v>500</v>
      </c>
      <c r="RU1" s="163" t="s">
        <v>501</v>
      </c>
      <c r="RV1" s="163" t="s">
        <v>502</v>
      </c>
      <c r="RW1" s="163" t="s">
        <v>503</v>
      </c>
      <c r="RX1" s="163" t="s">
        <v>504</v>
      </c>
      <c r="RY1" s="163" t="s">
        <v>505</v>
      </c>
      <c r="RZ1" s="169" t="s">
        <v>506</v>
      </c>
      <c r="SA1" s="190" t="s">
        <v>507</v>
      </c>
      <c r="SB1" s="191" t="s">
        <v>508</v>
      </c>
      <c r="SC1" s="163" t="s">
        <v>509</v>
      </c>
      <c r="SD1" s="163" t="s">
        <v>510</v>
      </c>
      <c r="SE1" s="163" t="s">
        <v>511</v>
      </c>
      <c r="SF1" s="163" t="s">
        <v>512</v>
      </c>
      <c r="SG1" s="163" t="s">
        <v>513</v>
      </c>
      <c r="SH1" s="163" t="s">
        <v>514</v>
      </c>
      <c r="SI1" s="163" t="s">
        <v>515</v>
      </c>
      <c r="SJ1" s="163" t="s">
        <v>516</v>
      </c>
      <c r="SK1" s="163" t="s">
        <v>517</v>
      </c>
      <c r="SL1" s="163" t="s">
        <v>518</v>
      </c>
      <c r="SM1" s="163" t="s">
        <v>519</v>
      </c>
      <c r="SN1" s="163" t="s">
        <v>520</v>
      </c>
      <c r="SO1" s="163" t="s">
        <v>521</v>
      </c>
      <c r="SP1" s="163" t="s">
        <v>522</v>
      </c>
      <c r="SQ1" s="163" t="s">
        <v>523</v>
      </c>
      <c r="SR1" s="163" t="s">
        <v>524</v>
      </c>
      <c r="SS1" s="163" t="s">
        <v>525</v>
      </c>
      <c r="ST1" s="163" t="s">
        <v>526</v>
      </c>
      <c r="SU1" s="163" t="s">
        <v>527</v>
      </c>
      <c r="SV1" s="163" t="s">
        <v>528</v>
      </c>
      <c r="SW1" s="163" t="s">
        <v>529</v>
      </c>
      <c r="SX1" s="184" t="s">
        <v>530</v>
      </c>
      <c r="SY1" s="184" t="s">
        <v>531</v>
      </c>
      <c r="SZ1" s="163" t="s">
        <v>532</v>
      </c>
      <c r="TA1" s="163" t="s">
        <v>533</v>
      </c>
      <c r="TB1" s="164" t="s">
        <v>534</v>
      </c>
      <c r="TC1" s="163" t="s">
        <v>535</v>
      </c>
      <c r="TD1" s="163" t="s">
        <v>536</v>
      </c>
      <c r="TE1" s="163" t="s">
        <v>537</v>
      </c>
      <c r="TF1" s="163" t="s">
        <v>538</v>
      </c>
      <c r="TG1" s="163" t="s">
        <v>539</v>
      </c>
      <c r="TH1" s="163" t="s">
        <v>540</v>
      </c>
      <c r="TI1" s="163" t="s">
        <v>541</v>
      </c>
      <c r="TJ1" s="163" t="s">
        <v>542</v>
      </c>
      <c r="TK1" s="163" t="s">
        <v>543</v>
      </c>
      <c r="TL1" s="163" t="s">
        <v>544</v>
      </c>
      <c r="TM1" s="163" t="s">
        <v>545</v>
      </c>
      <c r="TN1" s="163" t="s">
        <v>546</v>
      </c>
      <c r="TO1" s="163" t="s">
        <v>547</v>
      </c>
      <c r="TP1" s="163" t="s">
        <v>548</v>
      </c>
      <c r="TQ1" s="163" t="s">
        <v>549</v>
      </c>
      <c r="TR1" s="163" t="s">
        <v>550</v>
      </c>
      <c r="TS1" s="163" t="s">
        <v>551</v>
      </c>
      <c r="TT1" s="163" t="s">
        <v>552</v>
      </c>
      <c r="TU1" s="169" t="s">
        <v>553</v>
      </c>
      <c r="TV1" s="188" t="s">
        <v>554</v>
      </c>
      <c r="TW1" s="121" t="s">
        <v>555</v>
      </c>
      <c r="TX1" s="120" t="s">
        <v>556</v>
      </c>
      <c r="TY1" s="120" t="s">
        <v>557</v>
      </c>
      <c r="TZ1" s="120" t="s">
        <v>558</v>
      </c>
      <c r="UA1" s="120" t="s">
        <v>559</v>
      </c>
      <c r="UB1" s="120" t="s">
        <v>560</v>
      </c>
      <c r="UC1" s="120" t="s">
        <v>561</v>
      </c>
      <c r="UD1" s="120" t="s">
        <v>562</v>
      </c>
      <c r="UE1" s="120" t="s">
        <v>563</v>
      </c>
      <c r="UF1" s="120" t="s">
        <v>564</v>
      </c>
      <c r="UG1" s="120" t="s">
        <v>565</v>
      </c>
      <c r="UH1" s="120" t="s">
        <v>566</v>
      </c>
      <c r="UI1" s="120" t="s">
        <v>567</v>
      </c>
      <c r="UJ1" s="120" t="s">
        <v>568</v>
      </c>
      <c r="UK1" s="162" t="s">
        <v>569</v>
      </c>
      <c r="UL1" s="162" t="s">
        <v>570</v>
      </c>
      <c r="UM1" s="120" t="s">
        <v>571</v>
      </c>
      <c r="UN1" s="120" t="s">
        <v>572</v>
      </c>
      <c r="UO1" s="189" t="s">
        <v>573</v>
      </c>
      <c r="UP1" s="120" t="s">
        <v>574</v>
      </c>
      <c r="UQ1" s="120" t="s">
        <v>575</v>
      </c>
      <c r="UR1" s="120" t="s">
        <v>576</v>
      </c>
      <c r="US1" s="120" t="s">
        <v>577</v>
      </c>
      <c r="UT1" s="120" t="s">
        <v>578</v>
      </c>
      <c r="UU1" s="120" t="s">
        <v>579</v>
      </c>
      <c r="UV1" s="120" t="s">
        <v>580</v>
      </c>
      <c r="UW1" s="120" t="s">
        <v>581</v>
      </c>
      <c r="UX1" s="120" t="s">
        <v>582</v>
      </c>
      <c r="UY1" s="120" t="s">
        <v>583</v>
      </c>
      <c r="UZ1" s="120" t="s">
        <v>584</v>
      </c>
      <c r="VA1" s="166" t="s">
        <v>585</v>
      </c>
      <c r="VB1" s="191" t="s">
        <v>586</v>
      </c>
      <c r="VC1" s="163" t="s">
        <v>587</v>
      </c>
      <c r="VD1" s="163" t="s">
        <v>588</v>
      </c>
      <c r="VE1" s="163" t="s">
        <v>589</v>
      </c>
      <c r="VF1" s="163" t="s">
        <v>590</v>
      </c>
      <c r="VG1" s="163" t="s">
        <v>591</v>
      </c>
      <c r="VH1" s="163" t="s">
        <v>592</v>
      </c>
      <c r="VI1" s="163" t="s">
        <v>593</v>
      </c>
      <c r="VJ1" s="163" t="s">
        <v>594</v>
      </c>
      <c r="VK1" s="163" t="s">
        <v>595</v>
      </c>
      <c r="VL1" s="163" t="s">
        <v>596</v>
      </c>
      <c r="VM1" s="163" t="s">
        <v>597</v>
      </c>
      <c r="VN1" s="163" t="s">
        <v>598</v>
      </c>
      <c r="VO1" s="163" t="s">
        <v>599</v>
      </c>
      <c r="VP1" s="184" t="s">
        <v>600</v>
      </c>
      <c r="VQ1" s="184" t="s">
        <v>601</v>
      </c>
      <c r="VR1" s="163" t="s">
        <v>602</v>
      </c>
      <c r="VS1" s="163" t="s">
        <v>603</v>
      </c>
      <c r="VT1" s="164" t="s">
        <v>604</v>
      </c>
      <c r="VU1" s="163" t="s">
        <v>605</v>
      </c>
      <c r="VV1" s="163" t="s">
        <v>606</v>
      </c>
      <c r="VW1" s="163" t="s">
        <v>607</v>
      </c>
      <c r="VX1" s="163" t="s">
        <v>608</v>
      </c>
      <c r="VY1" s="163" t="s">
        <v>609</v>
      </c>
      <c r="VZ1" s="163" t="s">
        <v>610</v>
      </c>
      <c r="WA1" s="163" t="s">
        <v>611</v>
      </c>
      <c r="WB1" s="163" t="s">
        <v>612</v>
      </c>
      <c r="WC1" s="163" t="s">
        <v>613</v>
      </c>
      <c r="WD1" s="163" t="s">
        <v>614</v>
      </c>
      <c r="WE1" s="163" t="s">
        <v>615</v>
      </c>
      <c r="WF1" s="169" t="s">
        <v>616</v>
      </c>
      <c r="WG1" s="191" t="s">
        <v>617</v>
      </c>
      <c r="WH1" s="163" t="s">
        <v>618</v>
      </c>
      <c r="WI1" s="163" t="s">
        <v>619</v>
      </c>
      <c r="WJ1" s="163" t="s">
        <v>620</v>
      </c>
      <c r="WK1" s="163" t="s">
        <v>621</v>
      </c>
      <c r="WL1" s="163" t="s">
        <v>622</v>
      </c>
      <c r="WM1" s="163" t="s">
        <v>623</v>
      </c>
      <c r="WN1" s="163" t="s">
        <v>624</v>
      </c>
      <c r="WO1" s="163" t="s">
        <v>625</v>
      </c>
      <c r="WP1" s="163" t="s">
        <v>626</v>
      </c>
      <c r="WQ1" s="163" t="s">
        <v>627</v>
      </c>
      <c r="WR1" s="163" t="s">
        <v>628</v>
      </c>
      <c r="WS1" s="163" t="s">
        <v>629</v>
      </c>
      <c r="WT1" s="163" t="s">
        <v>630</v>
      </c>
      <c r="WU1" s="184" t="s">
        <v>631</v>
      </c>
      <c r="WV1" s="184" t="s">
        <v>632</v>
      </c>
      <c r="WW1" s="163" t="s">
        <v>633</v>
      </c>
      <c r="WX1" s="163" t="s">
        <v>634</v>
      </c>
      <c r="WY1" s="164" t="s">
        <v>635</v>
      </c>
      <c r="WZ1" s="163" t="s">
        <v>636</v>
      </c>
      <c r="XA1" s="163" t="s">
        <v>637</v>
      </c>
      <c r="XB1" s="163" t="s">
        <v>638</v>
      </c>
      <c r="XC1" s="163" t="s">
        <v>639</v>
      </c>
      <c r="XD1" s="163" t="s">
        <v>640</v>
      </c>
      <c r="XE1" s="163" t="s">
        <v>641</v>
      </c>
      <c r="XF1" s="163" t="s">
        <v>642</v>
      </c>
      <c r="XG1" s="163" t="s">
        <v>643</v>
      </c>
      <c r="XH1" s="163" t="s">
        <v>644</v>
      </c>
      <c r="XI1" s="163" t="s">
        <v>645</v>
      </c>
      <c r="XJ1" s="163" t="s">
        <v>646</v>
      </c>
      <c r="XK1" s="169" t="s">
        <v>647</v>
      </c>
      <c r="XL1" s="191" t="s">
        <v>648</v>
      </c>
      <c r="XM1" s="163" t="s">
        <v>649</v>
      </c>
      <c r="XN1" s="163" t="s">
        <v>650</v>
      </c>
      <c r="XO1" s="163" t="s">
        <v>651</v>
      </c>
      <c r="XP1" s="163" t="s">
        <v>652</v>
      </c>
      <c r="XQ1" s="163" t="s">
        <v>653</v>
      </c>
      <c r="XR1" s="163" t="s">
        <v>654</v>
      </c>
      <c r="XS1" s="163" t="s">
        <v>655</v>
      </c>
      <c r="XT1" s="163" t="s">
        <v>656</v>
      </c>
      <c r="XU1" s="163" t="s">
        <v>657</v>
      </c>
      <c r="XV1" s="163" t="s">
        <v>658</v>
      </c>
      <c r="XW1" s="163" t="s">
        <v>659</v>
      </c>
      <c r="XX1" s="163" t="s">
        <v>660</v>
      </c>
      <c r="XY1" s="163" t="s">
        <v>661</v>
      </c>
      <c r="XZ1" s="184" t="s">
        <v>662</v>
      </c>
      <c r="YA1" s="184" t="s">
        <v>663</v>
      </c>
      <c r="YB1" s="163" t="s">
        <v>664</v>
      </c>
      <c r="YC1" s="163" t="s">
        <v>665</v>
      </c>
      <c r="YD1" s="164" t="s">
        <v>666</v>
      </c>
      <c r="YE1" s="163" t="s">
        <v>667</v>
      </c>
      <c r="YF1" s="163" t="s">
        <v>668</v>
      </c>
      <c r="YG1" s="163" t="s">
        <v>669</v>
      </c>
      <c r="YH1" s="163" t="s">
        <v>670</v>
      </c>
      <c r="YI1" s="163" t="s">
        <v>671</v>
      </c>
      <c r="YJ1" s="163" t="s">
        <v>672</v>
      </c>
      <c r="YK1" s="163" t="s">
        <v>673</v>
      </c>
      <c r="YL1" s="163" t="s">
        <v>674</v>
      </c>
      <c r="YM1" s="163" t="s">
        <v>675</v>
      </c>
      <c r="YN1" s="163" t="s">
        <v>676</v>
      </c>
      <c r="YO1" s="163" t="s">
        <v>677</v>
      </c>
      <c r="YP1" s="163" t="s">
        <v>678</v>
      </c>
      <c r="YQ1" s="192" t="s">
        <v>679</v>
      </c>
      <c r="YR1" s="192" t="s">
        <v>680</v>
      </c>
      <c r="YS1" s="192" t="s">
        <v>681</v>
      </c>
      <c r="YT1" s="192" t="s">
        <v>682</v>
      </c>
      <c r="YU1" s="192" t="s">
        <v>683</v>
      </c>
      <c r="YV1" s="192" t="s">
        <v>684</v>
      </c>
      <c r="YW1" s="192" t="s">
        <v>685</v>
      </c>
      <c r="YX1" s="192" t="s">
        <v>686</v>
      </c>
      <c r="YY1" s="192" t="s">
        <v>687</v>
      </c>
      <c r="YZ1" s="192" t="s">
        <v>688</v>
      </c>
      <c r="ZA1" s="192" t="s">
        <v>689</v>
      </c>
      <c r="ZB1" s="192" t="s">
        <v>690</v>
      </c>
      <c r="ZC1" s="192" t="s">
        <v>691</v>
      </c>
      <c r="ZD1" s="192" t="s">
        <v>692</v>
      </c>
      <c r="ZE1" s="192" t="s">
        <v>693</v>
      </c>
      <c r="ZF1" s="192" t="s">
        <v>694</v>
      </c>
      <c r="ZG1" s="192" t="s">
        <v>695</v>
      </c>
      <c r="ZH1" s="192" t="s">
        <v>696</v>
      </c>
      <c r="ZI1" s="192" t="s">
        <v>697</v>
      </c>
      <c r="ZJ1" s="192" t="s">
        <v>698</v>
      </c>
      <c r="ZK1" s="192" t="s">
        <v>699</v>
      </c>
      <c r="ZL1" s="192" t="s">
        <v>700</v>
      </c>
      <c r="ZM1" s="192" t="s">
        <v>701</v>
      </c>
      <c r="ZN1" s="192" t="s">
        <v>702</v>
      </c>
      <c r="ZO1" s="192" t="s">
        <v>703</v>
      </c>
      <c r="ZP1" s="192" t="s">
        <v>704</v>
      </c>
      <c r="ZQ1" s="192" t="s">
        <v>705</v>
      </c>
      <c r="ZR1" s="192" t="s">
        <v>706</v>
      </c>
      <c r="ZS1" s="192" t="s">
        <v>707</v>
      </c>
      <c r="ZT1" s="192" t="s">
        <v>708</v>
      </c>
      <c r="ZU1" s="192" t="s">
        <v>709</v>
      </c>
      <c r="ZV1" s="192" t="s">
        <v>710</v>
      </c>
      <c r="ZW1" s="123" t="s">
        <v>711</v>
      </c>
      <c r="ZX1" s="123" t="s">
        <v>713</v>
      </c>
      <c r="ZY1" s="123" t="s">
        <v>714</v>
      </c>
      <c r="ZZ1" s="123" t="s">
        <v>715</v>
      </c>
      <c r="AAA1" s="123" t="s">
        <v>716</v>
      </c>
      <c r="AAB1" s="123" t="s">
        <v>718</v>
      </c>
      <c r="AAC1" s="123" t="s">
        <v>720</v>
      </c>
      <c r="AAD1" s="126" t="s">
        <v>721</v>
      </c>
      <c r="AAE1" s="126" t="s">
        <v>722</v>
      </c>
      <c r="AAF1" s="126" t="s">
        <v>723</v>
      </c>
      <c r="AAG1" s="126" t="s">
        <v>724</v>
      </c>
      <c r="AAH1" s="123" t="s">
        <v>725</v>
      </c>
      <c r="AAI1" s="193" t="s">
        <v>726</v>
      </c>
      <c r="AAJ1" s="193" t="s">
        <v>727</v>
      </c>
      <c r="AAK1" s="193" t="s">
        <v>728</v>
      </c>
      <c r="AAL1" s="193" t="s">
        <v>729</v>
      </c>
      <c r="AAM1" s="194" t="s">
        <v>730</v>
      </c>
      <c r="AAN1" s="194" t="s">
        <v>731</v>
      </c>
      <c r="AAO1" s="195" t="s">
        <v>732</v>
      </c>
      <c r="AAP1" s="195" t="s">
        <v>733</v>
      </c>
      <c r="AAQ1" s="194" t="s">
        <v>734</v>
      </c>
      <c r="AAR1" s="194" t="s">
        <v>735</v>
      </c>
      <c r="AAS1" s="195" t="s">
        <v>736</v>
      </c>
      <c r="AAT1" s="194" t="s">
        <v>737</v>
      </c>
      <c r="AAU1" s="195" t="s">
        <v>738</v>
      </c>
      <c r="AAV1" s="194" t="s">
        <v>739</v>
      </c>
      <c r="AAW1" s="196" t="s">
        <v>740</v>
      </c>
      <c r="AAX1" s="196" t="s">
        <v>741</v>
      </c>
      <c r="AAY1" s="196" t="s">
        <v>742</v>
      </c>
      <c r="AAZ1" s="196" t="s">
        <v>743</v>
      </c>
      <c r="ABA1" s="196" t="s">
        <v>744</v>
      </c>
      <c r="ABB1" s="196" t="s">
        <v>745</v>
      </c>
      <c r="ABC1" s="196" t="s">
        <v>746</v>
      </c>
      <c r="ABD1" s="196" t="s">
        <v>747</v>
      </c>
      <c r="ABE1" s="196" t="s">
        <v>748</v>
      </c>
      <c r="ABF1" s="197" t="s">
        <v>749</v>
      </c>
      <c r="ABG1" s="197" t="s">
        <v>750</v>
      </c>
      <c r="ABH1" s="196" t="s">
        <v>751</v>
      </c>
      <c r="ABI1" s="198" t="s">
        <v>752</v>
      </c>
      <c r="ABJ1" s="199" t="s">
        <v>753</v>
      </c>
      <c r="ABK1" s="200" t="s">
        <v>754</v>
      </c>
      <c r="ABL1" s="201" t="s">
        <v>755</v>
      </c>
      <c r="ABM1" s="201" t="s">
        <v>756</v>
      </c>
      <c r="ABN1" s="200" t="s">
        <v>757</v>
      </c>
      <c r="ABO1" s="200" t="s">
        <v>758</v>
      </c>
      <c r="ABP1" s="200" t="s">
        <v>759</v>
      </c>
      <c r="ABQ1" s="200" t="s">
        <v>760</v>
      </c>
      <c r="ABR1" s="202" t="s">
        <v>761</v>
      </c>
      <c r="ABS1" s="202" t="s">
        <v>762</v>
      </c>
      <c r="ABT1" s="286" t="s">
        <v>763</v>
      </c>
      <c r="ABU1" s="304" t="s">
        <v>764</v>
      </c>
      <c r="ABV1" s="286" t="s">
        <v>765</v>
      </c>
    </row>
    <row r="2" spans="1:750" s="234" customFormat="1" ht="50.25" customHeight="1">
      <c r="A2" s="203"/>
      <c r="B2" s="204"/>
      <c r="C2" s="203"/>
      <c r="D2" s="203"/>
      <c r="E2" s="205"/>
      <c r="F2" s="203" t="s">
        <v>1336</v>
      </c>
      <c r="G2" s="203" t="s">
        <v>1337</v>
      </c>
      <c r="H2" s="203" t="s">
        <v>8</v>
      </c>
      <c r="I2" s="203" t="s">
        <v>1338</v>
      </c>
      <c r="J2" s="203" t="s">
        <v>1339</v>
      </c>
      <c r="K2" s="205" t="s">
        <v>1340</v>
      </c>
      <c r="L2" s="205" t="s">
        <v>1338</v>
      </c>
      <c r="M2" s="203"/>
      <c r="N2" s="203"/>
      <c r="O2" s="203"/>
      <c r="P2" s="203" t="s">
        <v>1341</v>
      </c>
      <c r="Q2" s="203"/>
      <c r="R2" s="203" t="s">
        <v>1342</v>
      </c>
      <c r="S2" s="203" t="s">
        <v>1343</v>
      </c>
      <c r="T2" s="203" t="str">
        <f>IF(M2="24 months", "X", " ")</f>
        <v xml:space="preserve"> </v>
      </c>
      <c r="U2" s="203" t="str">
        <f>IF(M2="12 months", "X", " ")</f>
        <v xml:space="preserve"> </v>
      </c>
      <c r="V2" s="203" t="s">
        <v>1344</v>
      </c>
      <c r="W2" s="203" t="s">
        <v>1345</v>
      </c>
      <c r="X2" s="203" t="s">
        <v>1346</v>
      </c>
      <c r="Y2" s="203" t="s">
        <v>1347</v>
      </c>
      <c r="Z2" s="203" t="str">
        <f>IF(M2="12 months", "X", " ")</f>
        <v xml:space="preserve"> </v>
      </c>
      <c r="AA2" s="206" t="s">
        <v>1348</v>
      </c>
      <c r="AB2" s="203" t="str">
        <f t="shared" ref="AB2:AB8" si="0">IF(NOT(OR(S2="12 months", S2="24 months")), "X", " ")</f>
        <v>X</v>
      </c>
      <c r="AC2" s="203" t="str">
        <f>IF('Payment Channels'!$N$4=0,"",'Payment Channels'!$N$4)</f>
        <v/>
      </c>
      <c r="AD2" s="203" t="str">
        <f>IF('Payment Channels'!$N$5=0,"",'Payment Channels'!$N$5)</f>
        <v/>
      </c>
      <c r="AE2" s="203" t="str">
        <f>IF('Payment Channels'!$N$6=0,"",'Payment Channels'!$N$6)</f>
        <v/>
      </c>
      <c r="AF2" s="203" t="str">
        <f>IF('Payment Channels'!$N$7=0,"",'Payment Channels'!$N$7)</f>
        <v/>
      </c>
      <c r="AG2" s="203" t="s">
        <v>34</v>
      </c>
      <c r="AH2" s="207" t="s">
        <v>1349</v>
      </c>
      <c r="AI2" s="208" t="s">
        <v>1350</v>
      </c>
      <c r="AJ2" s="207" t="s">
        <v>1351</v>
      </c>
      <c r="AK2" s="207" t="s">
        <v>1352</v>
      </c>
      <c r="AL2" s="208" t="s">
        <v>1353</v>
      </c>
      <c r="AM2" s="208" t="s">
        <v>1354</v>
      </c>
      <c r="AN2" s="203"/>
      <c r="AO2" s="208" t="s">
        <v>1355</v>
      </c>
      <c r="AP2" s="203"/>
      <c r="AQ2" s="203"/>
      <c r="AR2" s="203"/>
      <c r="AS2" s="203"/>
      <c r="AT2" s="203"/>
      <c r="AU2" s="208" t="str">
        <f>IF('Application Merchant'!B49=0,"",'Application Merchant'!B49)</f>
        <v>S8A  G/F  BAUHINIA GARDEN  11 TONG CHUN ST  Tseung Kwan O  New Territories</v>
      </c>
      <c r="AV2" s="208" t="s">
        <v>1356</v>
      </c>
      <c r="AW2" s="208" t="s">
        <v>1357</v>
      </c>
      <c r="AX2" s="208" t="s">
        <v>1358</v>
      </c>
      <c r="AY2" s="208" t="s">
        <v>275</v>
      </c>
      <c r="AZ2" s="208" t="s">
        <v>1359</v>
      </c>
      <c r="BA2" s="208" t="s">
        <v>1360</v>
      </c>
      <c r="BB2" s="208" t="s">
        <v>1361</v>
      </c>
      <c r="BC2" s="209" t="s">
        <v>1362</v>
      </c>
      <c r="BD2" s="209" t="s">
        <v>1362</v>
      </c>
      <c r="BE2" s="209" t="s">
        <v>1362</v>
      </c>
      <c r="BF2" s="209" t="s">
        <v>1362</v>
      </c>
      <c r="BG2" s="209" t="s">
        <v>1363</v>
      </c>
      <c r="BH2" s="209" t="s">
        <v>1363</v>
      </c>
      <c r="BI2" s="209" t="s">
        <v>1363</v>
      </c>
      <c r="BJ2" s="209" t="s">
        <v>1363</v>
      </c>
      <c r="BK2" s="203" t="str">
        <f t="shared" ref="BK2:BK8" si="1">IF(NOT(OR(BB2="12 months", BB2="24 months")), "X", " ")</f>
        <v>X</v>
      </c>
      <c r="BL2" s="203" t="str">
        <f t="shared" ref="BL2:BL8" si="2">IF(NOT(OR(BC2="12 months", BC2="24 months")), "X", " ")</f>
        <v>X</v>
      </c>
      <c r="BM2" s="203" t="str">
        <f t="shared" ref="BM2:BM8" si="3">IF(NOT(OR(BD2="12 months", BD2="24 months")), "X", " ")</f>
        <v>X</v>
      </c>
      <c r="BN2" s="203" t="str">
        <f t="shared" ref="BN2:BN8" si="4">IF(NOT(OR(BE2="12 months", BE2="24 months")), "X", " ")</f>
        <v>X</v>
      </c>
      <c r="BO2" s="203" t="str">
        <f t="shared" ref="BO2:BO8" si="5">IF(NOT(OR(BF2="12 months", BF2="24 months")), "X", " ")</f>
        <v>X</v>
      </c>
      <c r="BP2" s="203" t="str">
        <f t="shared" ref="BP2:BP8" si="6">IF(NOT(OR(BG2="12 months", BG2="24 months")), "X", " ")</f>
        <v>X</v>
      </c>
      <c r="BQ2" s="203" t="str">
        <f t="shared" ref="BQ2:BQ8" si="7">IF(NOT(OR(BH2="12 months", BH2="24 months")), "X", " ")</f>
        <v>X</v>
      </c>
      <c r="BR2" s="203" t="str">
        <f t="shared" ref="BR2:BR8" si="8">IF(NOT(OR(BI2="12 months", BI2="24 months")), "X", " ")</f>
        <v>X</v>
      </c>
      <c r="BS2" s="203" t="str">
        <f t="shared" ref="BS2:BS8" si="9">IF(NOT(OR(BJ2="12 months", BJ2="24 months")), "X", " ")</f>
        <v>X</v>
      </c>
      <c r="BT2" s="203" t="str">
        <f t="shared" ref="BT2:BT8" si="10">IF(NOT(OR(BK2="12 months", BK2="24 months")), "X", " ")</f>
        <v>X</v>
      </c>
      <c r="BU2" s="203" t="str">
        <f t="shared" ref="BU2:BU8" si="11">IF(NOT(OR(BL2="12 months", BL2="24 months")), "X", " ")</f>
        <v>X</v>
      </c>
      <c r="BV2" s="203" t="str">
        <f t="shared" ref="BV2:BV8" si="12">IF(NOT(OR(BM2="12 months", BM2="24 months")), "X", " ")</f>
        <v>X</v>
      </c>
      <c r="BW2" s="203" t="str">
        <f t="shared" ref="BW2:BW8" si="13">IF(NOT(OR(BN2="12 months", BN2="24 months")), "X", " ")</f>
        <v>X</v>
      </c>
      <c r="BX2" s="203" t="str">
        <f t="shared" ref="BX2:BX8" si="14">IF(NOT(OR(BO2="12 months", BO2="24 months")), "X", " ")</f>
        <v>X</v>
      </c>
      <c r="BY2" s="208" t="s">
        <v>1364</v>
      </c>
      <c r="BZ2" s="208" t="s">
        <v>1365</v>
      </c>
      <c r="CA2" s="208" t="s">
        <v>1358</v>
      </c>
      <c r="CB2" s="203" t="str">
        <f t="shared" ref="CB2:CB8" si="15">IF(NOT(OR(BS2="12 months", BS2="24 months")), "X", " ")</f>
        <v>X</v>
      </c>
      <c r="CC2" s="203" t="str">
        <f>IF('Application Merchant'!F36=0,"",'Application Merchant'!F36)</f>
        <v/>
      </c>
      <c r="CD2" s="203"/>
      <c r="CE2" s="203" t="str">
        <f t="shared" ref="CE2:CE8" si="16">IF(NOT(OR(BV2="12 months", BV2="24 months")), "X", " ")</f>
        <v>X</v>
      </c>
      <c r="CF2" s="203" t="str">
        <f t="shared" ref="CF2:CF8" si="17">IF(NOT(OR(BW2="12 months", BW2="24 months")), "X", " ")</f>
        <v>X</v>
      </c>
      <c r="CG2" s="208" t="s">
        <v>777</v>
      </c>
      <c r="CH2" s="208" t="s">
        <v>1366</v>
      </c>
      <c r="CI2" s="210" t="str">
        <f t="shared" ref="CI2:CI8" si="18">IF(NOT(OR(BZ2="12 months", BZ2="24 months")), "X", " ")</f>
        <v>X</v>
      </c>
      <c r="CJ2" s="207" t="s">
        <v>1367</v>
      </c>
      <c r="CK2" s="203"/>
      <c r="CL2" s="203"/>
      <c r="CM2" s="203"/>
      <c r="CN2" s="203"/>
      <c r="CO2" s="207" t="s">
        <v>927</v>
      </c>
      <c r="CP2" s="207" t="str">
        <f>IF(Contacts!$B$4=0,"",Contacts!$B$4)</f>
        <v>HANDE</v>
      </c>
      <c r="CQ2" s="203"/>
      <c r="CR2" s="203" t="s">
        <v>1368</v>
      </c>
      <c r="CS2" s="207" t="s">
        <v>1369</v>
      </c>
      <c r="CT2" s="207" t="s">
        <v>1370</v>
      </c>
      <c r="CU2" s="207" t="s">
        <v>1371</v>
      </c>
      <c r="CV2" s="208" t="s">
        <v>1372</v>
      </c>
      <c r="CW2" s="203"/>
      <c r="CX2" s="203"/>
      <c r="CY2" s="203"/>
      <c r="CZ2" s="203"/>
      <c r="DA2" s="203" t="str">
        <f>Contacts!F2</f>
        <v>Miss</v>
      </c>
      <c r="DB2" s="203" t="str">
        <f>Contacts!F3</f>
        <v>CHEN</v>
      </c>
      <c r="DC2" s="203"/>
      <c r="DD2" s="208" t="s">
        <v>1119</v>
      </c>
      <c r="DE2" s="208" t="s">
        <v>1373</v>
      </c>
      <c r="DF2" s="208" t="s">
        <v>1374</v>
      </c>
      <c r="DG2" s="207" t="s">
        <v>1375</v>
      </c>
      <c r="DH2" s="203" t="str">
        <f>IF(DG2="Mr", "X", " ")</f>
        <v xml:space="preserve"> </v>
      </c>
      <c r="DI2" s="203" t="str">
        <f>IF(DG2="Mrs", "X", " ")</f>
        <v xml:space="preserve"> </v>
      </c>
      <c r="DJ2" s="203" t="str">
        <f>IF(DG2="Miss", "X", " ")</f>
        <v xml:space="preserve"> </v>
      </c>
      <c r="DK2" s="203" t="str">
        <f>IF(DG2="Ms", "X", " ")</f>
        <v xml:space="preserve"> </v>
      </c>
      <c r="DL2" s="203" t="str">
        <f t="shared" ref="DL2:DL8" si="19">IF(NOT(OR(DC2="12 months", DC2="24 months")), "X", " ")</f>
        <v>X</v>
      </c>
      <c r="DM2" s="203" t="str">
        <f t="shared" ref="DM2:DM8" si="20">IF(NOT(OR(DD2="12 months", DD2="24 months")), "X", " ")</f>
        <v>X</v>
      </c>
      <c r="DN2" s="203"/>
      <c r="DO2" s="207" t="s">
        <v>1369</v>
      </c>
      <c r="DP2" s="207" t="s">
        <v>1370</v>
      </c>
      <c r="DQ2" s="207" t="s">
        <v>1371</v>
      </c>
      <c r="DR2" s="207" t="s">
        <v>1376</v>
      </c>
      <c r="DS2" s="203" t="str">
        <f>IF(DR2="Mr", "X", " ")</f>
        <v xml:space="preserve"> </v>
      </c>
      <c r="DT2" s="203" t="str">
        <f>IF(DR2="Mrs", "X", " ")</f>
        <v xml:space="preserve"> </v>
      </c>
      <c r="DU2" s="203" t="str">
        <f>IF(DR2="Miss", "X", " ")</f>
        <v xml:space="preserve"> </v>
      </c>
      <c r="DV2" s="203" t="str">
        <f>IF(DR2="Ms", "X", " ")</f>
        <v xml:space="preserve"> </v>
      </c>
      <c r="DW2" s="203" t="str">
        <f t="shared" ref="DW2:DW8" si="21">IF(NOT(OR(DN2="12 months", DN2="24 months")), "X", " ")</f>
        <v>X</v>
      </c>
      <c r="DX2" s="203" t="str">
        <f t="shared" ref="DX2:DX8" si="22">IF(NOT(OR(DO2="12 months", DO2="24 months")), "X", " ")</f>
        <v>X</v>
      </c>
      <c r="DY2" s="203"/>
      <c r="DZ2" s="207" t="s">
        <v>1369</v>
      </c>
      <c r="EA2" s="207" t="s">
        <v>1370</v>
      </c>
      <c r="EB2" s="207" t="s">
        <v>1371</v>
      </c>
      <c r="EC2" s="208"/>
      <c r="ED2" s="208" t="s">
        <v>1377</v>
      </c>
      <c r="EE2" s="203"/>
      <c r="EF2" s="203"/>
      <c r="EG2" s="203"/>
      <c r="EH2" s="211" t="s">
        <v>1378</v>
      </c>
      <c r="EI2" s="212" t="s">
        <v>1379</v>
      </c>
      <c r="EJ2" s="211" t="s">
        <v>1380</v>
      </c>
      <c r="EK2" s="212" t="str">
        <f>IF($EI$3="&lt;$8,000","X","")</f>
        <v/>
      </c>
      <c r="EL2" s="212" t="str">
        <f>IF($EI$3="≥ $8,000","X","")</f>
        <v/>
      </c>
      <c r="EM2" s="211" t="s">
        <v>1381</v>
      </c>
      <c r="EN2" s="211" t="s">
        <v>1382</v>
      </c>
      <c r="EO2" s="211" t="s">
        <v>1383</v>
      </c>
      <c r="EP2" s="213" t="str">
        <f t="shared" ref="EP2:EP8" si="23">IF(NOT(OR(EG2="12 months", EG2="24 months")), "X", " ")</f>
        <v>X</v>
      </c>
      <c r="EQ2" s="213" t="str">
        <f t="shared" ref="EQ2:EQ8" si="24">IF(NOT(OR(EH2="12 months", EH2="24 months")), "X", " ")</f>
        <v>X</v>
      </c>
      <c r="ER2" s="213"/>
      <c r="ES2" s="213"/>
      <c r="ET2" s="214"/>
      <c r="EU2" s="214"/>
      <c r="EV2" s="214"/>
      <c r="EW2" s="215" t="s">
        <v>1384</v>
      </c>
      <c r="EX2" s="216"/>
      <c r="EY2" s="216"/>
      <c r="EZ2" s="217"/>
      <c r="FA2" s="217"/>
      <c r="FB2" s="217"/>
      <c r="FC2" s="217"/>
      <c r="FD2" s="217"/>
      <c r="FE2" s="291"/>
      <c r="FF2" s="218" t="s">
        <v>839</v>
      </c>
      <c r="FG2" s="203" t="s">
        <v>1385</v>
      </c>
      <c r="FH2" s="219" t="s">
        <v>931</v>
      </c>
      <c r="FI2" s="203" t="s">
        <v>1386</v>
      </c>
      <c r="FJ2" s="219" t="s">
        <v>963</v>
      </c>
      <c r="FK2" s="203"/>
      <c r="FL2" s="219"/>
      <c r="FM2" s="203"/>
      <c r="FN2" s="219"/>
      <c r="FO2" s="203" t="s">
        <v>1385</v>
      </c>
      <c r="FP2" s="219" t="s">
        <v>931</v>
      </c>
      <c r="FQ2" s="203" t="s">
        <v>1386</v>
      </c>
      <c r="FR2" s="219" t="s">
        <v>963</v>
      </c>
      <c r="FS2" s="203" t="s">
        <v>1387</v>
      </c>
      <c r="FT2" s="219" t="s">
        <v>1388</v>
      </c>
      <c r="FU2" s="219" t="s">
        <v>1389</v>
      </c>
      <c r="FV2" s="203" t="s">
        <v>1390</v>
      </c>
      <c r="FW2" s="203" t="s">
        <v>1391</v>
      </c>
      <c r="FX2" s="219" t="s">
        <v>1021</v>
      </c>
      <c r="FY2" s="219" t="s">
        <v>1009</v>
      </c>
      <c r="FZ2" s="203" t="s">
        <v>1392</v>
      </c>
      <c r="GA2" s="219" t="s">
        <v>1393</v>
      </c>
      <c r="GB2" s="219" t="s">
        <v>1037</v>
      </c>
      <c r="GC2" s="203" t="s">
        <v>1394</v>
      </c>
      <c r="GD2" s="219" t="s">
        <v>1046</v>
      </c>
      <c r="GE2" s="203" t="s">
        <v>1395</v>
      </c>
      <c r="GF2" s="219" t="s">
        <v>1396</v>
      </c>
      <c r="GG2" s="203" t="s">
        <v>1397</v>
      </c>
      <c r="GH2" s="219" t="s">
        <v>1398</v>
      </c>
      <c r="GI2" s="203" t="s">
        <v>1399</v>
      </c>
      <c r="GJ2" s="219" t="s">
        <v>931</v>
      </c>
      <c r="GK2" s="203" t="s">
        <v>1400</v>
      </c>
      <c r="GL2" s="219" t="s">
        <v>963</v>
      </c>
      <c r="GM2" s="203" t="s">
        <v>1401</v>
      </c>
      <c r="GN2" s="219" t="s">
        <v>1388</v>
      </c>
      <c r="GO2" s="219" t="s">
        <v>1389</v>
      </c>
      <c r="GP2" s="269" t="s">
        <v>1402</v>
      </c>
      <c r="GQ2" s="219" t="s">
        <v>1403</v>
      </c>
      <c r="GR2" s="219" t="s">
        <v>1404</v>
      </c>
      <c r="GS2" s="219" t="s">
        <v>1403</v>
      </c>
      <c r="GT2" s="219" t="s">
        <v>1405</v>
      </c>
      <c r="GU2" s="219" t="s">
        <v>1403</v>
      </c>
      <c r="GV2" s="219" t="s">
        <v>1406</v>
      </c>
      <c r="GW2" s="219" t="s">
        <v>1407</v>
      </c>
      <c r="GX2" s="219" t="s">
        <v>1408</v>
      </c>
      <c r="GY2" s="219" t="s">
        <v>1403</v>
      </c>
      <c r="GZ2" s="203" t="s">
        <v>1409</v>
      </c>
      <c r="HA2" s="203" t="s">
        <v>1409</v>
      </c>
      <c r="HB2" s="203" t="s">
        <v>1409</v>
      </c>
      <c r="HC2" s="203" t="s">
        <v>1409</v>
      </c>
      <c r="HD2" s="203" t="s">
        <v>1409</v>
      </c>
      <c r="HE2" s="203" t="s">
        <v>1409</v>
      </c>
      <c r="HF2" s="203" t="s">
        <v>1409</v>
      </c>
      <c r="HG2" s="203" t="s">
        <v>1409</v>
      </c>
      <c r="HH2" s="203" t="s">
        <v>1410</v>
      </c>
      <c r="HI2" s="203" t="s">
        <v>1410</v>
      </c>
      <c r="HJ2" s="203" t="s">
        <v>1410</v>
      </c>
      <c r="HK2" s="203" t="s">
        <v>1410</v>
      </c>
      <c r="HL2" s="203" t="s">
        <v>1410</v>
      </c>
      <c r="HM2" s="203" t="s">
        <v>1411</v>
      </c>
      <c r="HN2" s="203" t="s">
        <v>1412</v>
      </c>
      <c r="HO2" s="203" t="s">
        <v>1412</v>
      </c>
      <c r="HP2" s="203" t="s">
        <v>1412</v>
      </c>
      <c r="HQ2" s="203" t="s">
        <v>1413</v>
      </c>
      <c r="HR2" s="203" t="s">
        <v>1413</v>
      </c>
      <c r="HS2" s="203"/>
      <c r="HT2" s="203"/>
      <c r="HU2" s="203" t="s">
        <v>1414</v>
      </c>
      <c r="HV2" s="203" t="s">
        <v>1414</v>
      </c>
      <c r="HW2" s="203"/>
      <c r="HX2" s="203"/>
      <c r="HY2" s="203"/>
      <c r="HZ2" s="203"/>
      <c r="IA2" s="207" t="s">
        <v>1415</v>
      </c>
      <c r="IB2" s="207" t="s">
        <v>1416</v>
      </c>
      <c r="IC2" s="208" t="s">
        <v>1417</v>
      </c>
      <c r="ID2" s="208" t="s">
        <v>1418</v>
      </c>
      <c r="IE2" s="208" t="s">
        <v>1419</v>
      </c>
      <c r="IF2" s="208" t="s">
        <v>1420</v>
      </c>
      <c r="IG2" s="208" t="s">
        <v>1421</v>
      </c>
      <c r="IH2" s="208" t="s">
        <v>1422</v>
      </c>
      <c r="II2" s="207" t="s">
        <v>1423</v>
      </c>
      <c r="IJ2" s="208"/>
      <c r="IK2" s="208"/>
      <c r="IL2" s="208"/>
      <c r="IM2" s="208"/>
      <c r="IN2" s="208"/>
      <c r="IO2" s="208"/>
      <c r="IP2" s="207" t="s">
        <v>1424</v>
      </c>
      <c r="IQ2" s="208" t="s">
        <v>1425</v>
      </c>
      <c r="IR2" s="203"/>
      <c r="IS2" s="203"/>
      <c r="IT2" s="203"/>
      <c r="IU2" s="203"/>
      <c r="IV2" s="203"/>
      <c r="IW2" s="203"/>
      <c r="IX2" s="203"/>
      <c r="IY2" s="208"/>
      <c r="IZ2" s="203" t="str">
        <f>IF(__Anonymous_Sheet_DB__1[[#This Row],[BREntityOtherX]]="X",'Application Merchant'!J17,"")</f>
        <v/>
      </c>
      <c r="JA2" s="220" t="s">
        <v>1426</v>
      </c>
      <c r="JB2" s="208"/>
      <c r="JC2" s="208"/>
      <c r="JD2" s="204"/>
      <c r="JE2" s="205"/>
      <c r="JF2" s="205"/>
      <c r="JG2" s="209" t="s">
        <v>1427</v>
      </c>
      <c r="JH2" s="209" t="s">
        <v>1428</v>
      </c>
      <c r="JI2" s="221" t="s">
        <v>276</v>
      </c>
      <c r="JJ2" s="209" t="s">
        <v>1429</v>
      </c>
      <c r="JK2" s="222" t="s">
        <v>1430</v>
      </c>
      <c r="JL2" s="223" t="s">
        <v>1431</v>
      </c>
      <c r="JM2" s="208" t="str">
        <f>IF('Application Merchant'!B22="Hong Kong, China","X","")</f>
        <v/>
      </c>
      <c r="JN2" s="220" t="str">
        <f>IF(OR(JL2="Hong Kong, China", JL2=""), "", "X")</f>
        <v/>
      </c>
      <c r="JO2" s="220" t="str">
        <f>IF(JN2="X",JL2," ")</f>
        <v xml:space="preserve"> </v>
      </c>
      <c r="JP2" s="220" t="s">
        <v>1432</v>
      </c>
      <c r="JQ2" s="220" t="s">
        <v>1433</v>
      </c>
      <c r="JR2" s="208" t="s">
        <v>1434</v>
      </c>
      <c r="JS2" s="208"/>
      <c r="JT2" s="224" t="s">
        <v>1435</v>
      </c>
      <c r="JU2" s="208" t="s">
        <v>1436</v>
      </c>
      <c r="JV2" s="208" t="s">
        <v>1437</v>
      </c>
      <c r="JW2" s="208"/>
      <c r="JX2" s="208" t="str">
        <f>0&amp;__Anonymous_Sheet_DB__1[[#This Row],[BankCode]]</f>
        <v>0</v>
      </c>
      <c r="JY2" s="208"/>
      <c r="JZ2" s="208"/>
      <c r="KA2" s="225"/>
      <c r="KB2" s="225"/>
      <c r="KC2" s="220" t="str">
        <f>IF(JY2="[004] Hongkong and Shanghai Banking Corporation", "X", "")</f>
        <v/>
      </c>
      <c r="KD2" s="220"/>
      <c r="KE2" s="220"/>
      <c r="KF2" s="220"/>
      <c r="KG2" s="220"/>
      <c r="KH2" s="220"/>
      <c r="KI2" s="220"/>
      <c r="KJ2" s="220"/>
      <c r="KK2" s="220"/>
      <c r="KL2" s="220"/>
      <c r="KM2" s="220"/>
      <c r="KN2" s="220"/>
      <c r="KO2" s="220"/>
      <c r="KP2" s="220"/>
      <c r="KQ2" s="220"/>
      <c r="KR2" s="220"/>
      <c r="KS2" s="220"/>
      <c r="KT2" s="220"/>
      <c r="KU2" s="208" t="e">
        <f>_xlfn.IFS(JZ2="Hongkong and Shanghai Banking Corporation","004",JZ2="Standard Chartered Hong Kong","003",JZ2="Bank of China (Hong Kong)","012",JZ2="Hang Seng Bank","024",JZ2="Bank of Communications (Hong Kong)","382",JZ2="OCBC Wing Hang Bank","035",JZ2="China CITIC Bank International","018",JZ2="Shanghai Commercial Bank","025",JZ2="China Construction Bank (Asia)","009",JZ2="Tai Sang Bank Limited","061",JZ2="Chong Hing Bank","041",JZ2="The Bank of East Asia, Limited","015",JZ2="Citibank (Hong Kong)","250",JZ2="Wing Lung Bank","020",JZ2="Dah Sing Bank","040",JZ2="Nanyang Commercial Bank","043",JZ2="DBS Bank (Hong Kong)","016",JZ2="Industrial and Commercial Bank of China (Asia)","072",JZ2="Fubon Bank (Hong Kong)","128")</f>
        <v>#N/A</v>
      </c>
      <c r="KV2" s="208" t="s">
        <v>1438</v>
      </c>
      <c r="KW2" s="220" t="s">
        <v>847</v>
      </c>
      <c r="KX2" s="220" t="s">
        <v>1439</v>
      </c>
      <c r="KY2" s="220"/>
      <c r="KZ2" s="208" t="s">
        <v>1440</v>
      </c>
      <c r="LA2" s="208" t="s">
        <v>1359</v>
      </c>
      <c r="LB2" s="208" t="s">
        <v>1441</v>
      </c>
      <c r="LC2" s="208" t="str">
        <f>IF(LB2="Mr", "X", " ")</f>
        <v xml:space="preserve"> </v>
      </c>
      <c r="LD2" s="208" t="str">
        <f>IF(LB2="Mrs", "X", " ")</f>
        <v xml:space="preserve"> </v>
      </c>
      <c r="LE2" s="208" t="str">
        <f>IF(LB2="Miss", "X", " ")</f>
        <v xml:space="preserve"> </v>
      </c>
      <c r="LF2" s="208" t="str">
        <f>IF(LB2="Ms", "X", " ")</f>
        <v xml:space="preserve"> </v>
      </c>
      <c r="LG2" s="208" t="s">
        <v>1442</v>
      </c>
      <c r="LH2" s="208" t="s">
        <v>1443</v>
      </c>
      <c r="LI2" s="208" t="str">
        <f>LG2&amp;" "&amp;LH2</f>
        <v>Name Given</v>
      </c>
      <c r="LJ2" s="208" t="s">
        <v>1444</v>
      </c>
      <c r="LK2" s="208" t="s">
        <v>1445</v>
      </c>
      <c r="LL2" s="208"/>
      <c r="LM2" s="208"/>
      <c r="LN2" s="208"/>
      <c r="LO2" s="208" t="s">
        <v>1446</v>
      </c>
      <c r="LP2" s="220" t="s">
        <v>1447</v>
      </c>
      <c r="LQ2" s="220" t="s">
        <v>2</v>
      </c>
      <c r="LR2" s="208" t="s">
        <v>4</v>
      </c>
      <c r="LS2" s="208" t="str">
        <f>RIGHT(LR2, 2)</f>
        <v>YY</v>
      </c>
      <c r="LT2" s="224"/>
      <c r="LU2" s="208" t="s">
        <v>1448</v>
      </c>
      <c r="LV2" s="205"/>
      <c r="LW2" s="205"/>
      <c r="LX2" s="203"/>
      <c r="LY2" s="203"/>
      <c r="LZ2" s="203" t="s">
        <v>1449</v>
      </c>
      <c r="MA2" s="203" t="s">
        <v>1450</v>
      </c>
      <c r="MB2" s="203" t="s">
        <v>1451</v>
      </c>
      <c r="MC2" s="203" t="s">
        <v>1260</v>
      </c>
      <c r="MD2" s="203" t="s">
        <v>1452</v>
      </c>
      <c r="ME2" s="203" t="s">
        <v>1453</v>
      </c>
      <c r="MF2" s="203" t="s">
        <v>1454</v>
      </c>
      <c r="MG2" s="203" t="s">
        <v>1455</v>
      </c>
      <c r="MH2" s="203" t="s">
        <v>1456</v>
      </c>
      <c r="MI2" s="203" t="s">
        <v>1457</v>
      </c>
      <c r="MJ2" s="203">
        <f>+Contacts!B15</f>
        <v>0</v>
      </c>
      <c r="MK2" s="203" t="str">
        <f>IF(__Anonymous_Sheet_DB__1[[#This Row],[Director1Courtesy]]="Mr","X","")</f>
        <v/>
      </c>
      <c r="ML2" s="203" t="str">
        <f>IF(__Anonymous_Sheet_DB__1[[#This Row],[Director1Courtesy]]="Mrs","X","")</f>
        <v/>
      </c>
      <c r="MM2" s="203" t="str">
        <f>IF(__Anonymous_Sheet_DB__1[[#This Row],[Director1Courtesy]]="Miss","X","")</f>
        <v/>
      </c>
      <c r="MN2" s="203" t="str">
        <f>IF(__Anonymous_Sheet_DB__1[[#This Row],[Director1Courtesy]]="Ms","X","")</f>
        <v/>
      </c>
      <c r="MO2" s="223" t="s">
        <v>1458</v>
      </c>
      <c r="MP2" s="223" t="s">
        <v>1459</v>
      </c>
      <c r="MQ2" s="203"/>
      <c r="MR2" s="203"/>
      <c r="MS2" s="203"/>
      <c r="MT2" s="223" t="s">
        <v>1460</v>
      </c>
      <c r="MU2" s="223" t="s">
        <v>1461</v>
      </c>
      <c r="MV2" s="223" t="s">
        <v>1462</v>
      </c>
      <c r="MW2" s="203" t="str">
        <f>+Contacts!B18</f>
        <v>HANDE</v>
      </c>
      <c r="MX2" s="203" t="str">
        <f>+Contacts!B22</f>
        <v>漢得</v>
      </c>
      <c r="MY2" s="203" t="str">
        <f>IF(__Anonymous_Sheet_DB__1[[#This Row],[DirectorIDType1]]="HKID","X","")</f>
        <v/>
      </c>
      <c r="MZ2" s="203" t="str">
        <f>IF(__Anonymous_Sheet_DB__1[[#This Row],[DirectorIDType1]]="Passport","X","")</f>
        <v/>
      </c>
      <c r="NA2" s="203" t="str">
        <f>+Contacts!B23</f>
        <v>HKID</v>
      </c>
      <c r="NB2" s="204"/>
      <c r="NC2" s="203" t="e">
        <f>TEXT(DAY(Contacts!B24),"00")</f>
        <v>#VALUE!</v>
      </c>
      <c r="ND2" s="203"/>
      <c r="NE2" s="203"/>
      <c r="NF2" s="203" t="str">
        <f>RIGHT(NE2,2)</f>
        <v/>
      </c>
      <c r="NG2" s="205"/>
      <c r="NH2" s="224" t="s">
        <v>1463</v>
      </c>
      <c r="NI2" s="226"/>
      <c r="NJ2" s="205" t="str">
        <f>IF(NI2="CHINA", "X", "")</f>
        <v/>
      </c>
      <c r="NK2" s="205"/>
      <c r="NL2" s="205"/>
      <c r="NM2" s="205"/>
      <c r="NN2" s="203"/>
      <c r="NO2" s="203" t="s">
        <v>1464</v>
      </c>
      <c r="NP2" s="203" t="s">
        <v>1465</v>
      </c>
      <c r="NQ2" s="203" t="s">
        <v>1466</v>
      </c>
      <c r="NR2" s="203" t="s">
        <v>1467</v>
      </c>
      <c r="NS2" s="203" t="s">
        <v>1420</v>
      </c>
      <c r="NT2" s="203" t="str">
        <f>+IF(Contacts!B32=0,"",Contacts!B32)</f>
        <v>6 NGAU PEI SHA STREET, YUEN CHAU KOK</v>
      </c>
      <c r="NU2" s="203" t="s">
        <v>1468</v>
      </c>
      <c r="NV2" s="208" t="s">
        <v>1469</v>
      </c>
      <c r="NW2" s="203"/>
      <c r="NX2" s="203"/>
      <c r="NY2" s="203"/>
      <c r="NZ2" s="203"/>
      <c r="OA2" s="203" t="str">
        <f>TEXT(Contacts!B36,"00")</f>
        <v>05</v>
      </c>
      <c r="OB2" s="203" t="s">
        <v>1470</v>
      </c>
      <c r="OC2" s="208" t="s">
        <v>1137</v>
      </c>
      <c r="OD2" s="203" t="s">
        <v>1449</v>
      </c>
      <c r="OE2" s="203" t="s">
        <v>1450</v>
      </c>
      <c r="OF2" s="203" t="s">
        <v>1451</v>
      </c>
      <c r="OG2" s="203" t="s">
        <v>1260</v>
      </c>
      <c r="OH2" s="203" t="s">
        <v>1452</v>
      </c>
      <c r="OI2" s="203" t="s">
        <v>1453</v>
      </c>
      <c r="OJ2" s="203" t="s">
        <v>1454</v>
      </c>
      <c r="OK2" s="203" t="s">
        <v>1455</v>
      </c>
      <c r="OL2" s="203" t="s">
        <v>1456</v>
      </c>
      <c r="OM2" s="203" t="s">
        <v>1457</v>
      </c>
      <c r="ON2" s="203" t="str">
        <f>IF(Contacts!F15=0,"",Contacts!F15)</f>
        <v/>
      </c>
      <c r="OO2" s="203"/>
      <c r="OP2" s="203"/>
      <c r="OQ2" s="203"/>
      <c r="OR2" s="203"/>
      <c r="OS2" s="223" t="s">
        <v>1458</v>
      </c>
      <c r="OT2" s="223" t="s">
        <v>1459</v>
      </c>
      <c r="OU2" s="223" t="s">
        <v>1471</v>
      </c>
      <c r="OV2" s="223" t="s">
        <v>1472</v>
      </c>
      <c r="OW2" s="223" t="s">
        <v>1473</v>
      </c>
      <c r="OX2" s="223" t="s">
        <v>1460</v>
      </c>
      <c r="OY2" s="223" t="s">
        <v>1461</v>
      </c>
      <c r="OZ2" s="223" t="s">
        <v>1462</v>
      </c>
      <c r="PA2" s="203"/>
      <c r="PB2" s="203"/>
      <c r="PC2" s="203"/>
      <c r="PD2" s="203"/>
      <c r="PE2" s="203"/>
      <c r="PF2" s="203"/>
      <c r="PG2" s="204"/>
      <c r="PH2" s="204"/>
      <c r="PI2" s="203"/>
      <c r="PJ2" s="203" t="str">
        <f>RIGHT(PI2, 2)</f>
        <v/>
      </c>
      <c r="PK2" s="205"/>
      <c r="PL2" s="224" t="s">
        <v>1474</v>
      </c>
      <c r="PM2" s="226"/>
      <c r="PN2" s="205" t="str">
        <f>IF(PM2="CHINA", "X", "")</f>
        <v/>
      </c>
      <c r="PO2" s="205" t="str">
        <f>IF(PM2="Hong Kong, China", "X", "")</f>
        <v/>
      </c>
      <c r="PP2" s="205" t="str">
        <f>IF(PM2="Macau, China", "X", "")</f>
        <v/>
      </c>
      <c r="PQ2" s="205"/>
      <c r="PR2" s="203"/>
      <c r="PS2" s="203"/>
      <c r="PT2" s="203"/>
      <c r="PU2" s="203"/>
      <c r="PV2" s="203"/>
      <c r="PW2" s="203"/>
      <c r="PX2" s="203"/>
      <c r="PY2" s="203"/>
      <c r="PZ2" s="208" t="s">
        <v>1475</v>
      </c>
      <c r="QA2" s="203"/>
      <c r="QB2" s="203"/>
      <c r="QC2" s="203"/>
      <c r="QD2" s="203"/>
      <c r="QE2" s="203"/>
      <c r="QF2" s="227" t="s">
        <v>1470</v>
      </c>
      <c r="QG2" s="226" t="s">
        <v>1138</v>
      </c>
      <c r="QH2" s="203" t="s">
        <v>1476</v>
      </c>
      <c r="QI2" s="203" t="s">
        <v>1450</v>
      </c>
      <c r="QJ2" s="203" t="s">
        <v>1451</v>
      </c>
      <c r="QK2" s="203" t="s">
        <v>1260</v>
      </c>
      <c r="QL2" s="203" t="s">
        <v>1452</v>
      </c>
      <c r="QM2" s="203" t="s">
        <v>1477</v>
      </c>
      <c r="QN2" s="203"/>
      <c r="QO2" s="203"/>
      <c r="QP2" s="203"/>
      <c r="QQ2" s="203"/>
      <c r="QR2" s="203"/>
      <c r="QS2" s="203"/>
      <c r="QT2" s="203"/>
      <c r="QU2" s="203"/>
      <c r="QV2" s="203"/>
      <c r="QW2" s="203"/>
      <c r="QX2" s="203"/>
      <c r="QY2" s="203"/>
      <c r="QZ2" s="203"/>
      <c r="RA2" s="203"/>
      <c r="RB2" s="203"/>
      <c r="RC2" s="204"/>
      <c r="RD2" s="204"/>
      <c r="RE2" s="203"/>
      <c r="RF2" s="203"/>
      <c r="RG2" s="205"/>
      <c r="RH2" s="226"/>
      <c r="RI2" s="205"/>
      <c r="RJ2" s="205"/>
      <c r="RK2" s="205"/>
      <c r="RL2" s="205"/>
      <c r="RM2" s="203"/>
      <c r="RN2" s="203"/>
      <c r="RO2" s="203"/>
      <c r="RP2" s="203"/>
      <c r="RQ2" s="203"/>
      <c r="RR2" s="203"/>
      <c r="RS2" s="203"/>
      <c r="RT2" s="203"/>
      <c r="RU2" s="203" t="str">
        <f>RN2&amp;" "&amp;" "&amp;RO2&amp;" "&amp;" "&amp;RP2&amp;" "&amp;" "&amp;RQ2&amp;" "&amp;" "&amp;RR2&amp;" "&amp;" "&amp;RS2&amp;" "&amp;" "&amp;RT2</f>
        <v xml:space="preserve">            </v>
      </c>
      <c r="RV2" s="203"/>
      <c r="RW2" s="203"/>
      <c r="RX2" s="203"/>
      <c r="RY2" s="203"/>
      <c r="RZ2" s="203"/>
      <c r="SA2" s="227" t="s">
        <v>1470</v>
      </c>
      <c r="SB2" s="226" t="s">
        <v>1139</v>
      </c>
      <c r="SC2" s="203" t="s">
        <v>1476</v>
      </c>
      <c r="SD2" s="203" t="s">
        <v>1450</v>
      </c>
      <c r="SE2" s="203" t="s">
        <v>1451</v>
      </c>
      <c r="SF2" s="203" t="s">
        <v>1260</v>
      </c>
      <c r="SG2" s="203" t="s">
        <v>1452</v>
      </c>
      <c r="SH2" s="203" t="s">
        <v>1477</v>
      </c>
      <c r="SI2" s="203"/>
      <c r="SJ2" s="203"/>
      <c r="SK2" s="203"/>
      <c r="SL2" s="203"/>
      <c r="SM2" s="203"/>
      <c r="SN2" s="203"/>
      <c r="SO2" s="203"/>
      <c r="SP2" s="203"/>
      <c r="SQ2" s="203"/>
      <c r="SR2" s="203"/>
      <c r="SS2" s="203"/>
      <c r="ST2" s="203"/>
      <c r="SU2" s="203"/>
      <c r="SV2" s="203"/>
      <c r="SW2" s="203"/>
      <c r="SX2" s="204"/>
      <c r="SY2" s="203"/>
      <c r="SZ2" s="203"/>
      <c r="TA2" s="203"/>
      <c r="TB2" s="205"/>
      <c r="TC2" s="226"/>
      <c r="TD2" s="205" t="str">
        <f>IF(TC2="CHINA", "X", "")</f>
        <v/>
      </c>
      <c r="TE2" s="205" t="str">
        <f>IF(TC2="Hong Kong, China", "X", "")</f>
        <v/>
      </c>
      <c r="TF2" s="205" t="str">
        <f>IF(TC2="Macau, China", "X", "")</f>
        <v/>
      </c>
      <c r="TG2" s="205"/>
      <c r="TH2" s="203"/>
      <c r="TI2" s="203"/>
      <c r="TJ2" s="203"/>
      <c r="TK2" s="203"/>
      <c r="TL2" s="203"/>
      <c r="TM2" s="203"/>
      <c r="TN2" s="203"/>
      <c r="TO2" s="203"/>
      <c r="TP2" s="203" t="str">
        <f>TI2&amp;" "&amp;" "&amp;TJ2&amp;" "&amp;" "&amp;TK2&amp;" "&amp;" "&amp;TL2&amp;" "&amp;" "&amp;TM2&amp;" "&amp;" "&amp;TN2&amp;" "&amp;" "&amp;TO2</f>
        <v xml:space="preserve">            </v>
      </c>
      <c r="TQ2" s="203"/>
      <c r="TR2" s="203"/>
      <c r="TS2" s="203"/>
      <c r="TT2" s="203"/>
      <c r="TU2" s="203"/>
      <c r="TV2" s="203" t="s">
        <v>1470</v>
      </c>
      <c r="TW2" s="208" t="s">
        <v>1478</v>
      </c>
      <c r="TX2" s="208" t="str">
        <f>IF(TW2="Mr", "X", " ")</f>
        <v xml:space="preserve"> </v>
      </c>
      <c r="TY2" s="208" t="str">
        <f>IF(TW2="Mrs", "X", " ")</f>
        <v xml:space="preserve"> </v>
      </c>
      <c r="TZ2" s="208" t="str">
        <f>IF(TW2="Miss", "X", " ")</f>
        <v xml:space="preserve"> </v>
      </c>
      <c r="UA2" s="208" t="str">
        <f>IF(TW2="Ms", "X", " ")</f>
        <v xml:space="preserve"> </v>
      </c>
      <c r="UB2" s="208"/>
      <c r="UC2" s="208"/>
      <c r="UD2" s="208"/>
      <c r="UE2" s="208"/>
      <c r="UF2" s="208"/>
      <c r="UG2" s="208"/>
      <c r="UH2" s="208" t="str">
        <f>IF(UG2="HKID", "X", " ")</f>
        <v xml:space="preserve"> </v>
      </c>
      <c r="UI2" s="208" t="str">
        <f>IF(UG2="Passport", "X", " ")</f>
        <v xml:space="preserve"> </v>
      </c>
      <c r="UJ2" s="208"/>
      <c r="UK2" s="220"/>
      <c r="UL2" s="220"/>
      <c r="UM2" s="208"/>
      <c r="UN2" s="208" t="str">
        <f>RIGHT(UM2, 2)</f>
        <v/>
      </c>
      <c r="UO2" s="224"/>
      <c r="UP2" s="208"/>
      <c r="UQ2" s="224" t="str">
        <f>IF(OR(UP2="Hong Kong, China", UP2="China",UP2="Macau, China"), "X", "")</f>
        <v/>
      </c>
      <c r="UR2" s="224" t="str">
        <f>IF(OR(UP2="Hong Kong, China", UP2="China", UP2="Macau, China", UP2=""), "", "X")</f>
        <v/>
      </c>
      <c r="US2" s="208" t="str">
        <f>IF(UR2="X",UP2," ")</f>
        <v xml:space="preserve"> </v>
      </c>
      <c r="UT2" s="208"/>
      <c r="UU2" s="203"/>
      <c r="UV2" s="203"/>
      <c r="UW2" s="203"/>
      <c r="UX2" s="203"/>
      <c r="UY2" s="203"/>
      <c r="UZ2" s="203"/>
      <c r="VA2" s="208" t="s">
        <v>1479</v>
      </c>
      <c r="VB2" s="208" t="s">
        <v>1480</v>
      </c>
      <c r="VC2" s="203" t="str">
        <f>IF(VB2="Mr", "X", " ")</f>
        <v xml:space="preserve"> </v>
      </c>
      <c r="VD2" s="203" t="str">
        <f>IF(VB2="Mrs", "X", " ")</f>
        <v xml:space="preserve"> </v>
      </c>
      <c r="VE2" s="203" t="str">
        <f>IF(VB2="Miss", "X", " ")</f>
        <v xml:space="preserve"> </v>
      </c>
      <c r="VF2" s="203" t="str">
        <f>IF(VB2="Ms", "X", " ")</f>
        <v xml:space="preserve"> </v>
      </c>
      <c r="VG2" s="203"/>
      <c r="VH2" s="203"/>
      <c r="VI2" s="203" t="str">
        <f>VG2&amp;" "&amp;VH2</f>
        <v xml:space="preserve"> </v>
      </c>
      <c r="VJ2" s="203"/>
      <c r="VK2" s="203"/>
      <c r="VL2" s="203"/>
      <c r="VM2" s="203"/>
      <c r="VN2" s="203"/>
      <c r="VO2" s="203"/>
      <c r="VP2" s="204"/>
      <c r="VQ2" s="204"/>
      <c r="VR2" s="203"/>
      <c r="VS2" s="203" t="str">
        <f>RIGHT(VR2, 2)</f>
        <v/>
      </c>
      <c r="VT2" s="205"/>
      <c r="VU2" s="226"/>
      <c r="VV2" s="205" t="str">
        <f>IF(OR(VU2="Hong Kong, China", VU2="China",VU2="Macau, China"), "X", "")</f>
        <v/>
      </c>
      <c r="VW2" s="205" t="str">
        <f>IF(OR(VU2="Hong Kong, China", VU2="China", VU2="Macau, China", VU2=""), "", "X")</f>
        <v/>
      </c>
      <c r="VX2" s="203" t="str">
        <f>IF(VW2="X",VU2," ")</f>
        <v xml:space="preserve"> </v>
      </c>
      <c r="VY2" s="203"/>
      <c r="VZ2" s="203"/>
      <c r="WA2" s="203"/>
      <c r="WB2" s="203"/>
      <c r="WC2" s="203"/>
      <c r="WD2" s="203"/>
      <c r="WE2" s="203"/>
      <c r="WF2" s="203" t="str">
        <f>VY2&amp;" "&amp;" "&amp;VZ2&amp;" "&amp;" "&amp;WA2&amp;" "&amp;" "&amp;WB2&amp;" "&amp;" "&amp;WC2&amp;" "&amp;" "&amp;WD2&amp;" "&amp;" "&amp;WE2</f>
        <v xml:space="preserve">            </v>
      </c>
      <c r="WG2" s="228" t="s">
        <v>1481</v>
      </c>
      <c r="WH2" s="203"/>
      <c r="WI2" s="203"/>
      <c r="WJ2" s="203"/>
      <c r="WK2" s="203"/>
      <c r="WL2" s="203"/>
      <c r="WM2" s="203"/>
      <c r="WN2" s="203"/>
      <c r="WO2" s="203"/>
      <c r="WP2" s="203"/>
      <c r="WQ2" s="203"/>
      <c r="WR2" s="203"/>
      <c r="WS2" s="203"/>
      <c r="WT2" s="203"/>
      <c r="WU2" s="204"/>
      <c r="WV2" s="204"/>
      <c r="WW2" s="203"/>
      <c r="WX2" s="203"/>
      <c r="WY2" s="205"/>
      <c r="WZ2" s="226"/>
      <c r="XA2" s="205"/>
      <c r="XB2" s="205"/>
      <c r="XC2" s="203"/>
      <c r="XD2" s="203"/>
      <c r="XE2" s="203"/>
      <c r="XF2" s="203"/>
      <c r="XG2" s="203"/>
      <c r="XH2" s="203"/>
      <c r="XI2" s="203"/>
      <c r="XJ2" s="203"/>
      <c r="XK2" s="203" t="str">
        <f>XD2&amp;" "&amp;" "&amp;XE2&amp;" "&amp;" "&amp;XF2&amp;" "&amp;" "&amp;XG2&amp;" "&amp;" "&amp;XH2&amp;" "&amp;" "&amp;XI2&amp;" "&amp;" "&amp;XJ2</f>
        <v xml:space="preserve">            </v>
      </c>
      <c r="XL2" s="229" t="s">
        <v>1482</v>
      </c>
      <c r="XM2" s="203"/>
      <c r="XN2" s="203"/>
      <c r="XO2" s="203"/>
      <c r="XP2" s="203"/>
      <c r="XQ2" s="203"/>
      <c r="XR2" s="203"/>
      <c r="XS2" s="203"/>
      <c r="XT2" s="203"/>
      <c r="XU2" s="203"/>
      <c r="XV2" s="203"/>
      <c r="XW2" s="203"/>
      <c r="XX2" s="203"/>
      <c r="XY2" s="203"/>
      <c r="XZ2" s="204"/>
      <c r="YA2" s="204"/>
      <c r="YB2" s="203"/>
      <c r="YC2" s="203"/>
      <c r="YD2" s="205"/>
      <c r="YE2" s="226"/>
      <c r="YF2" s="205"/>
      <c r="YG2" s="205"/>
      <c r="YH2" s="203"/>
      <c r="YI2" s="203"/>
      <c r="YJ2" s="203"/>
      <c r="YK2" s="203"/>
      <c r="YL2" s="203"/>
      <c r="YM2" s="203"/>
      <c r="YN2" s="203"/>
      <c r="YO2" s="203"/>
      <c r="YP2" s="203" t="str">
        <f>YI2&amp;" "&amp;" "&amp;YJ2&amp;" "&amp;" "&amp;YK2&amp;" "&amp;" "&amp;YL2&amp;" "&amp;" "&amp;YM2&amp;" "&amp;" "&amp;YN2&amp;" "&amp;" "&amp;YO2</f>
        <v xml:space="preserve">            </v>
      </c>
      <c r="YQ2" s="208" t="s">
        <v>1483</v>
      </c>
      <c r="YR2" s="208" t="str">
        <f>IF(YQ2="Mr", "X", " ")</f>
        <v xml:space="preserve"> </v>
      </c>
      <c r="YS2" s="208" t="str">
        <f>IF(YQ2="Mrs", "X", " ")</f>
        <v xml:space="preserve"> </v>
      </c>
      <c r="YT2" s="208" t="str">
        <f>IF(YQ2="Miss", "X", " ")</f>
        <v xml:space="preserve"> </v>
      </c>
      <c r="YU2" s="208" t="str">
        <f>IF(YQ2="Ms", "X", " ")</f>
        <v xml:space="preserve"> </v>
      </c>
      <c r="YV2" s="208" t="s">
        <v>1484</v>
      </c>
      <c r="YW2" s="208" t="s">
        <v>1485</v>
      </c>
      <c r="YX2" s="208" t="str">
        <f>YV2&amp;" "&amp;YW2</f>
        <v>姓 名</v>
      </c>
      <c r="YY2" s="208" t="s">
        <v>57</v>
      </c>
      <c r="YZ2" s="208" t="s">
        <v>1445</v>
      </c>
      <c r="ZA2" s="208" t="s">
        <v>1486</v>
      </c>
      <c r="ZB2" s="208" t="str">
        <f>IF(ZA2="HKID", "X", " ")</f>
        <v xml:space="preserve"> </v>
      </c>
      <c r="ZC2" s="208" t="str">
        <f>IF(ZA2="Passport", "X", " ")</f>
        <v xml:space="preserve"> </v>
      </c>
      <c r="ZD2" s="208" t="s">
        <v>1487</v>
      </c>
      <c r="ZE2" s="208"/>
      <c r="ZF2" s="208"/>
      <c r="ZG2" s="208"/>
      <c r="ZH2" s="208"/>
      <c r="ZI2" s="224"/>
      <c r="ZJ2" s="224" t="s">
        <v>1488</v>
      </c>
      <c r="ZK2" s="208" t="s">
        <v>1135</v>
      </c>
      <c r="ZL2" s="224" t="str">
        <f>IF(OR(ZK2="Hong Kong, China", ZK2="China",ZK2="Macau, China"), "X", "")</f>
        <v/>
      </c>
      <c r="ZM2" s="224" t="str">
        <f>IF(OR(ZK2="Hong Kong, China", ZK2="China", ZK2="Macau, China", ZK2=""), "", "X")</f>
        <v>X</v>
      </c>
      <c r="ZN2" s="208" t="str">
        <f>IF(ZM2="X",ZK2," ")</f>
        <v>Nationality</v>
      </c>
      <c r="ZO2" s="208" t="s">
        <v>1464</v>
      </c>
      <c r="ZP2" s="208" t="s">
        <v>1489</v>
      </c>
      <c r="ZQ2" s="208" t="s">
        <v>1490</v>
      </c>
      <c r="ZR2" s="208" t="s">
        <v>1491</v>
      </c>
      <c r="ZS2" s="208" t="s">
        <v>1420</v>
      </c>
      <c r="ZT2" s="208" t="s">
        <v>1421</v>
      </c>
      <c r="ZU2" s="208" t="s">
        <v>1422</v>
      </c>
      <c r="ZV2" s="203" t="str">
        <f>ZO2&amp;" "&amp;" "&amp;ZP2&amp;" "&amp;" "&amp;ZQ2&amp;" "&amp;" "&amp;ZR2&amp;" "&amp;" "&amp;ZS2&amp;" "&amp;" "&amp;ZT2&amp;" "&amp;" "&amp;ZU2</f>
        <v>Room  Flat  House  Est  Street  District  Region</v>
      </c>
      <c r="ZW2" s="230" t="s">
        <v>927</v>
      </c>
      <c r="ZX2" s="230" t="s">
        <v>927</v>
      </c>
      <c r="ZY2" s="230" t="s">
        <v>927</v>
      </c>
      <c r="ZZ2" s="230" t="s">
        <v>927</v>
      </c>
      <c r="AAA2" s="230" t="s">
        <v>927</v>
      </c>
      <c r="AAB2" s="230" t="s">
        <v>927</v>
      </c>
      <c r="AAC2" s="230" t="s">
        <v>927</v>
      </c>
      <c r="AAD2" s="230" t="s">
        <v>927</v>
      </c>
      <c r="AAE2" s="230" t="s">
        <v>1492</v>
      </c>
      <c r="AAF2" s="230" t="s">
        <v>927</v>
      </c>
      <c r="AAG2" s="230" t="s">
        <v>1493</v>
      </c>
      <c r="AAH2" s="230" t="s">
        <v>927</v>
      </c>
      <c r="AAI2" s="207" t="s">
        <v>1011</v>
      </c>
      <c r="AAJ2" s="207" t="s">
        <v>1011</v>
      </c>
      <c r="AAK2" s="207" t="s">
        <v>1011</v>
      </c>
      <c r="AAL2" s="207" t="s">
        <v>1011</v>
      </c>
      <c r="AAM2" s="230" t="s">
        <v>1494</v>
      </c>
      <c r="AAN2" s="230" t="s">
        <v>1494</v>
      </c>
      <c r="AAO2" s="230" t="s">
        <v>1494</v>
      </c>
      <c r="AAP2" s="230" t="s">
        <v>1494</v>
      </c>
      <c r="AAQ2" s="230" t="s">
        <v>1494</v>
      </c>
      <c r="AAR2" s="230" t="s">
        <v>1494</v>
      </c>
      <c r="AAS2" s="230" t="s">
        <v>1494</v>
      </c>
      <c r="AAT2" s="230" t="s">
        <v>1494</v>
      </c>
      <c r="AAU2" s="230" t="s">
        <v>1494</v>
      </c>
      <c r="AAV2" s="230" t="s">
        <v>1494</v>
      </c>
      <c r="AAW2" s="230" t="s">
        <v>1495</v>
      </c>
      <c r="AAX2" s="230" t="s">
        <v>1495</v>
      </c>
      <c r="AAY2" s="230" t="s">
        <v>1495</v>
      </c>
      <c r="AAZ2" s="230" t="s">
        <v>1495</v>
      </c>
      <c r="ABA2" s="230" t="s">
        <v>1495</v>
      </c>
      <c r="ABB2" s="230" t="s">
        <v>1495</v>
      </c>
      <c r="ABC2" s="230" t="s">
        <v>1495</v>
      </c>
      <c r="ABD2" s="230" t="s">
        <v>1495</v>
      </c>
      <c r="ABE2" s="230" t="s">
        <v>1495</v>
      </c>
      <c r="ABF2" s="231" t="s">
        <v>1496</v>
      </c>
      <c r="ABG2" s="231" t="s">
        <v>1496</v>
      </c>
      <c r="ABH2" s="232" t="s">
        <v>1497</v>
      </c>
      <c r="ABI2" s="44"/>
      <c r="ABJ2" s="44"/>
      <c r="ABK2" s="233" t="s">
        <v>1498</v>
      </c>
      <c r="ABL2" s="233" t="s">
        <v>1499</v>
      </c>
      <c r="ABM2" s="233" t="s">
        <v>1499</v>
      </c>
      <c r="ABN2" s="233" t="s">
        <v>1499</v>
      </c>
      <c r="ABO2" s="233" t="s">
        <v>1499</v>
      </c>
      <c r="ABP2" s="233"/>
      <c r="ABQ2" s="233"/>
      <c r="ABR2" s="234" t="s">
        <v>1500</v>
      </c>
      <c r="ABS2" s="234" t="s">
        <v>1501</v>
      </c>
      <c r="ABT2" s="288"/>
      <c r="ABU2" s="301"/>
      <c r="ABV2" s="301"/>
    </row>
    <row r="3" spans="1:750" s="235" customFormat="1" ht="40" customHeight="1">
      <c r="A3" s="235" t="str">
        <f ca="1">TEXT(DAY('Application Merchant'!B1),"00")</f>
        <v>12</v>
      </c>
      <c r="B3" s="235" t="str">
        <f ca="1">TEXT(MONTH('Application Merchant'!B1),"00")</f>
        <v>09</v>
      </c>
      <c r="C3" s="235" t="str">
        <f ca="1">TEXT(YEAR('Application Merchant'!B1),"00")</f>
        <v>2024</v>
      </c>
      <c r="D3" s="236" t="str">
        <f ca="1">RIGHT(C3, 2)</f>
        <v>24</v>
      </c>
      <c r="E3" s="237">
        <f ca="1">DATE(C3,B3,A3)</f>
        <v>45547</v>
      </c>
      <c r="F3" s="83" t="str">
        <f>IF('Application Merchant'!N9=0,"",'Application Merchant'!N9)</f>
        <v/>
      </c>
      <c r="G3" s="83" t="str">
        <f>IF('Application Merchant'!N10=0,"",'Application Merchant'!N10)</f>
        <v>HKTSME</v>
      </c>
      <c r="H3" s="83" t="str">
        <f>+IF('Payment Channels'!$B$2=0,"",'Payment Channels'!$B$2)</f>
        <v>X</v>
      </c>
      <c r="I3" s="83" t="str">
        <f>+IF('Payment Channels'!$J$2=0,"",'Payment Channels'!$J$2)</f>
        <v>X</v>
      </c>
      <c r="J3" s="83" t="str">
        <f>+IF('Payment Channels'!$S$38=0,"",'Payment Channels'!$S$38)</f>
        <v/>
      </c>
      <c r="K3" s="274">
        <f>+IF('Payment Channels'!$B$6=0,"",'Payment Channels'!$B$6)</f>
        <v>45555</v>
      </c>
      <c r="L3" s="274" t="str">
        <f>+IF('Payment Channels'!$J$5=0,"",'Payment Channels'!$J$5)</f>
        <v/>
      </c>
      <c r="M3" s="83" t="str">
        <f>+IF('Payment Channels'!$B$3=0,"",'Payment Channels'!$B$3)</f>
        <v>24 Months</v>
      </c>
      <c r="N3" s="83">
        <f>+IF('Payment Channels'!$B$4=0,"",'Payment Channels'!$B$4)</f>
        <v>1</v>
      </c>
      <c r="O3" s="83">
        <f>+IF('Payment Channels'!$B$5=0,"",'Payment Channels'!$B$5)</f>
        <v>1</v>
      </c>
      <c r="P3" s="83">
        <f>+IF('Payment Channels'!$B$7=0,"",'Payment Channels'!$B$7)</f>
        <v>1</v>
      </c>
      <c r="Q3" s="83">
        <f>+IF('Payment Channels'!$B$8=0,"",'Payment Channels'!$B$8)</f>
        <v>1</v>
      </c>
      <c r="R3" s="83" t="str">
        <f>+IF('Payment Channels'!$S$12=0,"",'Payment Channels'!$S$12)</f>
        <v>X</v>
      </c>
      <c r="S3" s="83" t="str">
        <f>+IF('Payment Channels'!$S$13=0,"",'Payment Channels'!$S$13)</f>
        <v/>
      </c>
      <c r="T3" s="236" t="str">
        <f>IF(M3="24 months", "X", " ")</f>
        <v>X</v>
      </c>
      <c r="U3" s="236" t="str">
        <f>IF(M3="12 months", "X", " ")</f>
        <v xml:space="preserve"> </v>
      </c>
      <c r="V3" s="236" t="str">
        <f>IF(NOT(OR(M3="12 months", M3="24 months")), "X", " ")</f>
        <v xml:space="preserve"> </v>
      </c>
      <c r="W3" s="236" t="str">
        <f t="shared" ref="W3:CH3" si="25">IF(NOT(OR(N3="12 months", N3="24 months")), "X", " ")</f>
        <v>X</v>
      </c>
      <c r="X3" s="236" t="str">
        <f t="shared" si="25"/>
        <v>X</v>
      </c>
      <c r="Y3" s="236" t="str">
        <f t="shared" si="25"/>
        <v>X</v>
      </c>
      <c r="Z3" s="236" t="str">
        <f t="shared" si="25"/>
        <v>X</v>
      </c>
      <c r="AA3" s="236" t="str">
        <f t="shared" si="25"/>
        <v>X</v>
      </c>
      <c r="AB3" s="236" t="str">
        <f t="shared" si="0"/>
        <v>X</v>
      </c>
      <c r="AC3" s="236" t="str">
        <f t="shared" si="25"/>
        <v>X</v>
      </c>
      <c r="AD3" s="236" t="str">
        <f t="shared" si="25"/>
        <v>X</v>
      </c>
      <c r="AE3" s="236" t="str">
        <f t="shared" si="25"/>
        <v>X</v>
      </c>
      <c r="AF3" s="236" t="str">
        <f t="shared" si="25"/>
        <v>X</v>
      </c>
      <c r="AG3" s="236" t="str">
        <f t="shared" si="25"/>
        <v>X</v>
      </c>
      <c r="AH3" s="236" t="str">
        <f t="shared" si="25"/>
        <v>X</v>
      </c>
      <c r="AI3" s="236" t="str">
        <f t="shared" si="25"/>
        <v>X</v>
      </c>
      <c r="AJ3" s="236" t="str">
        <f t="shared" si="25"/>
        <v>X</v>
      </c>
      <c r="AK3" s="236" t="str">
        <f t="shared" si="25"/>
        <v>X</v>
      </c>
      <c r="AL3" s="236" t="str">
        <f t="shared" si="25"/>
        <v>X</v>
      </c>
      <c r="AM3" s="236" t="str">
        <f t="shared" si="25"/>
        <v>X</v>
      </c>
      <c r="AN3" s="236" t="str">
        <f t="shared" si="25"/>
        <v>X</v>
      </c>
      <c r="AO3" s="236" t="str">
        <f t="shared" si="25"/>
        <v>X</v>
      </c>
      <c r="AP3" s="236" t="str">
        <f t="shared" si="25"/>
        <v>X</v>
      </c>
      <c r="AQ3" s="236" t="str">
        <f t="shared" si="25"/>
        <v>X</v>
      </c>
      <c r="AR3" s="236" t="str">
        <f t="shared" si="25"/>
        <v>X</v>
      </c>
      <c r="AS3" s="236" t="str">
        <f t="shared" ref="AS3" si="26">IF(NOT(OR(AJ3="12 months", AJ3="24 months")), "X", " ")</f>
        <v>X</v>
      </c>
      <c r="AT3" s="236" t="str">
        <f t="shared" ref="AT3" si="27">IF(NOT(OR(AK3="12 months", AK3="24 months")), "X", " ")</f>
        <v>X</v>
      </c>
      <c r="AU3" s="236" t="str">
        <f t="shared" si="25"/>
        <v>X</v>
      </c>
      <c r="AV3" s="236" t="str">
        <f t="shared" si="25"/>
        <v>X</v>
      </c>
      <c r="AW3" s="236" t="str">
        <f t="shared" si="25"/>
        <v>X</v>
      </c>
      <c r="AX3" s="236" t="str">
        <f t="shared" si="25"/>
        <v>X</v>
      </c>
      <c r="AY3" s="236" t="str">
        <f t="shared" si="25"/>
        <v>X</v>
      </c>
      <c r="AZ3" s="236" t="str">
        <f t="shared" si="25"/>
        <v>X</v>
      </c>
      <c r="BA3" s="236" t="str">
        <f t="shared" si="25"/>
        <v>X</v>
      </c>
      <c r="BB3" s="236" t="str">
        <f t="shared" si="25"/>
        <v>X</v>
      </c>
      <c r="BC3" s="236" t="str">
        <f t="shared" si="25"/>
        <v>X</v>
      </c>
      <c r="BD3" s="236" t="str">
        <f t="shared" si="25"/>
        <v>X</v>
      </c>
      <c r="BE3" s="236" t="str">
        <f t="shared" si="25"/>
        <v>X</v>
      </c>
      <c r="BF3" s="236" t="str">
        <f t="shared" si="25"/>
        <v>X</v>
      </c>
      <c r="BG3" s="236" t="str">
        <f t="shared" si="25"/>
        <v>X</v>
      </c>
      <c r="BH3" s="236" t="str">
        <f t="shared" si="25"/>
        <v>X</v>
      </c>
      <c r="BI3" s="236" t="str">
        <f t="shared" si="25"/>
        <v>X</v>
      </c>
      <c r="BJ3" s="236" t="str">
        <f t="shared" si="25"/>
        <v>X</v>
      </c>
      <c r="BK3" s="236" t="str">
        <f t="shared" si="1"/>
        <v>X</v>
      </c>
      <c r="BL3" s="236" t="str">
        <f t="shared" si="2"/>
        <v>X</v>
      </c>
      <c r="BM3" s="236" t="str">
        <f t="shared" si="3"/>
        <v>X</v>
      </c>
      <c r="BN3" s="236" t="str">
        <f t="shared" si="4"/>
        <v>X</v>
      </c>
      <c r="BO3" s="236" t="str">
        <f t="shared" si="5"/>
        <v>X</v>
      </c>
      <c r="BP3" s="236" t="str">
        <f t="shared" si="6"/>
        <v>X</v>
      </c>
      <c r="BQ3" s="236" t="str">
        <f t="shared" si="7"/>
        <v>X</v>
      </c>
      <c r="BR3" s="236" t="str">
        <f t="shared" si="8"/>
        <v>X</v>
      </c>
      <c r="BS3" s="236" t="str">
        <f t="shared" si="9"/>
        <v>X</v>
      </c>
      <c r="BT3" s="236" t="str">
        <f t="shared" si="10"/>
        <v>X</v>
      </c>
      <c r="BU3" s="236" t="str">
        <f t="shared" si="11"/>
        <v>X</v>
      </c>
      <c r="BV3" s="236" t="str">
        <f t="shared" si="12"/>
        <v>X</v>
      </c>
      <c r="BW3" s="236" t="str">
        <f t="shared" si="13"/>
        <v>X</v>
      </c>
      <c r="BX3" s="236" t="str">
        <f t="shared" si="14"/>
        <v>X</v>
      </c>
      <c r="BY3" s="236" t="str">
        <f t="shared" si="25"/>
        <v>X</v>
      </c>
      <c r="BZ3" s="236" t="str">
        <f t="shared" si="25"/>
        <v>X</v>
      </c>
      <c r="CA3" s="236" t="str">
        <f t="shared" si="25"/>
        <v>X</v>
      </c>
      <c r="CB3" s="236" t="str">
        <f t="shared" si="15"/>
        <v>X</v>
      </c>
      <c r="CC3" s="236" t="str">
        <f t="shared" si="25"/>
        <v>X</v>
      </c>
      <c r="CD3" s="236" t="str">
        <f t="shared" si="25"/>
        <v>X</v>
      </c>
      <c r="CE3" s="236" t="str">
        <f t="shared" si="16"/>
        <v>X</v>
      </c>
      <c r="CF3" s="236" t="str">
        <f t="shared" si="17"/>
        <v>X</v>
      </c>
      <c r="CG3" s="236" t="str">
        <f t="shared" si="25"/>
        <v>X</v>
      </c>
      <c r="CH3" s="236" t="str">
        <f t="shared" si="25"/>
        <v>X</v>
      </c>
      <c r="CI3" s="236" t="str">
        <f t="shared" si="18"/>
        <v>X</v>
      </c>
      <c r="CJ3" s="236" t="str">
        <f t="shared" ref="CJ3:ET3" si="28">IF(NOT(OR(CA3="12 months", CA3="24 months")), "X", " ")</f>
        <v>X</v>
      </c>
      <c r="CK3" s="236" t="str">
        <f t="shared" si="28"/>
        <v>X</v>
      </c>
      <c r="CL3" s="236" t="str">
        <f t="shared" si="28"/>
        <v>X</v>
      </c>
      <c r="CM3" s="236" t="str">
        <f t="shared" si="28"/>
        <v>X</v>
      </c>
      <c r="CN3" s="236" t="str">
        <f t="shared" si="28"/>
        <v>X</v>
      </c>
      <c r="CO3" s="236" t="str">
        <f t="shared" si="28"/>
        <v>X</v>
      </c>
      <c r="CP3" s="236" t="str">
        <f t="shared" si="28"/>
        <v>X</v>
      </c>
      <c r="CQ3" s="236" t="str">
        <f t="shared" si="28"/>
        <v>X</v>
      </c>
      <c r="CR3" s="236" t="str">
        <f t="shared" si="28"/>
        <v>X</v>
      </c>
      <c r="CS3" s="236" t="str">
        <f t="shared" si="28"/>
        <v>X</v>
      </c>
      <c r="CT3" s="236" t="str">
        <f t="shared" si="28"/>
        <v>X</v>
      </c>
      <c r="CU3" s="236" t="str">
        <f t="shared" si="28"/>
        <v>X</v>
      </c>
      <c r="CV3" s="236" t="str">
        <f t="shared" si="28"/>
        <v>X</v>
      </c>
      <c r="CW3" s="236" t="str">
        <f t="shared" si="28"/>
        <v>X</v>
      </c>
      <c r="CX3" s="236" t="str">
        <f t="shared" si="28"/>
        <v>X</v>
      </c>
      <c r="CY3" s="236" t="str">
        <f t="shared" si="28"/>
        <v>X</v>
      </c>
      <c r="CZ3" s="236" t="str">
        <f t="shared" si="28"/>
        <v>X</v>
      </c>
      <c r="DA3" s="236" t="str">
        <f t="shared" si="28"/>
        <v>X</v>
      </c>
      <c r="DB3" s="236" t="str">
        <f t="shared" si="28"/>
        <v>X</v>
      </c>
      <c r="DC3" s="236" t="str">
        <f t="shared" si="28"/>
        <v>X</v>
      </c>
      <c r="DD3" s="236" t="str">
        <f t="shared" si="28"/>
        <v>X</v>
      </c>
      <c r="DE3" s="236" t="str">
        <f t="shared" si="28"/>
        <v>X</v>
      </c>
      <c r="DF3" s="236" t="str">
        <f t="shared" si="28"/>
        <v>X</v>
      </c>
      <c r="DG3" s="236" t="str">
        <f t="shared" si="28"/>
        <v>X</v>
      </c>
      <c r="DH3" s="236" t="str">
        <f t="shared" si="28"/>
        <v>X</v>
      </c>
      <c r="DI3" s="236" t="str">
        <f t="shared" si="28"/>
        <v>X</v>
      </c>
      <c r="DJ3" s="236" t="str">
        <f t="shared" si="28"/>
        <v>X</v>
      </c>
      <c r="DK3" s="236" t="str">
        <f t="shared" si="28"/>
        <v>X</v>
      </c>
      <c r="DL3" s="236" t="str">
        <f t="shared" si="19"/>
        <v>X</v>
      </c>
      <c r="DM3" s="236" t="str">
        <f t="shared" si="20"/>
        <v>X</v>
      </c>
      <c r="DN3" s="236" t="str">
        <f t="shared" si="28"/>
        <v>X</v>
      </c>
      <c r="DO3" s="236" t="str">
        <f t="shared" si="28"/>
        <v>X</v>
      </c>
      <c r="DP3" s="236" t="str">
        <f t="shared" si="28"/>
        <v>X</v>
      </c>
      <c r="DQ3" s="236" t="str">
        <f t="shared" si="28"/>
        <v>X</v>
      </c>
      <c r="DR3" s="236" t="str">
        <f t="shared" si="28"/>
        <v>X</v>
      </c>
      <c r="DS3" s="236" t="str">
        <f t="shared" si="28"/>
        <v>X</v>
      </c>
      <c r="DT3" s="236" t="str">
        <f t="shared" si="28"/>
        <v>X</v>
      </c>
      <c r="DU3" s="236" t="str">
        <f t="shared" si="28"/>
        <v>X</v>
      </c>
      <c r="DV3" s="236" t="str">
        <f t="shared" si="28"/>
        <v>X</v>
      </c>
      <c r="DW3" s="236" t="str">
        <f t="shared" si="21"/>
        <v>X</v>
      </c>
      <c r="DX3" s="236" t="str">
        <f t="shared" si="22"/>
        <v>X</v>
      </c>
      <c r="DY3" s="236" t="str">
        <f t="shared" si="28"/>
        <v>X</v>
      </c>
      <c r="DZ3" s="236" t="str">
        <f t="shared" si="28"/>
        <v>X</v>
      </c>
      <c r="EA3" s="236" t="str">
        <f t="shared" si="28"/>
        <v>X</v>
      </c>
      <c r="EB3" s="236" t="str">
        <f t="shared" si="28"/>
        <v>X</v>
      </c>
      <c r="EC3" s="236" t="str">
        <f t="shared" si="28"/>
        <v>X</v>
      </c>
      <c r="ED3" s="236" t="str">
        <f t="shared" si="28"/>
        <v>X</v>
      </c>
      <c r="EE3" s="236" t="str">
        <f t="shared" si="28"/>
        <v>X</v>
      </c>
      <c r="EF3" s="236" t="str">
        <f t="shared" si="28"/>
        <v>X</v>
      </c>
      <c r="EG3" s="236" t="str">
        <f t="shared" si="28"/>
        <v>X</v>
      </c>
      <c r="EH3" s="236" t="str">
        <f t="shared" si="28"/>
        <v>X</v>
      </c>
      <c r="EI3" s="236" t="str">
        <f t="shared" si="28"/>
        <v>X</v>
      </c>
      <c r="EJ3" s="236" t="str">
        <f t="shared" si="28"/>
        <v>X</v>
      </c>
      <c r="EK3" s="236" t="str">
        <f t="shared" si="28"/>
        <v>X</v>
      </c>
      <c r="EL3" s="236" t="str">
        <f t="shared" si="28"/>
        <v>X</v>
      </c>
      <c r="EM3" s="236" t="str">
        <f t="shared" si="28"/>
        <v>X</v>
      </c>
      <c r="EN3" s="236" t="str">
        <f t="shared" si="28"/>
        <v>X</v>
      </c>
      <c r="EO3" s="236" t="str">
        <f t="shared" si="28"/>
        <v>X</v>
      </c>
      <c r="EP3" s="236" t="str">
        <f t="shared" si="23"/>
        <v>X</v>
      </c>
      <c r="EQ3" s="236" t="str">
        <f t="shared" si="24"/>
        <v>X</v>
      </c>
      <c r="ER3" s="236" t="str">
        <f t="shared" si="28"/>
        <v>X</v>
      </c>
      <c r="ES3" s="236" t="str">
        <f t="shared" si="28"/>
        <v>X</v>
      </c>
      <c r="ET3" s="236" t="str">
        <f t="shared" si="28"/>
        <v>X</v>
      </c>
      <c r="EU3" s="236" t="str">
        <f t="shared" ref="EU3" si="29">IF(NOT(OR(EL3="12 months", EL3="24 months")), "X", " ")</f>
        <v>X</v>
      </c>
      <c r="EV3" s="243" t="e">
        <f>ROUND(EQ3/ES3,2)</f>
        <v>#VALUE!</v>
      </c>
      <c r="EW3" s="244">
        <f>IF('Application Merchant'!J20=0,"",'Application Merchant'!J20)</f>
        <v>30000</v>
      </c>
      <c r="EX3" s="245" t="str">
        <f>IF('Application Merchant'!J22=0,"",'Application Merchant'!J22)</f>
        <v/>
      </c>
      <c r="EY3" s="245">
        <f>IF('Application Merchant'!J23=0,"",'Application Merchant'!J23)</f>
        <v>720000</v>
      </c>
      <c r="EZ3" s="242"/>
      <c r="FA3" s="242"/>
      <c r="FB3" s="242"/>
      <c r="FC3" s="242"/>
      <c r="FD3" s="242"/>
      <c r="FE3" s="293">
        <f>IF('Application Merchant'!$J$26=0,"",'Application Merchant'!$J$26)</f>
        <v>0.2</v>
      </c>
      <c r="FF3" s="246" t="str">
        <f>IF('Application Merchant'!J24=0,"",'Application Merchant'!J24)</f>
        <v/>
      </c>
      <c r="FG3" s="235" t="str">
        <f>IF(+'Payment Channels'!$B$11=0,"",'Payment Channels'!$B$11)</f>
        <v>X</v>
      </c>
      <c r="FH3" s="271">
        <f>IF(+'Payment Channels'!$B$12=0,"",'Payment Channels'!$B$12)</f>
        <v>0.01</v>
      </c>
      <c r="FI3" s="235" t="str">
        <f>IF(+'Payment Channels'!$B$9=0,"",'Payment Channels'!$B$9)</f>
        <v>X</v>
      </c>
      <c r="FJ3" s="271">
        <f>IF(+'Payment Channels'!$B$10=0,"",'Payment Channels'!$B$10)</f>
        <v>0.01</v>
      </c>
      <c r="FK3" s="235" t="str">
        <f>IF(AA3="X","X","")</f>
        <v>X</v>
      </c>
      <c r="FL3" s="248" t="str">
        <f>+IF('Payment Channels'!$N$8=0,"",'Payment Channels'!$N$8)</f>
        <v/>
      </c>
      <c r="FM3" s="235" t="str">
        <f>IF(AA3="X","X","")</f>
        <v>X</v>
      </c>
      <c r="FN3" s="248" t="str">
        <f>+IF('Payment Channels'!$N$9=0,"",'Payment Channels'!$N$9)</f>
        <v/>
      </c>
      <c r="FO3" s="235" t="str">
        <f>IF(+'Payment Channels'!$B$11=0,"",'Payment Channels'!$B$11)</f>
        <v>X</v>
      </c>
      <c r="FP3" s="271">
        <f>IF(+'Payment Channels'!$B$12=0,"",'Payment Channels'!$B$12)</f>
        <v>0.01</v>
      </c>
      <c r="FQ3" s="235" t="str">
        <f>IF(+'Payment Channels'!$B$9=0,"",'Payment Channels'!$B$9)</f>
        <v>X</v>
      </c>
      <c r="FR3" s="271">
        <f>IF(+'Payment Channels'!$B$10=0,"",'Payment Channels'!$B$10)</f>
        <v>0.01</v>
      </c>
      <c r="FS3" s="235" t="str">
        <f>IF(+'Payment Channels'!$B$13=0,"",'Payment Channels'!$B$13)</f>
        <v/>
      </c>
      <c r="FT3" s="271" t="str">
        <f>IF(+'Payment Channels'!$B$14=0,"",'Payment Channels'!$B$14)</f>
        <v/>
      </c>
      <c r="FU3" s="271" t="str">
        <f>IF(+'Payment Channels'!$B$15=0,"",'Payment Channels'!$B$15)</f>
        <v/>
      </c>
      <c r="FV3" s="235" t="str">
        <f>IF(+'Payment Channels'!$B$16=0,"",'Payment Channels'!$B$16)</f>
        <v/>
      </c>
      <c r="FW3" s="235" t="str">
        <f>IF(+'Payment Channels'!$B$17=0,"",'Payment Channels'!$B$17)</f>
        <v/>
      </c>
      <c r="FX3" s="247" t="str">
        <f>IF(+'Payment Channels'!$B$18=0,"",'Payment Channels'!$B$18)</f>
        <v/>
      </c>
      <c r="FY3" s="247" t="str">
        <f>IF(+'Payment Channels'!$B$19=0,"",'Payment Channels'!$B$19)</f>
        <v/>
      </c>
      <c r="FZ3" s="235" t="str">
        <f>IF(+'Payment Channels'!$B$20=0,"",'Payment Channels'!$B$20)</f>
        <v/>
      </c>
      <c r="GA3" s="247" t="str">
        <f>IF(__Anonymous_Sheet_DB__1[[#This Row],[POS_CLUB]]="","",'Payment Channels'!B21)</f>
        <v/>
      </c>
      <c r="GB3" s="241" t="str">
        <f>IF(__Anonymous_Sheet_DB__1[[#This Row],[POS_CLUB]]="","",'Payment Channels'!B22)</f>
        <v/>
      </c>
      <c r="GC3" s="235" t="str">
        <f>IF(+'Payment Channels'!$B$23=0,"",'Payment Channels'!$B$23)</f>
        <v>X</v>
      </c>
      <c r="GD3" s="247">
        <f>IF(__Anonymous_Sheet_DB__1[[#This Row],[POS_OCL]]="","",'Payment Channels'!B24)</f>
        <v>1.4500000000000001E-2</v>
      </c>
      <c r="GE3" s="235" t="str">
        <f>IF(+'Payment Channels'!$B$25=0,"",'Payment Channels'!$B$25)</f>
        <v>X</v>
      </c>
      <c r="GF3" s="247">
        <f>IF(__Anonymous_Sheet_DB__1[[#This Row],[POS_Alipay]]="","",'Payment Channels'!$B$26)</f>
        <v>1.2E-2</v>
      </c>
      <c r="GG3" s="235" t="str">
        <f>IF(+'Payment Channels'!$B$27=0,"",'Payment Channels'!$B$27)</f>
        <v>X</v>
      </c>
      <c r="GH3" s="247">
        <f>IF(__Anonymous_Sheet_DB__1[[#This Row],[POS_Wechat]]="","",'Payment Channels'!$B$28)</f>
        <v>1.2E-2</v>
      </c>
      <c r="GI3" s="235" t="str">
        <f>+IF('Payment Channels'!$J$8=0,"",'Payment Channels'!$J$8)</f>
        <v/>
      </c>
      <c r="GJ3" s="248">
        <f>+IF('Payment Channels'!$J$9=0,"",'Payment Channels'!$J$9)</f>
        <v>0.01</v>
      </c>
      <c r="GK3" s="235" t="str">
        <f>+IF('Payment Channels'!$J$6=0,"",'Payment Channels'!$J$6)</f>
        <v/>
      </c>
      <c r="GL3" s="248">
        <f>+IF('Payment Channels'!$J$7=0,"",'Payment Channels'!$J$7)</f>
        <v>0.01</v>
      </c>
      <c r="GM3" s="235" t="str">
        <f>+IF('Payment Channels'!$J$10=0,"",'Payment Channels'!$J$10)</f>
        <v/>
      </c>
      <c r="GN3" s="248" t="str">
        <f>+IF('Payment Channels'!$J$11=0,"",'Payment Channels'!$J$11)</f>
        <v/>
      </c>
      <c r="GO3" s="248" t="str">
        <f>+IF('Payment Channels'!$J$12=0,"",'Payment Channels'!$J$12)</f>
        <v/>
      </c>
      <c r="GP3" s="235" t="str">
        <f>+IF('Payment Channels'!$F$2=0,"",'Payment Channels'!$F$2)</f>
        <v>X</v>
      </c>
      <c r="GQ3" s="248">
        <f>+IF('Payment Channels'!$F$3=0,"",'Payment Channels'!$F$3)</f>
        <v>0.01</v>
      </c>
      <c r="GR3" s="236" t="str">
        <f>IF(__Anonymous_Sheet_DB__1[[#This Row],[FPSSuite]]="X", "X","")</f>
        <v>X</v>
      </c>
      <c r="GS3" s="248">
        <f>+IF('Payment Channels'!$F$4=0,"",'Payment Channels'!$F$4)</f>
        <v>0.01</v>
      </c>
      <c r="GT3" s="236" t="str">
        <f>IF(__Anonymous_Sheet_DB__1[[#This Row],[FPSSuite]]="X", "X","")</f>
        <v>X</v>
      </c>
      <c r="GU3" s="248">
        <f>+IF('Payment Channels'!$F$5=0,"",'Payment Channels'!$F$5)</f>
        <v>0.01</v>
      </c>
      <c r="GV3" s="236" t="str">
        <f>IF(__Anonymous_Sheet_DB__1[[#This Row],[FPSSuite]]="X", "X","")</f>
        <v>X</v>
      </c>
      <c r="GW3" s="248">
        <f>+IF('Payment Channels'!$F$6=0,"",'Payment Channels'!$F$6)</f>
        <v>0.01</v>
      </c>
      <c r="GX3" s="236" t="str">
        <f>IF(__Anonymous_Sheet_DB__1[[#This Row],[FPSSuite]]="X", "X","")</f>
        <v>X</v>
      </c>
      <c r="GY3" s="248">
        <f>+IF('Payment Channels'!$F$6=0,"",'Payment Channels'!$F$6)</f>
        <v>0.01</v>
      </c>
      <c r="GZ3" s="248" t="str">
        <f>+IF('Payment Channels'!$N$8=0,"",'Payment Channels'!$N$8)</f>
        <v/>
      </c>
      <c r="HA3" s="248" t="str">
        <f>+IF('Payment Channels'!$N$9=0,"",'Payment Channels'!$N$9)</f>
        <v/>
      </c>
      <c r="HB3" s="248" t="str">
        <f>+IF('Payment Channels'!$N$10=0,"",'Payment Channels'!$N$10)</f>
        <v/>
      </c>
      <c r="HC3" s="248" t="str">
        <f>+IF('Payment Channels'!$N$11=0,"",'Payment Channels'!$N$11)</f>
        <v/>
      </c>
      <c r="HD3" s="248" t="str">
        <f>+IF('Payment Channels'!$N$12=0,"",'Payment Channels'!$N$12)</f>
        <v/>
      </c>
      <c r="HE3" s="248" t="str">
        <f>+IF('Payment Channels'!$N$13=0,"",'Payment Channels'!$N$13)</f>
        <v/>
      </c>
      <c r="HF3" s="248" t="str">
        <f>+IF('Payment Channels'!$N$14=0,"",'Payment Channels'!$N$14)</f>
        <v/>
      </c>
      <c r="HG3" s="248" t="str">
        <f>IF('Payment Channels'!$N$15=0,"",'Payment Channels'!$N$15)</f>
        <v/>
      </c>
      <c r="HH3" s="248" t="str">
        <f>IF('Payment Channels'!$N$16=0,"",'Payment Channels'!$N$16)</f>
        <v/>
      </c>
      <c r="HI3" s="248" t="str">
        <f>IF('Payment Channels'!$N$17=0,"",'Payment Channels'!$N$17)</f>
        <v/>
      </c>
      <c r="HJ3" s="248" t="str">
        <f>IF('Payment Channels'!$N$18=0,"",'Payment Channels'!$N$18)</f>
        <v/>
      </c>
      <c r="HK3" s="248" t="str">
        <f>IF('Payment Channels'!$N$19=0,"",'Payment Channels'!$N$19)</f>
        <v/>
      </c>
      <c r="HL3" s="248" t="str">
        <f>IF('Payment Channels'!$N$20=0,"",'Payment Channels'!$N$20)</f>
        <v/>
      </c>
      <c r="HM3" s="248" t="str">
        <f>IF('Payment Channels'!$N$33=0,"",'Payment Channels'!$N$33)</f>
        <v/>
      </c>
      <c r="HN3" s="248" t="str">
        <f>IF('Payment Channels'!$N$34=0,"",'Payment Channels'!$N$34)</f>
        <v/>
      </c>
      <c r="HO3" s="248" t="str">
        <f>IF('Payment Channels'!$N$35=0,"",'Payment Channels'!$N$35)</f>
        <v/>
      </c>
      <c r="HP3" s="248" t="str">
        <f>IF('Payment Channels'!$N$36=0,"",'Payment Channels'!$N$36)</f>
        <v/>
      </c>
      <c r="HQ3" s="248" t="str">
        <f>IF('Payment Channels'!$N$37=0,"",'Payment Channels'!$N$37)</f>
        <v/>
      </c>
      <c r="HR3" s="248" t="str">
        <f>IF('Payment Channels'!$N$38=0,"",'Payment Channels'!$N$38)</f>
        <v/>
      </c>
      <c r="HS3" s="248" t="str">
        <f>IF('Payment Channels'!$N$39=0,"",'Payment Channels'!$N$39)</f>
        <v/>
      </c>
      <c r="HT3" s="248" t="str">
        <f>IF('Payment Channels'!$N$40=0,"",'Payment Channels'!$N$40)</f>
        <v/>
      </c>
      <c r="HU3" s="248" t="str">
        <f>IF('Payment Channels'!$N$41=0,"",'Payment Channels'!$N$41)</f>
        <v/>
      </c>
      <c r="HV3" s="248" t="str">
        <f>IF('Payment Channels'!$N$42=0,"",'Payment Channels'!$N$42)</f>
        <v/>
      </c>
      <c r="HW3" s="248" t="str">
        <f>IF('Payment Channels'!$N$43=0,"",'Payment Channels'!$N$43)</f>
        <v/>
      </c>
      <c r="HX3" t="str">
        <f>+IF('Payment Channels'!$N$45=0,"",'Payment Channels'!$N$45)</f>
        <v/>
      </c>
      <c r="HY3" t="str">
        <f>+IF('Payment Channels'!$N$46=0,"",'Payment Channels'!$N$46)</f>
        <v/>
      </c>
      <c r="HZ3" t="str">
        <f>+IF('Payment Channels'!$N$47=0,"",'Payment Channels'!$N$47)</f>
        <v/>
      </c>
      <c r="IA3" s="235" t="str">
        <f>IF('Application Merchant'!B15=0,"",'Application Merchant'!B15)</f>
        <v>TONG HO RESTAURANT LIMITED~Test 1</v>
      </c>
      <c r="IB3" s="235" t="str">
        <f>IF('Application Merchant'!B16=0,"",'Application Merchant'!B16)</f>
        <v>潼灝餐飲有限公司~Test 1</v>
      </c>
      <c r="IC3" s="238" t="str">
        <f>IF('Application Merchant'!B25=0,"",'Application Merchant'!B25)</f>
        <v>S8A</v>
      </c>
      <c r="ID3" s="238" t="str">
        <f>IF('Application Merchant'!B26=0,"",'Application Merchant'!B26)</f>
        <v>G/F</v>
      </c>
      <c r="IE3" s="238" t="str">
        <f>IF('Application Merchant'!B27=0,"",'Application Merchant'!B27)</f>
        <v>BAUHINIA GARDEN</v>
      </c>
      <c r="IF3" s="238" t="str">
        <f>IF('Application Merchant'!B28=0,"",'Application Merchant'!B28)</f>
        <v>11 TONG CHUN ST</v>
      </c>
      <c r="IG3" s="238" t="str">
        <f>IF('Application Merchant'!B29=0,"",'Application Merchant'!B29)</f>
        <v>Tseung Kwan O</v>
      </c>
      <c r="IH3" s="238" t="str">
        <f>IF('Application Merchant'!B30=0,"",'Application Merchant'!B30)</f>
        <v>New Territories</v>
      </c>
      <c r="II3" s="236" t="str">
        <f>IC3&amp;" "&amp;" "&amp;ID3&amp;" "&amp;" "&amp;IE3&amp;" "&amp;" "&amp;IF3&amp;" "&amp;""&amp;IG3&amp;" "&amp;" "&amp;IH3</f>
        <v>S8A  G/F  BAUHINIA GARDEN  11 TONG CHUN ST Tseung Kwan O  New Territories</v>
      </c>
      <c r="IJ3" s="236" t="str">
        <f>IF('Application Merchant'!F15=0,"",'Application Merchant'!F15)</f>
        <v>S8A</v>
      </c>
      <c r="IK3" s="236" t="str">
        <f>IF('Application Merchant'!F16=0,"",'Application Merchant'!F16)</f>
        <v>G/F</v>
      </c>
      <c r="IL3" s="236" t="str">
        <f>IF('Application Merchant'!F17=0,"",'Application Merchant'!F17)</f>
        <v>BAUHINIA GARDEN</v>
      </c>
      <c r="IM3" s="236" t="str">
        <f>IF('Application Merchant'!F18=0,"",'Application Merchant'!F18)</f>
        <v>11 TONG CHUN ST</v>
      </c>
      <c r="IN3" s="236" t="str">
        <f>IF('Application Merchant'!F19=0,"",'Application Merchant'!F19)</f>
        <v>Tseung Kwan O</v>
      </c>
      <c r="IO3" s="236" t="str">
        <f>IF('Application Merchant'!F20=0,"",'Application Merchant'!F20)</f>
        <v>New Territories</v>
      </c>
      <c r="IP3" s="236" t="str">
        <f>IJ3&amp;" "&amp;" "&amp;IK3&amp;" "&amp;" "&amp;IL3&amp;" "&amp;" "&amp;IM3&amp;" "&amp;" "&amp;IN3&amp;" "&amp;" "&amp;IO3</f>
        <v>S8A  G/F  BAUHINIA GARDEN  11 TONG CHUN ST  Tseung Kwan O  New Territories</v>
      </c>
      <c r="IQ3" s="235" t="str">
        <f>IF('Application Merchant'!B24=0,"",'Application Merchant'!B24)</f>
        <v>Fast Food Restaurants</v>
      </c>
      <c r="IR3" s="236" t="str">
        <f>IF(LEFT('Application Merchant'!B20,4)="Sole","X","")</f>
        <v/>
      </c>
      <c r="IS3" s="236" t="str">
        <f>IF(LEFT('Application Merchant'!B20,4)="Part","X","")</f>
        <v/>
      </c>
      <c r="IT3" s="236" t="str">
        <f>IF(LEFT('Application Merchant'!B20,4)="Limi","X","")</f>
        <v/>
      </c>
      <c r="IU3" s="236" t="str">
        <f>IF(LEFT('Application Merchant'!B20,4)="Publ","X","")</f>
        <v/>
      </c>
      <c r="IV3" s="236" t="str">
        <f>IF(LEFT('Application Merchant'!B20,4)="Gove","X","")</f>
        <v>X</v>
      </c>
      <c r="IW3" s="236" t="str">
        <f>IF(LEFT('Application Merchant'!B20,4)="NGO","X","")</f>
        <v/>
      </c>
      <c r="IX3" s="236" t="str">
        <f>IF(COUNTIF(IR3:IW3, "X") = 0, "X", "")</f>
        <v/>
      </c>
      <c r="IY3" s="235" t="str">
        <f>IF(LEFT('Application Merchant'!B20,6)="Other:","",'Application Merchant'!B20)</f>
        <v>Government</v>
      </c>
      <c r="IZ3" s="236" t="str">
        <f>IF(__Anonymous_Sheet_DB__1[[#This Row],[BREntityOtherX]]="X",'Application Merchant'!B20,"")</f>
        <v/>
      </c>
      <c r="JA3" s="235" t="str">
        <f>TEXT(DAY('Application Merchant'!B22),"00")</f>
        <v>11</v>
      </c>
      <c r="JB3" s="235" t="str">
        <f>TEXT(MONTH('Application Merchant'!B22),"00")</f>
        <v>01</v>
      </c>
      <c r="JC3" s="235" t="str">
        <f>TEXT(YEAR('Application Merchant'!B22),"0000")</f>
        <v>2024</v>
      </c>
      <c r="JD3" s="249" t="str">
        <f>RIGHT(JC3, 2)</f>
        <v>24</v>
      </c>
      <c r="JE3" s="237">
        <f>DATE(JC3,JB3,JA3)</f>
        <v>45302</v>
      </c>
      <c r="JF3" s="237">
        <f>EDATE(__Anonymous_Sheet_DB__1[[#This Row],[BRDate]],12)-1</f>
        <v>45667</v>
      </c>
      <c r="JG3" s="235" t="str">
        <f>LEFT(+'Application Merchant'!B21,8)</f>
        <v>74765840</v>
      </c>
      <c r="JH3" s="250" t="str">
        <f>MID('Application Merchant'!B21,10,3)</f>
        <v>000</v>
      </c>
      <c r="JI3" s="251">
        <f>IF('Application Merchant'!B22=0,"",'Application Merchant'!B22)</f>
        <v>45302</v>
      </c>
      <c r="JJ3" s="236" t="str">
        <f>JG3&amp;" -"&amp;" "&amp;JH3&amp;""</f>
        <v>74765840 - 000</v>
      </c>
      <c r="JK3" s="236" t="str">
        <f>IF('Application Merchant'!B21=0,"",'Application Merchant'!B21)</f>
        <v>74765840-000-01-24-5</v>
      </c>
      <c r="JL3" s="235" t="str">
        <f>IF('Application Merchant'!B9=0,"",'Application Merchant'!B9)</f>
        <v>Afghanistan</v>
      </c>
      <c r="JM3" s="236" t="str">
        <f>IF('Application Merchant'!B9="Hong Kong, China","X","")</f>
        <v/>
      </c>
      <c r="JN3" s="249" t="str">
        <f>IF(OR(JL3="Hong Kong, China", JL3=""), "", "X")</f>
        <v>X</v>
      </c>
      <c r="JO3" s="236" t="str">
        <f>IF(JN3="X",JL3,"")</f>
        <v>Afghanistan</v>
      </c>
      <c r="JP3" s="238" t="str">
        <f>IF('Application Merchant'!B11=0,"",TEXT(DAY('Application Merchant'!B11),"00"))</f>
        <v>11</v>
      </c>
      <c r="JQ3" s="238" t="str">
        <f>IF('Application Merchant'!B11=0,"",TEXT(MONTH('Application Merchant'!B11),"00"))</f>
        <v>01</v>
      </c>
      <c r="JR3" s="238" t="str">
        <f>IF('Application Merchant'!B11=0,"",TEXT(YEAR('Application Merchant'!B11),"0000"))</f>
        <v>2023</v>
      </c>
      <c r="JS3" s="236" t="str">
        <f>RIGHT(JR3,2)</f>
        <v>23</v>
      </c>
      <c r="JT3" s="237">
        <f>DATE(JR3,JQ3,JP3)</f>
        <v>44937</v>
      </c>
      <c r="JU3" s="238">
        <f>IF('Application Merchant'!B10=0,"",'Application Merchant'!B10)</f>
        <v>3224327</v>
      </c>
      <c r="JV3" s="240" t="str">
        <f>IF('Application Merchant'!F28=0,"",'Application Merchant'!F28)</f>
        <v>S8A G/F BAUHINIA GARDEN 11 TONG CHUN ST TSEUNG KWAN O NT HK</v>
      </c>
      <c r="JW3" s="240" t="str">
        <f>IF('Application Merchant'!F25=0,"",'Application Merchant'!F25)</f>
        <v>012</v>
      </c>
      <c r="JX3" s="240" t="str">
        <f>0&amp;__Anonymous_Sheet_DB__1[[#This Row],[BankCode]]</f>
        <v>0012</v>
      </c>
      <c r="JY3" s="252" t="str">
        <f>IF('Application Merchant'!F29=0,"",'Application Merchant'!F29)</f>
        <v>BANK OF CHINA (HONG KONG) LIMITED</v>
      </c>
      <c r="JZ3" s="236" t="str">
        <f>IF('Application Merchant'!F29=0,"",'Application Merchant'!F29)</f>
        <v>BANK OF CHINA (HONG KONG) LIMITED</v>
      </c>
      <c r="KA3" s="235" t="str">
        <f>IF(COUNTIF(__Anonymous_Sheet_DB__1[[#This Row],[004X]:[128X]],"X")&lt;&gt;0,"","X")</f>
        <v/>
      </c>
      <c r="KB3" s="290" t="str">
        <f>IF(OR(JW3="003", JW3="004", JW3="012", JW3="024", JW3="382", JW3="035", JW3="018", JW3="025", JW3="009", JW3="061", JW3="015", JW3="009", JW3="041", JW3="250", JW3="040", JW3="016", JW3="128", JW3="020", JW3="043", JW3="072"), IF(OR(JY3="value1", JY3="value2", JY3="value3"), JY3, ""), JY3)</f>
        <v/>
      </c>
      <c r="KC3" s="253" t="str">
        <f>IF(__Anonymous_Sheet_DB__1[[#This Row],[BankCode]]="004","X","")</f>
        <v/>
      </c>
      <c r="KD3" s="236" t="str">
        <f>IF(__Anonymous_Sheet_DB__1[[#This Row],[BankCode]]="003","X","")</f>
        <v/>
      </c>
      <c r="KE3" s="236" t="str">
        <f>IF(__Anonymous_Sheet_DB__1[[#This Row],[BankCode]]="012","X","")</f>
        <v>X</v>
      </c>
      <c r="KF3" s="236" t="str">
        <f>IF(__Anonymous_Sheet_DB__1[[#This Row],[BankCode]]="024","X","")</f>
        <v/>
      </c>
      <c r="KG3" s="236" t="str">
        <f>IF(__Anonymous_Sheet_DB__1[[#This Row],[BankCode]]="382","X","")</f>
        <v/>
      </c>
      <c r="KH3" s="236" t="str">
        <f>IF(__Anonymous_Sheet_DB__1[[#This Row],[BankCode]]="035","X","")</f>
        <v/>
      </c>
      <c r="KI3" s="236" t="str">
        <f>IF(__Anonymous_Sheet_DB__1[[#This Row],[BankCode]]="018","X","")</f>
        <v/>
      </c>
      <c r="KJ3" s="236" t="str">
        <f>IF(__Anonymous_Sheet_DB__1[[#This Row],[BankCode]]="025","X","")</f>
        <v/>
      </c>
      <c r="KK3" s="236" t="str">
        <f>IF(__Anonymous_Sheet_DB__1[[#This Row],[BankCode]]="009","X","")</f>
        <v/>
      </c>
      <c r="KL3" s="236" t="str">
        <f>IF(__Anonymous_Sheet_DB__1[[#This Row],[BankCode]]="041","X","")</f>
        <v/>
      </c>
      <c r="KM3" s="236" t="str">
        <f>IF(__Anonymous_Sheet_DB__1[[#This Row],[BankCode]]="015","X","")</f>
        <v/>
      </c>
      <c r="KN3" s="236" t="str">
        <f>IF(__Anonymous_Sheet_DB__1[[#This Row],[BankCode]]="250","X","")</f>
        <v/>
      </c>
      <c r="KO3" s="236" t="str">
        <f>IF(__Anonymous_Sheet_DB__1[[#This Row],[BankCode]]="020","X","")</f>
        <v/>
      </c>
      <c r="KP3" s="236" t="str">
        <f>IF(__Anonymous_Sheet_DB__1[[#This Row],[BankCode]]="040","X","")</f>
        <v/>
      </c>
      <c r="KQ3" s="236" t="str">
        <f>IF(__Anonymous_Sheet_DB__1[[#This Row],[BankCode]]="043","X","")</f>
        <v/>
      </c>
      <c r="KR3" s="236" t="str">
        <f>IF(__Anonymous_Sheet_DB__1[[#This Row],[BankCode]]="016","X","")</f>
        <v/>
      </c>
      <c r="KS3" s="236" t="str">
        <f>IF(__Anonymous_Sheet_DB__1[[#This Row],[BankCode]]="072","X","")</f>
        <v/>
      </c>
      <c r="KT3" s="236" t="str">
        <f>IF(__Anonymous_Sheet_DB__1[[#This Row],[BankCode]]="128","X","")</f>
        <v/>
      </c>
      <c r="KU3" s="254" t="str">
        <f>IF(KC3&amp;KD3&amp;KE3&amp;KF3&amp;KG3&amp;KH3&amp;KH3&amp;KI3&amp;KJ3&amp;KK3&amp;KL3&amp;KM3&amp;KN3&amp;KO3&amp;KP3&amp;KQ3&amp;KR3&amp;KS3&amp;KT3="",'Application Merchant'!F25,"")</f>
        <v/>
      </c>
      <c r="KV3" s="236" t="str">
        <f>IF('Application Merchant'!F30=0,"",'Application Merchant'!F30)</f>
        <v>BKCHHKHHXXX</v>
      </c>
      <c r="KW3" s="254" t="str">
        <f>IF('Application Merchant'!F26=0,"",'Application Merchant'!F26)</f>
        <v>663</v>
      </c>
      <c r="KX3" s="254" t="str">
        <f>IF('Application Merchant'!F27=0,"",'Application Merchant'!F27)</f>
        <v>2-012695-3</v>
      </c>
      <c r="KY3" s="249" t="str">
        <f>KW3&amp;"-"&amp;KX3</f>
        <v>663-2-012695-3</v>
      </c>
      <c r="KZ3" s="235" t="str">
        <f>JW3&amp;"-"&amp;KW3&amp;"-"&amp;KX3</f>
        <v>012-663-2-012695-3</v>
      </c>
      <c r="LA3" s="235" t="str">
        <f>IF('Application Merchant'!F24=0,"",'Application Merchant'!F24)</f>
        <v>TONG HO RESTAURANT LIMITED</v>
      </c>
      <c r="LB3" s="82" t="str">
        <f>IF(Contacts!R2=0,"",Contacts!R2)</f>
        <v>Mr</v>
      </c>
      <c r="LC3" s="255" t="str">
        <f>IF(LB3="Mr", "X", " ")</f>
        <v>X</v>
      </c>
      <c r="LD3" s="255" t="str">
        <f>IF(LB3="Mrs", "X", " ")</f>
        <v xml:space="preserve"> </v>
      </c>
      <c r="LE3" s="255" t="str">
        <f>IF(LB3="Miss", "X", " ")</f>
        <v xml:space="preserve"> </v>
      </c>
      <c r="LF3" s="255" t="str">
        <f>IF(LB3="Ms", "X", " ")</f>
        <v xml:space="preserve"> </v>
      </c>
      <c r="LG3" s="83" t="str">
        <f>IF(Contacts!R3=0,"",Contacts!R3)</f>
        <v>CHEN</v>
      </c>
      <c r="LH3" s="83" t="str">
        <f>IF(Contacts!R4=0,"",Contacts!R4)</f>
        <v>HANDE</v>
      </c>
      <c r="LI3" s="236" t="str">
        <f>LG3&amp;" "&amp;LH3</f>
        <v>CHEN HANDE</v>
      </c>
      <c r="LJ3" s="83" t="str">
        <f>IF(Contacts!R6=0,"",Contacts!R6)</f>
        <v>陳漢得</v>
      </c>
      <c r="LK3" s="83" t="str">
        <f>IF(Contacts!R7=0,"",Contacts!R7)</f>
        <v>Director</v>
      </c>
      <c r="LL3" s="83" t="str">
        <f>IF(Contacts!R9=0,"",Contacts!R9)</f>
        <v>HKID</v>
      </c>
      <c r="LM3" s="255" t="str">
        <f>IF(LL3="HKID", "X", " ")</f>
        <v>X</v>
      </c>
      <c r="LN3" s="255" t="str">
        <f>IF(LL3="Passport", "X", " ")</f>
        <v xml:space="preserve"> </v>
      </c>
      <c r="LO3" s="83" t="str">
        <f>IF(Contacts!R10=0,"",Contacts!R10)</f>
        <v>R526008(5)</v>
      </c>
      <c r="LP3" s="83" t="str">
        <f>IF(Contacts!R11=0,"",TEXT(DAY(Contacts!R11),"00"))</f>
        <v>03</v>
      </c>
      <c r="LQ3" s="83" t="str">
        <f>IF(Contacts!R11=0,"",TEXT(MONTH(Contacts!R11),"00"))</f>
        <v>05</v>
      </c>
      <c r="LR3" s="83" t="str">
        <f>IF(Contacts!R11=0,"",TEXT(YEAR(Contacts!R11),"0000"))</f>
        <v>1968</v>
      </c>
      <c r="LS3" s="255" t="str">
        <f>RIGHT(LR3, 2)</f>
        <v>68</v>
      </c>
      <c r="LT3" s="256">
        <f>DATE(LR3,LQ3,LP3)</f>
        <v>24961</v>
      </c>
      <c r="LU3" s="83" t="str">
        <f>IF(Contacts!R12="","",Contacts!R12)</f>
        <v>Georgia</v>
      </c>
      <c r="LV3" s="237" t="str">
        <f>IF(OR(LU3="Hong Kong, China", LU3="China",LU3="Macau, China"), "X", "")</f>
        <v/>
      </c>
      <c r="LW3" s="237" t="str">
        <f>IF(__Anonymous_Sheet_DB__1[[#This Row],[ARCountryCN1X]]="X","","X")</f>
        <v>X</v>
      </c>
      <c r="LX3" s="236" t="str">
        <f>IF(LW3="X",LU3," ")</f>
        <v>Georgia</v>
      </c>
      <c r="LY3" s="257" t="str">
        <f>IF(Contacts!B27=0,"",Contacts!B27)</f>
        <v>Director</v>
      </c>
      <c r="LZ3" s="258" t="str">
        <f>IF(LY3="Sole Proprietor", "X", " ")</f>
        <v xml:space="preserve"> </v>
      </c>
      <c r="MA3" s="258" t="str">
        <f>IF(LY3="Partner", "X", " ")</f>
        <v xml:space="preserve"> </v>
      </c>
      <c r="MB3" s="258" t="str">
        <f>IF(LY3="Director", "X", " ")</f>
        <v>X</v>
      </c>
      <c r="MC3" s="258" t="str">
        <f>IF(LY3="Shareholder", "X", " ")</f>
        <v xml:space="preserve"> </v>
      </c>
      <c r="MD3" s="258" t="str">
        <f>IF(LY3="Beneficial Owner", "X", " ")</f>
        <v xml:space="preserve"> </v>
      </c>
      <c r="ME3" s="258" t="str">
        <f>IF(LY3="Authorized Signatory", "X", " ")</f>
        <v xml:space="preserve"> </v>
      </c>
      <c r="MF3" s="258" t="str">
        <f>IF(COUNTIF(LZ3:ME3, "X") = 0, "X", "")</f>
        <v/>
      </c>
      <c r="MG3" s="258" t="str">
        <f>IF(__Anonymous_Sheet_DB__1[[#This Row],[Director1OtherX]]="X",Contacts!B27,"")</f>
        <v/>
      </c>
      <c r="MH3" s="259"/>
      <c r="MI3" s="259" t="str">
        <f>__Anonymous_Sheet_DB__1[[#This Row],[Director1Capacity]]</f>
        <v>Director</v>
      </c>
      <c r="MJ3" s="257" t="str">
        <f>IF(Contacts!B16=0,"",Contacts!B16)</f>
        <v>Mr</v>
      </c>
      <c r="MK3" s="258" t="str">
        <f>IF(__Anonymous_Sheet_DB__1[[#This Row],[Director1Courtesy]]="Mr","X","")</f>
        <v>X</v>
      </c>
      <c r="ML3" s="258" t="str">
        <f>IF(__Anonymous_Sheet_DB__1[[#This Row],[Director1Courtesy]]="Mrs","X","")</f>
        <v/>
      </c>
      <c r="MM3" s="258" t="str">
        <f>IF(__Anonymous_Sheet_DB__1[[#This Row],[Director1Courtesy]]="Miss","X","")</f>
        <v/>
      </c>
      <c r="MN3" s="258" t="str">
        <f>IF(__Anonymous_Sheet_DB__1[[#This Row],[Director1Courtesy]]="Ms","X","")</f>
        <v/>
      </c>
      <c r="MO3" s="258" t="str">
        <f>IF(MK3="X","X","")</f>
        <v>X</v>
      </c>
      <c r="MP3" s="258" t="str">
        <f>IF(OR(ML3="X",MM3="X",MN3="X"),"X","")</f>
        <v/>
      </c>
      <c r="MQ3" s="257" t="str">
        <f>IF(Contacts!B17=0,"",Contacts!B17)</f>
        <v>CHEN</v>
      </c>
      <c r="MR3" s="257" t="str">
        <f>IF(Contacts!B18=0,"",Contacts!B18)</f>
        <v>HANDE</v>
      </c>
      <c r="MS3" s="236" t="str">
        <f>MQ3&amp;" "&amp;MR3</f>
        <v>CHEN HANDE</v>
      </c>
      <c r="MT3" s="257" t="str">
        <f>IF(Contacts!B21=0,"",Contacts!B21)</f>
        <v>陳</v>
      </c>
      <c r="MU3" s="257" t="str">
        <f>IF(Contacts!B22=0,"",Contacts!B22)</f>
        <v>漢得</v>
      </c>
      <c r="MV3" s="236" t="str">
        <f>MT3&amp;" "&amp;MU3</f>
        <v>陳 漢得</v>
      </c>
      <c r="MW3" s="257" t="str">
        <f>IF(Contacts!B19=0,"",Contacts!B19)</f>
        <v>Director</v>
      </c>
      <c r="MX3" s="257" t="str">
        <f>IF(Contacts!B23=0,"",Contacts!B23)</f>
        <v>HKID</v>
      </c>
      <c r="MY3" s="258" t="str">
        <f>IF(__Anonymous_Sheet_DB__1[[#This Row],[DirectorIDType1]]="HKID","X","")</f>
        <v>X</v>
      </c>
      <c r="MZ3" s="258" t="str">
        <f>IF(__Anonymous_Sheet_DB__1[[#This Row],[DirectorIDType1]]="Passport","X","")</f>
        <v/>
      </c>
      <c r="NA3" s="257" t="str">
        <f>IF(Contacts!B24=0,"",Contacts!B24)</f>
        <v>R526008(5)</v>
      </c>
      <c r="NB3" s="260" t="str">
        <f>IF(MV3="","",NA3)</f>
        <v>R526008(5)</v>
      </c>
      <c r="NC3" s="257" t="str">
        <f>IF(Contacts!B25=0,"",TEXT(DAY(Contacts!B25),"00"))</f>
        <v>03</v>
      </c>
      <c r="ND3" s="257" t="str">
        <f>IF(Contacts!B25=0,"",TEXT(MONTH(Contacts!B25),"00"))</f>
        <v>05</v>
      </c>
      <c r="NE3" s="257" t="str">
        <f>IF(Contacts!B25=0,"",TEXT(YEAR(Contacts!B25),"0000"))</f>
        <v>1968</v>
      </c>
      <c r="NF3" s="261" t="str">
        <f>RIGHT(NE3,2)</f>
        <v>68</v>
      </c>
      <c r="NG3" s="262">
        <f>DATE(NE3,ND3,NC3)</f>
        <v>24961</v>
      </c>
      <c r="NH3" s="258" t="str">
        <f>IF(Contacts!B20=0,"",Contacts!B20)</f>
        <v>5401 9126</v>
      </c>
      <c r="NI3" s="257" t="str">
        <f>IF(Contacts!B26=0,"",Contacts!B26)</f>
        <v>Georgia</v>
      </c>
      <c r="NJ3" s="263" t="str">
        <f>IF(NI3="CHINA", "X", "")</f>
        <v/>
      </c>
      <c r="NK3" s="263" t="str">
        <f>IF(NI3="Hong Kong, China", "X", "")</f>
        <v/>
      </c>
      <c r="NL3" s="263" t="str">
        <f>IF(NI3="Macau, China", "X", "")</f>
        <v/>
      </c>
      <c r="NM3" s="263" t="str">
        <f>IF(OR(NI3="Hong Kong, China", NI3="China", NI3="Macau, China", NI3=""), "", "X")</f>
        <v>X</v>
      </c>
      <c r="NN3" s="258" t="str">
        <f>IF(NM3="X",NI3," ")</f>
        <v>Georgia</v>
      </c>
      <c r="NO3" s="257" t="str">
        <f>+IF(Contacts!B28=0,"",Contacts!B28)</f>
        <v>FLAT 1</v>
      </c>
      <c r="NP3" s="257" t="str">
        <f>+IF(Contacts!B29=0,"",Contacts!B29)</f>
        <v>17/F</v>
      </c>
      <c r="NQ3" s="257" t="str">
        <f>+IF(Contacts!B30=0,"",Contacts!B30)</f>
        <v>BLOCK C,</v>
      </c>
      <c r="NR3" s="257" t="str">
        <f>+IF(Contacts!B31=0,"",Contacts!B31)</f>
        <v>YU MOON HOUSE, PHASE 1, YU CHUI COURT</v>
      </c>
      <c r="NS3" s="257" t="str">
        <f>+IF(Contacts!B32=0,"",Contacts!B32)</f>
        <v>6 NGAU PEI SHA STREET, YUEN CHAU KOK</v>
      </c>
      <c r="NT3" s="257" t="str">
        <f>+IF(Contacts!B33=0,"",Contacts!B33)</f>
        <v>San Tin</v>
      </c>
      <c r="NU3" s="257" t="str">
        <f>+IF(Contacts!B34=0,"",Contacts!B34)</f>
        <v>New Territories</v>
      </c>
      <c r="NV3" s="236" t="str">
        <f>NO3&amp;" "&amp;" "&amp;NP3&amp;" "&amp;" "&amp;NQ3&amp;" "&amp;" "&amp;NR3&amp;" "&amp;" "&amp;NS3&amp;" "&amp;" "&amp;NT3&amp;" "&amp;" "&amp;NU3</f>
        <v>FLAT 1  17/F  BLOCK C,  YU MOON HOUSE, PHASE 1, YU CHUI COURT  6 NGAU PEI SHA STREET, YUEN CHAU KOK  San Tin  New Territories</v>
      </c>
      <c r="NW3" s="235" t="str">
        <f>IF(Contacts!B35=0,"",Contacts!B35)</f>
        <v>N</v>
      </c>
      <c r="NX3" s="236" t="str">
        <f>IF(NW3="Y", "X", " ")</f>
        <v xml:space="preserve"> </v>
      </c>
      <c r="NY3" s="236" t="str">
        <f>IF(NW3="N", "X", " ")</f>
        <v>X</v>
      </c>
      <c r="NZ3" s="235" t="str">
        <f>IF(Contacts!B36=0,"",TEXT(Contacts!B36,"00"))</f>
        <v>05</v>
      </c>
      <c r="OA3" s="235" t="str">
        <f>IF(Contacts!B37=0,"",TEXT(Contacts!B37,"00"))</f>
        <v>03</v>
      </c>
      <c r="OB3" s="246">
        <f>IF(Contacts!B38=0,"",Contacts!B38)</f>
        <v>1</v>
      </c>
      <c r="OC3" s="257" t="str">
        <f>IF(Contacts!F27=0,"",Contacts!F27)</f>
        <v>Director</v>
      </c>
      <c r="OD3" s="258" t="str">
        <f>IF(OC3="Sole Proprietor", "X", " ")</f>
        <v xml:space="preserve"> </v>
      </c>
      <c r="OE3" s="258" t="str">
        <f>IF(OC3="Partner", "X", " ")</f>
        <v xml:space="preserve"> </v>
      </c>
      <c r="OF3" s="258" t="str">
        <f>IF(OC3="Director", "X", " ")</f>
        <v>X</v>
      </c>
      <c r="OG3" s="258" t="str">
        <f>IF(OC3="Shareholder", "X", " ")</f>
        <v xml:space="preserve"> </v>
      </c>
      <c r="OH3" s="258" t="str">
        <f>IF(OC3="Beneficial Owner", "X", " ")</f>
        <v xml:space="preserve"> </v>
      </c>
      <c r="OI3" s="258" t="str">
        <f>IF(OC3="Authorized Signatory", "X", " ")</f>
        <v xml:space="preserve"> </v>
      </c>
      <c r="OJ3" s="258" t="str">
        <f>IF(COUNTIF(OD3:OI3, "X") = 0, "X", "")</f>
        <v/>
      </c>
      <c r="OK3" s="258" t="str">
        <f>IF(__Anonymous_Sheet_DB__1[[#This Row],[Director2OtherX]]="X",Contacts!F27,"")</f>
        <v/>
      </c>
      <c r="OL3" s="258"/>
      <c r="OM3" s="258" t="str">
        <f>__Anonymous_Sheet_DB__1[[#This Row],[Director2Capacity]]</f>
        <v>Director</v>
      </c>
      <c r="ON3" s="257" t="str">
        <f>IF(Contacts!F16=0,"",Contacts!F16)</f>
        <v>Mr</v>
      </c>
      <c r="OO3" s="258" t="str">
        <f>IF(__Anonymous_Sheet_DB__1[[#This Row],[Director2Courtesy]]="Mr","X","")</f>
        <v>X</v>
      </c>
      <c r="OP3" s="258" t="str">
        <f>IF(__Anonymous_Sheet_DB__1[[#This Row],[Director2Courtesy]]="Mrs","X","")</f>
        <v/>
      </c>
      <c r="OQ3" s="258" t="str">
        <f>IF(__Anonymous_Sheet_DB__1[[#This Row],[Director2Courtesy]]="Miss","X","")</f>
        <v/>
      </c>
      <c r="OR3" s="258" t="str">
        <f>IF(ON3="Ms", "X", " ")</f>
        <v xml:space="preserve"> </v>
      </c>
      <c r="OS3" s="258" t="str">
        <f>IF(OO3="X","X","")</f>
        <v>X</v>
      </c>
      <c r="OT3" s="258" t="str">
        <f>IF(OR(OP3="X",OQ3="X",OR3="X"),"X","")</f>
        <v/>
      </c>
      <c r="OU3" s="257" t="str">
        <f>IF(Contacts!F17=0,"",Contacts!F17)</f>
        <v>CHEN</v>
      </c>
      <c r="OV3" s="257" t="str">
        <f>IF(Contacts!F18=0,"",Contacts!F18)</f>
        <v>HANDE</v>
      </c>
      <c r="OW3" s="236" t="str">
        <f>OU3&amp;" "&amp;OV3</f>
        <v>CHEN HANDE</v>
      </c>
      <c r="OX3" s="257" t="str">
        <f>IF(Contacts!F21=0,"",Contacts!F21)</f>
        <v>陳</v>
      </c>
      <c r="OY3" s="257" t="str">
        <f>IF(Contacts!F22=0,"",Contacts!F22)</f>
        <v>漢得</v>
      </c>
      <c r="OZ3" s="236" t="str">
        <f>OX3&amp;" "&amp;OY3</f>
        <v>陳 漢得</v>
      </c>
      <c r="PA3" s="257" t="str">
        <f>IF(Contacts!F19=0,"",Contacts!F19)</f>
        <v>Director</v>
      </c>
      <c r="PB3" s="257" t="str">
        <f>IF(Contacts!F23=0,"",Contacts!F23)</f>
        <v>Passport</v>
      </c>
      <c r="PC3" s="258" t="str">
        <f>IF(__Anonymous_Sheet_DB__1[[#This Row],[DirectorIDType2]]="HKID","X","")</f>
        <v/>
      </c>
      <c r="PD3" s="258" t="str">
        <f>IF(__Anonymous_Sheet_DB__1[[#This Row],[DirectorIDType2]]="Passport","X","")</f>
        <v>X</v>
      </c>
      <c r="PE3" s="257" t="str">
        <f>IF(Contacts!F24=0,"",Contacts!F24)</f>
        <v>R526008(5)</v>
      </c>
      <c r="PF3" s="260" t="str">
        <f>IF(OZ3="","",PE3)</f>
        <v>R526008(5)</v>
      </c>
      <c r="PG3" s="257" t="str">
        <f>IF(Contacts!F25=0,"",TEXT(DAY(Contacts!F25),"00"))</f>
        <v>03</v>
      </c>
      <c r="PH3" s="257" t="str">
        <f>IF(Contacts!F25=0,"",TEXT(MONTH(Contacts!F25),"00"))</f>
        <v>05</v>
      </c>
      <c r="PI3" s="257" t="str">
        <f>IF(Contacts!F25=0,"",TEXT(YEAR(Contacts!F25),"0000"))</f>
        <v>1968</v>
      </c>
      <c r="PJ3" s="261" t="str">
        <f>RIGHT(PI3,2)</f>
        <v>68</v>
      </c>
      <c r="PK3" s="262">
        <f>DATE(PI3,PH3,PG3)</f>
        <v>24961</v>
      </c>
      <c r="PL3" s="258" t="str">
        <f>IF(Contacts!F20=0,"",Contacts!F20)</f>
        <v>5401 9126</v>
      </c>
      <c r="PM3" s="257" t="str">
        <f>IF(Contacts!F26=0,"",Contacts!F26)</f>
        <v>China</v>
      </c>
      <c r="PN3" s="263" t="str">
        <f>IF(PM3="CHINA", "X", "")</f>
        <v>X</v>
      </c>
      <c r="PO3" s="263" t="str">
        <f>IF(PM3="Hong Kong, China", "X", "")</f>
        <v/>
      </c>
      <c r="PP3" s="258" t="str">
        <f>IF(PM3="Macau, China", "X", "")</f>
        <v/>
      </c>
      <c r="PQ3" s="263" t="str">
        <f>IF(OR(PM3="Hong Kong, China", PM3="China", PM3="Macau, China", PM3=""), "", "X")</f>
        <v/>
      </c>
      <c r="PR3" s="258" t="str">
        <f>IF(PQ3="X",PM3," ")</f>
        <v xml:space="preserve"> </v>
      </c>
      <c r="PS3" s="257" t="str">
        <f>+IF(Contacts!F28=0,"",Contacts!F28)</f>
        <v>FLAT 1</v>
      </c>
      <c r="PT3" s="257" t="str">
        <f>+IF(Contacts!F29=0,"",Contacts!F29)</f>
        <v>17/F</v>
      </c>
      <c r="PU3" s="257" t="str">
        <f>+IF(Contacts!F30=0,"",Contacts!F30)</f>
        <v>BLOCK C,</v>
      </c>
      <c r="PV3" s="257" t="str">
        <f>+IF(Contacts!F31=0,"",Contacts!F31)</f>
        <v>YU MOON HOUSE, PHASE 1, YU CHUI COURT</v>
      </c>
      <c r="PW3" s="257" t="str">
        <f>+IF(Contacts!F32=0,"",Contacts!F32)</f>
        <v>6 NGAU PEI SHA STREET, YUEN CHAU KOK</v>
      </c>
      <c r="PX3" s="257" t="str">
        <f>+IF(Contacts!F33=0,"",Contacts!F33)</f>
        <v>San Tin</v>
      </c>
      <c r="PY3" s="257" t="str">
        <f>+IF(Contacts!F34=0,"",Contacts!F34)</f>
        <v>New Territories</v>
      </c>
      <c r="PZ3" s="236" t="str">
        <f>PS3&amp;" "&amp;" "&amp;PT3&amp;" "&amp;" "&amp;PU3&amp;" "&amp;" "&amp;PV3&amp;" "&amp;" "&amp;PW3&amp;" "&amp;" "&amp;PX3&amp;" "&amp;" "&amp;PY3</f>
        <v>FLAT 1  17/F  BLOCK C,  YU MOON HOUSE, PHASE 1, YU CHUI COURT  6 NGAU PEI SHA STREET, YUEN CHAU KOK  San Tin  New Territories</v>
      </c>
      <c r="QA3" s="235" t="str">
        <f>IF(Contacts!F35=0,"",Contacts!F35)</f>
        <v>N</v>
      </c>
      <c r="QB3" s="236" t="str">
        <f>IF(QA3="Y", "X", " ")</f>
        <v xml:space="preserve"> </v>
      </c>
      <c r="QC3" s="236" t="str">
        <f>IF(QA3="N", "X", " ")</f>
        <v>X</v>
      </c>
      <c r="QD3" s="235" t="str">
        <f>IF(Contacts!F36=0,"",TEXT(Contacts!F36,"00"))</f>
        <v>05</v>
      </c>
      <c r="QE3" s="235" t="str">
        <f>IF(Contacts!F37=0,"",TEXT(Contacts!F37,"00"))</f>
        <v>03</v>
      </c>
      <c r="QF3" s="246">
        <f>IF(Contacts!F38=0,"",Contacts!F38)</f>
        <v>1</v>
      </c>
      <c r="QG3" s="257" t="str">
        <f>IF(Contacts!J27=0,"",Contacts!J27)</f>
        <v>Director</v>
      </c>
      <c r="QH3" s="258" t="str">
        <f>IF(QG3="Sole Proprietor", "X", " ")</f>
        <v xml:space="preserve"> </v>
      </c>
      <c r="QI3" s="258" t="str">
        <f>IF(QG3="Partner", "X", " ")</f>
        <v xml:space="preserve"> </v>
      </c>
      <c r="QJ3" s="258" t="str">
        <f>IF(QG3="Director", "X", " ")</f>
        <v>X</v>
      </c>
      <c r="QK3" s="258" t="str">
        <f>IF(QG3="Shareholder", "X", " ")</f>
        <v xml:space="preserve"> </v>
      </c>
      <c r="QL3" s="258" t="str">
        <f>IF(QG3="Beneficial Owner", "X", " ")</f>
        <v xml:space="preserve"> </v>
      </c>
      <c r="QM3" s="258" t="str">
        <f>IF(QG3="Authorized Signatory", "X", " ")</f>
        <v xml:space="preserve"> </v>
      </c>
      <c r="QN3" s="257" t="str">
        <f>IF(Contacts!J16=0,"",Contacts!J16)</f>
        <v>Mr</v>
      </c>
      <c r="QO3" s="258" t="str">
        <f>IF(__Anonymous_Sheet_DB__1[[#This Row],[Director3Courtesy]]="Mr","X","")</f>
        <v>X</v>
      </c>
      <c r="QP3" s="258" t="str">
        <f>IF(__Anonymous_Sheet_DB__1[[#This Row],[Director3Courtesy]]="Mrs","X","")</f>
        <v/>
      </c>
      <c r="QQ3" s="258" t="str">
        <f>IF(__Anonymous_Sheet_DB__1[[#This Row],[Director3Courtesy]]="Miss","X","")</f>
        <v/>
      </c>
      <c r="QR3" s="258" t="str">
        <f>IF(QN3="Ms", "X", " ")</f>
        <v xml:space="preserve"> </v>
      </c>
      <c r="QS3" s="257" t="str">
        <f>IF(Contacts!J17=0,"",Contacts!J17)</f>
        <v>CHEN</v>
      </c>
      <c r="QT3" s="257" t="str">
        <f>IF(Contacts!J18=0,"",Contacts!J18)</f>
        <v>HANDE</v>
      </c>
      <c r="QU3" s="236" t="str">
        <f>QS3&amp;" "&amp;QT3</f>
        <v>CHEN HANDE</v>
      </c>
      <c r="QV3" s="236" t="str">
        <f>+Contacts!J21&amp;Contacts!J22</f>
        <v>陳漢得</v>
      </c>
      <c r="QW3" s="257" t="str">
        <f>IF(Contacts!J19=0,"",Contacts!J19)</f>
        <v>Director</v>
      </c>
      <c r="QX3" s="257" t="str">
        <f>IF(Contacts!J23=0,"",Contacts!J23)</f>
        <v>HKID</v>
      </c>
      <c r="QY3" s="258" t="str">
        <f>IF(__Anonymous_Sheet_DB__1[[#This Row],[DirectorIDType3]]="HKID","X","")</f>
        <v>X</v>
      </c>
      <c r="QZ3" s="258" t="str">
        <f>IF(__Anonymous_Sheet_DB__1[[#This Row],[DirectorIDType3]]="Passport","X","")</f>
        <v/>
      </c>
      <c r="RA3" s="257" t="str">
        <f>IF(Contacts!J24=0,"",Contacts!J24)</f>
        <v>R526008(5)</v>
      </c>
      <c r="RB3" s="260" t="str">
        <f>IF(QV3="","",RA3)</f>
        <v>R526008(5)</v>
      </c>
      <c r="RC3" s="257" t="str">
        <f>IF(Contacts!J25=0,"",TEXT(DAY(Contacts!J25),"00"))</f>
        <v>03</v>
      </c>
      <c r="RD3" s="257" t="str">
        <f>IF(Contacts!J25=0,"",TEXT(MONTH(Contacts!J25),"00"))</f>
        <v>05</v>
      </c>
      <c r="RE3" s="257" t="str">
        <f>IF(Contacts!J25=0,"",TEXT(YEAR(Contacts!J25),"0000"))</f>
        <v>1968</v>
      </c>
      <c r="RF3" s="261" t="str">
        <f>RIGHT(RE3,2)</f>
        <v>68</v>
      </c>
      <c r="RG3" s="262">
        <f>DATE(RE3,RD3,RC3)</f>
        <v>24961</v>
      </c>
      <c r="RH3" s="257" t="str">
        <f>IF(Contacts!J26=0,"",Contacts!J26)</f>
        <v>Hong Kong, China</v>
      </c>
      <c r="RI3" s="263" t="str">
        <f>IF(RH3="China", "X", "")</f>
        <v/>
      </c>
      <c r="RJ3" s="263" t="str">
        <f>IF(RH3="Hong Kong, China", "X", "")</f>
        <v>X</v>
      </c>
      <c r="RK3" s="263" t="str">
        <f>IF(RH3="Macau, China", "X", "")</f>
        <v/>
      </c>
      <c r="RL3" s="263" t="str">
        <f>IF(OR(RH3="Hong Kong, China", RH3="China", RH3="Macau, China", RH3=""), "", "X")</f>
        <v/>
      </c>
      <c r="RM3" s="258" t="str">
        <f>IF(RL3="X",RH3," ")</f>
        <v xml:space="preserve"> </v>
      </c>
      <c r="RN3" s="257" t="str">
        <f>+IF(Contacts!J28=0,"",Contacts!J28)</f>
        <v>FLAT 1</v>
      </c>
      <c r="RO3" s="257" t="str">
        <f>+IF(Contacts!J29=0,"",Contacts!J29)</f>
        <v>17/F</v>
      </c>
      <c r="RP3" s="257" t="str">
        <f>+IF(Contacts!J30=0,"",Contacts!J30)</f>
        <v>BLOCK C,</v>
      </c>
      <c r="RQ3" s="257" t="str">
        <f>+IF(Contacts!J31=0,"",Contacts!J31)</f>
        <v>YU MOON HOUSE, PHASE 1, YU CHUI COURT</v>
      </c>
      <c r="RR3" s="257" t="str">
        <f>+IF(Contacts!J32=0,"",Contacts!J32)</f>
        <v>6 NGAU PEI SHA STREET, YUEN CHAU KOK</v>
      </c>
      <c r="RS3" s="257" t="str">
        <f>+IF(Contacts!J33=0,"",Contacts!J33)</f>
        <v>San Tin</v>
      </c>
      <c r="RT3" s="257" t="str">
        <f>+IF(Contacts!J34=0,"",Contacts!J34)</f>
        <v>New Territories</v>
      </c>
      <c r="RU3" s="236" t="str">
        <f>RN3&amp;" "&amp;" "&amp;RO3&amp;" "&amp;" "&amp;RP3&amp;" "&amp;" "&amp;RQ3&amp;" "&amp;" "&amp;RR3&amp;" "&amp;" "&amp;RS3&amp;" "&amp;" "&amp;RT3</f>
        <v>FLAT 1  17/F  BLOCK C,  YU MOON HOUSE, PHASE 1, YU CHUI COURT  6 NGAU PEI SHA STREET, YUEN CHAU KOK  San Tin  New Territories</v>
      </c>
      <c r="RV3" s="235" t="str">
        <f>IF(Contacts!J35=0,"",Contacts!J35)</f>
        <v>N</v>
      </c>
      <c r="RW3" s="236" t="str">
        <f>IF(RV3="Y", "X", " ")</f>
        <v xml:space="preserve"> </v>
      </c>
      <c r="RX3" s="236" t="str">
        <f>IF(RV3="N", "X", " ")</f>
        <v>X</v>
      </c>
      <c r="RY3" s="235" t="str">
        <f>IF(Contacts!J36=0,"",TEXT(Contacts!J36,"00"))</f>
        <v>05</v>
      </c>
      <c r="RZ3" s="235" t="str">
        <f>IF(Contacts!J37=0,"",TEXT(Contacts!J37,"00"))</f>
        <v>03</v>
      </c>
      <c r="SA3" s="246">
        <f>IF(Contacts!J38=0,"",Contacts!J38)</f>
        <v>1</v>
      </c>
      <c r="SB3" s="257" t="str">
        <f>IF(Contacts!N27=0,"",Contacts!N27)</f>
        <v>Director</v>
      </c>
      <c r="SC3" s="258" t="str">
        <f>IF(SB3="Sole Proprietor", "X", " ")</f>
        <v xml:space="preserve"> </v>
      </c>
      <c r="SD3" s="258" t="str">
        <f>IF(SB3="Partner", "X", " ")</f>
        <v xml:space="preserve"> </v>
      </c>
      <c r="SE3" s="258" t="str">
        <f>IF(SB3="Director", "X", " ")</f>
        <v>X</v>
      </c>
      <c r="SF3" s="258" t="str">
        <f>IF(SB3="Shareholder", "X", " ")</f>
        <v xml:space="preserve"> </v>
      </c>
      <c r="SG3" s="258" t="str">
        <f>IF(SB3="Beneficial Owner", "X", " ")</f>
        <v xml:space="preserve"> </v>
      </c>
      <c r="SH3" s="258" t="str">
        <f>IF(SB3="Authorized Signatory", "X", " ")</f>
        <v xml:space="preserve"> </v>
      </c>
      <c r="SI3" s="257" t="str">
        <f>IF(Contacts!N16=0,"",Contacts!N16)</f>
        <v>Mr</v>
      </c>
      <c r="SJ3" s="258" t="str">
        <f>IF(__Anonymous_Sheet_DB__1[[#This Row],[Director4Courtesy]]="Mr","X","")</f>
        <v>X</v>
      </c>
      <c r="SK3" s="258" t="str">
        <f>IF(__Anonymous_Sheet_DB__1[[#This Row],[Director4Courtesy]]="Mrs","X","")</f>
        <v/>
      </c>
      <c r="SL3" s="258" t="str">
        <f>IF(__Anonymous_Sheet_DB__1[[#This Row],[Director4Courtesy]]="Miss","X","")</f>
        <v/>
      </c>
      <c r="SM3" s="258" t="str">
        <f>IF(SI3="Ms", "X", " ")</f>
        <v xml:space="preserve"> </v>
      </c>
      <c r="SN3" s="257" t="str">
        <f>IF(Contacts!N17=0,"",Contacts!N17)</f>
        <v>CHEN</v>
      </c>
      <c r="SO3" s="257" t="str">
        <f>IF(Contacts!N18=0,"",Contacts!N18)</f>
        <v>HANDE</v>
      </c>
      <c r="SP3" s="236" t="str">
        <f>SN3&amp;" "&amp;SO3</f>
        <v>CHEN HANDE</v>
      </c>
      <c r="SQ3" s="236" t="str">
        <f>+Contacts!N21&amp;Contacts!N22</f>
        <v>陳漢得</v>
      </c>
      <c r="SR3" s="257" t="str">
        <f>IF(Contacts!N19=0,"",Contacts!N19)</f>
        <v>Director</v>
      </c>
      <c r="SS3" s="257" t="str">
        <f>IF(Contacts!N23=0,"",Contacts!N23)</f>
        <v>HKID</v>
      </c>
      <c r="ST3" s="258" t="str">
        <f>IF(__Anonymous_Sheet_DB__1[[#This Row],[DirectorIDType4]]="HKID","X","")</f>
        <v>X</v>
      </c>
      <c r="SU3" s="258" t="str">
        <f>IF(__Anonymous_Sheet_DB__1[[#This Row],[DirectorIDType4]]="Passport","X","")</f>
        <v/>
      </c>
      <c r="SV3" s="257" t="str">
        <f>IF(Contacts!N24=0,"",Contacts!N24)</f>
        <v>R526008(5)</v>
      </c>
      <c r="SW3" s="260" t="str">
        <f>IF(SQ3="","",SV3)</f>
        <v>R526008(5)</v>
      </c>
      <c r="SX3" s="257" t="str">
        <f>IF(Contacts!N25=0,"",TEXT(DAY(Contacts!N25),"00"))</f>
        <v>03</v>
      </c>
      <c r="SY3" s="257" t="str">
        <f>IF(Contacts!N25=0,"",TEXT(MONTH(Contacts!N25),"00"))</f>
        <v>05</v>
      </c>
      <c r="SZ3" s="257" t="str">
        <f>IF(Contacts!N25=0,"",TEXT(YEAR(Contacts!N25),"0000"))</f>
        <v>1968</v>
      </c>
      <c r="TA3" s="261" t="str">
        <f>RIGHT(SZ3,2)</f>
        <v>68</v>
      </c>
      <c r="TB3" s="262">
        <f>DATE(SZ3,SY3,SX3)</f>
        <v>24961</v>
      </c>
      <c r="TC3" s="257" t="str">
        <f>IF(Contacts!N26=0,"",Contacts!N26)</f>
        <v>Hong Kong, China</v>
      </c>
      <c r="TD3" s="263" t="str">
        <f>IF(TC3="CHINA", "X", "")</f>
        <v/>
      </c>
      <c r="TE3" s="263" t="str">
        <f>IF(TC3="Hong Kong, China", "X", "")</f>
        <v>X</v>
      </c>
      <c r="TF3" s="263" t="str">
        <f>IF(TC3="Macau, China", "X", "")</f>
        <v/>
      </c>
      <c r="TG3" s="263" t="str">
        <f>IF(OR(TC3="Hong Kong, China", TC3="China", TC3="Macau, China", TC3=""), "", "X")</f>
        <v/>
      </c>
      <c r="TH3" s="258" t="str">
        <f>IF(TG3="X",TC3," ")</f>
        <v xml:space="preserve"> </v>
      </c>
      <c r="TI3" s="257" t="str">
        <f>+IF(Contacts!N28=0,"",Contacts!N28)</f>
        <v>FLAT 1</v>
      </c>
      <c r="TJ3" s="257" t="str">
        <f>+IF(Contacts!N29=0,"",Contacts!N29)</f>
        <v>17/F</v>
      </c>
      <c r="TK3" s="257" t="str">
        <f>+IF(Contacts!N30=0,"",Contacts!N30)</f>
        <v>BLOCK C,</v>
      </c>
      <c r="TL3" s="257" t="str">
        <f>+IF(Contacts!N31=0,"",Contacts!N31)</f>
        <v>YU MOON HOUSE, PHASE 1, YU CHUI COURT</v>
      </c>
      <c r="TM3" s="257" t="str">
        <f>+IF(Contacts!N32=0,"",Contacts!N32)</f>
        <v>6 NGAU PEI SHA STREET, YUEN CHAU KOK</v>
      </c>
      <c r="TN3" s="257" t="str">
        <f>+IF(Contacts!N33=0,"",Contacts!N33)</f>
        <v>San Tin</v>
      </c>
      <c r="TO3" s="257" t="str">
        <f>+IF(Contacts!N34=0,"",Contacts!N34)</f>
        <v>New Territories</v>
      </c>
      <c r="TP3" s="236" t="str">
        <f>TI3&amp;" "&amp;" "&amp;TJ3&amp;" "&amp;" "&amp;TK3&amp;" "&amp;" "&amp;TL3&amp;" "&amp;" "&amp;TM3&amp;" "&amp;" "&amp;TN3&amp;" "&amp;" "&amp;TO3</f>
        <v>FLAT 1  17/F  BLOCK C,  YU MOON HOUSE, PHASE 1, YU CHUI COURT  6 NGAU PEI SHA STREET, YUEN CHAU KOK  San Tin  New Territories</v>
      </c>
      <c r="TQ3" s="235" t="str">
        <f>IF(Contacts!N35=0,"",Contacts!N35)</f>
        <v>N</v>
      </c>
      <c r="TR3" s="236" t="str">
        <f>IF(TQ3="Y", "X", " ")</f>
        <v xml:space="preserve"> </v>
      </c>
      <c r="TS3" s="236" t="str">
        <f>IF(TQ3="N", "X", " ")</f>
        <v>X</v>
      </c>
      <c r="TT3" s="235" t="str">
        <f>IF(Contacts!N36=0,"",TEXT(Contacts!N36,"00"))</f>
        <v>05</v>
      </c>
      <c r="TU3" s="235" t="str">
        <f>IF(Contacts!N37=0,"",TEXT(Contacts!N37,"00"))</f>
        <v>03</v>
      </c>
      <c r="TV3" s="246">
        <f>IF(Contacts!N38=0,"",Contacts!N38)</f>
        <v>1</v>
      </c>
      <c r="TW3" s="238" t="str">
        <f>IF(Contacts!B42=0,"",Contacts!B42)</f>
        <v>Mr</v>
      </c>
      <c r="TX3" s="258" t="str">
        <f>IF(__Anonymous_Sheet_DB__1[[#This Row],[BO1Courtesy]]="Mr","X","")</f>
        <v>X</v>
      </c>
      <c r="TY3" s="258" t="str">
        <f>IF(__Anonymous_Sheet_DB__1[[#This Row],[BO1Courtesy]]="Mrs","X","")</f>
        <v/>
      </c>
      <c r="TZ3" s="258" t="str">
        <f>IF(__Anonymous_Sheet_DB__1[[#This Row],[BO1Courtesy]]="Miss","X","")</f>
        <v/>
      </c>
      <c r="UA3" s="258" t="str">
        <f>IF(__Anonymous_Sheet_DB__1[[#This Row],[BO1Courtesy]]="Ms","X","")</f>
        <v/>
      </c>
      <c r="UB3" s="238" t="str">
        <f>IF(Contacts!B43=0,"",Contacts!B43)</f>
        <v>CHEN</v>
      </c>
      <c r="UC3" s="238" t="str">
        <f>IF(Contacts!B44=0,"",Contacts!B44)</f>
        <v>HANDE</v>
      </c>
      <c r="UD3" s="236" t="str">
        <f>UB3&amp;" "&amp;UC3</f>
        <v>CHEN HANDE</v>
      </c>
      <c r="UE3" s="238" t="str">
        <f>+Contacts!B46&amp;+Contacts!B47</f>
        <v>陳漢得</v>
      </c>
      <c r="UF3" s="238" t="str">
        <f>IF(Contacts!B45=0,"",Contacts!B45)</f>
        <v>SHAREHOLDER</v>
      </c>
      <c r="UG3" s="238" t="str">
        <f>IF(Contacts!B48=0,"",Contacts!B48)</f>
        <v>HKID</v>
      </c>
      <c r="UH3" s="239" t="str">
        <f>IF(__Anonymous_Sheet_DB__1[[#This Row],[BOIDType1]]="HKID","X","")</f>
        <v>X</v>
      </c>
      <c r="UI3" s="239" t="str">
        <f>IF(__Anonymous_Sheet_DB__1[[#This Row],[BOIDType1]]="Passport","X","")</f>
        <v/>
      </c>
      <c r="UJ3" s="238" t="str">
        <f>IF(Contacts!B49=0,"",Contacts!B49)</f>
        <v>R526008(5)</v>
      </c>
      <c r="UK3" s="257" t="str">
        <f>IF(Contacts!B50=0,"",TEXT(DAY(Contacts!B50),"00"))</f>
        <v>03</v>
      </c>
      <c r="UL3" s="257" t="str">
        <f>IF(Contacts!B50=0,"",TEXT(MONTH(Contacts!B50),"00"))</f>
        <v>05</v>
      </c>
      <c r="UM3" s="257" t="str">
        <f>IF(Contacts!B50=0,"",TEXT(YEAR(Contacts!B50),"0000"))</f>
        <v>1968</v>
      </c>
      <c r="UN3" s="261" t="str">
        <f>RIGHT(UM3,2)</f>
        <v>68</v>
      </c>
      <c r="UO3" s="262">
        <f>DATE(UM3,UL3,UK3)</f>
        <v>24961</v>
      </c>
      <c r="UP3" s="238" t="str">
        <f>IF(Contacts!B51=0,"",Contacts!B51)</f>
        <v>Georgia</v>
      </c>
      <c r="UQ3" s="263" t="str">
        <f>IF(OR(UP3="Hong Kong, China", UP3="China",UP3="Macau, China"), "X", "")</f>
        <v/>
      </c>
      <c r="UR3" s="263" t="str">
        <f>IF(OR(UP3="Hong Kong, China", UP3="China", UP3="Macau, China", UP3=""), "", "X")</f>
        <v>X</v>
      </c>
      <c r="US3" s="258" t="str">
        <f>IF(UR3="X",UP3," ")</f>
        <v>Georgia</v>
      </c>
      <c r="UT3" s="257" t="str">
        <f>+IF(Contacts!B52=0,"",Contacts!B52)</f>
        <v>FLAT 1</v>
      </c>
      <c r="UU3" s="257" t="str">
        <f>+IF(Contacts!B53=0,"",Contacts!B53)</f>
        <v>17/F</v>
      </c>
      <c r="UV3" s="257" t="str">
        <f>+IF(Contacts!B54=0,"",Contacts!B54)</f>
        <v>BLOCK C,</v>
      </c>
      <c r="UW3" s="257" t="str">
        <f>+IF(Contacts!B55=0,"",Contacts!B55)</f>
        <v>YU MOON HOUSE, PHASE 1, YU CHUI COURT</v>
      </c>
      <c r="UX3" s="257" t="str">
        <f>+IF(Contacts!B56=0,"",Contacts!B56)</f>
        <v>6 NGAU PEI SHA STREET, YUEN CHAU KOK</v>
      </c>
      <c r="UY3" s="257" t="str">
        <f>+IF(Contacts!B57=0,"",Contacts!B57)</f>
        <v>San Tin</v>
      </c>
      <c r="UZ3" s="257" t="str">
        <f>+IF(Contacts!B58=0,"",Contacts!B58)</f>
        <v>New Territories</v>
      </c>
      <c r="VA3" s="236" t="str">
        <f>UT3&amp;" "&amp;" "&amp;UU3&amp;" "&amp;" "&amp;UV3&amp;" "&amp;" "&amp;UW3&amp;" "&amp;" "&amp;UX3&amp;" "&amp;" "&amp;UY3&amp;" "&amp;" "&amp;UZ3</f>
        <v>FLAT 1  17/F  BLOCK C,  YU MOON HOUSE, PHASE 1, YU CHUI COURT  6 NGAU PEI SHA STREET, YUEN CHAU KOK  San Tin  New Territories</v>
      </c>
      <c r="VB3" s="238" t="str">
        <f>IF(Contacts!F42=0,"",Contacts!F42)</f>
        <v>Mr</v>
      </c>
      <c r="VC3" s="258" t="str">
        <f>IF(__Anonymous_Sheet_DB__1[[#This Row],[BO2Courtesy]]="Mr","X","")</f>
        <v>X</v>
      </c>
      <c r="VD3" s="258" t="str">
        <f>IF(__Anonymous_Sheet_DB__1[[#This Row],[BO2Courtesy]]="Mrs","X","")</f>
        <v/>
      </c>
      <c r="VE3" s="258" t="str">
        <f>IF(__Anonymous_Sheet_DB__1[[#This Row],[BO2Courtesy]]="Miss","X","")</f>
        <v/>
      </c>
      <c r="VF3" s="258" t="str">
        <f>IF(__Anonymous_Sheet_DB__1[[#This Row],[BO2Courtesy]]="Ms","X","")</f>
        <v/>
      </c>
      <c r="VG3" s="238" t="str">
        <f>IF(Contacts!F43=0,"",Contacts!F43)</f>
        <v>CHEN</v>
      </c>
      <c r="VH3" s="238" t="str">
        <f>IF(Contacts!F44=0,"",Contacts!F44)</f>
        <v>HANDE</v>
      </c>
      <c r="VI3" s="236" t="str">
        <f>VG3&amp;" "&amp;VH3</f>
        <v>CHEN HANDE</v>
      </c>
      <c r="VJ3" s="238" t="str">
        <f>+Contacts!F46&amp;+Contacts!F47</f>
        <v>陳漢得</v>
      </c>
      <c r="VK3" s="238" t="str">
        <f>IF(Contacts!F45=0,"",Contacts!F45)</f>
        <v/>
      </c>
      <c r="VL3" s="238" t="str">
        <f>IF(Contacts!F48=0,"",Contacts!F48)</f>
        <v>Passport</v>
      </c>
      <c r="VM3" s="239" t="str">
        <f>IF(__Anonymous_Sheet_DB__1[[#This Row],[BOIDType2]]="HKID","X","")</f>
        <v/>
      </c>
      <c r="VN3" s="239" t="str">
        <f>IF(__Anonymous_Sheet_DB__1[[#This Row],[BOIDType2]]="Passport","X","")</f>
        <v>X</v>
      </c>
      <c r="VO3" s="238" t="str">
        <f>IF(Contacts!F49=0,"",Contacts!F49)</f>
        <v>R526008(5)</v>
      </c>
      <c r="VP3" s="257" t="str">
        <f>IF(Contacts!F50=0,"",TEXT(DAY(Contacts!F50),"00"))</f>
        <v>03</v>
      </c>
      <c r="VQ3" s="257" t="str">
        <f>IF(Contacts!F50=0,"",TEXT(MONTH(Contacts!F50),"00"))</f>
        <v>05</v>
      </c>
      <c r="VR3" s="257" t="str">
        <f>IF(Contacts!F50=0,"",TEXT(YEAR(Contacts!F50),"0000"))</f>
        <v>1968</v>
      </c>
      <c r="VS3" s="261" t="str">
        <f>RIGHT(VR3,2)</f>
        <v>68</v>
      </c>
      <c r="VT3" s="262">
        <f>DATE(VR3,VQ3,VP3)</f>
        <v>24961</v>
      </c>
      <c r="VU3" s="238" t="str">
        <f>IF(Contacts!F51=0,"",Contacts!F51)</f>
        <v>China</v>
      </c>
      <c r="VV3" s="263" t="str">
        <f>IF(OR(VU3="Hong Kong, China", VU3="China",VU3="Macau, China"), "X", "")</f>
        <v>X</v>
      </c>
      <c r="VW3" s="263" t="str">
        <f>IF(OR(VU3="Hong Kong, China", VU3="China", VU3="Macau, China", VU3=""), "", "X")</f>
        <v/>
      </c>
      <c r="VX3" s="258" t="str">
        <f>IF(VW3="X",VU3," ")</f>
        <v xml:space="preserve"> </v>
      </c>
      <c r="VY3" s="257" t="str">
        <f>+IF(Contacts!F52=0,"",Contacts!F52)</f>
        <v>FLAT 1</v>
      </c>
      <c r="VZ3" s="257" t="str">
        <f>+IF(Contacts!F53=0,"",Contacts!F53)</f>
        <v>17/F</v>
      </c>
      <c r="WA3" s="257" t="str">
        <f>+IF(Contacts!F54=0,"",Contacts!F54)</f>
        <v>BLOCK C,</v>
      </c>
      <c r="WB3" s="257" t="str">
        <f>+IF(Contacts!F55=0,"",Contacts!F55)</f>
        <v>YU MOON HOUSE, PHASE 1, YU CHUI COURT</v>
      </c>
      <c r="WC3" s="257" t="str">
        <f>+IF(Contacts!F56=0,"",Contacts!F56)</f>
        <v>6 NGAU PEI SHA STREET, YUEN CHAU KOK</v>
      </c>
      <c r="WD3" s="257" t="str">
        <f>+IF(Contacts!F57=0,"",Contacts!F57)</f>
        <v>San Tin</v>
      </c>
      <c r="WE3" s="257" t="str">
        <f>+IF(Contacts!F58=0,"",Contacts!F58)</f>
        <v>New Territories</v>
      </c>
      <c r="WF3" s="236" t="str">
        <f>VY3&amp;" "&amp;" "&amp;VZ3&amp;" "&amp;" "&amp;WA3&amp;" "&amp;" "&amp;WB3&amp;" "&amp;" "&amp;WC3&amp;" "&amp;" "&amp;WD3&amp;" "&amp;" "&amp;WE3</f>
        <v>FLAT 1  17/F  BLOCK C,  YU MOON HOUSE, PHASE 1, YU CHUI COURT  6 NGAU PEI SHA STREET, YUEN CHAU KOK  San Tin  New Territories</v>
      </c>
      <c r="WG3" s="238" t="str">
        <f>IF(Contacts!J42=0,"",Contacts!J42)</f>
        <v>Mr</v>
      </c>
      <c r="WH3" s="258" t="str">
        <f>IF(__Anonymous_Sheet_DB__1[[#This Row],[BO3Courtesy]]="Mr","X","")</f>
        <v>X</v>
      </c>
      <c r="WI3" s="258" t="str">
        <f>IF(__Anonymous_Sheet_DB__1[[#This Row],[BO3Courtesy]]="Mrs","X","")</f>
        <v/>
      </c>
      <c r="WJ3" s="258" t="str">
        <f>IF(__Anonymous_Sheet_DB__1[[#This Row],[BO3Courtesy]]="Miss","X","")</f>
        <v/>
      </c>
      <c r="WK3" s="258" t="str">
        <f>IF(__Anonymous_Sheet_DB__1[[#This Row],[BO3Courtesy]]="Ms","X","")</f>
        <v/>
      </c>
      <c r="WL3" s="238" t="str">
        <f>IF(Contacts!J43=0,"",Contacts!J43)</f>
        <v>CHEN</v>
      </c>
      <c r="WM3" s="238" t="str">
        <f>IF(Contacts!J44=0,"",Contacts!J44)</f>
        <v>HANDE</v>
      </c>
      <c r="WN3" s="236" t="str">
        <f>WL3&amp;" "&amp;WM3</f>
        <v>CHEN HANDE</v>
      </c>
      <c r="WO3" s="238" t="str">
        <f>+Contacts!J46&amp;+Contacts!J47</f>
        <v>陳漢得</v>
      </c>
      <c r="WP3" s="238" t="str">
        <f>IF(Contacts!J45=0,"",Contacts!J45)</f>
        <v/>
      </c>
      <c r="WQ3" s="238" t="str">
        <f>IF(Contacts!J48=0,"",Contacts!J48)</f>
        <v>HKID</v>
      </c>
      <c r="WR3" s="239" t="str">
        <f>IF(__Anonymous_Sheet_DB__1[[#This Row],[BOIDType3]]="HKID","X","")</f>
        <v>X</v>
      </c>
      <c r="WS3" s="239" t="str">
        <f>IF(__Anonymous_Sheet_DB__1[[#This Row],[BOIDType3]]="Passport","X","")</f>
        <v/>
      </c>
      <c r="WT3" s="238" t="str">
        <f>IF(Contacts!J49=0,"",Contacts!J49)</f>
        <v>R526008(5)</v>
      </c>
      <c r="WU3" s="257" t="str">
        <f>IF(Contacts!J50=0,"",TEXT(DAY(Contacts!J50),"00"))</f>
        <v>03</v>
      </c>
      <c r="WV3" s="257" t="str">
        <f>IF(Contacts!J50=0,"",TEXT(MONTH(Contacts!J50),"00"))</f>
        <v>05</v>
      </c>
      <c r="WW3" s="257" t="str">
        <f>IF(Contacts!J50=0,"",TEXT(YEAR(Contacts!J50),"0000"))</f>
        <v>1968</v>
      </c>
      <c r="WX3" s="261" t="str">
        <f>RIGHT(WW3,2)</f>
        <v>68</v>
      </c>
      <c r="WY3" s="262">
        <f>DATE(WW3,WV3,WU3)</f>
        <v>24961</v>
      </c>
      <c r="WZ3" s="238" t="str">
        <f>IF(Contacts!J51=0,"",Contacts!J51)</f>
        <v>Hong Kong, China</v>
      </c>
      <c r="XA3" s="263" t="str">
        <f>IF(OR(WZ3="Hong Kong, China", WZ3="China",WZ3="Macau, China"), "X", "")</f>
        <v>X</v>
      </c>
      <c r="XB3" s="263" t="str">
        <f>IF(OR(WZ3="Hong Kong, China", WZ3="China", WZ3="Macau, China", WZ3=""), "", "X")</f>
        <v/>
      </c>
      <c r="XC3" s="258" t="str">
        <f>IF(XB3="X",WZ3," ")</f>
        <v xml:space="preserve"> </v>
      </c>
      <c r="XD3" s="257" t="str">
        <f>+IF(Contacts!J52=0,"",Contacts!J52)</f>
        <v>FLAT 1</v>
      </c>
      <c r="XE3" s="257" t="str">
        <f>+IF(Contacts!J53=0,"",Contacts!J53)</f>
        <v>17/F</v>
      </c>
      <c r="XF3" s="257" t="str">
        <f>+IF(Contacts!J54=0,"",Contacts!J54)</f>
        <v>BLOCK C,</v>
      </c>
      <c r="XG3" s="257" t="str">
        <f>+IF(Contacts!J55=0,"",Contacts!J55)</f>
        <v>YU MOON HOUSE, PHASE 1, YU CHUI COURT</v>
      </c>
      <c r="XH3" s="257" t="str">
        <f>+IF(Contacts!J56=0,"",Contacts!J56)</f>
        <v>6 NGAU PEI SHA STREET, YUEN CHAU KOK</v>
      </c>
      <c r="XI3" s="257" t="str">
        <f>+IF(Contacts!J57=0,"",Contacts!J57)</f>
        <v>San Tin</v>
      </c>
      <c r="XJ3" s="257" t="str">
        <f>+IF(Contacts!J58=0,"",Contacts!J58)</f>
        <v>New Territories</v>
      </c>
      <c r="XK3" s="236" t="str">
        <f>XD3&amp;" "&amp;" "&amp;XE3&amp;" "&amp;" "&amp;XF3&amp;" "&amp;" "&amp;XG3&amp;" "&amp;" "&amp;XH3&amp;" "&amp;" "&amp;XI3&amp;" "&amp;" "&amp;XJ3</f>
        <v>FLAT 1  17/F  BLOCK C,  YU MOON HOUSE, PHASE 1, YU CHUI COURT  6 NGAU PEI SHA STREET, YUEN CHAU KOK  San Tin  New Territories</v>
      </c>
      <c r="XL3" s="238" t="str">
        <f>IF(Contacts!N42=0,"",Contacts!N42)</f>
        <v>Mr</v>
      </c>
      <c r="XM3" s="258" t="str">
        <f>IF(__Anonymous_Sheet_DB__1[[#This Row],[BO4Courtesy]]="Mr","X","")</f>
        <v>X</v>
      </c>
      <c r="XN3" s="258" t="str">
        <f>IF(__Anonymous_Sheet_DB__1[[#This Row],[BO4Courtesy]]="Mrs","X","")</f>
        <v/>
      </c>
      <c r="XO3" s="258" t="str">
        <f>IF(__Anonymous_Sheet_DB__1[[#This Row],[BO4Courtesy]]="Miss","X","")</f>
        <v/>
      </c>
      <c r="XP3" s="258" t="str">
        <f>IF(__Anonymous_Sheet_DB__1[[#This Row],[BO4Courtesy]]="Ms","X","")</f>
        <v/>
      </c>
      <c r="XQ3" s="238" t="str">
        <f>IF(Contacts!N43=0,"",Contacts!N43)</f>
        <v>CHEN</v>
      </c>
      <c r="XR3" s="238" t="str">
        <f>IF(Contacts!N44=0,"",Contacts!N44)</f>
        <v>HANDE</v>
      </c>
      <c r="XS3" s="236" t="str">
        <f>XQ3&amp;" "&amp;XR3</f>
        <v>CHEN HANDE</v>
      </c>
      <c r="XT3" s="238" t="str">
        <f>+Contacts!N46&amp;+Contacts!N47</f>
        <v>陳漢得</v>
      </c>
      <c r="XU3" s="238" t="str">
        <f>IF(Contacts!N45=0,"",Contacts!N45)</f>
        <v/>
      </c>
      <c r="XV3" s="238" t="str">
        <f>IF(Contacts!N48=0,"",Contacts!N48)</f>
        <v>HKID</v>
      </c>
      <c r="XW3" s="239" t="str">
        <f>IF(__Anonymous_Sheet_DB__1[[#This Row],[BOIDType4]]="HKID","X","")</f>
        <v>X</v>
      </c>
      <c r="XX3" s="239" t="str">
        <f>IF(__Anonymous_Sheet_DB__1[[#This Row],[BOIDType4]]="Passport","X","")</f>
        <v/>
      </c>
      <c r="XY3" s="238" t="str">
        <f>IF(Contacts!N49=0,"",Contacts!N49)</f>
        <v>R526008(5)</v>
      </c>
      <c r="XZ3" s="257" t="str">
        <f>IF(Contacts!N50=0,"",TEXT(DAY(Contacts!N50),"00"))</f>
        <v>03</v>
      </c>
      <c r="YA3" s="257" t="str">
        <f>IF(Contacts!N50=0,"",TEXT(MONTH(Contacts!N50),"00"))</f>
        <v>05</v>
      </c>
      <c r="YB3" s="257" t="str">
        <f>IF(Contacts!N50=0,"",TEXT(YEAR(Contacts!N50),"0000"))</f>
        <v>1968</v>
      </c>
      <c r="YC3" s="261" t="str">
        <f>RIGHT(YB3,2)</f>
        <v>68</v>
      </c>
      <c r="YD3" s="262">
        <f>DATE(YB3,YA3,XZ3)</f>
        <v>24961</v>
      </c>
      <c r="YE3" s="238" t="str">
        <f>IF(Contacts!N51=0,"",Contacts!N51)</f>
        <v>Hong Kong, China</v>
      </c>
      <c r="YF3" s="263" t="str">
        <f>IF(OR(YE3="Hong Kong, China", YE3="China",YE3="Macau, China"), "X", "")</f>
        <v>X</v>
      </c>
      <c r="YG3" s="263" t="str">
        <f>IF(OR(YE3="Hong Kong, China", YE3="China", YE3="Macau, China", YE3=""), "", "X")</f>
        <v/>
      </c>
      <c r="YH3" s="258" t="str">
        <f>IF(YG3="X",YE3," ")</f>
        <v xml:space="preserve"> </v>
      </c>
      <c r="YI3" s="257" t="str">
        <f>+IF(Contacts!N52=0,"",Contacts!N52)</f>
        <v>FLAT 1</v>
      </c>
      <c r="YJ3" s="257" t="str">
        <f>+IF(Contacts!N53=0,"",Contacts!N53)</f>
        <v>17/F</v>
      </c>
      <c r="YK3" s="257" t="str">
        <f>+IF(Contacts!N54=0,"",Contacts!N54)</f>
        <v>BLOCK C,</v>
      </c>
      <c r="YL3" s="257" t="str">
        <f>+IF(Contacts!N55=0,"",Contacts!N55)</f>
        <v>YU MOON HOUSE, PHASE 1, YU CHUI COURT</v>
      </c>
      <c r="YM3" s="257" t="str">
        <f>+IF(Contacts!N56=0,"",Contacts!N56)</f>
        <v>6 NGAU PEI SHA STREET, YUEN CHAU KOK</v>
      </c>
      <c r="YN3" s="257" t="str">
        <f>+IF(Contacts!N57=0,"",Contacts!N57)</f>
        <v>San Tin</v>
      </c>
      <c r="YO3" s="257" t="str">
        <f>+IF(Contacts!N58=0,"",Contacts!N58)</f>
        <v>New Territories</v>
      </c>
      <c r="YP3" s="236" t="str">
        <f>YI3&amp;" "&amp;" "&amp;YJ3&amp;" "&amp;" "&amp;YK3&amp;" "&amp;" "&amp;YL3&amp;" "&amp;" "&amp;YM3&amp;" "&amp;" "&amp;YN3&amp;" "&amp;" "&amp;YO3</f>
        <v>FLAT 1  17/F  BLOCK C,  YU MOON HOUSE, PHASE 1, YU CHUI COURT  6 NGAU PEI SHA STREET, YUEN CHAU KOK  San Tin  New Territories</v>
      </c>
      <c r="YQ3" s="257" t="str">
        <f>IF(Contacts!R16=0,"",Contacts!R16)</f>
        <v>Mr</v>
      </c>
      <c r="YR3" s="258" t="str">
        <f>IF(__Anonymous_Sheet_DB__1[[#This Row],[Sign1Courtesy]]="Mr","X","")</f>
        <v>X</v>
      </c>
      <c r="YS3" s="258" t="str">
        <f>IF(__Anonymous_Sheet_DB__1[[#This Row],[Sign1Courtesy]]="Mrs","X","")</f>
        <v/>
      </c>
      <c r="YT3" s="258" t="str">
        <f>IF(__Anonymous_Sheet_DB__1[[#This Row],[Sign1Courtesy]]="Miss","X","")</f>
        <v/>
      </c>
      <c r="YU3" s="258" t="str">
        <f>IF(__Anonymous_Sheet_DB__1[[#This Row],[Sign1Courtesy]]="Ms","X","")</f>
        <v/>
      </c>
      <c r="YV3" s="257" t="str">
        <f>+IF(Contacts!R17=0,"",Contacts!R17)</f>
        <v>CHEN</v>
      </c>
      <c r="YW3" s="257" t="str">
        <f>+IF(Contacts!R18=0,"",Contacts!R18)</f>
        <v>HANDE</v>
      </c>
      <c r="YX3" s="236" t="str">
        <f>YV3&amp;" "&amp;YW3</f>
        <v>CHEN HANDE</v>
      </c>
      <c r="YY3" s="236" t="str">
        <f>MT3&amp;" "&amp;MU3</f>
        <v>陳 漢得</v>
      </c>
      <c r="YZ3" s="257" t="str">
        <f>+IF(Contacts!R19=0,"",Contacts!R19)</f>
        <v>Director</v>
      </c>
      <c r="ZA3" s="257" t="str">
        <f>+IF(Contacts!R23=0,"",Contacts!R23)</f>
        <v>HKID</v>
      </c>
      <c r="ZB3" s="258" t="str">
        <f>IF(__Anonymous_Sheet_DB__1[[#This Row],[SignIDType1]]="HKID","X","")</f>
        <v>X</v>
      </c>
      <c r="ZC3" s="258" t="str">
        <f>IF(__Anonymous_Sheet_DB__1[[#This Row],[SignIDType1]]="Passport","X","")</f>
        <v/>
      </c>
      <c r="ZD3" s="257" t="str">
        <f>+IF(Contacts!R24=0,"",Contacts!R24)</f>
        <v>R526008(5)</v>
      </c>
      <c r="ZE3" s="257" t="str">
        <f>IF(Contacts!R25=0,"",TEXT(DAY(Contacts!R25),"00"))</f>
        <v>03</v>
      </c>
      <c r="ZF3" s="257" t="str">
        <f>IF(Contacts!R25=0,"",TEXT(MONTH(Contacts!R25),"00"))</f>
        <v>05</v>
      </c>
      <c r="ZG3" s="257" t="str">
        <f>IF(Contacts!R25=0,"",TEXT(YEAR(Contacts!R25),"0000"))</f>
        <v>1968</v>
      </c>
      <c r="ZH3" s="261" t="str">
        <f>RIGHT(ZG3,2)</f>
        <v>68</v>
      </c>
      <c r="ZI3" s="262">
        <f>DATE(ZG3,ZF3,ZE3)</f>
        <v>24961</v>
      </c>
      <c r="ZJ3" s="258" t="str">
        <f>IF(Contacts!R20=0,"",Contacts!R20)</f>
        <v>5401 9126</v>
      </c>
      <c r="ZK3" s="257" t="str">
        <f>IF(Contacts!R26=0,"",Contacts!R26)</f>
        <v>Georgia</v>
      </c>
      <c r="ZL3" s="263" t="str">
        <f>IF(OR(ZK3="Hong Kong, China", ZK3="China",ZK3="Macau, China"), "X", "")</f>
        <v/>
      </c>
      <c r="ZM3" s="263" t="str">
        <f>IF(OR(ZK3="Hong Kong, China", ZK3="China", ZK3="Macau, China", ZK3=""), "", "X")</f>
        <v>X</v>
      </c>
      <c r="ZN3" s="258" t="str">
        <f>IF(ZM3="X",ZK3," ")</f>
        <v>Georgia</v>
      </c>
      <c r="ZO3" s="257" t="str">
        <f>+IF(Contacts!R28=0,"",Contacts!R28)</f>
        <v>FLAT 1</v>
      </c>
      <c r="ZP3" s="257" t="str">
        <f>+IF(Contacts!R29=0,"",Contacts!R29)</f>
        <v>17/F</v>
      </c>
      <c r="ZQ3" s="257" t="str">
        <f>+IF(Contacts!R30=0,"",Contacts!R30)</f>
        <v>BLOCK C,</v>
      </c>
      <c r="ZR3" s="257" t="str">
        <f>+IF(Contacts!R31=0,"",Contacts!R31)</f>
        <v>YU MOON HOUSE, PHASE 1, YU CHUI COURT</v>
      </c>
      <c r="ZS3" s="257" t="str">
        <f>+IF(Contacts!R32=0,"",Contacts!R32)</f>
        <v>6 NGAU PEI SHA STREET, YUEN CHAU KOK</v>
      </c>
      <c r="ZT3" s="257" t="str">
        <f>+IF(Contacts!R33=0,"",Contacts!R33)</f>
        <v>San Tin</v>
      </c>
      <c r="ZU3" s="257" t="str">
        <f>+IF(Contacts!R34=0,"",Contacts!R34)</f>
        <v>New Territories</v>
      </c>
      <c r="ZV3" s="236" t="str">
        <f>ZO3&amp;" "&amp;" "&amp;ZP3&amp;" "&amp;" "&amp;ZQ3&amp;" "&amp;" "&amp;ZR3&amp;" "&amp;" "&amp;ZS3&amp;" "&amp;" "&amp;ZT3&amp;" "&amp;" "&amp;ZU3</f>
        <v>FLAT 1  17/F  BLOCK C,  YU MOON HOUSE, PHASE 1, YU CHUI COURT  6 NGAU PEI SHA STREET, YUEN CHAU KOK  San Tin  New Territories</v>
      </c>
      <c r="ZW3" s="235" t="str">
        <f>+IF('Payment Channels'!$S$2=0,"",'Payment Channels'!$S$2)</f>
        <v>mPOS - Retail</v>
      </c>
      <c r="ZX3" s="235" t="str">
        <f>+IF('Payment Channels'!$S$3=0,"",'Payment Channels'!$S$3)</f>
        <v>Fast Food</v>
      </c>
      <c r="ZY3" s="235" t="str">
        <f>+IF('Payment Channels'!$S$4=0,"",'Payment Channels'!$S$4)</f>
        <v>FAST FOOD</v>
      </c>
      <c r="ZZ3" s="235" t="str">
        <f>+IF('Payment Channels'!$S$5=0,"",'Payment Channels'!$S$5)</f>
        <v>Full</v>
      </c>
      <c r="AAA3" s="235" t="str">
        <f>+IF('Payment Channels'!$S$6=0,"",'Payment Channels'!$S$6)</f>
        <v>New SP Setup</v>
      </c>
      <c r="AAB3" s="235" t="str">
        <f>+IF('Payment Channels'!$S$7=0,"",'Payment Channels'!$S$7)</f>
        <v>HKT</v>
      </c>
      <c r="AAC3" s="235" t="str">
        <f>+IF('Payment Channels'!$S$8=0,"",'Payment Channels'!$S$8)</f>
        <v>HKT</v>
      </c>
      <c r="AAD3" s="235" t="str">
        <f>+IF('Payment Channels'!$S$14=0,"",'Payment Channels'!$S$14)</f>
        <v>$88</v>
      </c>
      <c r="AAE3" s="264" t="str">
        <f>_xlfn.XLOOKUP(__Anonymous_Sheet_DB__1[[#This Row],[SmartPOSMonthlyplan]],'Rental Code'!F2:F9,'Rental Code'!G2:G9)</f>
        <v xml:space="preserve">24 months  
(codes: WMER2YDE-program, IBSCCX0060/1159958 - Merchant Service $298 ($210 discount), IBSCCX0067/1167103-A920 terminal by HKT) </v>
      </c>
      <c r="AAF3" s="235" t="str">
        <f>+IF('Payment Channels'!$X$2=0,"",'Payment Channels'!$X$2)</f>
        <v/>
      </c>
      <c r="AAG3" s="235" t="e">
        <f>_xlfn.XLOOKUP(__Anonymous_Sheet_DB__1[[#This Row],[HKTPOSMonthlyplan]],'Rental Code'!A3:A6,'Rental Code'!B3:B6)</f>
        <v>#N/A</v>
      </c>
      <c r="AAH3" s="235" t="str">
        <f>+IF('Payment Channels'!$S$11=0,"",'Payment Channels'!$S$11)</f>
        <v>kailam0126@hotmail.com</v>
      </c>
      <c r="AAI3" s="235" t="str">
        <f>+IF('Payment Channels'!$S$15=0,"",'Payment Channels'!$S$15)</f>
        <v/>
      </c>
      <c r="AAJ3" s="235" t="str">
        <f>+IF('Payment Channels'!$S$16=0,"",'Payment Channels'!$S$16)</f>
        <v/>
      </c>
      <c r="AAK3" s="235" t="str">
        <f>+IF('Payment Channels'!$S$17=0,"",'Payment Channels'!$S$17)</f>
        <v/>
      </c>
      <c r="AAL3" s="235" t="str">
        <f>+IF('Payment Channels'!$S$18=0,"",'Payment Channels'!$S$18)</f>
        <v/>
      </c>
      <c r="AAM3" s="235" t="str">
        <f>+IF('Payment Channels'!$S$20=0,"",'Payment Channels'!$S$20)</f>
        <v>X</v>
      </c>
      <c r="AAN3" s="235" t="str">
        <f>+IF('Payment Channels'!$S$21=0,"",'Payment Channels'!$S$21)</f>
        <v>X</v>
      </c>
      <c r="AAO3" s="265" t="str">
        <f>+IF('Payment Channels'!$S$22=0,"",'Payment Channels'!$S$22)</f>
        <v/>
      </c>
      <c r="AAP3" s="265" t="str">
        <f>+IF('Payment Channels'!$S$23=0,"",'Payment Channels'!$S$23)</f>
        <v/>
      </c>
      <c r="AAQ3" s="235" t="str">
        <f>+IF('Payment Channels'!$S$24=0,"",'Payment Channels'!$S$24)</f>
        <v/>
      </c>
      <c r="AAR3" s="235" t="str">
        <f>+IF('Payment Channels'!$S$25=0,"",'Payment Channels'!$S$25)</f>
        <v/>
      </c>
      <c r="AAS3" s="265" t="str">
        <f>+IF('Payment Channels'!$S$26=0,"",'Payment Channels'!$S$26)</f>
        <v/>
      </c>
      <c r="AAT3" s="235" t="str">
        <f>+IF('Payment Channels'!$S$27=0,"",'Payment Channels'!$S$27)</f>
        <v>X</v>
      </c>
      <c r="AAU3" s="265"/>
      <c r="AAV3" s="235" t="str">
        <f>+IF('Payment Channels'!$S$28=0,"",'Payment Channels'!$S$28)</f>
        <v/>
      </c>
      <c r="AAW3" s="235" t="e">
        <f>IF(#REF!=0,"",#REF!)</f>
        <v>#REF!</v>
      </c>
      <c r="AAX3" s="235" t="e">
        <f>IF(#REF!=0,"",#REF!)</f>
        <v>#REF!</v>
      </c>
      <c r="AAY3" s="235" t="e">
        <f>IF(#REF!=0,"",#REF!)</f>
        <v>#REF!</v>
      </c>
      <c r="AAZ3" s="235" t="e">
        <f>IF(#REF!=0,"",#REF!)</f>
        <v>#REF!</v>
      </c>
      <c r="ABA3" s="235" t="e">
        <f>IF(#REF!=0,"",#REF!)</f>
        <v>#REF!</v>
      </c>
      <c r="ABB3" s="235" t="e">
        <f>IF(#REF!=0,"",#REF!)</f>
        <v>#REF!</v>
      </c>
      <c r="ABC3" s="235" t="e">
        <f>IF(#REF!=0,"",#REF!)</f>
        <v>#REF!</v>
      </c>
      <c r="ABD3" s="235" t="str">
        <f>+IF('Payment Channels'!$S$34=0,"",'Payment Channels'!$S$34)</f>
        <v/>
      </c>
      <c r="ABE3" s="235" t="str">
        <f>+IF('Payment Channels'!$S$35=0,"",'Payment Channels'!$S$35)</f>
        <v/>
      </c>
      <c r="ABF3" s="235" t="str">
        <f>IF('Payment Channels'!$S$31=0,"",'Payment Channels'!$S$31)</f>
        <v>X</v>
      </c>
      <c r="ABG3" s="235" t="str">
        <f>IF('Payment Channels'!$S$32=0,"",'Payment Channels'!$S$32)</f>
        <v/>
      </c>
      <c r="ABH3" s="235" t="str">
        <f>IF('Payment Channels'!$S$33=0,"",'Payment Channels'!$S$33)</f>
        <v/>
      </c>
      <c r="ABI3" s="235">
        <f>+IF('Payment Channels'!$S$9=0,"",'Payment Channels'!$S$9)</f>
        <v>100577</v>
      </c>
      <c r="ABJ3" s="235" t="str">
        <f>+IF('Payment Channels'!$S$10=0,"",'Payment Channels'!$S$10)</f>
        <v>BANK OF CHINA (HONG KONG) LIMITED</v>
      </c>
      <c r="ABK3" s="266" t="str">
        <f>+IF('Payment Channels'!$X$3=0,"",'Payment Channels'!$X$3)</f>
        <v>X</v>
      </c>
      <c r="ABL3" s="266" t="str">
        <f>+IF('Payment Channels'!$X$5=0,"",'Payment Channels'!$X$5)</f>
        <v>X</v>
      </c>
      <c r="ABM3" s="266" t="str">
        <f>+IF('Payment Channels'!$X$6=0,"",'Payment Channels'!$X$6)</f>
        <v/>
      </c>
      <c r="ABN3" s="266" t="str">
        <f>+IF('Payment Channels'!$X$7=0,"",'Payment Channels'!$X$7)</f>
        <v/>
      </c>
      <c r="ABO3" s="266" t="str">
        <f>+IF('Payment Channels'!$X$4=0,"",'Payment Channels'!$X$4)</f>
        <v>X</v>
      </c>
      <c r="ABP3" s="266" t="str">
        <f>+IF('Payment Channels'!$J$3=0,"",'Payment Channels'!$J$3)</f>
        <v/>
      </c>
      <c r="ABQ3" s="266" t="str">
        <f>IF(NOT(ABP3="24 months"), "X", " ")</f>
        <v>X</v>
      </c>
      <c r="ABR3" s="267" t="str">
        <f>IF('Application Merchant'!B61=0,"",'Application Merchant'!B61)</f>
        <v>SHARETEA</v>
      </c>
      <c r="ABS3" s="267" t="str">
        <f>IF('Application Merchant'!B62=0,"",'Application Merchant'!B62)</f>
        <v>S8A G/F BAUHINIA GDN 11 TONG CHUN ST TKO NT</v>
      </c>
      <c r="ABT3" s="287">
        <f ca="1">$E$3</f>
        <v>45547</v>
      </c>
      <c r="ABU3" s="302" t="str">
        <f>IF('Payment Channels'!S40=0,"",'Payment Channels'!S40)</f>
        <v/>
      </c>
      <c r="ABV3" s="302" t="str">
        <f>+IF('Payment Channels'!$S$39=0,"",'Payment Channels'!$S$39)</f>
        <v/>
      </c>
    </row>
    <row r="4" spans="1:750" ht="12" customHeight="1">
      <c r="K4" s="275"/>
      <c r="L4" s="275"/>
      <c r="AB4" s="44" t="str">
        <f t="shared" si="0"/>
        <v>X</v>
      </c>
      <c r="BK4" s="44" t="str">
        <f t="shared" si="1"/>
        <v>X</v>
      </c>
      <c r="BL4" s="44" t="str">
        <f t="shared" si="2"/>
        <v>X</v>
      </c>
      <c r="BM4" s="44" t="str">
        <f t="shared" si="3"/>
        <v>X</v>
      </c>
      <c r="BN4" s="44" t="str">
        <f t="shared" si="4"/>
        <v>X</v>
      </c>
      <c r="BO4" s="44" t="str">
        <f t="shared" si="5"/>
        <v>X</v>
      </c>
      <c r="BP4" s="44" t="str">
        <f t="shared" si="6"/>
        <v>X</v>
      </c>
      <c r="BQ4" s="44" t="str">
        <f t="shared" si="7"/>
        <v>X</v>
      </c>
      <c r="BR4" s="44" t="str">
        <f t="shared" si="8"/>
        <v>X</v>
      </c>
      <c r="BS4" s="44" t="str">
        <f t="shared" si="9"/>
        <v>X</v>
      </c>
      <c r="BT4" s="44" t="str">
        <f t="shared" si="10"/>
        <v>X</v>
      </c>
      <c r="BU4" s="44" t="str">
        <f t="shared" si="11"/>
        <v>X</v>
      </c>
      <c r="BV4" s="44" t="str">
        <f t="shared" si="12"/>
        <v>X</v>
      </c>
      <c r="BW4" s="44" t="str">
        <f t="shared" si="13"/>
        <v>X</v>
      </c>
      <c r="BX4" s="44" t="str">
        <f t="shared" si="14"/>
        <v>X</v>
      </c>
      <c r="CB4" s="44" t="str">
        <f t="shared" si="15"/>
        <v>X</v>
      </c>
      <c r="CE4" s="44" t="str">
        <f t="shared" si="16"/>
        <v>X</v>
      </c>
      <c r="CF4" s="44" t="str">
        <f t="shared" si="17"/>
        <v>X</v>
      </c>
      <c r="CI4" s="44" t="str">
        <f t="shared" si="18"/>
        <v>X</v>
      </c>
      <c r="DL4" s="44" t="str">
        <f t="shared" si="19"/>
        <v>X</v>
      </c>
      <c r="DM4" s="44" t="str">
        <f t="shared" si="20"/>
        <v>X</v>
      </c>
      <c r="DW4" s="44" t="str">
        <f t="shared" si="21"/>
        <v>X</v>
      </c>
      <c r="DX4" s="44" t="str">
        <f t="shared" si="22"/>
        <v>X</v>
      </c>
      <c r="EK4" s="80"/>
      <c r="EL4" s="283"/>
      <c r="EP4" s="80" t="str">
        <f t="shared" si="23"/>
        <v>X</v>
      </c>
      <c r="EQ4" s="44" t="str">
        <f t="shared" si="24"/>
        <v>X</v>
      </c>
      <c r="EX4" s="68"/>
      <c r="EY4" s="68"/>
      <c r="FE4" s="292"/>
      <c r="FL4" s="81"/>
      <c r="FN4" s="81"/>
      <c r="GH4" s="81"/>
      <c r="GI4" s="81"/>
      <c r="GJ4" s="81"/>
      <c r="GK4" s="81"/>
      <c r="GL4" s="81"/>
      <c r="GM4" s="81"/>
      <c r="GN4" s="81"/>
      <c r="GR4" s="81"/>
      <c r="GT4" s="81"/>
      <c r="GV4" s="81"/>
      <c r="GY4" s="81"/>
      <c r="GZ4" s="81"/>
      <c r="HA4" s="81"/>
      <c r="HB4" s="81"/>
      <c r="HC4" s="81"/>
      <c r="HD4" s="81"/>
      <c r="HE4" s="81"/>
      <c r="HF4" s="81"/>
      <c r="HG4" s="81"/>
      <c r="HH4" s="81"/>
      <c r="HI4" s="81"/>
      <c r="HJ4" s="81"/>
      <c r="HK4" s="81"/>
      <c r="HL4" s="81"/>
      <c r="HM4" s="81"/>
      <c r="HN4" s="81"/>
      <c r="HO4" s="81"/>
      <c r="HP4" s="81"/>
      <c r="HQ4" s="81"/>
      <c r="HR4" s="81"/>
      <c r="HS4" s="81"/>
      <c r="HT4" s="81"/>
      <c r="HU4" s="81"/>
      <c r="HV4" s="81"/>
      <c r="HW4" s="81"/>
      <c r="KC4" s="65"/>
      <c r="KW4" s="49"/>
      <c r="KX4" s="49"/>
      <c r="LB4" s="49"/>
      <c r="NJ4" s="275"/>
      <c r="NK4" s="275"/>
      <c r="NL4" s="275"/>
      <c r="PN4" s="275"/>
      <c r="PO4" s="275"/>
      <c r="RI4" s="275"/>
      <c r="RJ4" s="275"/>
      <c r="RK4" s="275"/>
      <c r="TD4" s="275"/>
      <c r="TE4" s="275"/>
      <c r="TF4" s="275"/>
      <c r="AAO4" s="160"/>
      <c r="AAP4" s="160"/>
      <c r="AAS4" s="160"/>
      <c r="AAU4" s="160"/>
      <c r="ABL4" s="125"/>
      <c r="ABM4" s="125"/>
      <c r="ABN4" s="125"/>
      <c r="ABT4" s="289"/>
      <c r="ABU4" s="303"/>
      <c r="ABV4" s="303"/>
    </row>
    <row r="5" spans="1:750" ht="12" customHeight="1">
      <c r="K5" s="275"/>
      <c r="L5" s="275"/>
      <c r="AB5" s="44" t="str">
        <f t="shared" si="0"/>
        <v>X</v>
      </c>
      <c r="BK5" s="44" t="str">
        <f t="shared" si="1"/>
        <v>X</v>
      </c>
      <c r="BL5" s="44" t="str">
        <f t="shared" si="2"/>
        <v>X</v>
      </c>
      <c r="BM5" s="44" t="str">
        <f t="shared" si="3"/>
        <v>X</v>
      </c>
      <c r="BN5" s="44" t="str">
        <f t="shared" si="4"/>
        <v>X</v>
      </c>
      <c r="BO5" s="44" t="str">
        <f t="shared" si="5"/>
        <v>X</v>
      </c>
      <c r="BP5" s="44" t="str">
        <f t="shared" si="6"/>
        <v>X</v>
      </c>
      <c r="BQ5" s="44" t="str">
        <f t="shared" si="7"/>
        <v>X</v>
      </c>
      <c r="BR5" s="44" t="str">
        <f t="shared" si="8"/>
        <v>X</v>
      </c>
      <c r="BS5" s="44" t="str">
        <f t="shared" si="9"/>
        <v>X</v>
      </c>
      <c r="BT5" s="44" t="str">
        <f t="shared" si="10"/>
        <v>X</v>
      </c>
      <c r="BU5" s="44" t="str">
        <f t="shared" si="11"/>
        <v>X</v>
      </c>
      <c r="BV5" s="44" t="str">
        <f t="shared" si="12"/>
        <v>X</v>
      </c>
      <c r="BW5" s="44" t="str">
        <f t="shared" si="13"/>
        <v>X</v>
      </c>
      <c r="BX5" s="44" t="str">
        <f t="shared" si="14"/>
        <v>X</v>
      </c>
      <c r="CB5" s="44" t="str">
        <f t="shared" si="15"/>
        <v>X</v>
      </c>
      <c r="CE5" s="44" t="str">
        <f t="shared" si="16"/>
        <v>X</v>
      </c>
      <c r="CF5" s="44" t="str">
        <f t="shared" si="17"/>
        <v>X</v>
      </c>
      <c r="CI5" s="44" t="str">
        <f t="shared" si="18"/>
        <v>X</v>
      </c>
      <c r="DL5" s="44" t="str">
        <f t="shared" si="19"/>
        <v>X</v>
      </c>
      <c r="DM5" s="44" t="str">
        <f t="shared" si="20"/>
        <v>X</v>
      </c>
      <c r="DW5" s="44" t="str">
        <f t="shared" si="21"/>
        <v>X</v>
      </c>
      <c r="DX5" s="44" t="str">
        <f t="shared" si="22"/>
        <v>X</v>
      </c>
      <c r="EK5" s="80"/>
      <c r="EL5" s="283"/>
      <c r="EP5" s="80" t="str">
        <f t="shared" si="23"/>
        <v>X</v>
      </c>
      <c r="EQ5" s="44" t="str">
        <f t="shared" si="24"/>
        <v>X</v>
      </c>
      <c r="EX5" s="68"/>
      <c r="EY5" s="68"/>
      <c r="FE5" s="292"/>
      <c r="FL5" s="81"/>
      <c r="FN5" s="81"/>
      <c r="FY5" s="248"/>
      <c r="GH5" s="81"/>
      <c r="GI5" s="81"/>
      <c r="GJ5" s="81"/>
      <c r="GK5" s="81"/>
      <c r="GL5" s="81"/>
      <c r="GM5" s="81"/>
      <c r="GN5" s="81"/>
      <c r="GR5" s="81"/>
      <c r="GT5" s="81"/>
      <c r="GV5" s="81"/>
      <c r="GY5" s="81"/>
      <c r="GZ5" s="81"/>
      <c r="HA5" s="81"/>
      <c r="HB5" s="81"/>
      <c r="HC5" s="81"/>
      <c r="HD5" s="81"/>
      <c r="HE5" s="81"/>
      <c r="HF5" s="81"/>
      <c r="HG5" s="81"/>
      <c r="HH5" s="81"/>
      <c r="HI5" s="81"/>
      <c r="HJ5" s="81"/>
      <c r="HK5" s="81"/>
      <c r="HL5" s="81"/>
      <c r="HM5" s="81"/>
      <c r="HN5" s="81"/>
      <c r="HO5" s="81"/>
      <c r="HP5" s="81"/>
      <c r="HQ5" s="81"/>
      <c r="HR5" s="81"/>
      <c r="HS5" s="81"/>
      <c r="HT5" s="81"/>
      <c r="HU5" s="81"/>
      <c r="HV5" s="81"/>
      <c r="HW5" s="81"/>
      <c r="KC5" s="65"/>
      <c r="KW5" s="49"/>
      <c r="KX5" s="49"/>
      <c r="LB5" s="49"/>
      <c r="NJ5" s="275"/>
      <c r="NK5" s="275"/>
      <c r="NL5" s="275"/>
      <c r="PN5" s="275"/>
      <c r="PO5" s="275"/>
      <c r="QF5" s="44"/>
      <c r="RI5" s="275"/>
      <c r="RJ5" s="275"/>
      <c r="RK5" s="275"/>
      <c r="TD5" s="275"/>
      <c r="TE5" s="275"/>
      <c r="TF5" s="275"/>
      <c r="AAO5" s="160"/>
      <c r="AAP5" s="160"/>
      <c r="AAS5" s="160"/>
      <c r="AAU5" s="160"/>
      <c r="ABL5" s="125"/>
      <c r="ABM5" s="125"/>
      <c r="ABN5" s="125"/>
      <c r="ABT5" s="289"/>
      <c r="ABU5" s="303"/>
      <c r="ABV5" s="303"/>
    </row>
    <row r="6" spans="1:750" ht="12" customHeight="1">
      <c r="K6" s="275"/>
      <c r="L6" s="275"/>
      <c r="AB6" s="44" t="str">
        <f t="shared" si="0"/>
        <v>X</v>
      </c>
      <c r="BK6" s="44" t="str">
        <f t="shared" si="1"/>
        <v>X</v>
      </c>
      <c r="BL6" s="44" t="str">
        <f t="shared" si="2"/>
        <v>X</v>
      </c>
      <c r="BM6" s="44" t="str">
        <f t="shared" si="3"/>
        <v>X</v>
      </c>
      <c r="BN6" s="44" t="str">
        <f t="shared" si="4"/>
        <v>X</v>
      </c>
      <c r="BO6" s="44" t="str">
        <f t="shared" si="5"/>
        <v>X</v>
      </c>
      <c r="BP6" s="44" t="str">
        <f t="shared" si="6"/>
        <v>X</v>
      </c>
      <c r="BQ6" s="44" t="str">
        <f t="shared" si="7"/>
        <v>X</v>
      </c>
      <c r="BR6" s="44" t="str">
        <f t="shared" si="8"/>
        <v>X</v>
      </c>
      <c r="BS6" s="44" t="str">
        <f t="shared" si="9"/>
        <v>X</v>
      </c>
      <c r="BT6" s="44" t="str">
        <f t="shared" si="10"/>
        <v>X</v>
      </c>
      <c r="BU6" s="44" t="str">
        <f t="shared" si="11"/>
        <v>X</v>
      </c>
      <c r="BV6" s="44" t="str">
        <f t="shared" si="12"/>
        <v>X</v>
      </c>
      <c r="BW6" s="44" t="str">
        <f t="shared" si="13"/>
        <v>X</v>
      </c>
      <c r="BX6" s="44" t="str">
        <f t="shared" si="14"/>
        <v>X</v>
      </c>
      <c r="CB6" s="44" t="str">
        <f t="shared" si="15"/>
        <v>X</v>
      </c>
      <c r="CE6" s="44" t="str">
        <f t="shared" si="16"/>
        <v>X</v>
      </c>
      <c r="CF6" s="44" t="str">
        <f t="shared" si="17"/>
        <v>X</v>
      </c>
      <c r="CI6" s="44" t="str">
        <f t="shared" si="18"/>
        <v>X</v>
      </c>
      <c r="DL6" s="44" t="str">
        <f t="shared" si="19"/>
        <v>X</v>
      </c>
      <c r="DM6" s="44" t="str">
        <f t="shared" si="20"/>
        <v>X</v>
      </c>
      <c r="DW6" s="44" t="str">
        <f t="shared" si="21"/>
        <v>X</v>
      </c>
      <c r="DX6" s="44" t="str">
        <f t="shared" si="22"/>
        <v>X</v>
      </c>
      <c r="EK6" s="80"/>
      <c r="EL6" s="283"/>
      <c r="EP6" s="44" t="str">
        <f t="shared" si="23"/>
        <v>X</v>
      </c>
      <c r="EQ6" s="44" t="str">
        <f t="shared" si="24"/>
        <v>X</v>
      </c>
      <c r="FE6" s="292"/>
      <c r="FL6" s="81"/>
      <c r="FN6" s="81"/>
      <c r="GR6" s="81"/>
      <c r="GT6" s="81"/>
      <c r="GV6" s="81"/>
      <c r="GY6" s="81"/>
      <c r="GZ6" s="81"/>
      <c r="HA6" s="81"/>
      <c r="HB6" s="81"/>
      <c r="HC6" s="81"/>
      <c r="HD6" s="81"/>
      <c r="HE6" s="81"/>
      <c r="HF6" s="81"/>
      <c r="HG6" s="81"/>
      <c r="HH6" s="81"/>
      <c r="HI6" s="81"/>
      <c r="HJ6" s="81"/>
      <c r="HK6" s="81"/>
      <c r="HL6" s="81"/>
      <c r="HM6" s="81"/>
      <c r="HN6" s="81"/>
      <c r="HO6" s="81"/>
      <c r="HP6" s="81"/>
      <c r="HQ6" s="81"/>
      <c r="HR6" s="81"/>
      <c r="HS6" s="81"/>
      <c r="HT6" s="81"/>
      <c r="HU6" s="81"/>
      <c r="HV6" s="81"/>
      <c r="HW6" s="81"/>
      <c r="NJ6" s="275"/>
      <c r="NK6" s="275"/>
      <c r="NL6" s="275"/>
      <c r="PN6" s="275"/>
      <c r="PO6" s="275"/>
      <c r="RI6" s="275"/>
      <c r="RJ6" s="275"/>
      <c r="RK6" s="275"/>
      <c r="TD6" s="275"/>
      <c r="TE6" s="275"/>
      <c r="TF6" s="275"/>
      <c r="AAO6" s="160"/>
      <c r="AAP6" s="160"/>
      <c r="AAS6" s="160"/>
      <c r="AAU6" s="160"/>
      <c r="ABL6" s="125"/>
      <c r="ABM6" s="125"/>
      <c r="ABN6" s="125"/>
      <c r="ABT6" s="289"/>
      <c r="ABU6" s="303"/>
      <c r="ABV6" s="303"/>
    </row>
    <row r="7" spans="1:750" ht="12" customHeight="1">
      <c r="K7" s="275"/>
      <c r="L7" s="275"/>
      <c r="AB7" s="44" t="str">
        <f t="shared" si="0"/>
        <v>X</v>
      </c>
      <c r="BK7" s="44" t="str">
        <f t="shared" si="1"/>
        <v>X</v>
      </c>
      <c r="BL7" s="44" t="str">
        <f t="shared" si="2"/>
        <v>X</v>
      </c>
      <c r="BM7" s="44" t="str">
        <f t="shared" si="3"/>
        <v>X</v>
      </c>
      <c r="BN7" s="44" t="str">
        <f t="shared" si="4"/>
        <v>X</v>
      </c>
      <c r="BO7" s="44" t="str">
        <f t="shared" si="5"/>
        <v>X</v>
      </c>
      <c r="BP7" s="44" t="str">
        <f t="shared" si="6"/>
        <v>X</v>
      </c>
      <c r="BQ7" s="44" t="str">
        <f t="shared" si="7"/>
        <v>X</v>
      </c>
      <c r="BR7" s="44" t="str">
        <f t="shared" si="8"/>
        <v>X</v>
      </c>
      <c r="BS7" s="44" t="str">
        <f t="shared" si="9"/>
        <v>X</v>
      </c>
      <c r="BT7" s="44" t="str">
        <f t="shared" si="10"/>
        <v>X</v>
      </c>
      <c r="BU7" s="44" t="str">
        <f t="shared" si="11"/>
        <v>X</v>
      </c>
      <c r="BV7" s="44" t="str">
        <f t="shared" si="12"/>
        <v>X</v>
      </c>
      <c r="BW7" s="44" t="str">
        <f t="shared" si="13"/>
        <v>X</v>
      </c>
      <c r="BX7" s="44" t="str">
        <f t="shared" si="14"/>
        <v>X</v>
      </c>
      <c r="CB7" s="44" t="str">
        <f t="shared" si="15"/>
        <v>X</v>
      </c>
      <c r="CE7" s="44" t="str">
        <f t="shared" si="16"/>
        <v>X</v>
      </c>
      <c r="CF7" s="44" t="str">
        <f t="shared" si="17"/>
        <v>X</v>
      </c>
      <c r="CI7" s="44" t="str">
        <f t="shared" si="18"/>
        <v>X</v>
      </c>
      <c r="DL7" s="44" t="str">
        <f t="shared" si="19"/>
        <v>X</v>
      </c>
      <c r="DM7" s="44" t="str">
        <f t="shared" si="20"/>
        <v>X</v>
      </c>
      <c r="DW7" s="44" t="str">
        <f t="shared" si="21"/>
        <v>X</v>
      </c>
      <c r="DX7" s="44" t="str">
        <f t="shared" si="22"/>
        <v>X</v>
      </c>
      <c r="EK7" s="80"/>
      <c r="EL7" s="283"/>
      <c r="EP7" s="44" t="str">
        <f t="shared" si="23"/>
        <v>X</v>
      </c>
      <c r="EQ7" s="44" t="str">
        <f t="shared" si="24"/>
        <v>X</v>
      </c>
      <c r="FE7" s="292"/>
      <c r="FL7" s="81"/>
      <c r="FN7" s="81"/>
      <c r="GR7" s="81"/>
      <c r="GT7" s="81"/>
      <c r="GV7" s="81"/>
      <c r="GY7" s="81"/>
      <c r="GZ7" s="81"/>
      <c r="HA7" s="81"/>
      <c r="HB7" s="81"/>
      <c r="HC7" s="81"/>
      <c r="HD7" s="81"/>
      <c r="HE7" s="81"/>
      <c r="HF7" s="81"/>
      <c r="HG7" s="81"/>
      <c r="HH7" s="81"/>
      <c r="HI7" s="81"/>
      <c r="HJ7" s="81"/>
      <c r="HK7" s="81"/>
      <c r="HL7" s="81"/>
      <c r="HM7" s="81"/>
      <c r="HN7" s="81"/>
      <c r="HO7" s="81"/>
      <c r="HP7" s="81"/>
      <c r="HQ7" s="81"/>
      <c r="HR7" s="81"/>
      <c r="HS7" s="81"/>
      <c r="HT7" s="81"/>
      <c r="HU7" s="81"/>
      <c r="HV7" s="81"/>
      <c r="HW7" s="81"/>
      <c r="NJ7" s="275"/>
      <c r="NK7" s="275"/>
      <c r="NL7" s="275"/>
      <c r="PN7" s="275"/>
      <c r="PO7" s="275"/>
      <c r="RI7" s="275"/>
      <c r="RJ7" s="275"/>
      <c r="RK7" s="275"/>
      <c r="TD7" s="275"/>
      <c r="TE7" s="275"/>
      <c r="TF7" s="275"/>
      <c r="AAO7" s="160"/>
      <c r="AAP7" s="160"/>
      <c r="AAS7" s="160"/>
      <c r="AAU7" s="160"/>
      <c r="ABL7" s="125"/>
      <c r="ABM7" s="125"/>
      <c r="ABN7" s="125"/>
      <c r="ABT7" s="289"/>
      <c r="ABU7" s="303"/>
      <c r="ABV7" s="303"/>
    </row>
    <row r="8" spans="1:750" ht="12" customHeight="1">
      <c r="K8" s="275"/>
      <c r="L8" s="275"/>
      <c r="AB8" s="44" t="str">
        <f t="shared" si="0"/>
        <v>X</v>
      </c>
      <c r="BK8" s="44" t="str">
        <f t="shared" si="1"/>
        <v>X</v>
      </c>
      <c r="BL8" s="44" t="str">
        <f t="shared" si="2"/>
        <v>X</v>
      </c>
      <c r="BM8" s="44" t="str">
        <f t="shared" si="3"/>
        <v>X</v>
      </c>
      <c r="BN8" s="44" t="str">
        <f t="shared" si="4"/>
        <v>X</v>
      </c>
      <c r="BO8" s="44" t="str">
        <f t="shared" si="5"/>
        <v>X</v>
      </c>
      <c r="BP8" s="44" t="str">
        <f t="shared" si="6"/>
        <v>X</v>
      </c>
      <c r="BQ8" s="44" t="str">
        <f t="shared" si="7"/>
        <v>X</v>
      </c>
      <c r="BR8" s="44" t="str">
        <f t="shared" si="8"/>
        <v>X</v>
      </c>
      <c r="BS8" s="44" t="str">
        <f t="shared" si="9"/>
        <v>X</v>
      </c>
      <c r="BT8" s="44" t="str">
        <f t="shared" si="10"/>
        <v>X</v>
      </c>
      <c r="BU8" s="44" t="str">
        <f t="shared" si="11"/>
        <v>X</v>
      </c>
      <c r="BV8" s="44" t="str">
        <f t="shared" si="12"/>
        <v>X</v>
      </c>
      <c r="BW8" s="44" t="str">
        <f t="shared" si="13"/>
        <v>X</v>
      </c>
      <c r="BX8" s="44" t="str">
        <f t="shared" si="14"/>
        <v>X</v>
      </c>
      <c r="CB8" s="44" t="str">
        <f t="shared" si="15"/>
        <v>X</v>
      </c>
      <c r="CE8" s="44" t="str">
        <f t="shared" si="16"/>
        <v>X</v>
      </c>
      <c r="CF8" s="44" t="str">
        <f t="shared" si="17"/>
        <v>X</v>
      </c>
      <c r="CI8" s="44" t="str">
        <f t="shared" si="18"/>
        <v>X</v>
      </c>
      <c r="DL8" s="44" t="str">
        <f t="shared" si="19"/>
        <v>X</v>
      </c>
      <c r="DM8" s="44" t="str">
        <f t="shared" si="20"/>
        <v>X</v>
      </c>
      <c r="DW8" s="44" t="str">
        <f t="shared" si="21"/>
        <v>X</v>
      </c>
      <c r="DX8" s="44" t="str">
        <f t="shared" si="22"/>
        <v>X</v>
      </c>
      <c r="EK8" s="80"/>
      <c r="EL8" s="283"/>
      <c r="EP8" s="44" t="str">
        <f t="shared" si="23"/>
        <v>X</v>
      </c>
      <c r="EQ8" s="44" t="str">
        <f t="shared" si="24"/>
        <v>X</v>
      </c>
      <c r="FE8" s="292"/>
      <c r="FL8" s="81"/>
      <c r="FN8" s="81"/>
      <c r="GR8" s="81"/>
      <c r="GT8" s="81"/>
      <c r="GV8" s="81"/>
      <c r="GY8" s="81"/>
      <c r="GZ8" s="81"/>
      <c r="HA8" s="81"/>
      <c r="HB8" s="81"/>
      <c r="HC8" s="81"/>
      <c r="HD8" s="81"/>
      <c r="HE8" s="81"/>
      <c r="HF8" s="81"/>
      <c r="HG8" s="81"/>
      <c r="HH8" s="81"/>
      <c r="HI8" s="81"/>
      <c r="HJ8" s="81"/>
      <c r="HK8" s="81"/>
      <c r="HL8" s="81"/>
      <c r="HM8" s="81"/>
      <c r="HN8" s="81"/>
      <c r="HO8" s="81"/>
      <c r="HP8" s="81"/>
      <c r="HQ8" s="81"/>
      <c r="HR8" s="81"/>
      <c r="HS8" s="81"/>
      <c r="HT8" s="81"/>
      <c r="HU8" s="81"/>
      <c r="HV8" s="81"/>
      <c r="HW8" s="81"/>
      <c r="NJ8" s="275"/>
      <c r="NK8" s="275"/>
      <c r="NL8" s="275"/>
      <c r="PN8" s="275"/>
      <c r="PO8" s="275"/>
      <c r="RI8" s="275"/>
      <c r="RJ8" s="275"/>
      <c r="RK8" s="275"/>
      <c r="TD8" s="275"/>
      <c r="TE8" s="275"/>
      <c r="TF8" s="275"/>
      <c r="AAO8" s="160"/>
      <c r="AAP8" s="160"/>
      <c r="AAS8" s="160"/>
      <c r="AAU8" s="160"/>
      <c r="ABL8" s="125"/>
      <c r="ABM8" s="125"/>
      <c r="ABN8" s="125"/>
      <c r="ABT8" s="289"/>
      <c r="ABU8" s="303"/>
      <c r="ABV8" s="303"/>
    </row>
    <row r="9" spans="1:750" ht="12" customHeight="1">
      <c r="A9"/>
      <c r="B9"/>
      <c r="C9"/>
      <c r="D9"/>
      <c r="E9"/>
      <c r="F9"/>
      <c r="G9"/>
      <c r="H9"/>
      <c r="I9"/>
      <c r="J9"/>
      <c r="K9" s="275"/>
      <c r="L9" s="275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C9"/>
      <c r="CD9"/>
      <c r="CE9"/>
      <c r="CG9"/>
      <c r="CH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 s="80"/>
      <c r="EL9" s="283"/>
      <c r="EM9"/>
      <c r="EN9"/>
      <c r="EO9"/>
      <c r="EP9"/>
      <c r="ER9"/>
      <c r="ES9"/>
      <c r="ET9"/>
      <c r="EU9"/>
      <c r="EV9"/>
      <c r="EW9"/>
      <c r="EX9"/>
      <c r="EY9"/>
      <c r="FE9" s="292"/>
      <c r="FF9"/>
      <c r="FG9"/>
      <c r="FH9"/>
      <c r="FI9"/>
      <c r="FJ9"/>
      <c r="FK9"/>
      <c r="FL9" s="81"/>
      <c r="FM9"/>
      <c r="FN9" s="81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 s="81"/>
      <c r="GS9"/>
      <c r="GT9" s="81"/>
      <c r="GU9"/>
      <c r="GV9" s="81"/>
      <c r="GW9"/>
      <c r="GX9"/>
      <c r="GY9" s="81"/>
      <c r="GZ9" s="81"/>
      <c r="HA9" s="81"/>
      <c r="HB9" s="81"/>
      <c r="HC9" s="81"/>
      <c r="HD9" s="81"/>
      <c r="HE9" s="81"/>
      <c r="HF9" s="81"/>
      <c r="HG9" s="81"/>
      <c r="HH9" s="81"/>
      <c r="HI9" s="81"/>
      <c r="HJ9" s="81"/>
      <c r="HK9" s="81"/>
      <c r="HL9" s="81"/>
      <c r="HM9" s="81"/>
      <c r="HN9" s="81"/>
      <c r="HO9" s="81"/>
      <c r="HP9" s="81"/>
      <c r="HQ9" s="81"/>
      <c r="HR9" s="81"/>
      <c r="HS9" s="81"/>
      <c r="HT9" s="81"/>
      <c r="HU9" s="81"/>
      <c r="HV9" s="81"/>
      <c r="HW9" s="81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 s="275"/>
      <c r="NK9" s="275"/>
      <c r="NL9" s="275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 s="275"/>
      <c r="PO9" s="275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 s="275"/>
      <c r="RJ9" s="275"/>
      <c r="RK9" s="275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 s="275"/>
      <c r="TE9" s="275"/>
      <c r="TF9" s="275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 s="160"/>
      <c r="AAP9" s="160"/>
      <c r="AAQ9"/>
      <c r="AAR9"/>
      <c r="AAS9" s="160"/>
      <c r="AAT9"/>
      <c r="AAU9" s="160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L9" s="125"/>
      <c r="ABM9" s="125"/>
      <c r="ABN9" s="125"/>
      <c r="ABT9" s="289"/>
      <c r="ABU9" s="303"/>
      <c r="ABV9" s="303"/>
    </row>
    <row r="10" spans="1:750" ht="12" customHeight="1">
      <c r="K10" s="275"/>
      <c r="L10" s="275"/>
      <c r="EK10" s="80"/>
      <c r="EL10" s="283"/>
      <c r="FE10" s="292"/>
      <c r="FL10" s="81"/>
      <c r="FN10" s="81"/>
      <c r="GR10" s="81"/>
      <c r="GT10" s="81"/>
      <c r="GV10" s="81"/>
      <c r="GY10" s="81"/>
      <c r="GZ10" s="81"/>
      <c r="HA10" s="81"/>
      <c r="HB10" s="81"/>
      <c r="HC10" s="81"/>
      <c r="HD10" s="81"/>
      <c r="HE10" s="81"/>
      <c r="HF10" s="81"/>
      <c r="HG10" s="81"/>
      <c r="HH10" s="81"/>
      <c r="HI10" s="81"/>
      <c r="HJ10" s="81"/>
      <c r="HK10" s="81"/>
      <c r="HL10" s="81"/>
      <c r="HM10" s="81"/>
      <c r="HN10" s="81"/>
      <c r="HO10" s="81"/>
      <c r="HP10" s="81"/>
      <c r="HQ10" s="81"/>
      <c r="HR10" s="81"/>
      <c r="HS10" s="81"/>
      <c r="HT10" s="81"/>
      <c r="HU10" s="81"/>
      <c r="HV10" s="81"/>
      <c r="HW10" s="81"/>
      <c r="NJ10" s="275"/>
      <c r="NK10" s="275"/>
      <c r="NL10" s="275"/>
      <c r="PN10" s="275"/>
      <c r="PO10" s="275"/>
      <c r="RI10" s="275"/>
      <c r="RJ10" s="275"/>
      <c r="RK10" s="275"/>
      <c r="TD10" s="275"/>
      <c r="TE10" s="275"/>
      <c r="TF10" s="275"/>
      <c r="AAO10" s="160"/>
      <c r="AAP10" s="160"/>
      <c r="AAS10" s="160"/>
      <c r="AAU10" s="160"/>
      <c r="ABL10" s="125"/>
      <c r="ABM10" s="125"/>
      <c r="ABN10" s="125"/>
      <c r="ABT10" s="289"/>
      <c r="ABU10" s="303"/>
      <c r="ABV10" s="303"/>
    </row>
    <row r="11" spans="1:750" ht="12" customHeight="1">
      <c r="K11" s="275"/>
      <c r="L11" s="275"/>
      <c r="EK11" s="80"/>
      <c r="EL11" s="283"/>
      <c r="FE11" s="292"/>
      <c r="FL11" s="81"/>
      <c r="FN11" s="81"/>
      <c r="GR11" s="81"/>
      <c r="GT11" s="81"/>
      <c r="GV11" s="81"/>
      <c r="GY11" s="81"/>
      <c r="GZ11" s="81"/>
      <c r="HA11" s="81"/>
      <c r="HB11" s="81"/>
      <c r="HC11" s="81"/>
      <c r="HD11" s="81"/>
      <c r="HE11" s="81"/>
      <c r="HF11" s="81"/>
      <c r="HG11" s="81"/>
      <c r="HH11" s="81"/>
      <c r="HI11" s="81"/>
      <c r="HJ11" s="81"/>
      <c r="HK11" s="81"/>
      <c r="HL11" s="81"/>
      <c r="HM11" s="81"/>
      <c r="HN11" s="81"/>
      <c r="HO11" s="81"/>
      <c r="HP11" s="81"/>
      <c r="HQ11" s="81"/>
      <c r="HR11" s="81"/>
      <c r="HS11" s="81"/>
      <c r="HT11" s="81"/>
      <c r="HU11" s="81"/>
      <c r="HV11" s="81"/>
      <c r="HW11" s="81"/>
      <c r="NJ11" s="275"/>
      <c r="NK11" s="275"/>
      <c r="NL11" s="275"/>
      <c r="PN11" s="275"/>
      <c r="PO11" s="275"/>
      <c r="RI11" s="275"/>
      <c r="RJ11" s="275"/>
      <c r="RK11" s="275"/>
      <c r="TD11" s="275"/>
      <c r="TE11" s="275"/>
      <c r="TF11" s="275"/>
      <c r="AAO11" s="160"/>
      <c r="AAP11" s="160"/>
      <c r="AAS11" s="160"/>
      <c r="AAU11" s="160"/>
      <c r="ABL11" s="125"/>
      <c r="ABM11" s="125"/>
      <c r="ABN11" s="125"/>
      <c r="ABT11" s="289"/>
      <c r="ABU11" s="303"/>
      <c r="ABV11" s="303"/>
    </row>
    <row r="12" spans="1:750" ht="12" customHeight="1">
      <c r="K12" s="275"/>
      <c r="L12" s="275"/>
      <c r="EK12" s="80"/>
      <c r="EL12" s="283"/>
      <c r="FE12" s="292"/>
      <c r="FL12" s="81"/>
      <c r="FN12" s="81"/>
      <c r="GR12" s="81"/>
      <c r="GT12" s="81"/>
      <c r="GV12" s="81"/>
      <c r="GY12" s="81"/>
      <c r="GZ12" s="81"/>
      <c r="HA12" s="81"/>
      <c r="HB12" s="81"/>
      <c r="HC12" s="81"/>
      <c r="HD12" s="81"/>
      <c r="HE12" s="81"/>
      <c r="HF12" s="81"/>
      <c r="HG12" s="81"/>
      <c r="HH12" s="81"/>
      <c r="HI12" s="81"/>
      <c r="HJ12" s="81"/>
      <c r="HK12" s="81"/>
      <c r="HL12" s="81"/>
      <c r="HM12" s="81"/>
      <c r="HN12" s="81"/>
      <c r="HO12" s="81"/>
      <c r="HP12" s="81"/>
      <c r="HQ12" s="81"/>
      <c r="HR12" s="81"/>
      <c r="HS12" s="81"/>
      <c r="HT12" s="81"/>
      <c r="HU12" s="81"/>
      <c r="HV12" s="81"/>
      <c r="HW12" s="81"/>
      <c r="NJ12" s="275"/>
      <c r="NK12" s="275"/>
      <c r="NL12" s="275"/>
      <c r="PN12" s="275"/>
      <c r="PO12" s="275"/>
      <c r="RI12" s="275"/>
      <c r="RJ12" s="275"/>
      <c r="RK12" s="275"/>
      <c r="TD12" s="275"/>
      <c r="TE12" s="275"/>
      <c r="TF12" s="275"/>
      <c r="AAO12" s="160"/>
      <c r="AAP12" s="160"/>
      <c r="AAS12" s="160"/>
      <c r="AAU12" s="160"/>
      <c r="ABL12" s="125"/>
      <c r="ABM12" s="125"/>
      <c r="ABN12" s="125"/>
      <c r="ABT12" s="289"/>
      <c r="ABU12" s="303"/>
      <c r="ABV12" s="303"/>
    </row>
    <row r="13" spans="1:750" ht="12" customHeight="1">
      <c r="K13" s="275"/>
      <c r="L13" s="275"/>
      <c r="EK13" s="80"/>
      <c r="EL13" s="283"/>
      <c r="FE13" s="292"/>
      <c r="FL13" s="81"/>
      <c r="FN13" s="81"/>
      <c r="GR13" s="81"/>
      <c r="GT13" s="81"/>
      <c r="GV13" s="81"/>
      <c r="GY13" s="81"/>
      <c r="GZ13" s="81"/>
      <c r="HA13" s="81"/>
      <c r="HB13" s="81"/>
      <c r="HC13" s="81"/>
      <c r="HD13" s="81"/>
      <c r="HE13" s="81"/>
      <c r="HF13" s="81"/>
      <c r="HG13" s="81"/>
      <c r="HH13" s="81"/>
      <c r="HI13" s="81"/>
      <c r="HJ13" s="81"/>
      <c r="HK13" s="81"/>
      <c r="HL13" s="81"/>
      <c r="HM13" s="81"/>
      <c r="HN13" s="81"/>
      <c r="HO13" s="81"/>
      <c r="HP13" s="81"/>
      <c r="HQ13" s="81"/>
      <c r="HR13" s="81"/>
      <c r="HS13" s="81"/>
      <c r="HT13" s="81"/>
      <c r="HU13" s="81"/>
      <c r="HV13" s="81"/>
      <c r="HW13" s="81"/>
      <c r="NJ13" s="275"/>
      <c r="NK13" s="275"/>
      <c r="NL13" s="275"/>
      <c r="PN13" s="275"/>
      <c r="PO13" s="275"/>
      <c r="RI13" s="275"/>
      <c r="RJ13" s="275"/>
      <c r="RK13" s="275"/>
      <c r="TD13" s="275"/>
      <c r="TE13" s="275"/>
      <c r="TF13" s="275"/>
      <c r="AAO13" s="160"/>
      <c r="AAP13" s="160"/>
      <c r="AAS13" s="160"/>
      <c r="AAU13" s="160"/>
      <c r="ABL13" s="125"/>
      <c r="ABM13" s="125"/>
      <c r="ABN13" s="125"/>
      <c r="ABT13" s="289"/>
      <c r="ABU13" s="303"/>
      <c r="ABV13" s="303"/>
    </row>
    <row r="14" spans="1:750" ht="12" customHeight="1">
      <c r="K14" s="275"/>
      <c r="L14" s="275"/>
      <c r="EK14" s="80"/>
      <c r="EL14" s="283"/>
      <c r="FE14" s="292"/>
      <c r="FL14" s="81"/>
      <c r="FN14" s="81"/>
      <c r="GR14" s="81"/>
      <c r="GT14" s="81"/>
      <c r="GV14" s="81"/>
      <c r="GY14" s="81"/>
      <c r="GZ14" s="81"/>
      <c r="HA14" s="81"/>
      <c r="HB14" s="81"/>
      <c r="HC14" s="81"/>
      <c r="HD14" s="81"/>
      <c r="HE14" s="81"/>
      <c r="HF14" s="81"/>
      <c r="HG14" s="81"/>
      <c r="HH14" s="81"/>
      <c r="HI14" s="81"/>
      <c r="HJ14" s="81"/>
      <c r="HK14" s="81"/>
      <c r="HL14" s="81"/>
      <c r="HM14" s="81"/>
      <c r="HN14" s="81"/>
      <c r="HO14" s="81"/>
      <c r="HP14" s="81"/>
      <c r="HQ14" s="81"/>
      <c r="HR14" s="81"/>
      <c r="HS14" s="81"/>
      <c r="HT14" s="81"/>
      <c r="HU14" s="81"/>
      <c r="HV14" s="81"/>
      <c r="HW14" s="81"/>
      <c r="NJ14" s="275"/>
      <c r="NK14" s="275"/>
      <c r="NL14" s="275"/>
      <c r="PN14" s="275"/>
      <c r="PO14" s="275"/>
      <c r="RI14" s="275"/>
      <c r="RJ14" s="275"/>
      <c r="RK14" s="275"/>
      <c r="TD14" s="275"/>
      <c r="TE14" s="275"/>
      <c r="TF14" s="275"/>
      <c r="AAO14" s="160"/>
      <c r="AAP14" s="160"/>
      <c r="AAS14" s="160"/>
      <c r="AAU14" s="160"/>
      <c r="ABL14" s="125"/>
      <c r="ABM14" s="125"/>
      <c r="ABN14" s="125"/>
      <c r="ABT14" s="289"/>
      <c r="ABU14" s="303"/>
      <c r="ABV14" s="303"/>
    </row>
    <row r="15" spans="1:750" ht="12" customHeight="1">
      <c r="K15" s="275"/>
      <c r="L15" s="275"/>
      <c r="EK15" s="80"/>
      <c r="EL15" s="283"/>
      <c r="FE15" s="292"/>
      <c r="FL15" s="81"/>
      <c r="FN15" s="81"/>
      <c r="GR15" s="81"/>
      <c r="GT15" s="81"/>
      <c r="GV15" s="81"/>
      <c r="GY15" s="81"/>
      <c r="GZ15" s="81"/>
      <c r="HA15" s="81"/>
      <c r="HB15" s="81"/>
      <c r="HC15" s="81"/>
      <c r="HD15" s="81"/>
      <c r="HE15" s="81"/>
      <c r="HF15" s="81"/>
      <c r="HG15" s="81"/>
      <c r="HH15" s="81"/>
      <c r="HI15" s="81"/>
      <c r="HJ15" s="81"/>
      <c r="HK15" s="81"/>
      <c r="HL15" s="81"/>
      <c r="HM15" s="81"/>
      <c r="HN15" s="81"/>
      <c r="HO15" s="81"/>
      <c r="HP15" s="81"/>
      <c r="HQ15" s="81"/>
      <c r="HR15" s="81"/>
      <c r="HS15" s="81"/>
      <c r="HT15" s="81"/>
      <c r="HU15" s="81"/>
      <c r="HV15" s="81"/>
      <c r="HW15" s="81"/>
      <c r="NJ15" s="275"/>
      <c r="NK15" s="275"/>
      <c r="NL15" s="275"/>
      <c r="PN15" s="275"/>
      <c r="PO15" s="275"/>
      <c r="RI15" s="275"/>
      <c r="RJ15" s="275"/>
      <c r="RK15" s="275"/>
      <c r="TD15" s="275"/>
      <c r="TE15" s="275"/>
      <c r="TF15" s="275"/>
      <c r="AAO15" s="160"/>
      <c r="AAP15" s="160"/>
      <c r="AAS15" s="160"/>
      <c r="AAU15" s="160"/>
      <c r="ABL15" s="125"/>
      <c r="ABM15" s="125"/>
      <c r="ABN15" s="125"/>
      <c r="ABT15" s="289"/>
      <c r="ABU15" s="303"/>
      <c r="ABV15" s="303"/>
    </row>
    <row r="16" spans="1:750" ht="12" customHeight="1">
      <c r="K16" s="275"/>
      <c r="L16" s="275"/>
      <c r="EK16" s="80"/>
      <c r="EL16" s="283"/>
      <c r="FE16" s="292"/>
      <c r="FL16" s="81"/>
      <c r="FN16" s="81"/>
      <c r="GR16" s="81"/>
      <c r="GT16" s="81"/>
      <c r="GV16" s="81"/>
      <c r="GY16" s="81"/>
      <c r="GZ16" s="81"/>
      <c r="HA16" s="81"/>
      <c r="HB16" s="81"/>
      <c r="HC16" s="81"/>
      <c r="HD16" s="81"/>
      <c r="HE16" s="81"/>
      <c r="HF16" s="81"/>
      <c r="HG16" s="81"/>
      <c r="HH16" s="81"/>
      <c r="HI16" s="81"/>
      <c r="HJ16" s="81"/>
      <c r="HK16" s="81"/>
      <c r="HL16" s="81"/>
      <c r="HM16" s="81"/>
      <c r="HN16" s="81"/>
      <c r="HO16" s="81"/>
      <c r="HP16" s="81"/>
      <c r="HQ16" s="81"/>
      <c r="HR16" s="81"/>
      <c r="HS16" s="81"/>
      <c r="HT16" s="81"/>
      <c r="HU16" s="81"/>
      <c r="HV16" s="81"/>
      <c r="HW16" s="81"/>
      <c r="NJ16" s="275"/>
      <c r="NK16" s="275"/>
      <c r="NL16" s="275"/>
      <c r="PN16" s="275"/>
      <c r="PO16" s="275"/>
      <c r="RI16" s="275"/>
      <c r="RJ16" s="275"/>
      <c r="RK16" s="275"/>
      <c r="TD16" s="275"/>
      <c r="TE16" s="275"/>
      <c r="TF16" s="275"/>
      <c r="AAO16" s="160"/>
      <c r="AAP16" s="160"/>
      <c r="AAS16" s="160"/>
      <c r="AAU16" s="160"/>
      <c r="ABL16" s="125"/>
      <c r="ABM16" s="125"/>
      <c r="ABN16" s="125"/>
      <c r="ABT16" s="289"/>
      <c r="ABU16" s="303"/>
      <c r="ABV16" s="303"/>
    </row>
    <row r="17" spans="11:750" ht="12" customHeight="1">
      <c r="K17" s="275"/>
      <c r="L17" s="275"/>
      <c r="EK17" s="80"/>
      <c r="EL17" s="283"/>
      <c r="FE17" s="292"/>
      <c r="FL17" s="81"/>
      <c r="FN17" s="81"/>
      <c r="GR17" s="81"/>
      <c r="GT17" s="81"/>
      <c r="GV17" s="81"/>
      <c r="GY17" s="81"/>
      <c r="GZ17" s="81"/>
      <c r="HA17" s="81"/>
      <c r="HB17" s="81"/>
      <c r="HC17" s="81"/>
      <c r="HD17" s="81"/>
      <c r="HE17" s="81"/>
      <c r="HF17" s="81"/>
      <c r="HG17" s="81"/>
      <c r="HH17" s="81"/>
      <c r="HI17" s="81"/>
      <c r="HJ17" s="81"/>
      <c r="HK17" s="81"/>
      <c r="HL17" s="81"/>
      <c r="HM17" s="81"/>
      <c r="HN17" s="81"/>
      <c r="HO17" s="81"/>
      <c r="HP17" s="81"/>
      <c r="HQ17" s="81"/>
      <c r="HR17" s="81"/>
      <c r="HS17" s="81"/>
      <c r="HT17" s="81"/>
      <c r="HU17" s="81"/>
      <c r="HV17" s="81"/>
      <c r="HW17" s="81"/>
      <c r="NJ17" s="275"/>
      <c r="NK17" s="275"/>
      <c r="NL17" s="275"/>
      <c r="PN17" s="275"/>
      <c r="PO17" s="275"/>
      <c r="RI17" s="275"/>
      <c r="RJ17" s="275"/>
      <c r="RK17" s="275"/>
      <c r="TD17" s="275"/>
      <c r="TE17" s="275"/>
      <c r="TF17" s="275"/>
      <c r="AAO17" s="160"/>
      <c r="AAP17" s="160"/>
      <c r="AAS17" s="160"/>
      <c r="AAU17" s="160"/>
      <c r="ABL17" s="125"/>
      <c r="ABM17" s="125"/>
      <c r="ABN17" s="125"/>
      <c r="ABT17" s="289"/>
      <c r="ABU17" s="303"/>
      <c r="ABV17" s="303"/>
    </row>
    <row r="18" spans="11:750" ht="12" customHeight="1">
      <c r="K18" s="275"/>
      <c r="L18" s="275"/>
      <c r="EK18" s="80"/>
      <c r="EL18" s="283"/>
      <c r="FE18" s="292"/>
      <c r="FL18" s="81"/>
      <c r="FN18" s="81"/>
      <c r="GR18" s="81"/>
      <c r="GT18" s="81"/>
      <c r="GV18" s="81"/>
      <c r="GY18" s="81"/>
      <c r="GZ18" s="81"/>
      <c r="HA18" s="81"/>
      <c r="HB18" s="81"/>
      <c r="HC18" s="81"/>
      <c r="HD18" s="81"/>
      <c r="HE18" s="81"/>
      <c r="HF18" s="81"/>
      <c r="HG18" s="81"/>
      <c r="HH18" s="81"/>
      <c r="HI18" s="81"/>
      <c r="HJ18" s="81"/>
      <c r="HK18" s="81"/>
      <c r="HL18" s="81"/>
      <c r="HM18" s="81"/>
      <c r="HN18" s="81"/>
      <c r="HO18" s="81"/>
      <c r="HP18" s="81"/>
      <c r="HQ18" s="81"/>
      <c r="HR18" s="81"/>
      <c r="HS18" s="81"/>
      <c r="HT18" s="81"/>
      <c r="HU18" s="81"/>
      <c r="HV18" s="81"/>
      <c r="HW18" s="81"/>
      <c r="NJ18" s="275"/>
      <c r="NK18" s="275"/>
      <c r="NL18" s="275"/>
      <c r="PN18" s="275"/>
      <c r="PO18" s="275"/>
      <c r="RI18" s="275"/>
      <c r="RJ18" s="275"/>
      <c r="RK18" s="275"/>
      <c r="TD18" s="275"/>
      <c r="TE18" s="275"/>
      <c r="TF18" s="275"/>
      <c r="AAO18" s="160"/>
      <c r="AAP18" s="160"/>
      <c r="AAS18" s="160"/>
      <c r="AAU18" s="160"/>
      <c r="ABL18" s="125"/>
      <c r="ABM18" s="125"/>
      <c r="ABN18" s="125"/>
      <c r="ABT18" s="289"/>
      <c r="ABU18" s="303"/>
      <c r="ABV18" s="303"/>
    </row>
    <row r="19" spans="11:750" ht="12" customHeight="1">
      <c r="K19" s="275"/>
      <c r="L19" s="275"/>
      <c r="EK19" s="80"/>
      <c r="EL19" s="283"/>
      <c r="FE19" s="292"/>
      <c r="FL19" s="81"/>
      <c r="FN19" s="81"/>
      <c r="GR19" s="81"/>
      <c r="GT19" s="81"/>
      <c r="GV19" s="81"/>
      <c r="GY19" s="81"/>
      <c r="GZ19" s="81"/>
      <c r="HA19" s="81"/>
      <c r="HB19" s="81"/>
      <c r="HC19" s="81"/>
      <c r="HD19" s="81"/>
      <c r="HE19" s="81"/>
      <c r="HF19" s="81"/>
      <c r="HG19" s="81"/>
      <c r="HH19" s="81"/>
      <c r="HI19" s="81"/>
      <c r="HJ19" s="81"/>
      <c r="HK19" s="81"/>
      <c r="HL19" s="81"/>
      <c r="HM19" s="81"/>
      <c r="HN19" s="81"/>
      <c r="HO19" s="81"/>
      <c r="HP19" s="81"/>
      <c r="HQ19" s="81"/>
      <c r="HR19" s="81"/>
      <c r="HS19" s="81"/>
      <c r="HT19" s="81"/>
      <c r="HU19" s="81"/>
      <c r="HV19" s="81"/>
      <c r="HW19" s="81"/>
      <c r="NJ19" s="275"/>
      <c r="NK19" s="275"/>
      <c r="NL19" s="275"/>
      <c r="PN19" s="275"/>
      <c r="PO19" s="275"/>
      <c r="RI19" s="275"/>
      <c r="RJ19" s="275"/>
      <c r="RK19" s="275"/>
      <c r="TD19" s="275"/>
      <c r="TE19" s="275"/>
      <c r="TF19" s="275"/>
      <c r="AAO19" s="160"/>
      <c r="AAP19" s="160"/>
      <c r="AAS19" s="160"/>
      <c r="AAU19" s="160"/>
      <c r="ABL19" s="125"/>
      <c r="ABM19" s="125"/>
      <c r="ABN19" s="125"/>
      <c r="ABT19" s="289"/>
      <c r="ABU19" s="303"/>
      <c r="ABV19" s="303"/>
    </row>
    <row r="20" spans="11:750" ht="12" customHeight="1">
      <c r="K20" s="275"/>
      <c r="L20" s="275"/>
      <c r="EK20" s="80"/>
      <c r="EL20" s="283"/>
      <c r="FE20" s="292"/>
      <c r="FL20" s="81"/>
      <c r="FN20" s="81"/>
      <c r="GR20" s="81"/>
      <c r="GT20" s="81"/>
      <c r="GV20" s="81"/>
      <c r="GY20" s="81"/>
      <c r="GZ20" s="81"/>
      <c r="HA20" s="81"/>
      <c r="HB20" s="81"/>
      <c r="HC20" s="81"/>
      <c r="HD20" s="81"/>
      <c r="HE20" s="81"/>
      <c r="HF20" s="81"/>
      <c r="HG20" s="81"/>
      <c r="HH20" s="81"/>
      <c r="HI20" s="81"/>
      <c r="HJ20" s="81"/>
      <c r="HK20" s="81"/>
      <c r="HL20" s="81"/>
      <c r="HM20" s="81"/>
      <c r="HN20" s="81"/>
      <c r="HO20" s="81"/>
      <c r="HP20" s="81"/>
      <c r="HQ20" s="81"/>
      <c r="HR20" s="81"/>
      <c r="HS20" s="81"/>
      <c r="HT20" s="81"/>
      <c r="HU20" s="81"/>
      <c r="HV20" s="81"/>
      <c r="HW20" s="81"/>
      <c r="NJ20" s="275"/>
      <c r="NK20" s="275"/>
      <c r="NL20" s="275"/>
      <c r="PN20" s="275"/>
      <c r="PO20" s="275"/>
      <c r="RI20" s="275"/>
      <c r="RJ20" s="275"/>
      <c r="RK20" s="275"/>
      <c r="TD20" s="275"/>
      <c r="TE20" s="275"/>
      <c r="TF20" s="275"/>
      <c r="AAO20" s="160"/>
      <c r="AAP20" s="160"/>
      <c r="AAS20" s="160"/>
      <c r="AAU20" s="160"/>
      <c r="ABL20" s="125"/>
      <c r="ABM20" s="125"/>
      <c r="ABN20" s="125"/>
      <c r="ABT20" s="289"/>
      <c r="ABU20" s="303"/>
      <c r="ABV20" s="303"/>
    </row>
    <row r="21" spans="11:750" ht="12" customHeight="1">
      <c r="K21" s="275"/>
      <c r="L21" s="275"/>
      <c r="EK21" s="80"/>
      <c r="EL21" s="283"/>
      <c r="FE21" s="292"/>
      <c r="FL21" s="81"/>
      <c r="FN21" s="81"/>
      <c r="GR21" s="81"/>
      <c r="GT21" s="81"/>
      <c r="GV21" s="81"/>
      <c r="GY21" s="81"/>
      <c r="GZ21" s="81"/>
      <c r="HA21" s="81"/>
      <c r="HB21" s="81"/>
      <c r="HC21" s="81"/>
      <c r="HD21" s="81"/>
      <c r="HE21" s="81"/>
      <c r="HF21" s="81"/>
      <c r="HG21" s="81"/>
      <c r="HH21" s="81"/>
      <c r="HI21" s="81"/>
      <c r="HJ21" s="81"/>
      <c r="HK21" s="81"/>
      <c r="HL21" s="81"/>
      <c r="HM21" s="81"/>
      <c r="HN21" s="81"/>
      <c r="HO21" s="81"/>
      <c r="HP21" s="81"/>
      <c r="HQ21" s="81"/>
      <c r="HR21" s="81"/>
      <c r="HS21" s="81"/>
      <c r="HT21" s="81"/>
      <c r="HU21" s="81"/>
      <c r="HV21" s="81"/>
      <c r="HW21" s="81"/>
      <c r="NJ21" s="275"/>
      <c r="NK21" s="275"/>
      <c r="NL21" s="275"/>
      <c r="PN21" s="275"/>
      <c r="PO21" s="275"/>
      <c r="RI21" s="275"/>
      <c r="RJ21" s="275"/>
      <c r="RK21" s="275"/>
      <c r="TD21" s="275"/>
      <c r="TE21" s="275"/>
      <c r="TF21" s="275"/>
      <c r="AAO21" s="160"/>
      <c r="AAP21" s="160"/>
      <c r="AAS21" s="160"/>
      <c r="AAU21" s="160"/>
      <c r="ABL21" s="125"/>
      <c r="ABM21" s="125"/>
      <c r="ABN21" s="125"/>
      <c r="ABT21" s="289"/>
      <c r="ABU21" s="303"/>
      <c r="ABV21" s="303"/>
    </row>
    <row r="22" spans="11:750" ht="12" customHeight="1">
      <c r="K22" s="275"/>
      <c r="L22" s="275"/>
      <c r="EK22" s="80"/>
      <c r="EL22" s="283"/>
      <c r="FE22" s="292"/>
      <c r="FL22" s="81"/>
      <c r="FN22" s="81"/>
      <c r="GR22" s="81"/>
      <c r="GT22" s="81"/>
      <c r="GV22" s="81"/>
      <c r="GY22" s="81"/>
      <c r="GZ22" s="81"/>
      <c r="HA22" s="81"/>
      <c r="HB22" s="81"/>
      <c r="HC22" s="81"/>
      <c r="HD22" s="81"/>
      <c r="HE22" s="81"/>
      <c r="HF22" s="81"/>
      <c r="HG22" s="81"/>
      <c r="HH22" s="81"/>
      <c r="HI22" s="81"/>
      <c r="HJ22" s="81"/>
      <c r="HK22" s="81"/>
      <c r="HL22" s="81"/>
      <c r="HM22" s="81"/>
      <c r="HN22" s="81"/>
      <c r="HO22" s="81"/>
      <c r="HP22" s="81"/>
      <c r="HQ22" s="81"/>
      <c r="HR22" s="81"/>
      <c r="HS22" s="81"/>
      <c r="HT22" s="81"/>
      <c r="HU22" s="81"/>
      <c r="HV22" s="81"/>
      <c r="HW22" s="81"/>
      <c r="NJ22" s="275"/>
      <c r="NK22" s="275"/>
      <c r="NL22" s="275"/>
      <c r="PN22" s="275"/>
      <c r="PO22" s="275"/>
      <c r="RI22" s="275"/>
      <c r="RJ22" s="275"/>
      <c r="RK22" s="275"/>
      <c r="TD22" s="275"/>
      <c r="TE22" s="275"/>
      <c r="TF22" s="275"/>
      <c r="AAO22" s="160"/>
      <c r="AAP22" s="160"/>
      <c r="AAS22" s="160"/>
      <c r="AAU22" s="160"/>
      <c r="ABL22" s="125"/>
      <c r="ABM22" s="125"/>
      <c r="ABN22" s="125"/>
      <c r="ABT22" s="289"/>
      <c r="ABU22" s="303"/>
      <c r="ABV22" s="303"/>
    </row>
    <row r="23" spans="11:750" ht="12" customHeight="1">
      <c r="K23" s="275"/>
      <c r="L23" s="275"/>
      <c r="EK23" s="80"/>
      <c r="EL23" s="283"/>
      <c r="FE23" s="292"/>
      <c r="FL23" s="81"/>
      <c r="FN23" s="81"/>
      <c r="GR23" s="81"/>
      <c r="GT23" s="81"/>
      <c r="GV23" s="81"/>
      <c r="GY23" s="81"/>
      <c r="GZ23" s="81"/>
      <c r="HA23" s="81"/>
      <c r="HB23" s="81"/>
      <c r="HC23" s="81"/>
      <c r="HD23" s="81"/>
      <c r="HE23" s="81"/>
      <c r="HF23" s="81"/>
      <c r="HG23" s="81"/>
      <c r="HH23" s="81"/>
      <c r="HI23" s="81"/>
      <c r="HJ23" s="81"/>
      <c r="HK23" s="81"/>
      <c r="HL23" s="81"/>
      <c r="HM23" s="81"/>
      <c r="HN23" s="81"/>
      <c r="HO23" s="81"/>
      <c r="HP23" s="81"/>
      <c r="HQ23" s="81"/>
      <c r="HR23" s="81"/>
      <c r="HS23" s="81"/>
      <c r="HT23" s="81"/>
      <c r="HU23" s="81"/>
      <c r="HV23" s="81"/>
      <c r="HW23" s="81"/>
      <c r="NJ23" s="275"/>
      <c r="NK23" s="275"/>
      <c r="NL23" s="275"/>
      <c r="PN23" s="275"/>
      <c r="PO23" s="275"/>
      <c r="RI23" s="275"/>
      <c r="RJ23" s="275"/>
      <c r="RK23" s="275"/>
      <c r="TD23" s="275"/>
      <c r="TE23" s="275"/>
      <c r="TF23" s="275"/>
      <c r="AAO23" s="160"/>
      <c r="AAP23" s="160"/>
      <c r="AAS23" s="160"/>
      <c r="AAU23" s="160"/>
      <c r="ABL23" s="125"/>
      <c r="ABM23" s="125"/>
      <c r="ABN23" s="125"/>
      <c r="ABT23" s="289"/>
      <c r="ABU23" s="303"/>
      <c r="ABV23" s="303"/>
    </row>
    <row r="24" spans="11:750" ht="12" customHeight="1">
      <c r="K24" s="275"/>
      <c r="L24" s="275"/>
      <c r="EK24" s="80"/>
      <c r="FE24" s="292"/>
      <c r="FL24" s="81"/>
      <c r="FN24" s="81"/>
      <c r="GR24" s="81"/>
      <c r="GT24" s="81"/>
      <c r="GV24" s="81"/>
      <c r="GY24" s="81"/>
      <c r="GZ24" s="81"/>
      <c r="HA24" s="81"/>
      <c r="HB24" s="81"/>
      <c r="HC24" s="81"/>
      <c r="HD24" s="81"/>
      <c r="HE24" s="81"/>
      <c r="HF24" s="81"/>
      <c r="HG24" s="81"/>
      <c r="HH24" s="81"/>
      <c r="HI24" s="81"/>
      <c r="HJ24" s="81"/>
      <c r="HK24" s="81"/>
      <c r="HL24" s="81"/>
      <c r="HM24" s="81"/>
      <c r="HN24" s="81"/>
      <c r="HO24" s="81"/>
      <c r="HP24" s="81"/>
      <c r="HQ24" s="81"/>
      <c r="HR24" s="81"/>
      <c r="HS24" s="81"/>
      <c r="HT24" s="81"/>
      <c r="HU24" s="81"/>
      <c r="HV24" s="81"/>
      <c r="HW24" s="81"/>
      <c r="NJ24" s="275"/>
      <c r="NK24" s="275"/>
      <c r="NL24" s="275"/>
      <c r="PN24" s="275"/>
      <c r="PO24" s="275"/>
      <c r="RI24" s="275"/>
      <c r="RJ24" s="275"/>
      <c r="RK24" s="275"/>
      <c r="TD24" s="275"/>
      <c r="TE24" s="275"/>
      <c r="TF24" s="275"/>
      <c r="AAO24" s="160"/>
      <c r="AAP24" s="160"/>
      <c r="AAS24" s="160"/>
      <c r="AAU24" s="160"/>
      <c r="ABL24" s="125"/>
      <c r="ABM24" s="125"/>
      <c r="ABN24" s="125"/>
      <c r="ABT24" s="289"/>
      <c r="ABU24" s="303"/>
      <c r="ABV24" s="303"/>
    </row>
    <row r="25" spans="11:750" ht="12" customHeight="1">
      <c r="K25" s="275"/>
      <c r="L25" s="275"/>
      <c r="EK25" s="80"/>
      <c r="EL25" s="45"/>
      <c r="FE25" s="292"/>
      <c r="FL25" s="81"/>
      <c r="FN25" s="81"/>
      <c r="GR25" s="81"/>
      <c r="GT25" s="81"/>
      <c r="GV25" s="81"/>
      <c r="GY25" s="81"/>
      <c r="GZ25" s="81"/>
      <c r="HA25" s="81"/>
      <c r="HB25" s="81"/>
      <c r="HC25" s="81"/>
      <c r="HD25" s="81"/>
      <c r="HE25" s="81"/>
      <c r="HF25" s="81"/>
      <c r="HG25" s="81"/>
      <c r="HH25" s="81"/>
      <c r="HI25" s="81"/>
      <c r="HJ25" s="81"/>
      <c r="HK25" s="81"/>
      <c r="HL25" s="81"/>
      <c r="HM25" s="81"/>
      <c r="HN25" s="81"/>
      <c r="HO25" s="81"/>
      <c r="HP25" s="81"/>
      <c r="HQ25" s="81"/>
      <c r="HR25" s="81"/>
      <c r="HS25" s="81"/>
      <c r="HT25" s="81"/>
      <c r="HU25" s="81"/>
      <c r="HV25" s="81"/>
      <c r="HW25" s="81"/>
      <c r="NJ25" s="275"/>
      <c r="NK25" s="275"/>
      <c r="NL25" s="275"/>
      <c r="PN25" s="275"/>
      <c r="PO25" s="275"/>
      <c r="RI25" s="275"/>
      <c r="RJ25" s="275"/>
      <c r="RK25" s="275"/>
      <c r="TD25" s="275"/>
      <c r="TE25" s="275"/>
      <c r="TF25" s="275"/>
      <c r="AAO25" s="160"/>
      <c r="AAP25" s="160"/>
      <c r="AAS25" s="160"/>
      <c r="AAU25" s="160"/>
      <c r="ABL25" s="125"/>
      <c r="ABM25" s="125"/>
      <c r="ABN25" s="125"/>
      <c r="ABT25" s="289"/>
      <c r="ABU25" s="303"/>
      <c r="ABV25" s="303"/>
    </row>
  </sheetData>
  <conditionalFormatting sqref="FA2:FA3">
    <cfRule type="cellIs" dxfId="15" priority="101" stopIfTrue="1" operator="greaterThan">
      <formula>100-EZ2</formula>
    </cfRule>
  </conditionalFormatting>
  <conditionalFormatting sqref="FB2:FB3">
    <cfRule type="cellIs" dxfId="14" priority="102" stopIfTrue="1" operator="greaterThan">
      <formula>100-EZ2-FA2</formula>
    </cfRule>
  </conditionalFormatting>
  <conditionalFormatting sqref="FD2:FD3">
    <cfRule type="cellIs" dxfId="13" priority="103" stopIfTrue="1" operator="greaterThan">
      <formula>100-EZ2-FA2-FB2-FC2</formula>
    </cfRule>
  </conditionalFormatting>
  <conditionalFormatting sqref="FT1:FU2 GN1:GP2 GQ2:GY2">
    <cfRule type="expression" dxfId="12" priority="204" stopIfTrue="1">
      <formula>HX:HX="Y"</formula>
    </cfRule>
  </conditionalFormatting>
  <conditionalFormatting sqref="FV1">
    <cfRule type="expression" dxfId="11" priority="186" stopIfTrue="1">
      <formula>ID:ID="Y"</formula>
    </cfRule>
  </conditionalFormatting>
  <conditionalFormatting sqref="FW1">
    <cfRule type="expression" dxfId="10" priority="95" stopIfTrue="1">
      <formula>ID:ID="Y"</formula>
    </cfRule>
  </conditionalFormatting>
  <conditionalFormatting sqref="FY1:FY2 FY5">
    <cfRule type="expression" dxfId="9" priority="96" stopIfTrue="1">
      <formula>HZ:HZ="Y"</formula>
    </cfRule>
  </conditionalFormatting>
  <conditionalFormatting sqref="FZ1">
    <cfRule type="expression" dxfId="8" priority="94" stopIfTrue="1">
      <formula>HY:HY="Y"</formula>
    </cfRule>
  </conditionalFormatting>
  <conditionalFormatting sqref="GA1:GB3">
    <cfRule type="expression" dxfId="7" priority="193" stopIfTrue="1">
      <formula>IA:IA="Y"</formula>
    </cfRule>
  </conditionalFormatting>
  <conditionalFormatting sqref="GC1">
    <cfRule type="expression" dxfId="6" priority="203" stopIfTrue="1">
      <formula>IA:IA="Y"</formula>
    </cfRule>
  </conditionalFormatting>
  <conditionalFormatting sqref="GQ1">
    <cfRule type="expression" dxfId="5" priority="212" stopIfTrue="1">
      <formula>IT:IT="Y"</formula>
    </cfRule>
  </conditionalFormatting>
  <conditionalFormatting sqref="GR1:GT1 FX1:FX2 FX3:FY3">
    <cfRule type="expression" dxfId="4" priority="67" stopIfTrue="1">
      <formula>HZ:HZ="Y"</formula>
    </cfRule>
  </conditionalFormatting>
  <conditionalFormatting sqref="HX1:HZ2">
    <cfRule type="expression" dxfId="3" priority="63" stopIfTrue="1">
      <formula>LEN(TRIM(HX1))&gt;0</formula>
    </cfRule>
  </conditionalFormatting>
  <conditionalFormatting sqref="NZ1:NZ3 QD1:QD3 RY1:RY3 TT1:TT3">
    <cfRule type="expression" dxfId="2" priority="69" stopIfTrue="1">
      <formula>NW:NW="N"</formula>
    </cfRule>
  </conditionalFormatting>
  <conditionalFormatting sqref="OA1:OB3 QE1:QF3 RZ1:SA3 TU1:TV3">
    <cfRule type="expression" dxfId="1" priority="70" stopIfTrue="1">
      <formula>NW:NW="N"</formula>
    </cfRule>
  </conditionalFormatting>
  <pageMargins left="0.70000000000000007" right="0.70000000000000007" top="1.14375" bottom="1.14375" header="0.75000000000000011" footer="0.75000000000000011"/>
  <pageSetup paperSize="9" fitToWidth="0" fitToHeight="0" orientation="portrait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L104"/>
  <sheetViews>
    <sheetView topLeftCell="A37" zoomScale="90" zoomScaleNormal="90" workbookViewId="0">
      <selection activeCell="D41" sqref="D41:D90"/>
    </sheetView>
  </sheetViews>
  <sheetFormatPr defaultRowHeight="15" customHeight="1"/>
  <cols>
    <col min="1" max="26" width="22.5" customWidth="1"/>
    <col min="27" max="1024" width="12.6640625" customWidth="1"/>
    <col min="1025" max="1025" width="8.6640625" customWidth="1"/>
  </cols>
  <sheetData>
    <row r="1" spans="1:12" ht="84.5" customHeight="1">
      <c r="A1" s="20" t="s">
        <v>1510</v>
      </c>
      <c r="B1" s="21" t="s">
        <v>1511</v>
      </c>
      <c r="C1" s="22"/>
      <c r="D1" s="22"/>
      <c r="E1" s="22"/>
      <c r="F1" s="23"/>
      <c r="G1" s="24"/>
      <c r="H1" s="24"/>
      <c r="I1" s="24"/>
      <c r="J1" s="19"/>
      <c r="K1" s="19"/>
      <c r="L1" s="19"/>
    </row>
    <row r="2" spans="1:12" ht="9.75" customHeight="1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ht="33.75" customHeight="1">
      <c r="A3" s="25" t="s">
        <v>1512</v>
      </c>
      <c r="B3" s="25"/>
      <c r="C3" s="25" t="s">
        <v>1513</v>
      </c>
      <c r="D3" s="25" t="s">
        <v>1514</v>
      </c>
      <c r="E3" s="25" t="s">
        <v>1515</v>
      </c>
      <c r="F3" s="25" t="s">
        <v>1516</v>
      </c>
      <c r="G3" s="25" t="s">
        <v>1517</v>
      </c>
      <c r="H3" s="25" t="s">
        <v>1518</v>
      </c>
      <c r="I3" s="25" t="s">
        <v>1519</v>
      </c>
      <c r="J3" s="25" t="s">
        <v>1520</v>
      </c>
      <c r="K3" s="25" t="s">
        <v>1521</v>
      </c>
      <c r="L3" s="25" t="s">
        <v>1522</v>
      </c>
    </row>
    <row r="4" spans="1:12" ht="33.75" customHeight="1">
      <c r="A4" s="398" t="s">
        <v>1523</v>
      </c>
      <c r="B4" s="26" t="s">
        <v>1524</v>
      </c>
      <c r="C4" s="26" t="s">
        <v>1525</v>
      </c>
      <c r="D4" s="26" t="s">
        <v>1526</v>
      </c>
      <c r="E4" s="26">
        <v>7298</v>
      </c>
      <c r="F4" s="27" t="s">
        <v>1527</v>
      </c>
      <c r="G4" s="28">
        <v>2.5000000000000001E-2</v>
      </c>
      <c r="H4" s="28">
        <v>2.5000000000000001E-2</v>
      </c>
      <c r="I4" s="28">
        <v>2.1999999999999999E-2</v>
      </c>
      <c r="J4" s="26" t="s">
        <v>1528</v>
      </c>
      <c r="K4" s="29" t="s">
        <v>1529</v>
      </c>
      <c r="L4" s="30">
        <v>2.4E-2</v>
      </c>
    </row>
    <row r="5" spans="1:12" ht="33.75" customHeight="1">
      <c r="A5" s="399"/>
      <c r="B5" s="26" t="s">
        <v>1530</v>
      </c>
      <c r="C5" s="26" t="s">
        <v>138</v>
      </c>
      <c r="D5" s="26" t="s">
        <v>1531</v>
      </c>
      <c r="E5" s="26">
        <v>7230</v>
      </c>
      <c r="F5" s="27" t="s">
        <v>1532</v>
      </c>
      <c r="G5" s="28">
        <v>2.5000000000000001E-2</v>
      </c>
      <c r="H5" s="28">
        <v>2.5000000000000001E-2</v>
      </c>
      <c r="I5" s="28">
        <v>2.1999999999999999E-2</v>
      </c>
      <c r="J5" s="26" t="s">
        <v>1528</v>
      </c>
      <c r="K5" s="29" t="s">
        <v>1529</v>
      </c>
      <c r="L5" s="30">
        <v>2.4E-2</v>
      </c>
    </row>
    <row r="6" spans="1:12" ht="33.75" customHeight="1">
      <c r="A6" s="399"/>
      <c r="B6" s="31" t="s">
        <v>1533</v>
      </c>
      <c r="C6" s="31" t="s">
        <v>1534</v>
      </c>
      <c r="D6" s="31" t="s">
        <v>1535</v>
      </c>
      <c r="E6" s="31">
        <v>7297</v>
      </c>
      <c r="F6" s="32" t="s">
        <v>1536</v>
      </c>
      <c r="G6" s="33">
        <v>2.5000000000000001E-2</v>
      </c>
      <c r="H6" s="28">
        <v>2.5000000000000001E-2</v>
      </c>
      <c r="I6" s="33">
        <v>2.1999999999999999E-2</v>
      </c>
      <c r="J6" s="26" t="s">
        <v>1528</v>
      </c>
      <c r="K6" s="34" t="s">
        <v>1529</v>
      </c>
      <c r="L6" s="35">
        <v>2.4E-2</v>
      </c>
    </row>
    <row r="7" spans="1:12" ht="33.75" customHeight="1">
      <c r="A7" s="398" t="s">
        <v>1537</v>
      </c>
      <c r="B7" s="36" t="s">
        <v>1538</v>
      </c>
      <c r="C7" s="36" t="s">
        <v>1539</v>
      </c>
      <c r="D7" s="36" t="s">
        <v>1540</v>
      </c>
      <c r="E7" s="36">
        <v>5462</v>
      </c>
      <c r="F7" s="37" t="s">
        <v>1539</v>
      </c>
      <c r="G7" s="38">
        <v>1.6500000000000001E-2</v>
      </c>
      <c r="H7" s="38">
        <v>2.4E-2</v>
      </c>
      <c r="I7" s="38">
        <v>1.7000000000000001E-2</v>
      </c>
      <c r="J7" s="36" t="s">
        <v>1541</v>
      </c>
      <c r="K7" s="29" t="s">
        <v>1542</v>
      </c>
      <c r="L7" s="30">
        <v>1.9E-2</v>
      </c>
    </row>
    <row r="8" spans="1:12" ht="33.75" customHeight="1">
      <c r="A8" s="399"/>
      <c r="B8" s="31" t="s">
        <v>1543</v>
      </c>
      <c r="C8" s="31" t="s">
        <v>1544</v>
      </c>
      <c r="D8" s="31" t="s">
        <v>1545</v>
      </c>
      <c r="E8" s="31">
        <v>5813</v>
      </c>
      <c r="F8" s="32" t="s">
        <v>1546</v>
      </c>
      <c r="G8" s="33">
        <v>2.5000000000000001E-2</v>
      </c>
      <c r="H8" s="28">
        <v>2.5000000000000001E-2</v>
      </c>
      <c r="I8" s="33">
        <v>2.1999999999999999E-2</v>
      </c>
      <c r="J8" s="26" t="s">
        <v>1528</v>
      </c>
      <c r="K8" s="34" t="s">
        <v>1547</v>
      </c>
      <c r="L8" s="35">
        <v>2.5000000000000001E-2</v>
      </c>
    </row>
    <row r="9" spans="1:12" ht="33.75" customHeight="1">
      <c r="A9" s="399"/>
      <c r="B9" s="36" t="s">
        <v>1548</v>
      </c>
      <c r="C9" s="36" t="s">
        <v>1549</v>
      </c>
      <c r="D9" s="36" t="s">
        <v>1550</v>
      </c>
      <c r="E9" s="36">
        <v>5814</v>
      </c>
      <c r="F9" s="37" t="s">
        <v>1549</v>
      </c>
      <c r="G9" s="38">
        <v>1.6500000000000001E-2</v>
      </c>
      <c r="H9" s="38">
        <v>2.4E-2</v>
      </c>
      <c r="I9" s="38">
        <v>1.7000000000000001E-2</v>
      </c>
      <c r="J9" s="36" t="s">
        <v>1541</v>
      </c>
      <c r="K9" s="29" t="s">
        <v>1551</v>
      </c>
      <c r="L9" s="30">
        <v>1.4999999999999999E-2</v>
      </c>
    </row>
    <row r="10" spans="1:12" ht="33.75" customHeight="1">
      <c r="A10" s="399"/>
      <c r="B10" s="26" t="s">
        <v>1552</v>
      </c>
      <c r="C10" s="26" t="s">
        <v>1553</v>
      </c>
      <c r="D10" s="26" t="s">
        <v>1554</v>
      </c>
      <c r="E10" s="26">
        <v>7011</v>
      </c>
      <c r="F10" s="27" t="s">
        <v>1555</v>
      </c>
      <c r="G10" s="28">
        <v>2.5000000000000001E-2</v>
      </c>
      <c r="H10" s="28">
        <v>2.5000000000000001E-2</v>
      </c>
      <c r="I10" s="28">
        <v>2.1999999999999999E-2</v>
      </c>
      <c r="J10" s="26" t="s">
        <v>1528</v>
      </c>
      <c r="K10" s="29"/>
      <c r="L10" s="29"/>
    </row>
    <row r="11" spans="1:12" ht="33.75" customHeight="1">
      <c r="A11" s="399"/>
      <c r="B11" s="26" t="s">
        <v>1556</v>
      </c>
      <c r="C11" s="26" t="s">
        <v>1557</v>
      </c>
      <c r="D11" s="26" t="s">
        <v>1558</v>
      </c>
      <c r="E11" s="26">
        <v>5812</v>
      </c>
      <c r="F11" s="27" t="s">
        <v>1559</v>
      </c>
      <c r="G11" s="28">
        <v>2.5000000000000001E-2</v>
      </c>
      <c r="H11" s="28">
        <v>2.5000000000000001E-2</v>
      </c>
      <c r="I11" s="28">
        <v>2.1999999999999999E-2</v>
      </c>
      <c r="J11" s="26" t="s">
        <v>1528</v>
      </c>
      <c r="K11" s="29" t="s">
        <v>1547</v>
      </c>
      <c r="L11" s="30">
        <v>2.5000000000000001E-2</v>
      </c>
    </row>
    <row r="12" spans="1:12" ht="33.75" customHeight="1">
      <c r="A12" s="398" t="s">
        <v>1560</v>
      </c>
      <c r="B12" s="36" t="s">
        <v>1561</v>
      </c>
      <c r="C12" s="36" t="s">
        <v>1562</v>
      </c>
      <c r="D12" s="36" t="s">
        <v>1563</v>
      </c>
      <c r="E12" s="36">
        <v>7311</v>
      </c>
      <c r="F12" s="37" t="s">
        <v>1564</v>
      </c>
      <c r="G12" s="38">
        <v>1.6500000000000001E-2</v>
      </c>
      <c r="H12" s="38">
        <v>2.4E-2</v>
      </c>
      <c r="I12" s="28">
        <v>2.1999999999999999E-2</v>
      </c>
      <c r="J12" s="26" t="s">
        <v>1528</v>
      </c>
      <c r="K12" s="29" t="s">
        <v>1529</v>
      </c>
      <c r="L12" s="30">
        <v>2.5000000000000001E-2</v>
      </c>
    </row>
    <row r="13" spans="1:12" ht="33.75" customHeight="1">
      <c r="A13" s="399"/>
      <c r="B13" s="26" t="s">
        <v>1565</v>
      </c>
      <c r="C13" s="26" t="s">
        <v>1566</v>
      </c>
      <c r="D13" s="26" t="s">
        <v>1567</v>
      </c>
      <c r="E13" s="26">
        <v>5192</v>
      </c>
      <c r="F13" s="27" t="s">
        <v>1568</v>
      </c>
      <c r="G13" s="28">
        <v>2.5000000000000001E-2</v>
      </c>
      <c r="H13" s="28">
        <v>2.5000000000000001E-2</v>
      </c>
      <c r="I13" s="28">
        <v>2.1999999999999999E-2</v>
      </c>
      <c r="J13" s="26" t="s">
        <v>1528</v>
      </c>
      <c r="K13" s="29" t="s">
        <v>1542</v>
      </c>
      <c r="L13" s="30">
        <v>1.9E-2</v>
      </c>
    </row>
    <row r="14" spans="1:12" ht="33.75" customHeight="1">
      <c r="A14" s="399"/>
      <c r="B14" s="36" t="s">
        <v>1569</v>
      </c>
      <c r="C14" s="36" t="s">
        <v>1570</v>
      </c>
      <c r="D14" s="36" t="s">
        <v>1571</v>
      </c>
      <c r="E14" s="36">
        <v>8241</v>
      </c>
      <c r="F14" s="37" t="s">
        <v>1572</v>
      </c>
      <c r="G14" s="38">
        <v>1.6500000000000001E-2</v>
      </c>
      <c r="H14" s="38">
        <v>2.4E-2</v>
      </c>
      <c r="I14" s="28">
        <v>2.1999999999999999E-2</v>
      </c>
      <c r="J14" s="26" t="s">
        <v>1528</v>
      </c>
      <c r="K14" s="29" t="s">
        <v>1573</v>
      </c>
      <c r="L14" s="30">
        <v>2.5000000000000001E-2</v>
      </c>
    </row>
    <row r="15" spans="1:12" ht="33.75" customHeight="1">
      <c r="A15" s="399"/>
      <c r="B15" s="36" t="s">
        <v>1574</v>
      </c>
      <c r="C15" s="36" t="s">
        <v>1575</v>
      </c>
      <c r="D15" s="36" t="s">
        <v>1576</v>
      </c>
      <c r="E15" s="36">
        <v>5994</v>
      </c>
      <c r="F15" s="37" t="s">
        <v>1577</v>
      </c>
      <c r="G15" s="38">
        <v>1.6500000000000001E-2</v>
      </c>
      <c r="H15" s="38">
        <v>2.4E-2</v>
      </c>
      <c r="I15" s="28">
        <v>2.1999999999999999E-2</v>
      </c>
      <c r="J15" s="26" t="s">
        <v>1528</v>
      </c>
      <c r="K15" s="29" t="s">
        <v>1542</v>
      </c>
      <c r="L15" s="30">
        <v>1.9E-2</v>
      </c>
    </row>
    <row r="16" spans="1:12" ht="33.75" customHeight="1">
      <c r="A16" s="399"/>
      <c r="B16" s="26" t="s">
        <v>1578</v>
      </c>
      <c r="C16" s="26" t="s">
        <v>1579</v>
      </c>
      <c r="D16" s="26" t="s">
        <v>1580</v>
      </c>
      <c r="E16" s="26">
        <v>5192</v>
      </c>
      <c r="F16" s="27" t="s">
        <v>1581</v>
      </c>
      <c r="G16" s="28">
        <v>2.5000000000000001E-2</v>
      </c>
      <c r="H16" s="28">
        <v>2.5000000000000001E-2</v>
      </c>
      <c r="I16" s="28">
        <v>2.1999999999999999E-2</v>
      </c>
      <c r="J16" s="26" t="s">
        <v>1528</v>
      </c>
      <c r="K16" s="29" t="s">
        <v>1542</v>
      </c>
      <c r="L16" s="30">
        <v>1.9E-2</v>
      </c>
    </row>
    <row r="17" spans="1:12" ht="33.75" customHeight="1">
      <c r="A17" s="399"/>
      <c r="B17" s="26" t="s">
        <v>1582</v>
      </c>
      <c r="C17" s="26" t="s">
        <v>1583</v>
      </c>
      <c r="D17" s="26" t="s">
        <v>1584</v>
      </c>
      <c r="E17" s="26">
        <v>4812</v>
      </c>
      <c r="F17" s="27" t="s">
        <v>1585</v>
      </c>
      <c r="G17" s="28">
        <v>2.5000000000000001E-2</v>
      </c>
      <c r="H17" s="28">
        <v>2.5000000000000001E-2</v>
      </c>
      <c r="I17" s="28">
        <v>2.1999999999999999E-2</v>
      </c>
      <c r="J17" s="26" t="s">
        <v>1528</v>
      </c>
      <c r="K17" s="29" t="s">
        <v>1542</v>
      </c>
      <c r="L17" s="30">
        <v>1.9E-2</v>
      </c>
    </row>
    <row r="18" spans="1:12" ht="33.75" customHeight="1">
      <c r="A18" s="399"/>
      <c r="B18" s="36" t="s">
        <v>1586</v>
      </c>
      <c r="C18" s="36" t="s">
        <v>1587</v>
      </c>
      <c r="D18" s="36" t="s">
        <v>1588</v>
      </c>
      <c r="E18" s="36">
        <v>8220</v>
      </c>
      <c r="F18" s="37" t="s">
        <v>1589</v>
      </c>
      <c r="G18" s="38">
        <v>1.6500000000000001E-2</v>
      </c>
      <c r="H18" s="38">
        <v>2.4E-2</v>
      </c>
      <c r="I18" s="38">
        <v>1.7000000000000001E-2</v>
      </c>
      <c r="J18" s="36" t="s">
        <v>1541</v>
      </c>
      <c r="K18" s="29" t="s">
        <v>1573</v>
      </c>
      <c r="L18" s="30">
        <v>2.5000000000000001E-2</v>
      </c>
    </row>
    <row r="19" spans="1:12" ht="33.75" customHeight="1">
      <c r="A19" s="399"/>
      <c r="B19" s="36" t="s">
        <v>1590</v>
      </c>
      <c r="C19" s="36" t="s">
        <v>1591</v>
      </c>
      <c r="D19" s="36" t="s">
        <v>1592</v>
      </c>
      <c r="E19" s="36">
        <v>8211</v>
      </c>
      <c r="F19" s="37" t="s">
        <v>1593</v>
      </c>
      <c r="G19" s="38">
        <v>1.6500000000000001E-2</v>
      </c>
      <c r="H19" s="38">
        <v>2.4E-2</v>
      </c>
      <c r="I19" s="38">
        <v>1.7000000000000001E-2</v>
      </c>
      <c r="J19" s="36" t="s">
        <v>1541</v>
      </c>
      <c r="K19" s="29" t="s">
        <v>1573</v>
      </c>
      <c r="L19" s="30">
        <v>2.5000000000000001E-2</v>
      </c>
    </row>
    <row r="20" spans="1:12" ht="33.75" customHeight="1">
      <c r="A20" s="398" t="s">
        <v>1594</v>
      </c>
      <c r="B20" s="31" t="s">
        <v>1595</v>
      </c>
      <c r="C20" s="31" t="s">
        <v>1596</v>
      </c>
      <c r="D20" s="31" t="s">
        <v>1597</v>
      </c>
      <c r="E20" s="31">
        <v>7277</v>
      </c>
      <c r="F20" s="32" t="s">
        <v>1598</v>
      </c>
      <c r="G20" s="33">
        <v>2.5000000000000001E-2</v>
      </c>
      <c r="H20" s="28">
        <v>2.5000000000000001E-2</v>
      </c>
      <c r="I20" s="33">
        <v>2.1999999999999999E-2</v>
      </c>
      <c r="J20" s="26" t="s">
        <v>1528</v>
      </c>
      <c r="K20" s="34" t="s">
        <v>1542</v>
      </c>
      <c r="L20" s="35">
        <v>1.9E-2</v>
      </c>
    </row>
    <row r="21" spans="1:12" ht="33.75" customHeight="1">
      <c r="A21" s="399"/>
      <c r="B21" s="26" t="s">
        <v>1599</v>
      </c>
      <c r="C21" s="31" t="s">
        <v>1600</v>
      </c>
      <c r="D21" s="31" t="s">
        <v>1601</v>
      </c>
      <c r="E21" s="31">
        <v>5933</v>
      </c>
      <c r="F21" s="32" t="s">
        <v>1602</v>
      </c>
      <c r="G21" s="33">
        <v>2.5000000000000001E-2</v>
      </c>
      <c r="H21" s="28">
        <v>2.5000000000000001E-2</v>
      </c>
      <c r="I21" s="33">
        <v>2.1999999999999999E-2</v>
      </c>
      <c r="J21" s="26" t="s">
        <v>1528</v>
      </c>
      <c r="K21" s="34"/>
      <c r="L21" s="34"/>
    </row>
    <row r="22" spans="1:12" ht="33.75" customHeight="1">
      <c r="A22" s="399"/>
      <c r="B22" s="26" t="s">
        <v>1603</v>
      </c>
      <c r="C22" s="26" t="s">
        <v>1604</v>
      </c>
      <c r="D22" s="26" t="s">
        <v>1605</v>
      </c>
      <c r="E22" s="26">
        <v>6537</v>
      </c>
      <c r="F22" s="27" t="s">
        <v>1606</v>
      </c>
      <c r="G22" s="28">
        <v>2.5000000000000001E-2</v>
      </c>
      <c r="H22" s="28">
        <v>2.5000000000000001E-2</v>
      </c>
      <c r="I22" s="28">
        <v>2.1999999999999999E-2</v>
      </c>
      <c r="J22" s="26" t="s">
        <v>1528</v>
      </c>
      <c r="K22" s="29"/>
      <c r="L22" s="29"/>
    </row>
    <row r="23" spans="1:12" ht="33.75" customHeight="1">
      <c r="A23" s="399"/>
      <c r="B23" s="36" t="s">
        <v>1607</v>
      </c>
      <c r="C23" s="36" t="s">
        <v>1608</v>
      </c>
      <c r="D23" s="36" t="s">
        <v>1609</v>
      </c>
      <c r="E23" s="36">
        <v>6300</v>
      </c>
      <c r="F23" s="37" t="s">
        <v>1610</v>
      </c>
      <c r="G23" s="38">
        <v>1.6500000000000001E-2</v>
      </c>
      <c r="H23" s="38">
        <v>2.4E-2</v>
      </c>
      <c r="I23" s="28">
        <v>2.1999999999999999E-2</v>
      </c>
      <c r="J23" s="26" t="s">
        <v>1528</v>
      </c>
      <c r="K23" s="29"/>
      <c r="L23" s="29"/>
    </row>
    <row r="24" spans="1:12" ht="33.75" customHeight="1">
      <c r="A24" s="399"/>
      <c r="B24" s="26" t="s">
        <v>1611</v>
      </c>
      <c r="C24" s="26" t="s">
        <v>1612</v>
      </c>
      <c r="D24" s="26" t="s">
        <v>1613</v>
      </c>
      <c r="E24" s="26">
        <v>6211</v>
      </c>
      <c r="F24" s="27" t="s">
        <v>1614</v>
      </c>
      <c r="G24" s="28">
        <v>2.5000000000000001E-2</v>
      </c>
      <c r="H24" s="28">
        <v>2.5000000000000001E-2</v>
      </c>
      <c r="I24" s="28">
        <v>2.1999999999999999E-2</v>
      </c>
      <c r="J24" s="26" t="s">
        <v>1528</v>
      </c>
      <c r="K24" s="29"/>
      <c r="L24" s="29"/>
    </row>
    <row r="25" spans="1:12" ht="33.75" customHeight="1">
      <c r="A25" s="398" t="s">
        <v>1615</v>
      </c>
      <c r="B25" s="36" t="s">
        <v>1616</v>
      </c>
      <c r="C25" s="36" t="s">
        <v>1617</v>
      </c>
      <c r="D25" s="36" t="s">
        <v>1618</v>
      </c>
      <c r="E25" s="36">
        <v>8398</v>
      </c>
      <c r="F25" s="37" t="s">
        <v>1619</v>
      </c>
      <c r="G25" s="38">
        <v>1.6500000000000001E-2</v>
      </c>
      <c r="H25" s="38">
        <v>2.4E-2</v>
      </c>
      <c r="I25" s="28">
        <v>2.1999999999999999E-2</v>
      </c>
      <c r="J25" s="26" t="s">
        <v>1528</v>
      </c>
      <c r="K25" s="29" t="s">
        <v>1542</v>
      </c>
      <c r="L25" s="30">
        <v>1.9E-2</v>
      </c>
    </row>
    <row r="26" spans="1:12" ht="33.75" customHeight="1">
      <c r="A26" s="399"/>
      <c r="B26" s="36" t="s">
        <v>1620</v>
      </c>
      <c r="C26" s="36" t="s">
        <v>1621</v>
      </c>
      <c r="D26" s="36" t="s">
        <v>1622</v>
      </c>
      <c r="E26" s="36">
        <v>8641</v>
      </c>
      <c r="F26" s="37" t="s">
        <v>1623</v>
      </c>
      <c r="G26" s="38">
        <v>1.6500000000000001E-2</v>
      </c>
      <c r="H26" s="38">
        <v>2.4E-2</v>
      </c>
      <c r="I26" s="28">
        <v>2.1999999999999999E-2</v>
      </c>
      <c r="J26" s="26" t="s">
        <v>1528</v>
      </c>
      <c r="K26" s="29" t="s">
        <v>1542</v>
      </c>
      <c r="L26" s="30">
        <v>1.9E-2</v>
      </c>
    </row>
    <row r="27" spans="1:12" ht="33.75" customHeight="1">
      <c r="A27" s="399"/>
      <c r="B27" s="26" t="s">
        <v>1624</v>
      </c>
      <c r="C27" s="26" t="s">
        <v>1625</v>
      </c>
      <c r="D27" s="26" t="s">
        <v>1626</v>
      </c>
      <c r="E27" s="26">
        <v>8651</v>
      </c>
      <c r="F27" s="27" t="s">
        <v>1627</v>
      </c>
      <c r="G27" s="28">
        <v>2.5000000000000001E-2</v>
      </c>
      <c r="H27" s="28">
        <v>2.5000000000000001E-2</v>
      </c>
      <c r="I27" s="28">
        <v>2.1999999999999999E-2</v>
      </c>
      <c r="J27" s="26" t="s">
        <v>1528</v>
      </c>
      <c r="K27" s="29" t="s">
        <v>1542</v>
      </c>
      <c r="L27" s="30">
        <v>1.9E-2</v>
      </c>
    </row>
    <row r="28" spans="1:12" ht="33.75" customHeight="1">
      <c r="A28" s="399"/>
      <c r="B28" s="36" t="s">
        <v>1628</v>
      </c>
      <c r="C28" s="36" t="s">
        <v>1629</v>
      </c>
      <c r="D28" s="36" t="s">
        <v>1630</v>
      </c>
      <c r="E28" s="36">
        <v>8661</v>
      </c>
      <c r="F28" s="37" t="s">
        <v>1631</v>
      </c>
      <c r="G28" s="38">
        <v>1.6500000000000001E-2</v>
      </c>
      <c r="H28" s="38">
        <v>2.4E-2</v>
      </c>
      <c r="I28" s="28">
        <v>2.1999999999999999E-2</v>
      </c>
      <c r="J28" s="26" t="s">
        <v>1528</v>
      </c>
      <c r="K28" s="29" t="s">
        <v>1542</v>
      </c>
      <c r="L28" s="30">
        <v>1.9E-2</v>
      </c>
    </row>
    <row r="29" spans="1:12" ht="33.5" customHeight="1">
      <c r="A29" s="398" t="s">
        <v>1632</v>
      </c>
      <c r="B29" s="36" t="s">
        <v>1633</v>
      </c>
      <c r="C29" s="400" t="s">
        <v>1634</v>
      </c>
      <c r="D29" s="400" t="s">
        <v>1635</v>
      </c>
      <c r="E29" s="36">
        <v>9211</v>
      </c>
      <c r="F29" s="37" t="s">
        <v>1636</v>
      </c>
      <c r="G29" s="38">
        <v>1.6500000000000001E-2</v>
      </c>
      <c r="H29" s="38">
        <v>2.4E-2</v>
      </c>
      <c r="I29" s="38">
        <v>1.7000000000000001E-2</v>
      </c>
      <c r="J29" s="36" t="s">
        <v>1541</v>
      </c>
      <c r="K29" s="29"/>
      <c r="L29" s="29"/>
    </row>
    <row r="30" spans="1:12" ht="33.75" customHeight="1">
      <c r="A30" s="399"/>
      <c r="B30" s="36" t="s">
        <v>1633</v>
      </c>
      <c r="C30" s="399"/>
      <c r="D30" s="399"/>
      <c r="E30" s="36">
        <v>9222</v>
      </c>
      <c r="F30" s="37" t="s">
        <v>1637</v>
      </c>
      <c r="G30" s="38">
        <v>1.6500000000000001E-2</v>
      </c>
      <c r="H30" s="38">
        <v>2.4E-2</v>
      </c>
      <c r="I30" s="38">
        <v>1.7000000000000001E-2</v>
      </c>
      <c r="J30" s="36" t="s">
        <v>1541</v>
      </c>
      <c r="K30" s="29"/>
      <c r="L30" s="29"/>
    </row>
    <row r="31" spans="1:12" ht="33.75" customHeight="1">
      <c r="A31" s="399"/>
      <c r="B31" s="36" t="s">
        <v>1633</v>
      </c>
      <c r="C31" s="399"/>
      <c r="D31" s="399"/>
      <c r="E31" s="36">
        <v>9311</v>
      </c>
      <c r="F31" s="37" t="s">
        <v>1638</v>
      </c>
      <c r="G31" s="38">
        <v>1.6500000000000001E-2</v>
      </c>
      <c r="H31" s="38">
        <v>2.4E-2</v>
      </c>
      <c r="I31" s="38">
        <v>1.7000000000000001E-2</v>
      </c>
      <c r="J31" s="36" t="s">
        <v>1541</v>
      </c>
      <c r="K31" s="29"/>
      <c r="L31" s="29"/>
    </row>
    <row r="32" spans="1:12" ht="33.75" customHeight="1">
      <c r="A32" s="399"/>
      <c r="B32" s="36" t="s">
        <v>1639</v>
      </c>
      <c r="C32" s="36" t="s">
        <v>1640</v>
      </c>
      <c r="D32" s="36" t="s">
        <v>1641</v>
      </c>
      <c r="E32" s="36">
        <v>9402</v>
      </c>
      <c r="F32" s="37" t="s">
        <v>1642</v>
      </c>
      <c r="G32" s="38">
        <v>1.6500000000000001E-2</v>
      </c>
      <c r="H32" s="38">
        <v>2.4E-2</v>
      </c>
      <c r="I32" s="38">
        <v>1.7000000000000001E-2</v>
      </c>
      <c r="J32" s="36" t="s">
        <v>1541</v>
      </c>
      <c r="K32" s="29"/>
      <c r="L32" s="29"/>
    </row>
    <row r="33" spans="1:12" ht="33.75" customHeight="1">
      <c r="A33" s="399"/>
      <c r="B33" s="36" t="s">
        <v>1643</v>
      </c>
      <c r="C33" s="36" t="s">
        <v>1644</v>
      </c>
      <c r="D33" s="36" t="s">
        <v>1645</v>
      </c>
      <c r="E33" s="36">
        <v>4900</v>
      </c>
      <c r="F33" s="37" t="s">
        <v>1646</v>
      </c>
      <c r="G33" s="28">
        <v>1.6500000000000001E-2</v>
      </c>
      <c r="H33" s="38">
        <v>2.4E-2</v>
      </c>
      <c r="I33" s="28">
        <v>2.1999999999999999E-2</v>
      </c>
      <c r="J33" s="26" t="s">
        <v>1528</v>
      </c>
      <c r="K33" s="29"/>
      <c r="L33" s="29"/>
    </row>
    <row r="34" spans="1:12" ht="33.75" customHeight="1">
      <c r="A34" s="399"/>
      <c r="B34" s="36" t="s">
        <v>1647</v>
      </c>
      <c r="C34" s="36" t="s">
        <v>1648</v>
      </c>
      <c r="D34" s="36" t="s">
        <v>1649</v>
      </c>
      <c r="E34" s="36">
        <v>6513</v>
      </c>
      <c r="F34" s="37" t="s">
        <v>1650</v>
      </c>
      <c r="G34" s="28">
        <v>1.6500000000000001E-2</v>
      </c>
      <c r="H34" s="38">
        <v>2.4E-2</v>
      </c>
      <c r="I34" s="28">
        <v>2.1999999999999999E-2</v>
      </c>
      <c r="J34" s="26" t="s">
        <v>1528</v>
      </c>
      <c r="K34" s="29" t="s">
        <v>1529</v>
      </c>
      <c r="L34" s="30">
        <v>2.4E-2</v>
      </c>
    </row>
    <row r="35" spans="1:12" ht="33.75" customHeight="1">
      <c r="A35" s="398" t="s">
        <v>1651</v>
      </c>
      <c r="B35" s="36" t="s">
        <v>1652</v>
      </c>
      <c r="C35" s="36" t="s">
        <v>1653</v>
      </c>
      <c r="D35" s="36" t="s">
        <v>1654</v>
      </c>
      <c r="E35" s="36">
        <v>4131</v>
      </c>
      <c r="F35" s="37" t="s">
        <v>1655</v>
      </c>
      <c r="G35" s="28">
        <v>1.6500000000000001E-2</v>
      </c>
      <c r="H35" s="38">
        <v>2.4E-2</v>
      </c>
      <c r="I35" s="28">
        <v>2.1999999999999999E-2</v>
      </c>
      <c r="J35" s="26" t="s">
        <v>1528</v>
      </c>
      <c r="K35" s="29"/>
      <c r="L35" s="29"/>
    </row>
    <row r="36" spans="1:12" ht="33.75" customHeight="1">
      <c r="A36" s="399"/>
      <c r="B36" s="36" t="s">
        <v>1656</v>
      </c>
      <c r="C36" s="36" t="s">
        <v>1657</v>
      </c>
      <c r="D36" s="36" t="s">
        <v>1658</v>
      </c>
      <c r="E36" s="36">
        <v>7523</v>
      </c>
      <c r="F36" s="37" t="s">
        <v>1659</v>
      </c>
      <c r="G36" s="38">
        <v>1.6500000000000001E-2</v>
      </c>
      <c r="H36" s="38">
        <v>2.4E-2</v>
      </c>
      <c r="I36" s="38">
        <v>1.7000000000000001E-2</v>
      </c>
      <c r="J36" s="36" t="s">
        <v>1541</v>
      </c>
      <c r="K36" s="29" t="s">
        <v>1542</v>
      </c>
      <c r="L36" s="30">
        <v>1.9E-2</v>
      </c>
    </row>
    <row r="37" spans="1:12" ht="33.75" customHeight="1">
      <c r="A37" s="399"/>
      <c r="B37" s="36" t="s">
        <v>1660</v>
      </c>
      <c r="C37" s="36" t="s">
        <v>1661</v>
      </c>
      <c r="D37" s="36" t="s">
        <v>1662</v>
      </c>
      <c r="E37" s="36">
        <v>7512</v>
      </c>
      <c r="F37" s="37" t="s">
        <v>1663</v>
      </c>
      <c r="G37" s="38">
        <v>1.6500000000000001E-2</v>
      </c>
      <c r="H37" s="38">
        <v>2.4E-2</v>
      </c>
      <c r="I37" s="28">
        <v>2.1999999999999999E-2</v>
      </c>
      <c r="J37" s="26" t="s">
        <v>1528</v>
      </c>
      <c r="K37" s="29" t="s">
        <v>1542</v>
      </c>
      <c r="L37" s="30">
        <v>1.9E-2</v>
      </c>
    </row>
    <row r="38" spans="1:12" ht="33.75" customHeight="1">
      <c r="A38" s="399"/>
      <c r="B38" s="36" t="s">
        <v>1664</v>
      </c>
      <c r="C38" s="36" t="s">
        <v>1665</v>
      </c>
      <c r="D38" s="36" t="s">
        <v>1666</v>
      </c>
      <c r="E38" s="36">
        <v>4111</v>
      </c>
      <c r="F38" s="37" t="s">
        <v>1667</v>
      </c>
      <c r="G38" s="38">
        <v>1.6500000000000001E-2</v>
      </c>
      <c r="H38" s="38">
        <v>2.4E-2</v>
      </c>
      <c r="I38" s="28">
        <v>2.1999999999999999E-2</v>
      </c>
      <c r="J38" s="26" t="s">
        <v>1528</v>
      </c>
      <c r="K38" s="29"/>
      <c r="L38" s="29"/>
    </row>
    <row r="39" spans="1:12" ht="33.75" customHeight="1">
      <c r="A39" s="399"/>
      <c r="B39" s="26" t="s">
        <v>1668</v>
      </c>
      <c r="C39" s="26" t="s">
        <v>1669</v>
      </c>
      <c r="D39" s="26" t="s">
        <v>1670</v>
      </c>
      <c r="E39" s="26">
        <v>4214</v>
      </c>
      <c r="F39" s="27" t="s">
        <v>1671</v>
      </c>
      <c r="G39" s="28">
        <v>2.5000000000000001E-2</v>
      </c>
      <c r="H39" s="28">
        <v>2.5000000000000001E-2</v>
      </c>
      <c r="I39" s="28">
        <v>2.1999999999999999E-2</v>
      </c>
      <c r="J39" s="26" t="s">
        <v>1528</v>
      </c>
      <c r="K39" s="29" t="s">
        <v>1542</v>
      </c>
      <c r="L39" s="30">
        <v>1.9E-2</v>
      </c>
    </row>
    <row r="40" spans="1:12" ht="33.75" customHeight="1">
      <c r="A40" s="399"/>
      <c r="B40" s="26" t="s">
        <v>1672</v>
      </c>
      <c r="C40" s="26" t="s">
        <v>1673</v>
      </c>
      <c r="D40" s="26" t="s">
        <v>1674</v>
      </c>
      <c r="E40" s="26">
        <v>4225</v>
      </c>
      <c r="F40" s="27" t="s">
        <v>1675</v>
      </c>
      <c r="G40" s="28">
        <v>2.5000000000000001E-2</v>
      </c>
      <c r="H40" s="28">
        <v>2.5000000000000001E-2</v>
      </c>
      <c r="I40" s="28">
        <v>2.1999999999999999E-2</v>
      </c>
      <c r="J40" s="26" t="s">
        <v>1528</v>
      </c>
      <c r="K40" s="29" t="s">
        <v>1542</v>
      </c>
      <c r="L40" s="30">
        <v>1.9E-2</v>
      </c>
    </row>
    <row r="41" spans="1:12" ht="33.75" customHeight="1">
      <c r="A41" s="399"/>
      <c r="B41" s="36" t="s">
        <v>1676</v>
      </c>
      <c r="C41" s="36" t="s">
        <v>1677</v>
      </c>
      <c r="D41" s="36" t="s">
        <v>1678</v>
      </c>
      <c r="E41" s="36">
        <v>4112</v>
      </c>
      <c r="F41" s="37" t="s">
        <v>1679</v>
      </c>
      <c r="G41" s="38">
        <v>1.6500000000000001E-2</v>
      </c>
      <c r="H41" s="38">
        <v>2.4E-2</v>
      </c>
      <c r="I41" s="28">
        <v>2.1999999999999999E-2</v>
      </c>
      <c r="J41" s="26" t="s">
        <v>1528</v>
      </c>
      <c r="K41" s="29"/>
      <c r="L41" s="29"/>
    </row>
    <row r="42" spans="1:12" ht="33.75" customHeight="1">
      <c r="A42" s="399"/>
      <c r="B42" s="36" t="s">
        <v>1680</v>
      </c>
      <c r="C42" s="36" t="s">
        <v>1681</v>
      </c>
      <c r="D42" s="36" t="s">
        <v>1682</v>
      </c>
      <c r="E42" s="36">
        <v>4121</v>
      </c>
      <c r="F42" s="37" t="s">
        <v>1683</v>
      </c>
      <c r="G42" s="28">
        <v>1.6500000000000001E-2</v>
      </c>
      <c r="H42" s="38">
        <v>2.4E-2</v>
      </c>
      <c r="I42" s="38">
        <v>1.7000000000000001E-2</v>
      </c>
      <c r="J42" s="36" t="s">
        <v>1541</v>
      </c>
      <c r="K42" s="29" t="s">
        <v>1542</v>
      </c>
      <c r="L42" s="30">
        <v>1.9E-2</v>
      </c>
    </row>
    <row r="43" spans="1:12" ht="33.75" customHeight="1">
      <c r="A43" s="399"/>
      <c r="B43" s="36" t="s">
        <v>1684</v>
      </c>
      <c r="C43" s="36" t="s">
        <v>1685</v>
      </c>
      <c r="D43" s="36" t="s">
        <v>1686</v>
      </c>
      <c r="E43" s="36">
        <v>4814</v>
      </c>
      <c r="F43" s="37" t="s">
        <v>1687</v>
      </c>
      <c r="G43" s="38">
        <v>1.6500000000000001E-2</v>
      </c>
      <c r="H43" s="38">
        <v>2.4E-2</v>
      </c>
      <c r="I43" s="28">
        <v>2.1999999999999999E-2</v>
      </c>
      <c r="J43" s="26" t="s">
        <v>1528</v>
      </c>
      <c r="K43" s="29"/>
      <c r="L43" s="29"/>
    </row>
    <row r="44" spans="1:12" ht="33.75" customHeight="1">
      <c r="A44" s="399"/>
      <c r="B44" s="36" t="s">
        <v>1688</v>
      </c>
      <c r="C44" s="36" t="s">
        <v>1689</v>
      </c>
      <c r="D44" s="36" t="s">
        <v>1690</v>
      </c>
      <c r="E44" s="36">
        <v>4722</v>
      </c>
      <c r="F44" s="37" t="s">
        <v>1691</v>
      </c>
      <c r="G44" s="38">
        <v>1.6500000000000001E-2</v>
      </c>
      <c r="H44" s="38">
        <v>2.4E-2</v>
      </c>
      <c r="I44" s="38">
        <v>1.7000000000000001E-2</v>
      </c>
      <c r="J44" s="36" t="s">
        <v>1541</v>
      </c>
      <c r="K44" s="29" t="s">
        <v>1542</v>
      </c>
      <c r="L44" s="30">
        <v>1.9E-2</v>
      </c>
    </row>
    <row r="45" spans="1:12" ht="33.75" customHeight="1">
      <c r="A45" s="399"/>
      <c r="B45" s="26" t="s">
        <v>1692</v>
      </c>
      <c r="C45" s="26" t="s">
        <v>1693</v>
      </c>
      <c r="D45" s="26" t="s">
        <v>1694</v>
      </c>
      <c r="E45" s="26">
        <v>7399</v>
      </c>
      <c r="F45" s="27" t="s">
        <v>1695</v>
      </c>
      <c r="G45" s="28">
        <v>2.5000000000000001E-2</v>
      </c>
      <c r="H45" s="28">
        <v>2.5000000000000001E-2</v>
      </c>
      <c r="I45" s="28">
        <v>2.1999999999999999E-2</v>
      </c>
      <c r="J45" s="26" t="s">
        <v>1528</v>
      </c>
      <c r="K45" s="29" t="s">
        <v>1542</v>
      </c>
      <c r="L45" s="30">
        <v>1.9E-2</v>
      </c>
    </row>
    <row r="46" spans="1:12" ht="33.75" customHeight="1">
      <c r="A46" s="399"/>
      <c r="B46" s="26" t="s">
        <v>1696</v>
      </c>
      <c r="C46" s="26" t="s">
        <v>1697</v>
      </c>
      <c r="D46" s="26" t="s">
        <v>1698</v>
      </c>
      <c r="E46" s="26">
        <v>4789</v>
      </c>
      <c r="F46" s="27" t="s">
        <v>1699</v>
      </c>
      <c r="G46" s="28">
        <v>2.5000000000000001E-2</v>
      </c>
      <c r="H46" s="28">
        <v>2.5000000000000001E-2</v>
      </c>
      <c r="I46" s="28">
        <v>2.1999999999999999E-2</v>
      </c>
      <c r="J46" s="26" t="s">
        <v>1528</v>
      </c>
      <c r="K46" s="29" t="s">
        <v>1542</v>
      </c>
      <c r="L46" s="30">
        <v>1.9E-2</v>
      </c>
    </row>
    <row r="47" spans="1:12" ht="33.75" customHeight="1">
      <c r="A47" s="398" t="s">
        <v>1700</v>
      </c>
      <c r="B47" s="26" t="s">
        <v>1701</v>
      </c>
      <c r="C47" s="26" t="s">
        <v>1702</v>
      </c>
      <c r="D47" s="26" t="s">
        <v>1703</v>
      </c>
      <c r="E47" s="26">
        <v>8099</v>
      </c>
      <c r="F47" s="27" t="s">
        <v>1704</v>
      </c>
      <c r="G47" s="28">
        <v>2.5000000000000001E-2</v>
      </c>
      <c r="H47" s="28">
        <v>2.5000000000000001E-2</v>
      </c>
      <c r="I47" s="28">
        <v>2.1999999999999999E-2</v>
      </c>
      <c r="J47" s="26" t="s">
        <v>1528</v>
      </c>
      <c r="K47" s="29" t="s">
        <v>1705</v>
      </c>
      <c r="L47" s="29" t="s">
        <v>1706</v>
      </c>
    </row>
    <row r="48" spans="1:12" ht="33.75" customHeight="1">
      <c r="A48" s="399"/>
      <c r="B48" s="26" t="s">
        <v>1707</v>
      </c>
      <c r="C48" s="26" t="s">
        <v>1708</v>
      </c>
      <c r="D48" s="26" t="s">
        <v>1709</v>
      </c>
      <c r="E48" s="26">
        <v>8021</v>
      </c>
      <c r="F48" s="27" t="s">
        <v>1710</v>
      </c>
      <c r="G48" s="28">
        <v>2.5000000000000001E-2</v>
      </c>
      <c r="H48" s="28">
        <v>2.5000000000000001E-2</v>
      </c>
      <c r="I48" s="28">
        <v>2.1999999999999999E-2</v>
      </c>
      <c r="J48" s="26" t="s">
        <v>1528</v>
      </c>
      <c r="K48" s="29" t="s">
        <v>1705</v>
      </c>
      <c r="L48" s="29" t="s">
        <v>1706</v>
      </c>
    </row>
    <row r="49" spans="1:12" ht="33.75" customHeight="1">
      <c r="A49" s="399"/>
      <c r="B49" s="26" t="s">
        <v>1711</v>
      </c>
      <c r="C49" s="26" t="s">
        <v>1712</v>
      </c>
      <c r="D49" s="26" t="s">
        <v>1713</v>
      </c>
      <c r="E49" s="26">
        <v>5912</v>
      </c>
      <c r="F49" s="27" t="s">
        <v>1714</v>
      </c>
      <c r="G49" s="28">
        <v>2.5000000000000001E-2</v>
      </c>
      <c r="H49" s="28">
        <v>2.5000000000000001E-2</v>
      </c>
      <c r="I49" s="28">
        <v>2.1999999999999999E-2</v>
      </c>
      <c r="J49" s="26" t="s">
        <v>1528</v>
      </c>
      <c r="K49" s="29" t="s">
        <v>1542</v>
      </c>
      <c r="L49" s="30">
        <v>1.9E-2</v>
      </c>
    </row>
    <row r="50" spans="1:12" ht="33.75" customHeight="1">
      <c r="A50" s="399"/>
      <c r="B50" s="36" t="s">
        <v>1715</v>
      </c>
      <c r="C50" s="36" t="s">
        <v>1716</v>
      </c>
      <c r="D50" s="36" t="s">
        <v>1717</v>
      </c>
      <c r="E50" s="36">
        <v>8071</v>
      </c>
      <c r="F50" s="37" t="s">
        <v>1718</v>
      </c>
      <c r="G50" s="38">
        <v>1.6500000000000001E-2</v>
      </c>
      <c r="H50" s="38">
        <v>2.4E-2</v>
      </c>
      <c r="I50" s="28">
        <v>2.1999999999999999E-2</v>
      </c>
      <c r="J50" s="26" t="s">
        <v>1528</v>
      </c>
      <c r="K50" s="29" t="s">
        <v>1705</v>
      </c>
      <c r="L50" s="29" t="s">
        <v>1706</v>
      </c>
    </row>
    <row r="51" spans="1:12" ht="33.75" customHeight="1">
      <c r="A51" s="399"/>
      <c r="B51" s="26" t="s">
        <v>1719</v>
      </c>
      <c r="C51" s="26" t="s">
        <v>1720</v>
      </c>
      <c r="D51" s="26" t="s">
        <v>1721</v>
      </c>
      <c r="E51" s="26">
        <v>8062</v>
      </c>
      <c r="F51" s="27" t="s">
        <v>1720</v>
      </c>
      <c r="G51" s="28">
        <v>2.5000000000000001E-2</v>
      </c>
      <c r="H51" s="28">
        <v>2.5000000000000001E-2</v>
      </c>
      <c r="I51" s="28">
        <v>2.1999999999999999E-2</v>
      </c>
      <c r="J51" s="26" t="s">
        <v>1528</v>
      </c>
      <c r="K51" s="29" t="s">
        <v>1705</v>
      </c>
      <c r="L51" s="29" t="s">
        <v>1706</v>
      </c>
    </row>
    <row r="52" spans="1:12" ht="33.75" customHeight="1">
      <c r="A52" s="399"/>
      <c r="B52" s="26" t="s">
        <v>1722</v>
      </c>
      <c r="C52" s="26" t="s">
        <v>1723</v>
      </c>
      <c r="D52" s="26" t="s">
        <v>1724</v>
      </c>
      <c r="E52" s="26">
        <v>8043</v>
      </c>
      <c r="F52" s="27" t="s">
        <v>1725</v>
      </c>
      <c r="G52" s="28">
        <v>2.5000000000000001E-2</v>
      </c>
      <c r="H52" s="28">
        <v>2.5000000000000001E-2</v>
      </c>
      <c r="I52" s="28">
        <v>2.1999999999999999E-2</v>
      </c>
      <c r="J52" s="26" t="s">
        <v>1528</v>
      </c>
      <c r="K52" s="29" t="s">
        <v>1542</v>
      </c>
      <c r="L52" s="30">
        <v>1.9E-2</v>
      </c>
    </row>
    <row r="53" spans="1:12" ht="33.75" customHeight="1">
      <c r="A53" s="399"/>
      <c r="B53" s="36" t="s">
        <v>1726</v>
      </c>
      <c r="C53" s="36" t="s">
        <v>1727</v>
      </c>
      <c r="D53" s="36" t="s">
        <v>1728</v>
      </c>
      <c r="E53" s="36">
        <v>5047</v>
      </c>
      <c r="F53" s="37" t="s">
        <v>1729</v>
      </c>
      <c r="G53" s="38">
        <v>1.6500000000000001E-2</v>
      </c>
      <c r="H53" s="38">
        <v>2.4E-2</v>
      </c>
      <c r="I53" s="28">
        <v>2.1999999999999999E-2</v>
      </c>
      <c r="J53" s="26" t="s">
        <v>1528</v>
      </c>
      <c r="K53" s="29" t="s">
        <v>1705</v>
      </c>
      <c r="L53" s="29" t="s">
        <v>1706</v>
      </c>
    </row>
    <row r="54" spans="1:12" ht="33.75" customHeight="1">
      <c r="A54" s="398" t="s">
        <v>1730</v>
      </c>
      <c r="B54" s="26" t="s">
        <v>1731</v>
      </c>
      <c r="C54" s="26" t="s">
        <v>1732</v>
      </c>
      <c r="D54" s="26" t="s">
        <v>1733</v>
      </c>
      <c r="E54" s="26">
        <v>5422</v>
      </c>
      <c r="F54" s="27" t="s">
        <v>1734</v>
      </c>
      <c r="G54" s="28">
        <v>2.5000000000000001E-2</v>
      </c>
      <c r="H54" s="28">
        <v>2.5000000000000001E-2</v>
      </c>
      <c r="I54" s="28">
        <v>2.1999999999999999E-2</v>
      </c>
      <c r="J54" s="26" t="s">
        <v>1528</v>
      </c>
      <c r="K54" s="29" t="s">
        <v>1735</v>
      </c>
      <c r="L54" s="30">
        <v>2.4E-2</v>
      </c>
    </row>
    <row r="55" spans="1:12" ht="33.75" customHeight="1">
      <c r="A55" s="399"/>
      <c r="B55" s="26" t="s">
        <v>1736</v>
      </c>
      <c r="C55" s="26" t="s">
        <v>1737</v>
      </c>
      <c r="D55" s="26" t="s">
        <v>1738</v>
      </c>
      <c r="E55" s="26">
        <v>5942</v>
      </c>
      <c r="F55" s="27" t="s">
        <v>1737</v>
      </c>
      <c r="G55" s="28">
        <v>2.5000000000000001E-2</v>
      </c>
      <c r="H55" s="28">
        <v>2.5000000000000001E-2</v>
      </c>
      <c r="I55" s="28">
        <v>2.1999999999999999E-2</v>
      </c>
      <c r="J55" s="26" t="s">
        <v>1528</v>
      </c>
      <c r="K55" s="29" t="s">
        <v>1735</v>
      </c>
      <c r="L55" s="30">
        <v>2.4E-2</v>
      </c>
    </row>
    <row r="56" spans="1:12" ht="33.75" customHeight="1">
      <c r="A56" s="399"/>
      <c r="B56" s="26" t="s">
        <v>1739</v>
      </c>
      <c r="C56" s="26" t="s">
        <v>1740</v>
      </c>
      <c r="D56" s="26" t="s">
        <v>1741</v>
      </c>
      <c r="E56" s="26">
        <v>7531</v>
      </c>
      <c r="F56" s="27" t="s">
        <v>1742</v>
      </c>
      <c r="G56" s="28">
        <v>2.5000000000000001E-2</v>
      </c>
      <c r="H56" s="28">
        <v>2.5000000000000001E-2</v>
      </c>
      <c r="I56" s="28">
        <v>2.1999999999999999E-2</v>
      </c>
      <c r="J56" s="26" t="s">
        <v>1528</v>
      </c>
      <c r="K56" s="29" t="s">
        <v>1743</v>
      </c>
      <c r="L56" s="30">
        <v>2.9499999999999998E-2</v>
      </c>
    </row>
    <row r="57" spans="1:12" ht="33.75" customHeight="1">
      <c r="A57" s="399"/>
      <c r="B57" s="26" t="s">
        <v>1744</v>
      </c>
      <c r="C57" s="26" t="s">
        <v>1745</v>
      </c>
      <c r="D57" s="26" t="s">
        <v>1746</v>
      </c>
      <c r="E57" s="26">
        <v>7542</v>
      </c>
      <c r="F57" s="27" t="s">
        <v>1747</v>
      </c>
      <c r="G57" s="28">
        <v>2.5000000000000001E-2</v>
      </c>
      <c r="H57" s="28">
        <v>2.5000000000000001E-2</v>
      </c>
      <c r="I57" s="28">
        <v>2.1999999999999999E-2</v>
      </c>
      <c r="J57" s="26" t="s">
        <v>1528</v>
      </c>
      <c r="K57" s="29" t="s">
        <v>1743</v>
      </c>
      <c r="L57" s="30">
        <v>2.9499999999999998E-2</v>
      </c>
    </row>
    <row r="58" spans="1:12" ht="33.75" customHeight="1">
      <c r="A58" s="399"/>
      <c r="B58" s="26" t="s">
        <v>1748</v>
      </c>
      <c r="C58" s="26" t="s">
        <v>1749</v>
      </c>
      <c r="D58" s="26" t="s">
        <v>1750</v>
      </c>
      <c r="E58" s="26">
        <v>5641</v>
      </c>
      <c r="F58" s="27" t="s">
        <v>1751</v>
      </c>
      <c r="G58" s="28">
        <v>2.5000000000000001E-2</v>
      </c>
      <c r="H58" s="28">
        <v>2.5000000000000001E-2</v>
      </c>
      <c r="I58" s="28">
        <v>2.1999999999999999E-2</v>
      </c>
      <c r="J58" s="26" t="s">
        <v>1528</v>
      </c>
      <c r="K58" s="29" t="s">
        <v>1735</v>
      </c>
      <c r="L58" s="30">
        <v>2.4E-2</v>
      </c>
    </row>
    <row r="59" spans="1:12" ht="33.75" customHeight="1">
      <c r="A59" s="399"/>
      <c r="B59" s="26" t="s">
        <v>1752</v>
      </c>
      <c r="C59" s="26" t="s">
        <v>1753</v>
      </c>
      <c r="D59" s="26" t="s">
        <v>1754</v>
      </c>
      <c r="E59" s="26">
        <v>7631</v>
      </c>
      <c r="F59" s="27" t="s">
        <v>1755</v>
      </c>
      <c r="G59" s="28">
        <v>2.5000000000000001E-2</v>
      </c>
      <c r="H59" s="28">
        <v>2.5000000000000001E-2</v>
      </c>
      <c r="I59" s="28">
        <v>2.1999999999999999E-2</v>
      </c>
      <c r="J59" s="26" t="s">
        <v>1528</v>
      </c>
      <c r="K59" s="29" t="s">
        <v>1735</v>
      </c>
      <c r="L59" s="30">
        <v>2.4E-2</v>
      </c>
    </row>
    <row r="60" spans="1:12" ht="33.75" customHeight="1">
      <c r="A60" s="399"/>
      <c r="B60" s="26" t="s">
        <v>1756</v>
      </c>
      <c r="C60" s="26" t="s">
        <v>1757</v>
      </c>
      <c r="D60" s="26" t="s">
        <v>1758</v>
      </c>
      <c r="E60" s="26">
        <v>5944</v>
      </c>
      <c r="F60" s="27" t="s">
        <v>1759</v>
      </c>
      <c r="G60" s="28">
        <v>2.5000000000000001E-2</v>
      </c>
      <c r="H60" s="28">
        <v>2.5000000000000001E-2</v>
      </c>
      <c r="I60" s="28">
        <v>2.1999999999999999E-2</v>
      </c>
      <c r="J60" s="26" t="s">
        <v>1528</v>
      </c>
      <c r="K60" s="29" t="s">
        <v>1735</v>
      </c>
      <c r="L60" s="30">
        <v>2.4E-2</v>
      </c>
    </row>
    <row r="61" spans="1:12" ht="33.75" customHeight="1">
      <c r="A61" s="399"/>
      <c r="B61" s="26" t="s">
        <v>1760</v>
      </c>
      <c r="C61" s="26" t="s">
        <v>1761</v>
      </c>
      <c r="D61" s="26" t="s">
        <v>1762</v>
      </c>
      <c r="E61" s="26">
        <v>5441</v>
      </c>
      <c r="F61" s="27" t="s">
        <v>1763</v>
      </c>
      <c r="G61" s="28">
        <v>2.5000000000000001E-2</v>
      </c>
      <c r="H61" s="28">
        <v>2.5000000000000001E-2</v>
      </c>
      <c r="I61" s="28">
        <v>2.1999999999999999E-2</v>
      </c>
      <c r="J61" s="26" t="s">
        <v>1528</v>
      </c>
      <c r="K61" s="29" t="s">
        <v>1735</v>
      </c>
      <c r="L61" s="30">
        <v>2.4E-2</v>
      </c>
    </row>
    <row r="62" spans="1:12" ht="33.75" customHeight="1">
      <c r="A62" s="399"/>
      <c r="B62" s="36" t="s">
        <v>1764</v>
      </c>
      <c r="C62" s="36" t="s">
        <v>1765</v>
      </c>
      <c r="D62" s="36" t="s">
        <v>1766</v>
      </c>
      <c r="E62" s="36">
        <v>5499</v>
      </c>
      <c r="F62" s="37" t="s">
        <v>1767</v>
      </c>
      <c r="G62" s="38">
        <v>1.6500000000000001E-2</v>
      </c>
      <c r="H62" s="38">
        <v>2.4E-2</v>
      </c>
      <c r="I62" s="28">
        <v>2.1999999999999999E-2</v>
      </c>
      <c r="J62" s="26" t="s">
        <v>1528</v>
      </c>
      <c r="K62" s="29" t="s">
        <v>1735</v>
      </c>
      <c r="L62" s="30">
        <v>2.4E-2</v>
      </c>
    </row>
    <row r="63" spans="1:12" ht="33.75" customHeight="1">
      <c r="A63" s="399"/>
      <c r="B63" s="26" t="s">
        <v>1768</v>
      </c>
      <c r="C63" s="26" t="s">
        <v>1769</v>
      </c>
      <c r="D63" s="26" t="s">
        <v>1770</v>
      </c>
      <c r="E63" s="26">
        <v>5977</v>
      </c>
      <c r="F63" s="27" t="s">
        <v>1769</v>
      </c>
      <c r="G63" s="28">
        <v>2.5000000000000001E-2</v>
      </c>
      <c r="H63" s="28">
        <v>2.5000000000000001E-2</v>
      </c>
      <c r="I63" s="28">
        <v>2.1999999999999999E-2</v>
      </c>
      <c r="J63" s="26" t="s">
        <v>1528</v>
      </c>
      <c r="K63" s="29" t="s">
        <v>1735</v>
      </c>
      <c r="L63" s="30">
        <v>2.4E-2</v>
      </c>
    </row>
    <row r="64" spans="1:12" ht="33.75" customHeight="1">
      <c r="A64" s="399"/>
      <c r="B64" s="26" t="s">
        <v>1771</v>
      </c>
      <c r="C64" s="26" t="s">
        <v>1772</v>
      </c>
      <c r="D64" s="26" t="s">
        <v>1773</v>
      </c>
      <c r="E64" s="26">
        <v>5311</v>
      </c>
      <c r="F64" s="27" t="s">
        <v>1772</v>
      </c>
      <c r="G64" s="28">
        <v>2.5000000000000001E-2</v>
      </c>
      <c r="H64" s="28">
        <v>2.5000000000000001E-2</v>
      </c>
      <c r="I64" s="28">
        <v>2.1999999999999999E-2</v>
      </c>
      <c r="J64" s="26" t="s">
        <v>1528</v>
      </c>
      <c r="K64" s="29" t="s">
        <v>1735</v>
      </c>
      <c r="L64" s="30">
        <v>2.4E-2</v>
      </c>
    </row>
    <row r="65" spans="1:12" ht="33.75" customHeight="1">
      <c r="A65" s="399"/>
      <c r="B65" s="26" t="s">
        <v>1774</v>
      </c>
      <c r="C65" s="26" t="s">
        <v>1775</v>
      </c>
      <c r="D65" s="26" t="s">
        <v>1776</v>
      </c>
      <c r="E65" s="26">
        <v>5310</v>
      </c>
      <c r="F65" s="27" t="s">
        <v>1775</v>
      </c>
      <c r="G65" s="28">
        <v>2.5000000000000001E-2</v>
      </c>
      <c r="H65" s="28">
        <v>2.5000000000000001E-2</v>
      </c>
      <c r="I65" s="28">
        <v>2.1999999999999999E-2</v>
      </c>
      <c r="J65" s="26" t="s">
        <v>1528</v>
      </c>
      <c r="K65" s="29" t="s">
        <v>1735</v>
      </c>
      <c r="L65" s="30">
        <v>2.4E-2</v>
      </c>
    </row>
    <row r="66" spans="1:12" ht="33.75" customHeight="1">
      <c r="A66" s="399"/>
      <c r="B66" s="26" t="s">
        <v>1777</v>
      </c>
      <c r="C66" s="26" t="s">
        <v>1778</v>
      </c>
      <c r="D66" s="26" t="s">
        <v>1779</v>
      </c>
      <c r="E66" s="26">
        <v>5309</v>
      </c>
      <c r="F66" s="27" t="s">
        <v>1778</v>
      </c>
      <c r="G66" s="28">
        <v>2.5000000000000001E-2</v>
      </c>
      <c r="H66" s="28">
        <v>2.5000000000000001E-2</v>
      </c>
      <c r="I66" s="28">
        <v>2.1999999999999999E-2</v>
      </c>
      <c r="J66" s="26" t="s">
        <v>1528</v>
      </c>
      <c r="K66" s="29" t="s">
        <v>1735</v>
      </c>
      <c r="L66" s="30">
        <v>2.4E-2</v>
      </c>
    </row>
    <row r="67" spans="1:12" ht="33.75" customHeight="1">
      <c r="A67" s="399"/>
      <c r="B67" s="26" t="s">
        <v>1780</v>
      </c>
      <c r="C67" s="26" t="s">
        <v>1781</v>
      </c>
      <c r="D67" s="26" t="s">
        <v>1782</v>
      </c>
      <c r="E67" s="26">
        <v>5193</v>
      </c>
      <c r="F67" s="27" t="s">
        <v>1783</v>
      </c>
      <c r="G67" s="28">
        <v>2.5000000000000001E-2</v>
      </c>
      <c r="H67" s="28">
        <v>2.5000000000000001E-2</v>
      </c>
      <c r="I67" s="28">
        <v>2.1999999999999999E-2</v>
      </c>
      <c r="J67" s="26" t="s">
        <v>1528</v>
      </c>
      <c r="K67" s="29" t="s">
        <v>1735</v>
      </c>
      <c r="L67" s="30">
        <v>2.4E-2</v>
      </c>
    </row>
    <row r="68" spans="1:12" ht="33.75" customHeight="1">
      <c r="A68" s="399"/>
      <c r="B68" s="26" t="s">
        <v>1784</v>
      </c>
      <c r="C68" s="26" t="s">
        <v>1785</v>
      </c>
      <c r="D68" s="26" t="s">
        <v>1786</v>
      </c>
      <c r="E68" s="26">
        <v>5945</v>
      </c>
      <c r="F68" s="27" t="s">
        <v>1787</v>
      </c>
      <c r="G68" s="28">
        <v>2.5000000000000001E-2</v>
      </c>
      <c r="H68" s="28">
        <v>2.5000000000000001E-2</v>
      </c>
      <c r="I68" s="28">
        <v>2.1999999999999999E-2</v>
      </c>
      <c r="J68" s="26" t="s">
        <v>1528</v>
      </c>
      <c r="K68" s="29" t="s">
        <v>1735</v>
      </c>
      <c r="L68" s="30">
        <v>2.4E-2</v>
      </c>
    </row>
    <row r="69" spans="1:12" ht="33.75" customHeight="1">
      <c r="A69" s="399"/>
      <c r="B69" s="26" t="s">
        <v>1788</v>
      </c>
      <c r="C69" s="26" t="s">
        <v>1789</v>
      </c>
      <c r="D69" s="26" t="s">
        <v>1790</v>
      </c>
      <c r="E69" s="26">
        <v>5983</v>
      </c>
      <c r="F69" s="27" t="s">
        <v>1791</v>
      </c>
      <c r="G69" s="28">
        <v>2.5000000000000001E-2</v>
      </c>
      <c r="H69" s="28">
        <v>2.5000000000000001E-2</v>
      </c>
      <c r="I69" s="28">
        <v>2.1999999999999999E-2</v>
      </c>
      <c r="J69" s="26" t="s">
        <v>1528</v>
      </c>
      <c r="K69" s="29" t="s">
        <v>1743</v>
      </c>
      <c r="L69" s="30">
        <v>2.9499999999999998E-2</v>
      </c>
    </row>
    <row r="70" spans="1:12" ht="33.75" customHeight="1">
      <c r="A70" s="399"/>
      <c r="B70" s="26" t="s">
        <v>1792</v>
      </c>
      <c r="C70" s="26" t="s">
        <v>1793</v>
      </c>
      <c r="D70" s="26" t="s">
        <v>1794</v>
      </c>
      <c r="E70" s="26">
        <v>5947</v>
      </c>
      <c r="F70" s="27" t="s">
        <v>1795</v>
      </c>
      <c r="G70" s="28">
        <v>2.5000000000000001E-2</v>
      </c>
      <c r="H70" s="28">
        <v>2.5000000000000001E-2</v>
      </c>
      <c r="I70" s="28">
        <v>2.1999999999999999E-2</v>
      </c>
      <c r="J70" s="26" t="s">
        <v>1528</v>
      </c>
      <c r="K70" s="29" t="s">
        <v>1735</v>
      </c>
      <c r="L70" s="30">
        <v>2.4E-2</v>
      </c>
    </row>
    <row r="71" spans="1:12" ht="33.75" customHeight="1">
      <c r="A71" s="399"/>
      <c r="B71" s="26" t="s">
        <v>1796</v>
      </c>
      <c r="C71" s="26" t="s">
        <v>1797</v>
      </c>
      <c r="D71" s="26" t="s">
        <v>1798</v>
      </c>
      <c r="E71" s="26">
        <v>5722</v>
      </c>
      <c r="F71" s="27" t="s">
        <v>1799</v>
      </c>
      <c r="G71" s="28">
        <v>2.5000000000000001E-2</v>
      </c>
      <c r="H71" s="28">
        <v>2.5000000000000001E-2</v>
      </c>
      <c r="I71" s="28">
        <v>2.1999999999999999E-2</v>
      </c>
      <c r="J71" s="26" t="s">
        <v>1528</v>
      </c>
      <c r="K71" s="29" t="s">
        <v>1735</v>
      </c>
      <c r="L71" s="30">
        <v>2.4E-2</v>
      </c>
    </row>
    <row r="72" spans="1:12" ht="33.75" customHeight="1">
      <c r="A72" s="399"/>
      <c r="B72" s="26" t="s">
        <v>1800</v>
      </c>
      <c r="C72" s="26" t="s">
        <v>1801</v>
      </c>
      <c r="D72" s="26" t="s">
        <v>1802</v>
      </c>
      <c r="E72" s="26">
        <v>5691</v>
      </c>
      <c r="F72" s="27" t="s">
        <v>1803</v>
      </c>
      <c r="G72" s="28">
        <v>2.5000000000000001E-2</v>
      </c>
      <c r="H72" s="28">
        <v>2.5000000000000001E-2</v>
      </c>
      <c r="I72" s="28">
        <v>2.1999999999999999E-2</v>
      </c>
      <c r="J72" s="26" t="s">
        <v>1528</v>
      </c>
      <c r="K72" s="29" t="s">
        <v>1735</v>
      </c>
      <c r="L72" s="30">
        <v>2.4E-2</v>
      </c>
    </row>
    <row r="73" spans="1:12" ht="33.75" customHeight="1">
      <c r="A73" s="399"/>
      <c r="B73" s="26" t="s">
        <v>1804</v>
      </c>
      <c r="C73" s="26" t="s">
        <v>1805</v>
      </c>
      <c r="D73" s="26" t="s">
        <v>1806</v>
      </c>
      <c r="E73" s="26">
        <v>5943</v>
      </c>
      <c r="F73" s="27" t="s">
        <v>1807</v>
      </c>
      <c r="G73" s="28">
        <v>2.5000000000000001E-2</v>
      </c>
      <c r="H73" s="28">
        <v>2.5000000000000001E-2</v>
      </c>
      <c r="I73" s="28">
        <v>2.1999999999999999E-2</v>
      </c>
      <c r="J73" s="26" t="s">
        <v>1528</v>
      </c>
      <c r="K73" s="29" t="s">
        <v>1735</v>
      </c>
      <c r="L73" s="30">
        <v>2.4E-2</v>
      </c>
    </row>
    <row r="74" spans="1:12" ht="33.75" customHeight="1">
      <c r="A74" s="399"/>
      <c r="B74" s="36" t="s">
        <v>1808</v>
      </c>
      <c r="C74" s="36" t="s">
        <v>1809</v>
      </c>
      <c r="D74" s="36" t="s">
        <v>1810</v>
      </c>
      <c r="E74" s="36">
        <v>5411</v>
      </c>
      <c r="F74" s="37" t="s">
        <v>1811</v>
      </c>
      <c r="G74" s="38">
        <v>1.6500000000000001E-2</v>
      </c>
      <c r="H74" s="38">
        <v>2.4E-2</v>
      </c>
      <c r="I74" s="39">
        <v>1.7000000000000001E-2</v>
      </c>
      <c r="J74" s="36" t="s">
        <v>1541</v>
      </c>
      <c r="K74" s="29" t="s">
        <v>1812</v>
      </c>
      <c r="L74" s="40">
        <v>0.02</v>
      </c>
    </row>
    <row r="75" spans="1:12" ht="33.75" customHeight="1">
      <c r="A75" s="399"/>
      <c r="B75" s="26" t="s">
        <v>1813</v>
      </c>
      <c r="C75" s="26" t="s">
        <v>1814</v>
      </c>
      <c r="D75" s="26" t="s">
        <v>1815</v>
      </c>
      <c r="E75" s="26">
        <v>5995</v>
      </c>
      <c r="F75" s="27" t="s">
        <v>1816</v>
      </c>
      <c r="G75" s="28">
        <v>2.5000000000000001E-2</v>
      </c>
      <c r="H75" s="28">
        <v>2.5000000000000001E-2</v>
      </c>
      <c r="I75" s="28">
        <v>2.1999999999999999E-2</v>
      </c>
      <c r="J75" s="26" t="s">
        <v>1528</v>
      </c>
      <c r="K75" s="29" t="s">
        <v>1735</v>
      </c>
      <c r="L75" s="30">
        <v>2.4E-2</v>
      </c>
    </row>
    <row r="76" spans="1:12" ht="33.75" customHeight="1">
      <c r="A76" s="399"/>
      <c r="B76" s="26" t="s">
        <v>1817</v>
      </c>
      <c r="C76" s="26" t="s">
        <v>1818</v>
      </c>
      <c r="D76" s="26" t="s">
        <v>1819</v>
      </c>
      <c r="E76" s="26">
        <v>7395</v>
      </c>
      <c r="F76" s="19" t="s">
        <v>1820</v>
      </c>
      <c r="G76" s="28">
        <v>2.5000000000000001E-2</v>
      </c>
      <c r="H76" s="28">
        <v>2.5000000000000001E-2</v>
      </c>
      <c r="I76" s="28">
        <v>2.1999999999999999E-2</v>
      </c>
      <c r="J76" s="26" t="s">
        <v>1528</v>
      </c>
      <c r="K76" s="29" t="s">
        <v>1735</v>
      </c>
      <c r="L76" s="30">
        <v>2.4E-2</v>
      </c>
    </row>
    <row r="77" spans="1:12" ht="33.75" customHeight="1">
      <c r="A77" s="399"/>
      <c r="B77" s="26" t="s">
        <v>1821</v>
      </c>
      <c r="C77" s="26" t="s">
        <v>1822</v>
      </c>
      <c r="D77" s="26" t="s">
        <v>1823</v>
      </c>
      <c r="E77" s="26">
        <v>5946</v>
      </c>
      <c r="F77" s="27" t="s">
        <v>1824</v>
      </c>
      <c r="G77" s="28">
        <v>2.5000000000000001E-2</v>
      </c>
      <c r="H77" s="28">
        <v>2.5000000000000001E-2</v>
      </c>
      <c r="I77" s="28">
        <v>2.1999999999999999E-2</v>
      </c>
      <c r="J77" s="26" t="s">
        <v>1528</v>
      </c>
      <c r="K77" s="29" t="s">
        <v>1735</v>
      </c>
      <c r="L77" s="30">
        <v>2.4E-2</v>
      </c>
    </row>
    <row r="78" spans="1:12" ht="33.75" customHeight="1">
      <c r="A78" s="399"/>
      <c r="B78" s="26" t="s">
        <v>1825</v>
      </c>
      <c r="C78" s="26" t="s">
        <v>1826</v>
      </c>
      <c r="D78" s="26" t="s">
        <v>1827</v>
      </c>
      <c r="E78" s="26">
        <v>7221</v>
      </c>
      <c r="F78" s="27" t="s">
        <v>1826</v>
      </c>
      <c r="G78" s="28">
        <v>2.5000000000000001E-2</v>
      </c>
      <c r="H78" s="28">
        <v>2.5000000000000001E-2</v>
      </c>
      <c r="I78" s="28">
        <v>2.1999999999999999E-2</v>
      </c>
      <c r="J78" s="26" t="s">
        <v>1528</v>
      </c>
      <c r="K78" s="29" t="s">
        <v>1735</v>
      </c>
      <c r="L78" s="30">
        <v>2.4E-2</v>
      </c>
    </row>
    <row r="79" spans="1:12" ht="33.75" customHeight="1">
      <c r="A79" s="399"/>
      <c r="B79" s="26" t="s">
        <v>1828</v>
      </c>
      <c r="C79" s="26" t="s">
        <v>1829</v>
      </c>
      <c r="D79" s="26" t="s">
        <v>1830</v>
      </c>
      <c r="E79" s="26">
        <v>5735</v>
      </c>
      <c r="F79" s="27" t="s">
        <v>1831</v>
      </c>
      <c r="G79" s="28">
        <v>2.5000000000000001E-2</v>
      </c>
      <c r="H79" s="28">
        <v>2.5000000000000001E-2</v>
      </c>
      <c r="I79" s="28">
        <v>2.1999999999999999E-2</v>
      </c>
      <c r="J79" s="26" t="s">
        <v>1528</v>
      </c>
      <c r="K79" s="29" t="s">
        <v>1735</v>
      </c>
      <c r="L79" s="30">
        <v>2.4E-2</v>
      </c>
    </row>
    <row r="80" spans="1:12" ht="33.75" customHeight="1">
      <c r="A80" s="399"/>
      <c r="B80" s="31" t="s">
        <v>1832</v>
      </c>
      <c r="C80" s="31" t="s">
        <v>1833</v>
      </c>
      <c r="D80" s="31" t="s">
        <v>1834</v>
      </c>
      <c r="E80" s="31">
        <v>7393</v>
      </c>
      <c r="F80" s="32" t="s">
        <v>1835</v>
      </c>
      <c r="G80" s="33">
        <v>2.5000000000000001E-2</v>
      </c>
      <c r="H80" s="28">
        <v>2.5000000000000001E-2</v>
      </c>
      <c r="I80" s="33">
        <v>2.1999999999999999E-2</v>
      </c>
      <c r="J80" s="26" t="s">
        <v>1528</v>
      </c>
      <c r="K80" s="34" t="s">
        <v>1529</v>
      </c>
      <c r="L80" s="35">
        <v>2.4E-2</v>
      </c>
    </row>
    <row r="81" spans="1:12" ht="33.75" customHeight="1">
      <c r="A81" s="399"/>
      <c r="B81" s="26" t="s">
        <v>1796</v>
      </c>
      <c r="C81" s="26" t="s">
        <v>1836</v>
      </c>
      <c r="D81" s="26" t="s">
        <v>1837</v>
      </c>
      <c r="E81" s="26">
        <v>5699</v>
      </c>
      <c r="F81" s="27" t="s">
        <v>1838</v>
      </c>
      <c r="G81" s="28">
        <v>2.5000000000000001E-2</v>
      </c>
      <c r="H81" s="28">
        <v>2.5000000000000001E-2</v>
      </c>
      <c r="I81" s="28">
        <v>2.1999999999999999E-2</v>
      </c>
      <c r="J81" s="26" t="s">
        <v>1528</v>
      </c>
      <c r="K81" s="29" t="s">
        <v>1735</v>
      </c>
      <c r="L81" s="30">
        <v>2.4E-2</v>
      </c>
    </row>
    <row r="82" spans="1:12" ht="33.75" customHeight="1">
      <c r="A82" s="399"/>
      <c r="B82" s="36" t="s">
        <v>1839</v>
      </c>
      <c r="C82" s="36" t="s">
        <v>1840</v>
      </c>
      <c r="D82" s="36" t="s">
        <v>1841</v>
      </c>
      <c r="E82" s="36">
        <v>5499</v>
      </c>
      <c r="F82" s="37" t="s">
        <v>1767</v>
      </c>
      <c r="G82" s="38">
        <v>1.6500000000000001E-2</v>
      </c>
      <c r="H82" s="38">
        <v>2.4E-2</v>
      </c>
      <c r="I82" s="38">
        <v>1.7000000000000001E-2</v>
      </c>
      <c r="J82" s="36" t="s">
        <v>1541</v>
      </c>
      <c r="K82" s="29" t="s">
        <v>1735</v>
      </c>
      <c r="L82" s="30">
        <v>2.4E-2</v>
      </c>
    </row>
    <row r="83" spans="1:12" ht="33.75" customHeight="1">
      <c r="A83" s="398" t="s">
        <v>1842</v>
      </c>
      <c r="B83" s="26" t="s">
        <v>1843</v>
      </c>
      <c r="C83" s="26" t="s">
        <v>1844</v>
      </c>
      <c r="D83" s="26" t="s">
        <v>1845</v>
      </c>
      <c r="E83" s="26">
        <v>7996</v>
      </c>
      <c r="F83" s="27" t="s">
        <v>1846</v>
      </c>
      <c r="G83" s="28">
        <v>2.5000000000000001E-2</v>
      </c>
      <c r="H83" s="28">
        <v>2.5000000000000001E-2</v>
      </c>
      <c r="I83" s="28">
        <v>2.1999999999999999E-2</v>
      </c>
      <c r="J83" s="26" t="s">
        <v>1528</v>
      </c>
      <c r="K83" s="29" t="s">
        <v>1542</v>
      </c>
      <c r="L83" s="30">
        <v>1.9E-2</v>
      </c>
    </row>
    <row r="84" spans="1:12" ht="33.75" customHeight="1">
      <c r="A84" s="399"/>
      <c r="B84" s="26" t="s">
        <v>1847</v>
      </c>
      <c r="C84" s="26" t="s">
        <v>1848</v>
      </c>
      <c r="D84" s="26" t="s">
        <v>1849</v>
      </c>
      <c r="E84" s="26">
        <v>7991</v>
      </c>
      <c r="F84" s="27" t="s">
        <v>1850</v>
      </c>
      <c r="G84" s="28">
        <v>2.5000000000000001E-2</v>
      </c>
      <c r="H84" s="28">
        <v>2.5000000000000001E-2</v>
      </c>
      <c r="I84" s="28">
        <v>2.1999999999999999E-2</v>
      </c>
      <c r="J84" s="26" t="s">
        <v>1528</v>
      </c>
      <c r="K84" s="29" t="s">
        <v>1542</v>
      </c>
      <c r="L84" s="30">
        <v>1.9E-2</v>
      </c>
    </row>
    <row r="85" spans="1:12" ht="33.75" customHeight="1">
      <c r="A85" s="398" t="s">
        <v>1851</v>
      </c>
      <c r="B85" s="41" t="s">
        <v>1852</v>
      </c>
      <c r="C85" s="41" t="s">
        <v>1853</v>
      </c>
      <c r="D85" s="41" t="s">
        <v>1854</v>
      </c>
      <c r="E85" s="41">
        <v>7994</v>
      </c>
      <c r="F85" s="42" t="s">
        <v>1855</v>
      </c>
      <c r="G85" s="38">
        <v>1.6500000000000001E-2</v>
      </c>
      <c r="H85" s="38">
        <v>2.4E-2</v>
      </c>
      <c r="I85" s="33">
        <v>2.1999999999999999E-2</v>
      </c>
      <c r="J85" s="26" t="s">
        <v>1528</v>
      </c>
      <c r="K85" s="34" t="s">
        <v>1542</v>
      </c>
      <c r="L85" s="35">
        <v>1.9E-2</v>
      </c>
    </row>
    <row r="86" spans="1:12" ht="33.75" customHeight="1">
      <c r="A86" s="399"/>
      <c r="B86" s="26" t="s">
        <v>1856</v>
      </c>
      <c r="C86" s="26" t="s">
        <v>1857</v>
      </c>
      <c r="D86" s="26" t="s">
        <v>1858</v>
      </c>
      <c r="E86" s="26">
        <v>7992</v>
      </c>
      <c r="F86" s="27" t="s">
        <v>1859</v>
      </c>
      <c r="G86" s="28">
        <v>2.5000000000000001E-2</v>
      </c>
      <c r="H86" s="28">
        <v>2.5000000000000001E-2</v>
      </c>
      <c r="I86" s="28">
        <v>2.1999999999999999E-2</v>
      </c>
      <c r="J86" s="26" t="s">
        <v>1528</v>
      </c>
      <c r="K86" s="29" t="s">
        <v>1542</v>
      </c>
      <c r="L86" s="30">
        <v>1.9E-2</v>
      </c>
    </row>
    <row r="87" spans="1:12" ht="33.75" customHeight="1">
      <c r="A87" s="399"/>
      <c r="B87" s="31" t="s">
        <v>1860</v>
      </c>
      <c r="C87" s="31" t="s">
        <v>1861</v>
      </c>
      <c r="D87" s="31" t="s">
        <v>1862</v>
      </c>
      <c r="E87" s="31">
        <v>7995</v>
      </c>
      <c r="F87" s="32" t="s">
        <v>1863</v>
      </c>
      <c r="G87" s="33">
        <v>2.5000000000000001E-2</v>
      </c>
      <c r="H87" s="28">
        <v>2.5000000000000001E-2</v>
      </c>
      <c r="I87" s="33">
        <v>2.1999999999999999E-2</v>
      </c>
      <c r="J87" s="26" t="s">
        <v>1528</v>
      </c>
      <c r="K87" s="34" t="s">
        <v>1542</v>
      </c>
      <c r="L87" s="35">
        <v>1.9E-2</v>
      </c>
    </row>
    <row r="88" spans="1:12" ht="33.75" customHeight="1">
      <c r="A88" s="399"/>
      <c r="B88" s="26" t="s">
        <v>1864</v>
      </c>
      <c r="C88" s="26" t="s">
        <v>1865</v>
      </c>
      <c r="D88" s="26" t="s">
        <v>1866</v>
      </c>
      <c r="E88" s="26">
        <v>7997</v>
      </c>
      <c r="F88" s="27" t="s">
        <v>1867</v>
      </c>
      <c r="G88" s="28">
        <v>2.5000000000000001E-2</v>
      </c>
      <c r="H88" s="28">
        <v>2.5000000000000001E-2</v>
      </c>
      <c r="I88" s="28">
        <v>2.1999999999999999E-2</v>
      </c>
      <c r="J88" s="26" t="s">
        <v>1528</v>
      </c>
      <c r="K88" s="29" t="s">
        <v>1542</v>
      </c>
      <c r="L88" s="30">
        <v>1.9E-2</v>
      </c>
    </row>
    <row r="89" spans="1:12" ht="33.75" customHeight="1">
      <c r="A89" s="399"/>
      <c r="B89" s="36" t="s">
        <v>1868</v>
      </c>
      <c r="C89" s="36" t="s">
        <v>1869</v>
      </c>
      <c r="D89" s="36" t="s">
        <v>1870</v>
      </c>
      <c r="E89" s="36">
        <v>7832</v>
      </c>
      <c r="F89" s="37" t="s">
        <v>1871</v>
      </c>
      <c r="G89" s="38">
        <v>1.6500000000000001E-2</v>
      </c>
      <c r="H89" s="38">
        <v>2.4E-2</v>
      </c>
      <c r="I89" s="38">
        <v>1.7000000000000001E-2</v>
      </c>
      <c r="J89" s="36" t="s">
        <v>1541</v>
      </c>
      <c r="K89" s="29"/>
      <c r="L89" s="29"/>
    </row>
    <row r="90" spans="1:12" ht="33.75" customHeight="1">
      <c r="A90" s="399"/>
      <c r="B90" s="26" t="s">
        <v>1872</v>
      </c>
      <c r="C90" s="26" t="s">
        <v>1873</v>
      </c>
      <c r="D90" s="26" t="s">
        <v>1874</v>
      </c>
      <c r="E90" s="26">
        <v>7941</v>
      </c>
      <c r="F90" s="27" t="s">
        <v>1875</v>
      </c>
      <c r="G90" s="28">
        <v>2.5000000000000001E-2</v>
      </c>
      <c r="H90" s="28">
        <v>2.5000000000000001E-2</v>
      </c>
      <c r="I90" s="28">
        <v>2.1999999999999999E-2</v>
      </c>
      <c r="J90" s="26" t="s">
        <v>1528</v>
      </c>
      <c r="K90" s="29" t="s">
        <v>1542</v>
      </c>
      <c r="L90" s="30">
        <v>1.9E-2</v>
      </c>
    </row>
    <row r="91" spans="1:12" ht="33.75" customHeight="1">
      <c r="A91" s="26" t="s">
        <v>1876</v>
      </c>
      <c r="B91" s="26" t="s">
        <v>1877</v>
      </c>
      <c r="C91" s="26" t="s">
        <v>1878</v>
      </c>
      <c r="D91" s="26"/>
      <c r="E91" s="26"/>
      <c r="F91" s="27"/>
      <c r="G91" s="28">
        <v>2.5000000000000001E-2</v>
      </c>
      <c r="H91" s="28">
        <v>2.5000000000000001E-2</v>
      </c>
      <c r="I91" s="28">
        <v>2.1999999999999999E-2</v>
      </c>
      <c r="J91" s="26" t="s">
        <v>1528</v>
      </c>
      <c r="K91" s="29"/>
      <c r="L91" s="29"/>
    </row>
    <row r="92" spans="1:12" ht="33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</row>
    <row r="93" spans="1:12" ht="33.75" customHeight="1">
      <c r="A93" s="19"/>
      <c r="B93" s="19"/>
      <c r="C93" s="50" t="s">
        <v>1879</v>
      </c>
      <c r="D93" s="19"/>
      <c r="E93" s="49">
        <v>5499</v>
      </c>
      <c r="F93" s="19"/>
      <c r="G93" s="19"/>
      <c r="H93" s="19"/>
      <c r="I93" s="19"/>
      <c r="J93" s="19"/>
      <c r="K93" s="19"/>
      <c r="L93" s="19"/>
    </row>
    <row r="94" spans="1:12" ht="33.75" customHeight="1">
      <c r="A94" s="19"/>
      <c r="B94" s="19"/>
      <c r="C94" s="50" t="s">
        <v>1880</v>
      </c>
      <c r="D94" s="19"/>
      <c r="E94" s="49">
        <v>5631</v>
      </c>
      <c r="F94" s="19"/>
      <c r="G94" s="19"/>
      <c r="H94" s="19"/>
      <c r="I94" s="19"/>
      <c r="J94" s="19"/>
      <c r="K94" s="19"/>
      <c r="L94" s="19"/>
    </row>
    <row r="95" spans="1:12" ht="33.75" customHeight="1">
      <c r="A95" s="19"/>
      <c r="B95" s="19"/>
      <c r="C95" s="50" t="s">
        <v>1881</v>
      </c>
      <c r="D95" s="19"/>
      <c r="E95" s="49">
        <v>5732</v>
      </c>
      <c r="F95" s="19"/>
      <c r="G95" s="19"/>
      <c r="H95" s="19"/>
      <c r="I95" s="19"/>
      <c r="J95" s="19"/>
      <c r="K95" s="19"/>
      <c r="L95" s="19"/>
    </row>
    <row r="96" spans="1:12" ht="33.75" customHeight="1">
      <c r="A96" s="19"/>
      <c r="B96" s="19"/>
      <c r="C96" s="61" t="s">
        <v>1882</v>
      </c>
      <c r="D96" s="19"/>
      <c r="E96" s="63">
        <v>5719</v>
      </c>
      <c r="F96" s="19"/>
      <c r="G96" s="19"/>
      <c r="H96" s="19"/>
      <c r="I96" s="19"/>
      <c r="J96" s="19"/>
      <c r="K96" s="19"/>
      <c r="L96" s="19"/>
    </row>
    <row r="97" spans="3:5" ht="33.75" customHeight="1">
      <c r="C97" s="61" t="s">
        <v>1883</v>
      </c>
      <c r="D97" s="19"/>
      <c r="E97" s="63">
        <v>4214</v>
      </c>
    </row>
    <row r="98" spans="3:5" ht="33.75" customHeight="1">
      <c r="C98" s="61" t="s">
        <v>1884</v>
      </c>
      <c r="D98" s="19"/>
      <c r="E98" s="63">
        <v>5948</v>
      </c>
    </row>
    <row r="99" spans="3:5" ht="33.75" customHeight="1">
      <c r="C99" s="61" t="s">
        <v>1885</v>
      </c>
      <c r="D99" s="19"/>
      <c r="E99" s="63">
        <v>5655</v>
      </c>
    </row>
    <row r="100" spans="3:5" ht="33.75" customHeight="1">
      <c r="C100" s="61" t="s">
        <v>1886</v>
      </c>
      <c r="D100" s="19"/>
      <c r="E100" s="63">
        <v>7394</v>
      </c>
    </row>
    <row r="101" spans="3:5" ht="33.75" customHeight="1">
      <c r="C101" s="61" t="s">
        <v>1887</v>
      </c>
      <c r="D101" s="19"/>
      <c r="E101" s="63">
        <v>5965</v>
      </c>
    </row>
    <row r="102" spans="3:5" ht="33.75" customHeight="1">
      <c r="C102" s="61" t="s">
        <v>1888</v>
      </c>
      <c r="D102" s="19"/>
      <c r="E102" s="63">
        <v>8911</v>
      </c>
    </row>
    <row r="103" spans="3:5" ht="33.75" customHeight="1">
      <c r="C103" s="62" t="s">
        <v>1889</v>
      </c>
      <c r="D103" s="19"/>
      <c r="E103" s="64">
        <v>7997</v>
      </c>
    </row>
    <row r="104" spans="3:5" ht="33.75" customHeight="1">
      <c r="C104" t="s">
        <v>1890</v>
      </c>
      <c r="D104" s="19"/>
      <c r="E104" s="49">
        <v>8299</v>
      </c>
    </row>
  </sheetData>
  <mergeCells count="13">
    <mergeCell ref="C29:C31"/>
    <mergeCell ref="D29:D31"/>
    <mergeCell ref="A20:A24"/>
    <mergeCell ref="A85:A90"/>
    <mergeCell ref="A54:A82"/>
    <mergeCell ref="A25:A28"/>
    <mergeCell ref="A35:A46"/>
    <mergeCell ref="A4:A6"/>
    <mergeCell ref="A12:A19"/>
    <mergeCell ref="A29:A34"/>
    <mergeCell ref="A83:A84"/>
    <mergeCell ref="A47:A53"/>
    <mergeCell ref="A7:A11"/>
  </mergeCells>
  <hyperlinks>
    <hyperlink ref="B1" r:id="rId1" xr:uid="{00000000-0004-0000-0700-000000000000}"/>
  </hyperlinks>
  <pageMargins left="0.74805555555555614" right="0.74805555555555614" top="1.3776388888888891" bottom="1.3776388888888891" header="0.98388888888888903" footer="0.98388888888888903"/>
  <pageSetup paperSize="9"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C216"/>
  <sheetViews>
    <sheetView workbookViewId="0">
      <selection activeCell="C94" sqref="C94"/>
    </sheetView>
  </sheetViews>
  <sheetFormatPr defaultRowHeight="14"/>
  <cols>
    <col min="1" max="1" width="13.08203125" style="58" bestFit="1" customWidth="1"/>
    <col min="2" max="2" width="99.6640625" style="59" customWidth="1"/>
    <col min="3" max="3" width="16.6640625" bestFit="1" customWidth="1"/>
  </cols>
  <sheetData>
    <row r="1" spans="1:3" ht="15.5" customHeight="1">
      <c r="A1" s="51" t="s">
        <v>1891</v>
      </c>
      <c r="B1" s="51" t="s">
        <v>1892</v>
      </c>
      <c r="C1" s="51" t="s">
        <v>1893</v>
      </c>
    </row>
    <row r="2" spans="1:3">
      <c r="A2" s="53" t="s">
        <v>1894</v>
      </c>
      <c r="B2" s="52" t="s">
        <v>1895</v>
      </c>
      <c r="C2" t="s">
        <v>1896</v>
      </c>
    </row>
    <row r="3" spans="1:3" ht="15.5" customHeight="1">
      <c r="A3" s="54" t="s">
        <v>1897</v>
      </c>
      <c r="B3" s="52" t="s">
        <v>1898</v>
      </c>
      <c r="C3" t="s">
        <v>1899</v>
      </c>
    </row>
    <row r="4" spans="1:3" ht="15.5" customHeight="1">
      <c r="A4" s="54" t="s">
        <v>1900</v>
      </c>
      <c r="B4" s="55" t="s">
        <v>1901</v>
      </c>
      <c r="C4" t="e">
        <v>#N/A</v>
      </c>
    </row>
    <row r="5" spans="1:3" ht="15.5" customHeight="1">
      <c r="A5" s="54" t="s">
        <v>1902</v>
      </c>
      <c r="B5" s="55" t="s">
        <v>1903</v>
      </c>
      <c r="C5" t="s">
        <v>1904</v>
      </c>
    </row>
    <row r="6" spans="1:3" ht="15.5" customHeight="1">
      <c r="A6" s="54" t="s">
        <v>1905</v>
      </c>
      <c r="B6" s="52" t="s">
        <v>1906</v>
      </c>
      <c r="C6" t="e">
        <v>#N/A</v>
      </c>
    </row>
    <row r="7" spans="1:3" ht="15.5" customHeight="1">
      <c r="A7" s="54" t="s">
        <v>1907</v>
      </c>
      <c r="B7" s="55" t="s">
        <v>1908</v>
      </c>
      <c r="C7" t="s">
        <v>1909</v>
      </c>
    </row>
    <row r="8" spans="1:3" ht="15.5" customHeight="1">
      <c r="A8" s="54" t="s">
        <v>1910</v>
      </c>
      <c r="B8" s="52" t="s">
        <v>1911</v>
      </c>
      <c r="C8" t="s">
        <v>1912</v>
      </c>
    </row>
    <row r="9" spans="1:3" ht="15.5" customHeight="1">
      <c r="A9" s="54" t="s">
        <v>1913</v>
      </c>
      <c r="B9" s="55" t="s">
        <v>1911</v>
      </c>
      <c r="C9" t="s">
        <v>1912</v>
      </c>
    </row>
    <row r="10" spans="1:3" ht="15.5" customHeight="1">
      <c r="A10" s="54" t="s">
        <v>1914</v>
      </c>
      <c r="B10" s="52" t="s">
        <v>1915</v>
      </c>
      <c r="C10" t="s">
        <v>1916</v>
      </c>
    </row>
    <row r="11" spans="1:3" ht="15.5" customHeight="1">
      <c r="A11" s="54" t="s">
        <v>292</v>
      </c>
      <c r="B11" s="55" t="s">
        <v>295</v>
      </c>
      <c r="C11" t="s">
        <v>319</v>
      </c>
    </row>
    <row r="12" spans="1:3" ht="15.5" customHeight="1">
      <c r="A12" s="54" t="s">
        <v>1917</v>
      </c>
      <c r="B12" s="52" t="s">
        <v>1918</v>
      </c>
      <c r="C12" t="s">
        <v>1919</v>
      </c>
    </row>
    <row r="13" spans="1:3" ht="15.5" customHeight="1">
      <c r="A13" s="54" t="s">
        <v>1920</v>
      </c>
      <c r="B13" s="55" t="s">
        <v>1911</v>
      </c>
      <c r="C13" t="s">
        <v>1912</v>
      </c>
    </row>
    <row r="14" spans="1:3" ht="15.5" customHeight="1">
      <c r="A14" s="54" t="s">
        <v>1921</v>
      </c>
      <c r="B14" s="52" t="s">
        <v>1922</v>
      </c>
      <c r="C14" t="s">
        <v>1923</v>
      </c>
    </row>
    <row r="15" spans="1:3" ht="15.5" customHeight="1">
      <c r="A15" s="54" t="s">
        <v>1924</v>
      </c>
      <c r="B15" s="55" t="s">
        <v>1925</v>
      </c>
      <c r="C15" t="e">
        <v>#N/A</v>
      </c>
    </row>
    <row r="16" spans="1:3" ht="15.5" customHeight="1">
      <c r="A16" s="54" t="s">
        <v>1926</v>
      </c>
      <c r="B16" s="55" t="s">
        <v>1927</v>
      </c>
      <c r="C16" t="s">
        <v>1928</v>
      </c>
    </row>
    <row r="17" spans="1:3" ht="15.5" customHeight="1">
      <c r="A17" s="54" t="s">
        <v>1929</v>
      </c>
      <c r="B17" s="55" t="s">
        <v>1930</v>
      </c>
      <c r="C17" t="s">
        <v>1931</v>
      </c>
    </row>
    <row r="18" spans="1:3" ht="15.5" customHeight="1">
      <c r="A18" s="54" t="s">
        <v>1932</v>
      </c>
      <c r="B18" s="55" t="s">
        <v>1911</v>
      </c>
      <c r="C18" t="s">
        <v>1912</v>
      </c>
    </row>
    <row r="19" spans="1:3" ht="15.5" customHeight="1">
      <c r="A19" s="54" t="s">
        <v>1933</v>
      </c>
      <c r="B19" s="55" t="s">
        <v>1934</v>
      </c>
      <c r="C19" t="s">
        <v>1935</v>
      </c>
    </row>
    <row r="20" spans="1:3" ht="15.5" customHeight="1">
      <c r="A20" s="54" t="s">
        <v>1936</v>
      </c>
      <c r="B20" s="55" t="s">
        <v>1937</v>
      </c>
      <c r="C20" s="60" t="s">
        <v>1938</v>
      </c>
    </row>
    <row r="21" spans="1:3" ht="15.5" customHeight="1">
      <c r="A21" s="54" t="s">
        <v>1939</v>
      </c>
      <c r="B21" s="55" t="s">
        <v>1940</v>
      </c>
      <c r="C21" t="e">
        <v>#N/A</v>
      </c>
    </row>
    <row r="22" spans="1:3" ht="15.5" customHeight="1">
      <c r="A22" s="54" t="s">
        <v>1941</v>
      </c>
      <c r="B22" s="55" t="s">
        <v>1911</v>
      </c>
      <c r="C22" t="s">
        <v>1912</v>
      </c>
    </row>
    <row r="23" spans="1:3" ht="15.5" customHeight="1">
      <c r="A23" s="54" t="s">
        <v>1942</v>
      </c>
      <c r="B23" s="55" t="s">
        <v>1911</v>
      </c>
      <c r="C23" t="s">
        <v>1912</v>
      </c>
    </row>
    <row r="24" spans="1:3" ht="15.5" customHeight="1">
      <c r="A24" s="54" t="s">
        <v>1943</v>
      </c>
      <c r="B24" s="55" t="s">
        <v>295</v>
      </c>
      <c r="C24" t="s">
        <v>319</v>
      </c>
    </row>
    <row r="25" spans="1:3" ht="15.5" customHeight="1">
      <c r="A25" s="54" t="s">
        <v>1944</v>
      </c>
      <c r="B25" s="55" t="s">
        <v>1911</v>
      </c>
      <c r="C25" t="s">
        <v>1912</v>
      </c>
    </row>
    <row r="26" spans="1:3" ht="15.5" customHeight="1">
      <c r="A26" s="54" t="s">
        <v>1945</v>
      </c>
      <c r="B26" s="52" t="s">
        <v>1946</v>
      </c>
      <c r="C26" t="s">
        <v>1947</v>
      </c>
    </row>
    <row r="27" spans="1:3" ht="15.5" customHeight="1">
      <c r="A27" s="54" t="s">
        <v>1948</v>
      </c>
      <c r="B27" s="55" t="s">
        <v>1911</v>
      </c>
      <c r="C27" t="s">
        <v>1912</v>
      </c>
    </row>
    <row r="28" spans="1:3" ht="15.5" customHeight="1">
      <c r="A28" s="54" t="s">
        <v>1949</v>
      </c>
      <c r="B28" s="55" t="s">
        <v>1950</v>
      </c>
      <c r="C28" t="e">
        <v>#N/A</v>
      </c>
    </row>
    <row r="29" spans="1:3" ht="15.5" customHeight="1">
      <c r="A29" s="54" t="s">
        <v>1951</v>
      </c>
      <c r="B29" s="55" t="s">
        <v>1952</v>
      </c>
      <c r="C29" t="e">
        <v>#N/A</v>
      </c>
    </row>
    <row r="30" spans="1:3" ht="15.5" customHeight="1">
      <c r="A30" s="54" t="s">
        <v>1953</v>
      </c>
      <c r="B30" s="55" t="s">
        <v>1954</v>
      </c>
      <c r="C30" t="s">
        <v>1955</v>
      </c>
    </row>
    <row r="31" spans="1:3" ht="15.5" customHeight="1">
      <c r="A31" s="54" t="s">
        <v>1956</v>
      </c>
      <c r="B31" s="52" t="s">
        <v>1957</v>
      </c>
      <c r="C31" t="s">
        <v>1958</v>
      </c>
    </row>
    <row r="32" spans="1:3" ht="15.5" customHeight="1">
      <c r="A32" s="54" t="s">
        <v>1959</v>
      </c>
      <c r="B32" s="55" t="s">
        <v>1960</v>
      </c>
      <c r="C32" t="s">
        <v>1961</v>
      </c>
    </row>
    <row r="33" spans="1:3" ht="15.5" customHeight="1">
      <c r="A33" s="54" t="s">
        <v>1962</v>
      </c>
      <c r="B33" s="52" t="s">
        <v>1946</v>
      </c>
      <c r="C33" t="e">
        <v>#N/A</v>
      </c>
    </row>
    <row r="34" spans="1:3" ht="15.5" customHeight="1">
      <c r="A34" s="54" t="s">
        <v>1963</v>
      </c>
      <c r="B34" s="55" t="s">
        <v>1964</v>
      </c>
      <c r="C34" t="s">
        <v>1965</v>
      </c>
    </row>
    <row r="35" spans="1:3" ht="15.5" customHeight="1">
      <c r="A35" s="54" t="s">
        <v>1966</v>
      </c>
      <c r="B35" s="52" t="s">
        <v>1967</v>
      </c>
      <c r="C35" t="e">
        <v>#N/A</v>
      </c>
    </row>
    <row r="36" spans="1:3" ht="15.5" customHeight="1">
      <c r="A36" s="54" t="s">
        <v>1968</v>
      </c>
      <c r="B36" s="52" t="s">
        <v>1969</v>
      </c>
      <c r="C36" t="e">
        <v>#N/A</v>
      </c>
    </row>
    <row r="37" spans="1:3" ht="15.5" customHeight="1">
      <c r="A37" s="54" t="s">
        <v>1970</v>
      </c>
      <c r="B37" s="55" t="s">
        <v>1971</v>
      </c>
      <c r="C37" t="e">
        <v>#N/A</v>
      </c>
    </row>
    <row r="38" spans="1:3" ht="15.5" customHeight="1">
      <c r="A38" s="54" t="s">
        <v>1972</v>
      </c>
      <c r="B38" s="55" t="s">
        <v>1973</v>
      </c>
      <c r="C38" t="e">
        <v>#N/A</v>
      </c>
    </row>
    <row r="39" spans="1:3" ht="15.5" customHeight="1">
      <c r="A39" s="54" t="s">
        <v>1974</v>
      </c>
      <c r="B39" s="52" t="s">
        <v>1918</v>
      </c>
      <c r="C39" t="e">
        <v>#N/A</v>
      </c>
    </row>
    <row r="40" spans="1:3" ht="15.5" customHeight="1">
      <c r="A40" s="54" t="s">
        <v>1975</v>
      </c>
      <c r="B40" s="55" t="s">
        <v>295</v>
      </c>
      <c r="C40" t="s">
        <v>319</v>
      </c>
    </row>
    <row r="41" spans="1:3" ht="15.5" customHeight="1">
      <c r="A41" s="54" t="s">
        <v>1976</v>
      </c>
      <c r="B41" s="55" t="s">
        <v>1977</v>
      </c>
      <c r="C41" t="s">
        <v>1978</v>
      </c>
    </row>
    <row r="42" spans="1:3" ht="15.5" customHeight="1">
      <c r="A42" s="54" t="s">
        <v>1979</v>
      </c>
      <c r="B42" s="55" t="s">
        <v>1980</v>
      </c>
      <c r="C42" t="e">
        <v>#N/A</v>
      </c>
    </row>
    <row r="43" spans="1:3" ht="15.5" customHeight="1">
      <c r="A43" s="54" t="s">
        <v>1981</v>
      </c>
      <c r="B43" s="55" t="s">
        <v>1982</v>
      </c>
      <c r="C43" t="s">
        <v>1983</v>
      </c>
    </row>
    <row r="44" spans="1:3" ht="15.5" customHeight="1">
      <c r="A44" s="54" t="s">
        <v>1984</v>
      </c>
      <c r="B44" s="55" t="s">
        <v>1985</v>
      </c>
      <c r="C44" t="s">
        <v>1986</v>
      </c>
    </row>
    <row r="45" spans="1:3" ht="15.5" customHeight="1">
      <c r="A45" s="54" t="s">
        <v>1987</v>
      </c>
      <c r="B45" s="55" t="s">
        <v>1988</v>
      </c>
      <c r="C45" t="e">
        <v>#N/A</v>
      </c>
    </row>
    <row r="46" spans="1:3" ht="15.5" customHeight="1">
      <c r="A46" s="54" t="s">
        <v>1989</v>
      </c>
      <c r="B46" s="55" t="s">
        <v>1990</v>
      </c>
      <c r="C46" t="s">
        <v>1991</v>
      </c>
    </row>
    <row r="47" spans="1:3" ht="15.5" customHeight="1">
      <c r="A47" s="54" t="s">
        <v>1992</v>
      </c>
      <c r="B47" s="52" t="s">
        <v>1993</v>
      </c>
      <c r="C47" t="e">
        <v>#N/A</v>
      </c>
    </row>
    <row r="48" spans="1:3" ht="15.5" customHeight="1">
      <c r="A48" s="54" t="s">
        <v>1994</v>
      </c>
      <c r="B48" s="55" t="s">
        <v>1911</v>
      </c>
      <c r="C48" t="s">
        <v>1912</v>
      </c>
    </row>
    <row r="49" spans="1:3" ht="15.5" customHeight="1">
      <c r="A49" s="54" t="s">
        <v>1995</v>
      </c>
      <c r="B49" s="55" t="s">
        <v>1996</v>
      </c>
      <c r="C49" t="s">
        <v>1997</v>
      </c>
    </row>
    <row r="50" spans="1:3" ht="15.5" customHeight="1">
      <c r="A50" s="54" t="s">
        <v>1998</v>
      </c>
      <c r="B50" s="55" t="s">
        <v>1999</v>
      </c>
      <c r="C50" t="e">
        <v>#N/A</v>
      </c>
    </row>
    <row r="51" spans="1:3" ht="15.5" customHeight="1">
      <c r="A51" s="54" t="s">
        <v>2000</v>
      </c>
      <c r="B51" s="52" t="s">
        <v>2001</v>
      </c>
      <c r="C51" t="e">
        <v>#N/A</v>
      </c>
    </row>
    <row r="52" spans="1:3" ht="15.5" customHeight="1">
      <c r="A52" s="54" t="s">
        <v>2002</v>
      </c>
      <c r="B52" s="55" t="s">
        <v>1911</v>
      </c>
      <c r="C52" t="s">
        <v>1912</v>
      </c>
    </row>
    <row r="53" spans="1:3" ht="15.5" customHeight="1">
      <c r="A53" s="54" t="s">
        <v>2003</v>
      </c>
      <c r="B53" s="55" t="s">
        <v>2004</v>
      </c>
      <c r="C53" t="e">
        <v>#N/A</v>
      </c>
    </row>
    <row r="54" spans="1:3" ht="15.5" customHeight="1">
      <c r="A54" s="54" t="s">
        <v>2005</v>
      </c>
      <c r="B54" s="55" t="s">
        <v>1940</v>
      </c>
      <c r="C54" t="s">
        <v>2006</v>
      </c>
    </row>
    <row r="55" spans="1:3" ht="15.5" customHeight="1">
      <c r="A55" s="54" t="s">
        <v>2007</v>
      </c>
      <c r="B55" s="55" t="s">
        <v>2008</v>
      </c>
      <c r="C55" t="s">
        <v>2009</v>
      </c>
    </row>
    <row r="56" spans="1:3" ht="15.5" customHeight="1">
      <c r="A56" s="54" t="s">
        <v>2010</v>
      </c>
      <c r="B56" s="55" t="s">
        <v>2011</v>
      </c>
      <c r="C56" t="e">
        <v>#N/A</v>
      </c>
    </row>
    <row r="57" spans="1:3" ht="15.5" customHeight="1">
      <c r="A57" s="54" t="s">
        <v>2012</v>
      </c>
      <c r="B57" s="55" t="s">
        <v>2013</v>
      </c>
      <c r="C57" t="s">
        <v>2014</v>
      </c>
    </row>
    <row r="58" spans="1:3" ht="15.5" customHeight="1">
      <c r="A58" s="54" t="s">
        <v>2015</v>
      </c>
      <c r="B58" s="55" t="s">
        <v>2016</v>
      </c>
      <c r="C58" t="e">
        <v>#N/A</v>
      </c>
    </row>
    <row r="59" spans="1:3" ht="15.5" customHeight="1">
      <c r="A59" s="54" t="s">
        <v>2017</v>
      </c>
      <c r="B59" s="55" t="s">
        <v>2018</v>
      </c>
      <c r="C59" t="s">
        <v>2019</v>
      </c>
    </row>
    <row r="60" spans="1:3" ht="15.5" customHeight="1">
      <c r="A60" s="54" t="s">
        <v>2020</v>
      </c>
      <c r="B60" s="55" t="s">
        <v>2021</v>
      </c>
      <c r="C60" t="e">
        <v>#N/A</v>
      </c>
    </row>
    <row r="61" spans="1:3" ht="15.5" customHeight="1">
      <c r="A61" s="54" t="s">
        <v>2022</v>
      </c>
      <c r="B61" s="55" t="s">
        <v>2023</v>
      </c>
      <c r="C61" t="s">
        <v>2024</v>
      </c>
    </row>
    <row r="62" spans="1:3" ht="15.5" customHeight="1">
      <c r="A62" s="54" t="s">
        <v>2025</v>
      </c>
      <c r="B62" s="55" t="s">
        <v>2026</v>
      </c>
      <c r="C62" t="s">
        <v>2027</v>
      </c>
    </row>
    <row r="63" spans="1:3" ht="15.5" customHeight="1">
      <c r="A63" s="54" t="s">
        <v>2028</v>
      </c>
      <c r="B63" s="55" t="s">
        <v>2029</v>
      </c>
      <c r="C63" t="e">
        <v>#N/A</v>
      </c>
    </row>
    <row r="64" spans="1:3" ht="15.5" customHeight="1">
      <c r="A64" s="54" t="s">
        <v>2030</v>
      </c>
      <c r="B64" s="55" t="s">
        <v>2031</v>
      </c>
      <c r="C64" t="e">
        <v>#N/A</v>
      </c>
    </row>
    <row r="65" spans="1:3" ht="15.5" customHeight="1">
      <c r="A65" s="54" t="s">
        <v>2032</v>
      </c>
      <c r="B65" s="52" t="s">
        <v>2033</v>
      </c>
      <c r="C65" t="e">
        <v>#N/A</v>
      </c>
    </row>
    <row r="66" spans="1:3" ht="15.5" customHeight="1">
      <c r="A66" s="54" t="s">
        <v>2034</v>
      </c>
      <c r="B66" s="52" t="s">
        <v>2035</v>
      </c>
      <c r="C66" t="e">
        <v>#N/A</v>
      </c>
    </row>
    <row r="67" spans="1:3" ht="15.5" customHeight="1">
      <c r="A67" s="54" t="s">
        <v>2036</v>
      </c>
      <c r="B67" s="55" t="s">
        <v>2037</v>
      </c>
      <c r="C67" t="e">
        <v>#N/A</v>
      </c>
    </row>
    <row r="68" spans="1:3" ht="15.5" customHeight="1">
      <c r="A68" s="54" t="s">
        <v>2038</v>
      </c>
      <c r="B68" s="55" t="s">
        <v>2039</v>
      </c>
      <c r="C68" t="s">
        <v>2040</v>
      </c>
    </row>
    <row r="69" spans="1:3" ht="15.5" customHeight="1">
      <c r="A69" s="54" t="s">
        <v>2041</v>
      </c>
      <c r="B69" s="55" t="s">
        <v>2042</v>
      </c>
      <c r="C69" t="s">
        <v>2043</v>
      </c>
    </row>
    <row r="70" spans="1:3" ht="15.5" customHeight="1">
      <c r="A70" s="54" t="s">
        <v>2044</v>
      </c>
      <c r="B70" s="55" t="s">
        <v>2045</v>
      </c>
      <c r="C70" t="s">
        <v>2046</v>
      </c>
    </row>
    <row r="71" spans="1:3" ht="15.5" customHeight="1">
      <c r="A71" s="54" t="s">
        <v>2047</v>
      </c>
      <c r="B71" s="55" t="s">
        <v>2048</v>
      </c>
      <c r="C71" t="e">
        <v>#N/A</v>
      </c>
    </row>
    <row r="72" spans="1:3" ht="15.5" customHeight="1">
      <c r="A72" s="54" t="s">
        <v>2049</v>
      </c>
      <c r="B72" s="55" t="s">
        <v>2050</v>
      </c>
      <c r="C72" t="s">
        <v>2051</v>
      </c>
    </row>
    <row r="73" spans="1:3" ht="15.5" customHeight="1">
      <c r="A73" s="54" t="s">
        <v>2052</v>
      </c>
      <c r="B73" s="55" t="s">
        <v>2053</v>
      </c>
      <c r="C73" t="e">
        <v>#N/A</v>
      </c>
    </row>
    <row r="74" spans="1:3" ht="15.5" customHeight="1">
      <c r="A74" s="54" t="s">
        <v>2054</v>
      </c>
      <c r="B74" s="55" t="s">
        <v>2055</v>
      </c>
      <c r="C74" t="e">
        <v>#N/A</v>
      </c>
    </row>
    <row r="75" spans="1:3" ht="15.5" customHeight="1">
      <c r="A75" s="54" t="s">
        <v>2056</v>
      </c>
      <c r="B75" s="55" t="s">
        <v>2057</v>
      </c>
      <c r="C75" t="s">
        <v>2058</v>
      </c>
    </row>
    <row r="76" spans="1:3" ht="15.5" customHeight="1">
      <c r="A76" s="53" t="s">
        <v>2059</v>
      </c>
      <c r="B76" s="55" t="s">
        <v>2060</v>
      </c>
      <c r="C76" t="e">
        <v>#N/A</v>
      </c>
    </row>
    <row r="77" spans="1:3" ht="15.5" customHeight="1">
      <c r="A77" s="54" t="s">
        <v>2061</v>
      </c>
      <c r="B77" s="55" t="s">
        <v>2062</v>
      </c>
      <c r="C77" t="e">
        <v>#N/A</v>
      </c>
    </row>
    <row r="78" spans="1:3" ht="15.5" customHeight="1">
      <c r="A78" s="54" t="s">
        <v>2063</v>
      </c>
      <c r="B78" s="55" t="s">
        <v>2064</v>
      </c>
      <c r="C78" t="e">
        <v>#N/A</v>
      </c>
    </row>
    <row r="79" spans="1:3" ht="15.5" customHeight="1">
      <c r="A79" s="54" t="s">
        <v>2065</v>
      </c>
      <c r="B79" s="55" t="s">
        <v>2066</v>
      </c>
      <c r="C79" t="e">
        <v>#N/A</v>
      </c>
    </row>
    <row r="80" spans="1:3" ht="15.5" customHeight="1">
      <c r="A80" s="54" t="s">
        <v>2067</v>
      </c>
      <c r="B80" s="55" t="s">
        <v>2068</v>
      </c>
      <c r="C80" t="e">
        <v>#N/A</v>
      </c>
    </row>
    <row r="81" spans="1:3" ht="15.5" customHeight="1">
      <c r="A81" s="54" t="s">
        <v>2069</v>
      </c>
      <c r="B81" s="55" t="s">
        <v>2070</v>
      </c>
      <c r="C81" t="e">
        <v>#N/A</v>
      </c>
    </row>
    <row r="82" spans="1:3" ht="15.5" customHeight="1">
      <c r="A82" s="54" t="s">
        <v>2071</v>
      </c>
      <c r="B82" s="52" t="s">
        <v>2072</v>
      </c>
      <c r="C82" t="e">
        <v>#N/A</v>
      </c>
    </row>
    <row r="83" spans="1:3" ht="15.5" customHeight="1">
      <c r="A83" s="54" t="s">
        <v>2073</v>
      </c>
      <c r="B83" s="55" t="s">
        <v>2074</v>
      </c>
      <c r="C83" t="s">
        <v>2075</v>
      </c>
    </row>
    <row r="84" spans="1:3" ht="15.5" customHeight="1">
      <c r="A84" s="54" t="s">
        <v>2076</v>
      </c>
      <c r="B84" s="55" t="s">
        <v>2077</v>
      </c>
      <c r="C84" t="e">
        <v>#N/A</v>
      </c>
    </row>
    <row r="85" spans="1:3" ht="15.5" customHeight="1">
      <c r="A85" s="54" t="s">
        <v>2078</v>
      </c>
      <c r="B85" s="52" t="s">
        <v>2079</v>
      </c>
      <c r="C85" t="e">
        <v>#N/A</v>
      </c>
    </row>
    <row r="86" spans="1:3" ht="15.5" customHeight="1">
      <c r="A86" s="54" t="s">
        <v>2080</v>
      </c>
      <c r="B86" s="55" t="s">
        <v>2081</v>
      </c>
      <c r="C86" t="e">
        <v>#N/A</v>
      </c>
    </row>
    <row r="87" spans="1:3" ht="15.5" customHeight="1">
      <c r="A87" s="54" t="s">
        <v>2082</v>
      </c>
      <c r="B87" s="55" t="s">
        <v>2083</v>
      </c>
      <c r="C87" t="e">
        <v>#N/A</v>
      </c>
    </row>
    <row r="88" spans="1:3" ht="15.5" customHeight="1">
      <c r="A88" s="54" t="s">
        <v>2084</v>
      </c>
      <c r="B88" s="55" t="s">
        <v>2085</v>
      </c>
      <c r="C88" t="e">
        <v>#N/A</v>
      </c>
    </row>
    <row r="89" spans="1:3" ht="15.5" customHeight="1">
      <c r="A89" s="54" t="s">
        <v>321</v>
      </c>
      <c r="B89" s="55" t="s">
        <v>2086</v>
      </c>
      <c r="C89" t="e">
        <v>#N/A</v>
      </c>
    </row>
    <row r="90" spans="1:3" ht="15.5" customHeight="1">
      <c r="A90" s="54" t="s">
        <v>2087</v>
      </c>
      <c r="B90" s="55" t="s">
        <v>2088</v>
      </c>
      <c r="C90" t="e">
        <v>#N/A</v>
      </c>
    </row>
    <row r="91" spans="1:3" ht="15.5" customHeight="1">
      <c r="A91" s="54" t="s">
        <v>2089</v>
      </c>
      <c r="B91" s="55" t="s">
        <v>2090</v>
      </c>
      <c r="C91" t="e">
        <v>#N/A</v>
      </c>
    </row>
    <row r="92" spans="1:3" ht="15.5" customHeight="1">
      <c r="A92" s="54" t="s">
        <v>2091</v>
      </c>
      <c r="B92" s="55" t="s">
        <v>2092</v>
      </c>
      <c r="C92" t="e">
        <v>#N/A</v>
      </c>
    </row>
    <row r="93" spans="1:3" ht="15.5" customHeight="1">
      <c r="A93" s="54" t="s">
        <v>2093</v>
      </c>
      <c r="B93" s="55" t="s">
        <v>2094</v>
      </c>
      <c r="C93" t="e">
        <v>#N/A</v>
      </c>
    </row>
    <row r="94" spans="1:3" ht="15.5" customHeight="1">
      <c r="A94" s="54" t="s">
        <v>2095</v>
      </c>
      <c r="B94" s="55" t="s">
        <v>2096</v>
      </c>
      <c r="C94" t="e">
        <v>#N/A</v>
      </c>
    </row>
    <row r="95" spans="1:3" ht="15.5" customHeight="1">
      <c r="A95" s="54" t="s">
        <v>2097</v>
      </c>
      <c r="B95" s="55" t="s">
        <v>2098</v>
      </c>
      <c r="C95" t="s">
        <v>2099</v>
      </c>
    </row>
    <row r="96" spans="1:3" ht="15.5" customHeight="1">
      <c r="A96" s="54" t="s">
        <v>2100</v>
      </c>
      <c r="B96" s="52" t="s">
        <v>2101</v>
      </c>
      <c r="C96" t="e">
        <v>#N/A</v>
      </c>
    </row>
    <row r="97" spans="1:3" ht="15.5" customHeight="1">
      <c r="A97" s="54" t="s">
        <v>2102</v>
      </c>
      <c r="B97" s="55" t="s">
        <v>2103</v>
      </c>
      <c r="C97" t="s">
        <v>2104</v>
      </c>
    </row>
    <row r="98" spans="1:3" ht="15.5" customHeight="1">
      <c r="A98" s="54" t="s">
        <v>2105</v>
      </c>
      <c r="B98" s="52" t="s">
        <v>2106</v>
      </c>
      <c r="C98" t="e">
        <v>#N/A</v>
      </c>
    </row>
    <row r="99" spans="1:3" ht="15.5" customHeight="1">
      <c r="A99" s="54" t="s">
        <v>2107</v>
      </c>
      <c r="B99" s="52" t="s">
        <v>2108</v>
      </c>
      <c r="C99" t="e">
        <v>#N/A</v>
      </c>
    </row>
    <row r="100" spans="1:3" ht="15.5" customHeight="1">
      <c r="A100" s="54" t="s">
        <v>2109</v>
      </c>
      <c r="B100" s="55" t="s">
        <v>2110</v>
      </c>
      <c r="C100" t="e">
        <v>#N/A</v>
      </c>
    </row>
    <row r="101" spans="1:3" ht="15.5" customHeight="1">
      <c r="A101" s="54" t="s">
        <v>2111</v>
      </c>
      <c r="B101" s="55" t="s">
        <v>2112</v>
      </c>
      <c r="C101" t="e">
        <v>#N/A</v>
      </c>
    </row>
    <row r="102" spans="1:3" ht="15.5" customHeight="1">
      <c r="A102" s="54" t="s">
        <v>2113</v>
      </c>
      <c r="B102" s="55" t="s">
        <v>2114</v>
      </c>
      <c r="C102" t="s">
        <v>2115</v>
      </c>
    </row>
    <row r="103" spans="1:3" ht="15.5" customHeight="1">
      <c r="A103" s="54" t="s">
        <v>2116</v>
      </c>
      <c r="B103" s="52" t="s">
        <v>2117</v>
      </c>
      <c r="C103" t="e">
        <v>#N/A</v>
      </c>
    </row>
    <row r="104" spans="1:3" ht="15.5" customHeight="1">
      <c r="A104" s="54" t="s">
        <v>2118</v>
      </c>
      <c r="B104" s="55" t="s">
        <v>2119</v>
      </c>
      <c r="C104" t="e">
        <v>#N/A</v>
      </c>
    </row>
    <row r="105" spans="1:3" ht="15.5" customHeight="1">
      <c r="A105" s="54" t="s">
        <v>2120</v>
      </c>
      <c r="B105" s="55" t="s">
        <v>2121</v>
      </c>
      <c r="C105" t="s">
        <v>2122</v>
      </c>
    </row>
    <row r="106" spans="1:3" ht="15.5" customHeight="1">
      <c r="A106" s="54" t="s">
        <v>2123</v>
      </c>
      <c r="B106" s="55" t="s">
        <v>2124</v>
      </c>
      <c r="C106" t="e">
        <v>#N/A</v>
      </c>
    </row>
    <row r="107" spans="1:3" ht="15.5" customHeight="1">
      <c r="A107" s="54" t="s">
        <v>2125</v>
      </c>
      <c r="B107" s="55" t="s">
        <v>2126</v>
      </c>
      <c r="C107" t="e">
        <v>#N/A</v>
      </c>
    </row>
    <row r="108" spans="1:3" ht="15.5" customHeight="1">
      <c r="A108" s="54" t="s">
        <v>2127</v>
      </c>
      <c r="B108" s="55" t="s">
        <v>2121</v>
      </c>
      <c r="C108" t="s">
        <v>2122</v>
      </c>
    </row>
    <row r="109" spans="1:3" ht="15.5" customHeight="1">
      <c r="A109" s="54" t="s">
        <v>2128</v>
      </c>
      <c r="B109" s="55" t="s">
        <v>2129</v>
      </c>
      <c r="C109" t="e">
        <v>#N/A</v>
      </c>
    </row>
    <row r="110" spans="1:3" ht="15.5" customHeight="1">
      <c r="A110" s="54" t="s">
        <v>2130</v>
      </c>
      <c r="B110" s="55" t="s">
        <v>2131</v>
      </c>
      <c r="C110" t="e">
        <v>#N/A</v>
      </c>
    </row>
    <row r="111" spans="1:3" ht="15.5" customHeight="1">
      <c r="A111" s="54" t="s">
        <v>2132</v>
      </c>
      <c r="B111" s="55" t="s">
        <v>2133</v>
      </c>
      <c r="C111" t="e">
        <v>#N/A</v>
      </c>
    </row>
    <row r="112" spans="1:3" ht="15.5" customHeight="1">
      <c r="A112" s="56" t="s">
        <v>2134</v>
      </c>
      <c r="B112" s="57" t="s">
        <v>2135</v>
      </c>
      <c r="C112" t="s">
        <v>2136</v>
      </c>
    </row>
    <row r="113" spans="1:3" ht="15.5" customHeight="1">
      <c r="A113" s="54" t="s">
        <v>2137</v>
      </c>
      <c r="B113" s="55" t="s">
        <v>2138</v>
      </c>
      <c r="C113" t="e">
        <v>#N/A</v>
      </c>
    </row>
    <row r="114" spans="1:3" ht="15.5" customHeight="1">
      <c r="A114" s="54" t="s">
        <v>2139</v>
      </c>
      <c r="B114" s="55" t="s">
        <v>2140</v>
      </c>
      <c r="C114" t="e">
        <v>#N/A</v>
      </c>
    </row>
    <row r="115" spans="1:3" ht="15.5" customHeight="1">
      <c r="A115" s="54" t="s">
        <v>2141</v>
      </c>
      <c r="B115" s="55" t="s">
        <v>2142</v>
      </c>
      <c r="C115" t="s">
        <v>2143</v>
      </c>
    </row>
    <row r="116" spans="1:3" ht="15.5" customHeight="1">
      <c r="A116" s="54" t="s">
        <v>2144</v>
      </c>
      <c r="B116" s="55" t="s">
        <v>2145</v>
      </c>
      <c r="C116" t="e">
        <v>#N/A</v>
      </c>
    </row>
    <row r="117" spans="1:3" ht="15.5" customHeight="1">
      <c r="A117" s="54" t="s">
        <v>2146</v>
      </c>
      <c r="B117" s="55" t="s">
        <v>2147</v>
      </c>
      <c r="C117" t="e">
        <v>#N/A</v>
      </c>
    </row>
    <row r="118" spans="1:3" ht="15.5" customHeight="1">
      <c r="A118" s="54" t="s">
        <v>2148</v>
      </c>
      <c r="B118" s="55" t="s">
        <v>2149</v>
      </c>
      <c r="C118" t="e">
        <v>#N/A</v>
      </c>
    </row>
    <row r="119" spans="1:3" ht="15.5" customHeight="1">
      <c r="A119" s="54" t="s">
        <v>2150</v>
      </c>
      <c r="B119" s="55" t="s">
        <v>2151</v>
      </c>
      <c r="C119" t="e">
        <v>#N/A</v>
      </c>
    </row>
    <row r="120" spans="1:3" ht="15.5" customHeight="1">
      <c r="A120" s="54" t="s">
        <v>2152</v>
      </c>
      <c r="B120" s="52" t="s">
        <v>2153</v>
      </c>
      <c r="C120" t="e">
        <v>#N/A</v>
      </c>
    </row>
    <row r="121" spans="1:3" ht="15.5" customHeight="1">
      <c r="A121" s="54" t="s">
        <v>2154</v>
      </c>
      <c r="B121" s="55" t="s">
        <v>2155</v>
      </c>
      <c r="C121" t="e">
        <v>#N/A</v>
      </c>
    </row>
    <row r="122" spans="1:3" ht="15.5" customHeight="1">
      <c r="A122" s="54" t="s">
        <v>2156</v>
      </c>
      <c r="B122" s="55" t="s">
        <v>2157</v>
      </c>
      <c r="C122" t="e">
        <v>#N/A</v>
      </c>
    </row>
    <row r="123" spans="1:3" ht="15.5" customHeight="1">
      <c r="A123" s="54" t="s">
        <v>2158</v>
      </c>
      <c r="B123" s="55" t="s">
        <v>2159</v>
      </c>
      <c r="C123" t="e">
        <v>#N/A</v>
      </c>
    </row>
    <row r="124" spans="1:3" ht="15.5" customHeight="1">
      <c r="A124" s="54" t="s">
        <v>2160</v>
      </c>
      <c r="B124" s="55" t="s">
        <v>2161</v>
      </c>
      <c r="C124" t="e">
        <v>#N/A</v>
      </c>
    </row>
    <row r="125" spans="1:3" ht="15.5" customHeight="1">
      <c r="A125" s="54" t="s">
        <v>2162</v>
      </c>
      <c r="B125" s="52" t="s">
        <v>2163</v>
      </c>
      <c r="C125" t="e">
        <v>#N/A</v>
      </c>
    </row>
    <row r="126" spans="1:3" ht="15.5" customHeight="1">
      <c r="A126" s="54" t="s">
        <v>2164</v>
      </c>
      <c r="B126" s="52" t="s">
        <v>2165</v>
      </c>
      <c r="C126" t="e">
        <v>#N/A</v>
      </c>
    </row>
    <row r="127" spans="1:3" ht="15.5" customHeight="1">
      <c r="A127" s="54" t="s">
        <v>2166</v>
      </c>
      <c r="B127" s="52" t="s">
        <v>2167</v>
      </c>
      <c r="C127" t="e">
        <v>#N/A</v>
      </c>
    </row>
    <row r="128" spans="1:3" ht="15.5" customHeight="1">
      <c r="A128" s="54" t="s">
        <v>2168</v>
      </c>
      <c r="B128" s="52" t="s">
        <v>2169</v>
      </c>
      <c r="C128" t="e">
        <v>#N/A</v>
      </c>
    </row>
    <row r="129" spans="1:3">
      <c r="A129" s="53" t="s">
        <v>2170</v>
      </c>
      <c r="B129" s="52" t="s">
        <v>2171</v>
      </c>
      <c r="C129" t="e">
        <v>#N/A</v>
      </c>
    </row>
    <row r="130" spans="1:3">
      <c r="A130" s="53" t="s">
        <v>2172</v>
      </c>
      <c r="B130" s="52" t="s">
        <v>2173</v>
      </c>
      <c r="C130" t="e">
        <v>#N/A</v>
      </c>
    </row>
    <row r="131" spans="1:3" ht="15.5" customHeight="1">
      <c r="A131" s="54" t="s">
        <v>2174</v>
      </c>
      <c r="B131" s="55" t="s">
        <v>2175</v>
      </c>
      <c r="C131" t="e">
        <v>#N/A</v>
      </c>
    </row>
    <row r="132" spans="1:3" ht="15.5" customHeight="1">
      <c r="A132" s="54" t="s">
        <v>2176</v>
      </c>
      <c r="B132" s="55" t="s">
        <v>2177</v>
      </c>
      <c r="C132" t="e">
        <v>#N/A</v>
      </c>
    </row>
    <row r="133" spans="1:3" ht="15.5" customHeight="1">
      <c r="A133" s="53" t="s">
        <v>2178</v>
      </c>
      <c r="B133" s="55" t="s">
        <v>2179</v>
      </c>
      <c r="C133" t="e">
        <v>#N/A</v>
      </c>
    </row>
    <row r="134" spans="1:3">
      <c r="A134" s="53" t="s">
        <v>2180</v>
      </c>
      <c r="B134" s="52" t="s">
        <v>2181</v>
      </c>
      <c r="C134" t="e">
        <v>#N/A</v>
      </c>
    </row>
    <row r="135" spans="1:3" ht="15.5" customHeight="1">
      <c r="A135" s="54" t="s">
        <v>2182</v>
      </c>
      <c r="B135" s="52" t="s">
        <v>2183</v>
      </c>
      <c r="C135" t="e">
        <v>#N/A</v>
      </c>
    </row>
    <row r="136" spans="1:3" ht="15.5" customHeight="1">
      <c r="A136" s="54" t="s">
        <v>2184</v>
      </c>
      <c r="B136" s="52" t="s">
        <v>2185</v>
      </c>
      <c r="C136" t="e">
        <v>#N/A</v>
      </c>
    </row>
    <row r="137" spans="1:3" ht="15.5" customHeight="1">
      <c r="A137" s="54" t="s">
        <v>2186</v>
      </c>
      <c r="B137" s="52" t="s">
        <v>2187</v>
      </c>
      <c r="C137" t="e">
        <v>#N/A</v>
      </c>
    </row>
    <row r="138" spans="1:3" ht="15.5" customHeight="1">
      <c r="A138" s="54" t="s">
        <v>2188</v>
      </c>
      <c r="B138" s="52" t="s">
        <v>2189</v>
      </c>
      <c r="C138" t="e">
        <v>#N/A</v>
      </c>
    </row>
    <row r="139" spans="1:3">
      <c r="A139" s="53" t="s">
        <v>2190</v>
      </c>
      <c r="B139" s="52" t="s">
        <v>2191</v>
      </c>
      <c r="C139" t="e">
        <v>#N/A</v>
      </c>
    </row>
    <row r="140" spans="1:3">
      <c r="A140" s="53" t="s">
        <v>2192</v>
      </c>
      <c r="B140" s="52" t="s">
        <v>2193</v>
      </c>
      <c r="C140" t="e">
        <v>#N/A</v>
      </c>
    </row>
    <row r="141" spans="1:3">
      <c r="A141" s="53" t="s">
        <v>2194</v>
      </c>
      <c r="B141" s="52" t="s">
        <v>2195</v>
      </c>
      <c r="C141" t="e">
        <v>#N/A</v>
      </c>
    </row>
    <row r="142" spans="1:3" ht="15.5" customHeight="1">
      <c r="A142" s="54" t="s">
        <v>2196</v>
      </c>
      <c r="B142" s="52" t="s">
        <v>2197</v>
      </c>
      <c r="C142" t="e">
        <v>#N/A</v>
      </c>
    </row>
    <row r="143" spans="1:3" ht="15.5" customHeight="1">
      <c r="A143" s="54" t="s">
        <v>2198</v>
      </c>
      <c r="B143" s="55" t="s">
        <v>2199</v>
      </c>
      <c r="C143" t="e">
        <v>#N/A</v>
      </c>
    </row>
    <row r="144" spans="1:3" ht="15.5" customHeight="1">
      <c r="A144" s="54" t="s">
        <v>2200</v>
      </c>
      <c r="B144" s="55" t="s">
        <v>2201</v>
      </c>
      <c r="C144" t="e">
        <v>#N/A</v>
      </c>
    </row>
    <row r="145" spans="1:3" ht="15.5" customHeight="1">
      <c r="A145" s="54" t="s">
        <v>2202</v>
      </c>
      <c r="B145" s="55" t="s">
        <v>2203</v>
      </c>
      <c r="C145" t="e">
        <v>#N/A</v>
      </c>
    </row>
    <row r="146" spans="1:3">
      <c r="A146" s="53" t="s">
        <v>2204</v>
      </c>
      <c r="B146" s="52" t="s">
        <v>2205</v>
      </c>
      <c r="C146" t="e">
        <v>#N/A</v>
      </c>
    </row>
    <row r="147" spans="1:3">
      <c r="A147" s="53" t="s">
        <v>2206</v>
      </c>
      <c r="B147" s="52" t="s">
        <v>2207</v>
      </c>
      <c r="C147" t="e">
        <v>#N/A</v>
      </c>
    </row>
    <row r="148" spans="1:3">
      <c r="A148" s="53" t="s">
        <v>2208</v>
      </c>
      <c r="B148" s="52" t="s">
        <v>2209</v>
      </c>
      <c r="C148" t="e">
        <v>#N/A</v>
      </c>
    </row>
    <row r="149" spans="1:3">
      <c r="A149" s="53" t="s">
        <v>2210</v>
      </c>
      <c r="B149" s="52" t="s">
        <v>2211</v>
      </c>
      <c r="C149" t="e">
        <v>#N/A</v>
      </c>
    </row>
    <row r="150" spans="1:3">
      <c r="A150" s="53" t="s">
        <v>2212</v>
      </c>
      <c r="B150" s="52" t="s">
        <v>2213</v>
      </c>
      <c r="C150" t="e">
        <v>#N/A</v>
      </c>
    </row>
    <row r="151" spans="1:3">
      <c r="A151" s="53" t="s">
        <v>2214</v>
      </c>
      <c r="B151" s="52" t="s">
        <v>2215</v>
      </c>
      <c r="C151" t="e">
        <v>#N/A</v>
      </c>
    </row>
    <row r="152" spans="1:3">
      <c r="A152" s="53" t="s">
        <v>2216</v>
      </c>
      <c r="B152" s="52" t="s">
        <v>2217</v>
      </c>
      <c r="C152" t="e">
        <v>#N/A</v>
      </c>
    </row>
    <row r="153" spans="1:3">
      <c r="A153" s="53" t="s">
        <v>2218</v>
      </c>
      <c r="B153" s="52" t="s">
        <v>2219</v>
      </c>
      <c r="C153" t="e">
        <v>#N/A</v>
      </c>
    </row>
    <row r="154" spans="1:3" ht="15.5" customHeight="1">
      <c r="A154" s="54" t="s">
        <v>2220</v>
      </c>
      <c r="B154" s="55" t="s">
        <v>2221</v>
      </c>
      <c r="C154" t="e">
        <v>#N/A</v>
      </c>
    </row>
    <row r="155" spans="1:3">
      <c r="A155" s="53" t="s">
        <v>2222</v>
      </c>
      <c r="B155" s="52" t="s">
        <v>2223</v>
      </c>
      <c r="C155" t="e">
        <v>#N/A</v>
      </c>
    </row>
    <row r="156" spans="1:3">
      <c r="A156" s="53" t="s">
        <v>2224</v>
      </c>
      <c r="B156" s="52" t="s">
        <v>2225</v>
      </c>
      <c r="C156" t="e">
        <v>#N/A</v>
      </c>
    </row>
    <row r="157" spans="1:3">
      <c r="A157" s="53" t="s">
        <v>2226</v>
      </c>
      <c r="B157" s="52" t="s">
        <v>2227</v>
      </c>
      <c r="C157" t="e">
        <v>#N/A</v>
      </c>
    </row>
    <row r="158" spans="1:3">
      <c r="A158" s="53" t="s">
        <v>2228</v>
      </c>
      <c r="B158" s="52" t="s">
        <v>2229</v>
      </c>
      <c r="C158" t="e">
        <v>#N/A</v>
      </c>
    </row>
    <row r="159" spans="1:3" ht="15.5" customHeight="1">
      <c r="A159" s="54" t="s">
        <v>2230</v>
      </c>
      <c r="B159" s="55" t="s">
        <v>2231</v>
      </c>
      <c r="C159" t="e">
        <v>#N/A</v>
      </c>
    </row>
    <row r="160" spans="1:3">
      <c r="A160" s="53" t="s">
        <v>2232</v>
      </c>
      <c r="B160" s="52" t="s">
        <v>2233</v>
      </c>
      <c r="C160" t="e">
        <v>#N/A</v>
      </c>
    </row>
    <row r="161" spans="1:3" ht="15.5" customHeight="1">
      <c r="A161" s="54" t="s">
        <v>2234</v>
      </c>
      <c r="B161" s="55" t="s">
        <v>2235</v>
      </c>
      <c r="C161" t="s">
        <v>2236</v>
      </c>
    </row>
    <row r="162" spans="1:3" ht="15.5" customHeight="1">
      <c r="A162" s="54" t="s">
        <v>2237</v>
      </c>
      <c r="B162" s="52" t="s">
        <v>2238</v>
      </c>
      <c r="C162" t="e">
        <v>#N/A</v>
      </c>
    </row>
    <row r="163" spans="1:3" ht="15.5" customHeight="1">
      <c r="A163" s="54" t="s">
        <v>2239</v>
      </c>
      <c r="B163" s="55" t="s">
        <v>2240</v>
      </c>
      <c r="C163" t="e">
        <v>#N/A</v>
      </c>
    </row>
    <row r="164" spans="1:3" ht="15.5" customHeight="1">
      <c r="A164" s="54" t="s">
        <v>2241</v>
      </c>
      <c r="B164" s="55" t="s">
        <v>2242</v>
      </c>
      <c r="C164" t="s">
        <v>2243</v>
      </c>
    </row>
    <row r="165" spans="1:3">
      <c r="A165" s="53" t="s">
        <v>2244</v>
      </c>
      <c r="B165" s="52" t="s">
        <v>2245</v>
      </c>
      <c r="C165" t="e">
        <v>#N/A</v>
      </c>
    </row>
    <row r="166" spans="1:3" ht="15.5" customHeight="1">
      <c r="A166" s="54" t="s">
        <v>2246</v>
      </c>
      <c r="B166" s="52" t="s">
        <v>2247</v>
      </c>
      <c r="C166" t="e">
        <v>#N/A</v>
      </c>
    </row>
    <row r="167" spans="1:3">
      <c r="A167" s="53" t="s">
        <v>2248</v>
      </c>
      <c r="B167" s="52" t="s">
        <v>2249</v>
      </c>
      <c r="C167" t="e">
        <v>#N/A</v>
      </c>
    </row>
    <row r="168" spans="1:3">
      <c r="A168" s="53" t="s">
        <v>2250</v>
      </c>
      <c r="B168" s="52" t="s">
        <v>2251</v>
      </c>
      <c r="C168" t="e">
        <v>#N/A</v>
      </c>
    </row>
    <row r="169" spans="1:3">
      <c r="A169" s="53" t="s">
        <v>2252</v>
      </c>
      <c r="B169" s="52" t="s">
        <v>2253</v>
      </c>
      <c r="C169" t="e">
        <v>#N/A</v>
      </c>
    </row>
    <row r="170" spans="1:3" ht="15.5" customHeight="1">
      <c r="A170" s="54" t="s">
        <v>2254</v>
      </c>
      <c r="B170" s="55" t="s">
        <v>2255</v>
      </c>
      <c r="C170" t="e">
        <v>#N/A</v>
      </c>
    </row>
    <row r="171" spans="1:3" ht="15.5" customHeight="1">
      <c r="A171" s="54" t="s">
        <v>2256</v>
      </c>
      <c r="B171" s="55" t="s">
        <v>2257</v>
      </c>
      <c r="C171" t="e">
        <v>#N/A</v>
      </c>
    </row>
    <row r="172" spans="1:3" ht="15.5" customHeight="1">
      <c r="A172" s="54" t="s">
        <v>2258</v>
      </c>
      <c r="B172" s="55" t="s">
        <v>2259</v>
      </c>
      <c r="C172" t="e">
        <v>#N/A</v>
      </c>
    </row>
    <row r="173" spans="1:3">
      <c r="A173" s="53" t="s">
        <v>2260</v>
      </c>
      <c r="B173" s="52" t="s">
        <v>2261</v>
      </c>
      <c r="C173" t="e">
        <v>#N/A</v>
      </c>
    </row>
    <row r="174" spans="1:3" ht="15.5" customHeight="1">
      <c r="A174" s="54" t="s">
        <v>2262</v>
      </c>
      <c r="B174" s="52" t="s">
        <v>2263</v>
      </c>
      <c r="C174" t="e">
        <v>#N/A</v>
      </c>
    </row>
    <row r="175" spans="1:3">
      <c r="A175" s="53" t="s">
        <v>2264</v>
      </c>
      <c r="B175" s="52" t="s">
        <v>2265</v>
      </c>
      <c r="C175" t="e">
        <v>#N/A</v>
      </c>
    </row>
    <row r="176" spans="1:3" ht="15.5" customHeight="1">
      <c r="A176" s="54" t="s">
        <v>2266</v>
      </c>
      <c r="B176" s="52" t="s">
        <v>2267</v>
      </c>
      <c r="C176" t="e">
        <v>#N/A</v>
      </c>
    </row>
    <row r="177" spans="1:3">
      <c r="A177" s="53" t="s">
        <v>2268</v>
      </c>
      <c r="B177" s="52" t="s">
        <v>2269</v>
      </c>
      <c r="C177" t="e">
        <v>#N/A</v>
      </c>
    </row>
    <row r="178" spans="1:3" ht="15.5" customHeight="1">
      <c r="A178" s="54" t="s">
        <v>2270</v>
      </c>
      <c r="B178" s="55" t="s">
        <v>2271</v>
      </c>
      <c r="C178" t="e">
        <v>#N/A</v>
      </c>
    </row>
    <row r="179" spans="1:3">
      <c r="A179" s="53" t="s">
        <v>2272</v>
      </c>
      <c r="B179" s="52" t="s">
        <v>2273</v>
      </c>
      <c r="C179" t="e">
        <v>#N/A</v>
      </c>
    </row>
    <row r="180" spans="1:3">
      <c r="A180" s="53" t="s">
        <v>2274</v>
      </c>
      <c r="B180" s="52" t="s">
        <v>2275</v>
      </c>
      <c r="C180" t="e">
        <v>#N/A</v>
      </c>
    </row>
    <row r="181" spans="1:3">
      <c r="A181" s="53" t="s">
        <v>2276</v>
      </c>
      <c r="B181" s="52" t="s">
        <v>2277</v>
      </c>
      <c r="C181" t="e">
        <v>#N/A</v>
      </c>
    </row>
    <row r="182" spans="1:3">
      <c r="A182" s="53" t="s">
        <v>2278</v>
      </c>
      <c r="B182" s="52" t="s">
        <v>2279</v>
      </c>
      <c r="C182" t="e">
        <v>#N/A</v>
      </c>
    </row>
    <row r="183" spans="1:3">
      <c r="A183" s="53" t="s">
        <v>2280</v>
      </c>
      <c r="B183" s="52" t="s">
        <v>2281</v>
      </c>
      <c r="C183" t="e">
        <v>#N/A</v>
      </c>
    </row>
    <row r="184" spans="1:3">
      <c r="A184" s="53" t="s">
        <v>2282</v>
      </c>
      <c r="B184" s="52" t="s">
        <v>2283</v>
      </c>
      <c r="C184" t="e">
        <v>#N/A</v>
      </c>
    </row>
    <row r="185" spans="1:3">
      <c r="A185" s="53" t="s">
        <v>2284</v>
      </c>
      <c r="B185" s="52" t="s">
        <v>2285</v>
      </c>
      <c r="C185" t="e">
        <v>#N/A</v>
      </c>
    </row>
    <row r="186" spans="1:3">
      <c r="A186" s="53" t="s">
        <v>2286</v>
      </c>
      <c r="B186" s="52" t="s">
        <v>2287</v>
      </c>
      <c r="C186" t="e">
        <v>#N/A</v>
      </c>
    </row>
    <row r="187" spans="1:3">
      <c r="A187" s="53" t="s">
        <v>2288</v>
      </c>
      <c r="B187" s="52" t="s">
        <v>2289</v>
      </c>
      <c r="C187" t="e">
        <v>#N/A</v>
      </c>
    </row>
    <row r="188" spans="1:3">
      <c r="A188" s="53" t="s">
        <v>2290</v>
      </c>
      <c r="B188" s="52" t="s">
        <v>2291</v>
      </c>
      <c r="C188" t="e">
        <v>#N/A</v>
      </c>
    </row>
    <row r="189" spans="1:3">
      <c r="A189" s="53" t="s">
        <v>2292</v>
      </c>
      <c r="B189" s="52" t="s">
        <v>2293</v>
      </c>
      <c r="C189" t="e">
        <v>#N/A</v>
      </c>
    </row>
    <row r="190" spans="1:3">
      <c r="A190" s="53" t="s">
        <v>2294</v>
      </c>
      <c r="B190" s="52" t="s">
        <v>2295</v>
      </c>
      <c r="C190" t="e">
        <v>#N/A</v>
      </c>
    </row>
    <row r="191" spans="1:3">
      <c r="A191" s="53" t="s">
        <v>2296</v>
      </c>
      <c r="B191" s="52" t="s">
        <v>2297</v>
      </c>
      <c r="C191" t="e">
        <v>#N/A</v>
      </c>
    </row>
    <row r="192" spans="1:3">
      <c r="A192" s="53" t="s">
        <v>2298</v>
      </c>
      <c r="B192" s="52" t="s">
        <v>2299</v>
      </c>
      <c r="C192" t="e">
        <v>#N/A</v>
      </c>
    </row>
    <row r="193" spans="1:3">
      <c r="A193" s="53" t="s">
        <v>2300</v>
      </c>
      <c r="B193" s="52" t="s">
        <v>2301</v>
      </c>
      <c r="C193" t="e">
        <v>#N/A</v>
      </c>
    </row>
    <row r="194" spans="1:3">
      <c r="A194" s="53" t="s">
        <v>2302</v>
      </c>
      <c r="B194" s="52" t="s">
        <v>2303</v>
      </c>
      <c r="C194" t="e">
        <v>#N/A</v>
      </c>
    </row>
    <row r="195" spans="1:3">
      <c r="A195" s="53" t="s">
        <v>2304</v>
      </c>
      <c r="B195" s="52" t="s">
        <v>2305</v>
      </c>
      <c r="C195" t="e">
        <v>#N/A</v>
      </c>
    </row>
    <row r="196" spans="1:3">
      <c r="A196" s="53" t="s">
        <v>2306</v>
      </c>
      <c r="B196" s="52" t="s">
        <v>2307</v>
      </c>
      <c r="C196" t="e">
        <v>#N/A</v>
      </c>
    </row>
    <row r="197" spans="1:3">
      <c r="A197" s="53" t="s">
        <v>2308</v>
      </c>
      <c r="B197" s="52" t="s">
        <v>2309</v>
      </c>
      <c r="C197" t="e">
        <v>#N/A</v>
      </c>
    </row>
    <row r="198" spans="1:3">
      <c r="A198" s="53" t="s">
        <v>2310</v>
      </c>
      <c r="B198" s="52" t="s">
        <v>2311</v>
      </c>
      <c r="C198" t="e">
        <v>#N/A</v>
      </c>
    </row>
    <row r="199" spans="1:3">
      <c r="A199" s="53" t="s">
        <v>2312</v>
      </c>
      <c r="B199" s="52" t="s">
        <v>2313</v>
      </c>
      <c r="C199" t="e">
        <v>#N/A</v>
      </c>
    </row>
    <row r="200" spans="1:3">
      <c r="A200" s="53" t="s">
        <v>2314</v>
      </c>
      <c r="B200" s="52" t="s">
        <v>2315</v>
      </c>
      <c r="C200" t="s">
        <v>2316</v>
      </c>
    </row>
    <row r="201" spans="1:3">
      <c r="A201" s="53" t="s">
        <v>2317</v>
      </c>
      <c r="B201" s="52" t="s">
        <v>2318</v>
      </c>
      <c r="C201" t="e">
        <v>#N/A</v>
      </c>
    </row>
    <row r="202" spans="1:3" ht="15.5" customHeight="1">
      <c r="A202" s="54" t="s">
        <v>2319</v>
      </c>
      <c r="B202" s="52" t="s">
        <v>2320</v>
      </c>
      <c r="C202" t="e">
        <v>#N/A</v>
      </c>
    </row>
    <row r="203" spans="1:3">
      <c r="A203" s="53" t="s">
        <v>2321</v>
      </c>
      <c r="B203" s="52" t="s">
        <v>2322</v>
      </c>
      <c r="C203" t="e">
        <v>#N/A</v>
      </c>
    </row>
    <row r="204" spans="1:3">
      <c r="A204" s="53" t="s">
        <v>2323</v>
      </c>
      <c r="B204" s="52" t="s">
        <v>2324</v>
      </c>
      <c r="C204" t="e">
        <v>#N/A</v>
      </c>
    </row>
    <row r="205" spans="1:3">
      <c r="A205" s="53" t="s">
        <v>2325</v>
      </c>
      <c r="B205" s="52" t="s">
        <v>2326</v>
      </c>
      <c r="C205" t="e">
        <v>#N/A</v>
      </c>
    </row>
    <row r="206" spans="1:3">
      <c r="A206" s="53" t="s">
        <v>2327</v>
      </c>
      <c r="B206" s="52" t="s">
        <v>2328</v>
      </c>
      <c r="C206" t="e">
        <v>#N/A</v>
      </c>
    </row>
    <row r="207" spans="1:3">
      <c r="A207" s="53" t="s">
        <v>2329</v>
      </c>
      <c r="B207" s="52" t="s">
        <v>2330</v>
      </c>
      <c r="C207" t="e">
        <v>#N/A</v>
      </c>
    </row>
    <row r="208" spans="1:3">
      <c r="A208" s="53" t="s">
        <v>2331</v>
      </c>
      <c r="B208" s="52" t="s">
        <v>2332</v>
      </c>
      <c r="C208" t="e">
        <v>#N/A</v>
      </c>
    </row>
    <row r="209" spans="1:3">
      <c r="A209" s="53" t="s">
        <v>2333</v>
      </c>
      <c r="B209" s="52" t="s">
        <v>2334</v>
      </c>
      <c r="C209" t="e">
        <v>#N/A</v>
      </c>
    </row>
    <row r="210" spans="1:3">
      <c r="A210" s="53" t="s">
        <v>2335</v>
      </c>
      <c r="B210" s="52" t="s">
        <v>2336</v>
      </c>
      <c r="C210" t="e">
        <v>#N/A</v>
      </c>
    </row>
    <row r="211" spans="1:3">
      <c r="A211" s="53" t="s">
        <v>2337</v>
      </c>
      <c r="B211" s="52" t="s">
        <v>2338</v>
      </c>
      <c r="C211" t="e">
        <v>#N/A</v>
      </c>
    </row>
    <row r="212" spans="1:3">
      <c r="A212" s="53" t="s">
        <v>2339</v>
      </c>
      <c r="B212" s="52" t="s">
        <v>2340</v>
      </c>
      <c r="C212" t="e">
        <v>#N/A</v>
      </c>
    </row>
    <row r="213" spans="1:3">
      <c r="A213" s="53" t="s">
        <v>2341</v>
      </c>
      <c r="B213" s="52" t="s">
        <v>2342</v>
      </c>
      <c r="C213" t="e">
        <v>#N/A</v>
      </c>
    </row>
    <row r="214" spans="1:3">
      <c r="A214" s="53" t="s">
        <v>2343</v>
      </c>
      <c r="B214" s="52" t="s">
        <v>2344</v>
      </c>
      <c r="C214" t="e">
        <v>#N/A</v>
      </c>
    </row>
    <row r="215" spans="1:3">
      <c r="A215" s="53" t="s">
        <v>2345</v>
      </c>
      <c r="B215" s="52" t="s">
        <v>2346</v>
      </c>
      <c r="C215" t="e">
        <v>#N/A</v>
      </c>
    </row>
    <row r="216" spans="1:3">
      <c r="A216" s="53" t="s">
        <v>2347</v>
      </c>
      <c r="B216" s="52" t="s">
        <v>2348</v>
      </c>
      <c r="C216" t="e">
        <v>#N/A</v>
      </c>
    </row>
  </sheetData>
  <dataValidations count="2">
    <dataValidation type="textLength" allowBlank="1" showInputMessage="1" showErrorMessage="1" promptTitle="Text length exceed 3" prompt="Please check" sqref="A1:A216" xr:uid="{00000000-0002-0000-0800-000000000000}">
      <formula1>3</formula1>
      <formula2>3</formula2>
    </dataValidation>
    <dataValidation type="textLength" allowBlank="1" showInputMessage="1" showErrorMessage="1" promptTitle="Text length exceed 105" prompt="Please check" sqref="B1:B216 C1" xr:uid="{00000000-0002-0000-0800-000001000000}">
      <formula1>1</formula1>
      <formula2>105</formula2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HKT_Service_Application_Form</vt:lpstr>
      <vt:lpstr>HKT_POS_Moblie_Form</vt:lpstr>
      <vt:lpstr>AFG_Input_Alvin</vt:lpstr>
      <vt:lpstr>Application Merchant</vt:lpstr>
      <vt:lpstr>Payment Channels</vt:lpstr>
      <vt:lpstr>Contacts</vt:lpstr>
      <vt:lpstr>AFG_Input</vt:lpstr>
      <vt:lpstr>MCC_Booklet</vt:lpstr>
      <vt:lpstr>BankCodes</vt:lpstr>
      <vt:lpstr>OtherCodes</vt:lpstr>
      <vt:lpstr>Droplist</vt:lpstr>
      <vt:lpstr>Sheet1</vt:lpstr>
      <vt:lpstr>Rental Code</vt:lpstr>
      <vt:lpstr>Extracted_Field_Names</vt:lpstr>
      <vt:lpstr>Country_Codes</vt:lpstr>
      <vt:lpstr>Courtesy</vt:lpstr>
      <vt:lpstr>Positions_Type</vt:lpstr>
      <vt:lpstr>Sales_Table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Sze, Christy CW</dc:creator>
  <cp:lastModifiedBy>Yau, Alvin KH</cp:lastModifiedBy>
  <dcterms:created xsi:type="dcterms:W3CDTF">2020-10-06T04:56:20Z</dcterms:created>
  <dcterms:modified xsi:type="dcterms:W3CDTF">2024-09-12T06:55:09Z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